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45" yWindow="1305" windowWidth="18300" windowHeight="10515" tabRatio="941"/>
  </bookViews>
  <sheets>
    <sheet name="1.하수도보급률" sheetId="61" r:id="rId1"/>
    <sheet name="2.하수 및 분뇨 발생량" sheetId="2" r:id="rId2"/>
    <sheet name="3_1시설현황" sheetId="40" r:id="rId3"/>
    <sheet name="3_1_1하수처리시설별 시설현황" sheetId="72" r:id="rId4"/>
    <sheet name="3_2관종별 현황" sheetId="30" r:id="rId5"/>
    <sheet name="3_3관경별 현황" sheetId="37" r:id="rId6"/>
    <sheet name="4_1하수관로개보수(지역별)" sheetId="17" r:id="rId7"/>
    <sheet name="4_2하수관거준설(지역별)" sheetId="16" r:id="rId8"/>
    <sheet name="5.유수지및배수펌프장" sheetId="8" r:id="rId9"/>
    <sheet name="6.중계펌프장" sheetId="9" r:id="rId10"/>
    <sheet name="7.공공하수처리시설" sheetId="45" r:id="rId11"/>
    <sheet name="하수처리장" sheetId="49" state="hidden" r:id="rId12"/>
    <sheet name="하수" sheetId="59" state="hidden" r:id="rId13"/>
    <sheet name="하수처리장참고" sheetId="41" state="hidden" r:id="rId14"/>
    <sheet name="8.분뇨처리시설" sheetId="6" r:id="rId15"/>
    <sheet name="9_1오수처리시설" sheetId="5" r:id="rId16"/>
    <sheet name="9_2정화조" sheetId="74" r:id="rId17"/>
    <sheet name="9_3개인하수도 관리지역 지정공고 현황 및 청소실적" sheetId="70" r:id="rId18"/>
    <sheet name="10_1하수도재정" sheetId="20" r:id="rId19"/>
    <sheet name="10_2하수도요금" sheetId="19" r:id="rId20"/>
    <sheet name="업종별하수도요금" sheetId="28" state="hidden" r:id="rId21"/>
    <sheet name="10_3업종별하수도사용료" sheetId="60" r:id="rId22"/>
    <sheet name="10_4하수도원인자부담금" sheetId="29" r:id="rId23"/>
    <sheet name="하수처리수 재이용_삭제전" sheetId="51" state="hidden" r:id="rId24"/>
    <sheet name="11_1공공하수처리수 재이용" sheetId="15" r:id="rId25"/>
    <sheet name="하수처리장슬러지발생처리_삭제전" sheetId="53" state="hidden" r:id="rId26"/>
    <sheet name="11_2 중수도시설현황" sheetId="64" r:id="rId27"/>
    <sheet name="11_3 빗물이용시설현황" sheetId="65" r:id="rId28"/>
    <sheet name="11_4 하ㆍ폐수처리수 재이용시설 설계시공업 등록현황" sheetId="67" r:id="rId29"/>
    <sheet name="11_5 하ㆍ폐수처리수 재이용사업 인가현황" sheetId="68" r:id="rId30"/>
    <sheet name="12_1찌꺼기(슬러지)처리시설 현황" sheetId="31" r:id="rId31"/>
    <sheet name="12_2하수찌꺼기(슬러지)처리 현황" sheetId="76" r:id="rId32"/>
    <sheet name="12_3분뇨찌꺼기(슬러지)" sheetId="14" r:id="rId33"/>
    <sheet name="13_1공공기관현황(하수분야)" sheetId="39" r:id="rId34"/>
    <sheet name="13_1공공기관현황(분뇨분야)" sheetId="12" r:id="rId35"/>
    <sheet name="13_2하수처리시설인력" sheetId="48" r:id="rId36"/>
    <sheet name="13_3분뇨수집운반업" sheetId="22" r:id="rId37"/>
    <sheet name="13_4개인하수처리관련업" sheetId="21" r:id="rId38"/>
    <sheet name="14_1하수처리시설유입수및방류수" sheetId="24" r:id="rId39"/>
    <sheet name="14_2분뇨처리시설유입수및방류수" sheetId="23" r:id="rId40"/>
    <sheet name="15_1민원" sheetId="34" r:id="rId41"/>
    <sheet name="민원_삭제전" sheetId="56" state="hidden" r:id="rId42"/>
    <sheet name="15_2주민친화시설" sheetId="57" r:id="rId43"/>
    <sheet name="주민친화시설_삭제전" sheetId="58" state="hidden" r:id="rId44"/>
  </sheets>
  <definedNames>
    <definedName name="_xlnm._FilterDatabase" localSheetId="0" hidden="1">'1.하수도보급률'!$D$8:$D$41</definedName>
    <definedName name="_xlnm.Print_Area" localSheetId="0">'1.하수도보급률'!$A$1:$AC$42</definedName>
    <definedName name="_xlnm.Print_Area" localSheetId="18">'10_1하수도재정'!$A$1:$AD$12</definedName>
    <definedName name="_xlnm.Print_Area" localSheetId="19">'10_2하수도요금'!$A$1:$G$8</definedName>
    <definedName name="_xlnm.Print_Area" localSheetId="22">'10_4하수도원인자부담금'!$A$1:$I$12</definedName>
    <definedName name="_xlnm.Print_Area" localSheetId="24">'11_1공공하수처리수 재이용'!$A$1:$V$17</definedName>
    <definedName name="_xlnm.Print_Area" localSheetId="26">'11_2 중수도시설현황'!$A$1:$J$9</definedName>
    <definedName name="_xlnm.Print_Area" localSheetId="27">'11_3 빗물이용시설현황'!$A$1:$M$13</definedName>
    <definedName name="_xlnm.Print_Area" localSheetId="28">'11_4 하ㆍ폐수처리수 재이용시설 설계시공업 등록현황'!$A$1:$E$7</definedName>
    <definedName name="_xlnm.Print_Area" localSheetId="29">'11_5 하ㆍ폐수처리수 재이용사업 인가현황'!$A$1:$E$7</definedName>
    <definedName name="_xlnm.Print_Area" localSheetId="30">'12_1찌꺼기(슬러지)처리시설 현황'!$A$1:$T$16</definedName>
    <definedName name="_xlnm.Print_Area" localSheetId="31">'12_2하수찌꺼기(슬러지)처리 현황'!$A$1:$I$10</definedName>
    <definedName name="_xlnm.Print_Area" localSheetId="32">'12_3분뇨찌꺼기(슬러지)'!$A$1:$K$7</definedName>
    <definedName name="_xlnm.Print_Area" localSheetId="34">'13_1공공기관현황(분뇨분야)'!$A$1:$M$12</definedName>
    <definedName name="_xlnm.Print_Area" localSheetId="33">'13_1공공기관현황(하수분야)'!$A$1:$M$10</definedName>
    <definedName name="_xlnm.Print_Area" localSheetId="35">'13_2하수처리시설인력'!$A$1:$P$15</definedName>
    <definedName name="_xlnm.Print_Area" localSheetId="36">'13_3분뇨수집운반업'!$A$1:$I$9</definedName>
    <definedName name="_xlnm.Print_Area" localSheetId="37">'13_4개인하수처리관련업'!$A$1:$M$13</definedName>
    <definedName name="_xlnm.Print_Area" localSheetId="38">'14_1하수처리시설유입수및방류수'!$A$1:$I$78</definedName>
    <definedName name="_xlnm.Print_Area" localSheetId="39">'14_2분뇨처리시설유입수및방류수'!$A$1:$I$13</definedName>
    <definedName name="_xlnm.Print_Area" localSheetId="40">'15_1민원'!$A$1:$L$9</definedName>
    <definedName name="_xlnm.Print_Area" localSheetId="42">'15_2주민친화시설'!$A$1:$M$15</definedName>
    <definedName name="_xlnm.Print_Area" localSheetId="1">'2.하수 및 분뇨 발생량'!$A$1:$O$42</definedName>
    <definedName name="_xlnm.Print_Area" localSheetId="6">'4_1하수관로개보수(지역별)'!$A$1:$I$11</definedName>
    <definedName name="_xlnm.Print_Area" localSheetId="7">'4_2하수관거준설(지역별)'!$A$1:$T$11</definedName>
    <definedName name="_xlnm.Print_Area" localSheetId="8">'5.유수지및배수펌프장'!$A$1:$AB$23</definedName>
    <definedName name="_xlnm.Print_Area" localSheetId="9">'6.중계펌프장'!$A$1:$P$18</definedName>
    <definedName name="_xlnm.Print_Area" localSheetId="10">'7.공공하수처리시설'!$A$1:$AX$32</definedName>
    <definedName name="_xlnm.Print_Area" localSheetId="14">'8.분뇨처리시설'!$A$1:$O$9</definedName>
    <definedName name="_xlnm.Print_Area" localSheetId="15">'9_1오수처리시설'!$A$1:$R$27</definedName>
    <definedName name="_xlnm.Print_Area" localSheetId="41">민원_삭제전!$A$1:$L$16</definedName>
    <definedName name="_xlnm.Print_Area" localSheetId="43">주민친화시설_삭제전!$A$1:$N$16</definedName>
    <definedName name="_xlnm.Print_Area" localSheetId="12">하수!$A$2:$AC$4</definedName>
    <definedName name="_xlnm.Print_Area" localSheetId="23">'하수처리수 재이용_삭제전'!$A$1:$L$19</definedName>
    <definedName name="_xlnm.Print_Area" localSheetId="11">하수처리장!$A$1:$AD$3</definedName>
    <definedName name="_xlnm.Print_Area" localSheetId="25">하수처리장슬러지발생처리_삭제전!$A$1:$J$19</definedName>
    <definedName name="_xlnm.Print_Titles" localSheetId="0">'1.하수도보급률'!$5:$7</definedName>
    <definedName name="_xlnm.Print_Titles" localSheetId="18">'10_1하수도재정'!$7:$9</definedName>
    <definedName name="_xlnm.Print_Titles" localSheetId="22">'10_4하수도원인자부담금'!$7:$9</definedName>
    <definedName name="_xlnm.Print_Titles" localSheetId="24">'11_1공공하수처리수 재이용'!#REF!</definedName>
    <definedName name="_xlnm.Print_Titles" localSheetId="26">'11_2 중수도시설현황'!$5:$5</definedName>
    <definedName name="_xlnm.Print_Titles" localSheetId="27">'11_3 빗물이용시설현황'!$5:$5</definedName>
    <definedName name="_xlnm.Print_Titles" localSheetId="32">'12_3분뇨찌꺼기(슬러지)'!$5:$6</definedName>
    <definedName name="_xlnm.Print_Titles" localSheetId="35">'13_2하수처리시설인력'!$5:$6</definedName>
    <definedName name="_xlnm.Print_Titles" localSheetId="37">'13_4개인하수처리관련업'!$5:$7</definedName>
    <definedName name="_xlnm.Print_Titles" localSheetId="40">'15_1민원'!$5:$6</definedName>
    <definedName name="_xlnm.Print_Titles" localSheetId="42">'15_2주민친화시설'!$5:$6</definedName>
    <definedName name="_xlnm.Print_Titles" localSheetId="1">'2.하수 및 분뇨 발생량'!$5:$7</definedName>
    <definedName name="_xlnm.Print_Titles" localSheetId="3">'3_1_1하수처리시설별 시설현황'!$5:$8</definedName>
    <definedName name="_xlnm.Print_Titles" localSheetId="2">'3_1시설현황'!$5:$8</definedName>
    <definedName name="_xlnm.Print_Titles" localSheetId="7">'4_2하수관거준설(지역별)'!$5:$8</definedName>
    <definedName name="_xlnm.Print_Titles" localSheetId="8">'5.유수지및배수펌프장'!$5:$7</definedName>
    <definedName name="_xlnm.Print_Titles" localSheetId="9">'6.중계펌프장'!$5:$7</definedName>
    <definedName name="_xlnm.Print_Titles" localSheetId="15">'9_1오수처리시설'!$5:$7</definedName>
    <definedName name="_xlnm.Print_Titles" localSheetId="41">민원_삭제전!$4:$5</definedName>
    <definedName name="_xlnm.Print_Titles" localSheetId="43">주민친화시설_삭제전!$4:$5</definedName>
    <definedName name="_xlnm.Print_Titles" localSheetId="23">'하수처리수 재이용_삭제전'!$4:$5</definedName>
    <definedName name="_xlnm.Print_Titles" localSheetId="13">하수처리장참고!$1:$2</definedName>
  </definedNames>
  <calcPr calcId="125725"/>
</workbook>
</file>

<file path=xl/calcChain.xml><?xml version="1.0" encoding="utf-8"?>
<calcChain xmlns="http://schemas.openxmlformats.org/spreadsheetml/2006/main">
  <c r="P9" i="16"/>
  <c r="O9"/>
  <c r="C9"/>
  <c r="K9" s="1"/>
  <c r="Z11" i="45"/>
  <c r="AA11" s="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AA30" s="1"/>
  <c r="Z31"/>
  <c r="AA31" s="1"/>
  <c r="Z32"/>
  <c r="AA32" s="1"/>
  <c r="Z10"/>
  <c r="AA10" s="1"/>
  <c r="Z8"/>
  <c r="AA8" s="1"/>
  <c r="Z9"/>
  <c r="Z7"/>
  <c r="AA7" s="1"/>
  <c r="AA9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X14"/>
  <c r="AX13"/>
  <c r="AX12"/>
  <c r="AX11"/>
  <c r="AX10"/>
  <c r="AX9"/>
  <c r="AX8"/>
  <c r="AX7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8"/>
  <c r="AU7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W17" i="15"/>
  <c r="Q17"/>
  <c r="I17"/>
  <c r="W16"/>
  <c r="Q16"/>
  <c r="I16"/>
  <c r="W15"/>
  <c r="Q15"/>
  <c r="I15"/>
  <c r="W14"/>
  <c r="Q14"/>
  <c r="I14"/>
  <c r="W13"/>
  <c r="Q13"/>
  <c r="I13"/>
  <c r="G13"/>
  <c r="W12"/>
  <c r="Q12"/>
  <c r="I12"/>
  <c r="G12"/>
  <c r="Q11"/>
  <c r="I11"/>
  <c r="H11" s="1"/>
  <c r="W11" s="1"/>
  <c r="Q10"/>
  <c r="I10"/>
  <c r="H10" s="1"/>
  <c r="W10" s="1"/>
  <c r="Q9"/>
  <c r="I9"/>
  <c r="H9" s="1"/>
  <c r="W9" s="1"/>
  <c r="G9"/>
  <c r="E15" i="48"/>
  <c r="C15" s="1"/>
  <c r="E14"/>
  <c r="C14" s="1"/>
  <c r="E13"/>
  <c r="C13" s="1"/>
  <c r="E12"/>
  <c r="C12" s="1"/>
  <c r="E11"/>
  <c r="C11" s="1"/>
  <c r="E10"/>
  <c r="C10" s="1"/>
  <c r="E9"/>
  <c r="E8"/>
  <c r="C8" s="1"/>
  <c r="E7"/>
  <c r="C7" s="1"/>
  <c r="L7" i="34"/>
  <c r="M15" i="57"/>
  <c r="D15"/>
  <c r="D14"/>
  <c r="M14" s="1"/>
  <c r="M13"/>
  <c r="D13"/>
  <c r="D12"/>
  <c r="M12" s="1"/>
  <c r="M11"/>
  <c r="D11"/>
  <c r="D10"/>
  <c r="M10" s="1"/>
  <c r="M9"/>
  <c r="D9"/>
  <c r="D8"/>
  <c r="M8" s="1"/>
  <c r="M7"/>
  <c r="D7"/>
  <c r="D7" i="22"/>
  <c r="E7" i="12"/>
  <c r="C7" s="1"/>
  <c r="E8" i="39"/>
  <c r="C8" s="1"/>
  <c r="O8" i="70"/>
  <c r="G8"/>
  <c r="BB30" i="74"/>
  <c r="AH30"/>
  <c r="X30"/>
  <c r="D30"/>
  <c r="X29"/>
  <c r="D29"/>
  <c r="X28"/>
  <c r="D28"/>
  <c r="X27"/>
  <c r="D27"/>
  <c r="X26"/>
  <c r="D26"/>
  <c r="X25"/>
  <c r="D25"/>
  <c r="X24"/>
  <c r="D24"/>
  <c r="X23"/>
  <c r="D23"/>
  <c r="X22"/>
  <c r="D22"/>
  <c r="X21"/>
  <c r="D21"/>
  <c r="X20"/>
  <c r="D20"/>
  <c r="X19"/>
  <c r="D19"/>
  <c r="BB18"/>
  <c r="AH18"/>
  <c r="AG18"/>
  <c r="BB17"/>
  <c r="AH17"/>
  <c r="X17"/>
  <c r="D17"/>
  <c r="BB16"/>
  <c r="AG16" s="1"/>
  <c r="AH16"/>
  <c r="X16"/>
  <c r="D16"/>
  <c r="BB15"/>
  <c r="AH15"/>
  <c r="AG15" s="1"/>
  <c r="X15"/>
  <c r="D15"/>
  <c r="BB14"/>
  <c r="AH14"/>
  <c r="AG14"/>
  <c r="X14"/>
  <c r="D14"/>
  <c r="AS13"/>
  <c r="X13"/>
  <c r="P13"/>
  <c r="O13" s="1"/>
  <c r="D13" s="1"/>
  <c r="D11" s="1"/>
  <c r="BB12"/>
  <c r="AS12"/>
  <c r="AS11" s="1"/>
  <c r="X12"/>
  <c r="D12"/>
  <c r="BJ11"/>
  <c r="BI11"/>
  <c r="BH11"/>
  <c r="BG11"/>
  <c r="BF11"/>
  <c r="BE11"/>
  <c r="BD11"/>
  <c r="BC11"/>
  <c r="BB11"/>
  <c r="BA11"/>
  <c r="AZ11"/>
  <c r="AY11"/>
  <c r="AX11"/>
  <c r="AT11"/>
  <c r="AO11"/>
  <c r="AN11"/>
  <c r="AJ11"/>
  <c r="AI11"/>
  <c r="AF11"/>
  <c r="AE11"/>
  <c r="AD11"/>
  <c r="AC11"/>
  <c r="AB11"/>
  <c r="AA11"/>
  <c r="Z11"/>
  <c r="Y11"/>
  <c r="W11"/>
  <c r="V11"/>
  <c r="U11"/>
  <c r="T11"/>
  <c r="P11"/>
  <c r="K11"/>
  <c r="J11"/>
  <c r="F11"/>
  <c r="E11"/>
  <c r="C11"/>
  <c r="B11"/>
  <c r="K27" i="5"/>
  <c r="C27"/>
  <c r="K26"/>
  <c r="C26"/>
  <c r="B26" s="1"/>
  <c r="K25"/>
  <c r="B25" s="1"/>
  <c r="C25"/>
  <c r="K24"/>
  <c r="C24"/>
  <c r="B24" s="1"/>
  <c r="K23"/>
  <c r="B23" s="1"/>
  <c r="C23"/>
  <c r="K22"/>
  <c r="C22"/>
  <c r="K21"/>
  <c r="C21"/>
  <c r="K20"/>
  <c r="C20"/>
  <c r="K19"/>
  <c r="C19"/>
  <c r="B19" s="1"/>
  <c r="K18"/>
  <c r="C18"/>
  <c r="K17"/>
  <c r="C17"/>
  <c r="K16"/>
  <c r="C16"/>
  <c r="K15"/>
  <c r="C15"/>
  <c r="K14"/>
  <c r="C14"/>
  <c r="K13"/>
  <c r="C13"/>
  <c r="C12"/>
  <c r="B12" s="1"/>
  <c r="K11"/>
  <c r="C11"/>
  <c r="K10"/>
  <c r="C10"/>
  <c r="K9"/>
  <c r="C9"/>
  <c r="R8"/>
  <c r="Q8"/>
  <c r="P8"/>
  <c r="O8"/>
  <c r="N8"/>
  <c r="M8"/>
  <c r="L8"/>
  <c r="J8"/>
  <c r="I8"/>
  <c r="H8"/>
  <c r="G8"/>
  <c r="F8"/>
  <c r="E8"/>
  <c r="D8"/>
  <c r="L9" i="16" l="1"/>
  <c r="AH12" i="74"/>
  <c r="AG12" s="1"/>
  <c r="AG30"/>
  <c r="X11"/>
  <c r="AH11"/>
  <c r="AG11" s="1"/>
  <c r="AG17"/>
  <c r="O11"/>
  <c r="B9" i="5"/>
  <c r="K8"/>
  <c r="B27"/>
  <c r="B15"/>
  <c r="C8"/>
  <c r="B13"/>
  <c r="B22"/>
  <c r="B10"/>
  <c r="B16"/>
  <c r="B18"/>
  <c r="B21"/>
  <c r="B20"/>
  <c r="B11"/>
  <c r="B17"/>
  <c r="B8" l="1"/>
  <c r="AJ7" i="60" l="1"/>
  <c r="AG7"/>
  <c r="AD7"/>
  <c r="AA7"/>
  <c r="X7"/>
  <c r="U7"/>
  <c r="R7"/>
  <c r="O7"/>
  <c r="L7"/>
  <c r="I7"/>
  <c r="F7"/>
  <c r="C7"/>
  <c r="B7"/>
  <c r="F6" i="19"/>
  <c r="D6"/>
  <c r="G6" s="1"/>
  <c r="H18" i="9" l="1"/>
  <c r="H17"/>
  <c r="H16"/>
  <c r="H15"/>
  <c r="H14"/>
  <c r="H13"/>
  <c r="H12"/>
  <c r="H11"/>
  <c r="H10"/>
  <c r="H9"/>
  <c r="H8"/>
  <c r="O12" i="72" l="1"/>
  <c r="S16" l="1"/>
  <c r="O16"/>
  <c r="M16" s="1"/>
  <c r="I16"/>
  <c r="G16" s="1"/>
  <c r="D16"/>
  <c r="O15"/>
  <c r="M15" s="1"/>
  <c r="I15"/>
  <c r="G15" s="1"/>
  <c r="D15"/>
  <c r="S14"/>
  <c r="O14"/>
  <c r="M14" s="1"/>
  <c r="I14"/>
  <c r="G14" s="1"/>
  <c r="D14"/>
  <c r="S13"/>
  <c r="O13"/>
  <c r="M13" s="1"/>
  <c r="I13"/>
  <c r="G13" s="1"/>
  <c r="S12"/>
  <c r="I12"/>
  <c r="G12" s="1"/>
  <c r="S11"/>
  <c r="O11"/>
  <c r="M11" s="1"/>
  <c r="I11"/>
  <c r="G11" s="1"/>
  <c r="D11"/>
  <c r="S10"/>
  <c r="O10"/>
  <c r="M10" s="1"/>
  <c r="I10"/>
  <c r="G10" s="1"/>
  <c r="D10"/>
  <c r="S9"/>
  <c r="M9"/>
  <c r="I9"/>
  <c r="G9"/>
  <c r="D9"/>
  <c r="M12" l="1"/>
  <c r="B9" i="2"/>
  <c r="F19" i="37" l="1"/>
  <c r="F18"/>
  <c r="F17"/>
  <c r="F16"/>
  <c r="F15"/>
  <c r="F14"/>
  <c r="F13"/>
  <c r="F12"/>
  <c r="F11"/>
  <c r="F10"/>
  <c r="F9"/>
  <c r="F8"/>
  <c r="F7"/>
  <c r="M6"/>
  <c r="L6"/>
  <c r="K6"/>
  <c r="J6"/>
  <c r="I6"/>
  <c r="H6"/>
  <c r="G6"/>
  <c r="F20" i="30"/>
  <c r="F19"/>
  <c r="F18"/>
  <c r="F17"/>
  <c r="F16"/>
  <c r="F14"/>
  <c r="F13"/>
  <c r="F12"/>
  <c r="F11"/>
  <c r="F10"/>
  <c r="F9"/>
  <c r="F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 s="1"/>
  <c r="F6" i="37" l="1"/>
  <c r="W17" i="40"/>
  <c r="V17" s="1"/>
  <c r="Q17"/>
  <c r="P17" s="1"/>
  <c r="I17"/>
  <c r="H17" s="1"/>
  <c r="B17"/>
  <c r="W16"/>
  <c r="V16" s="1"/>
  <c r="Q16"/>
  <c r="D16" s="1"/>
  <c r="AG16" s="1"/>
  <c r="I16"/>
  <c r="H16" s="1"/>
  <c r="B16"/>
  <c r="W15"/>
  <c r="V15" s="1"/>
  <c r="Q15"/>
  <c r="P15" s="1"/>
  <c r="I15"/>
  <c r="D15" s="1"/>
  <c r="B15"/>
  <c r="W14"/>
  <c r="V14"/>
  <c r="Q14"/>
  <c r="P14" s="1"/>
  <c r="I14"/>
  <c r="H14" s="1"/>
  <c r="C14" s="1"/>
  <c r="B14"/>
  <c r="W13"/>
  <c r="V13" s="1"/>
  <c r="Q13"/>
  <c r="I13"/>
  <c r="H13" s="1"/>
  <c r="B13"/>
  <c r="W12"/>
  <c r="V12" s="1"/>
  <c r="Q12"/>
  <c r="D12" s="1"/>
  <c r="I12"/>
  <c r="H12" s="1"/>
  <c r="B12"/>
  <c r="W11"/>
  <c r="V11" s="1"/>
  <c r="Q11"/>
  <c r="P11" s="1"/>
  <c r="I11"/>
  <c r="D11" s="1"/>
  <c r="B11"/>
  <c r="W10"/>
  <c r="V10"/>
  <c r="Q10"/>
  <c r="P10" s="1"/>
  <c r="I10"/>
  <c r="H10" s="1"/>
  <c r="C10" s="1"/>
  <c r="B10"/>
  <c r="AF9"/>
  <c r="AE9"/>
  <c r="AD9"/>
  <c r="AC9"/>
  <c r="AB9"/>
  <c r="AA9"/>
  <c r="Z9"/>
  <c r="Y9"/>
  <c r="X9"/>
  <c r="U9"/>
  <c r="T9"/>
  <c r="S9"/>
  <c r="R9"/>
  <c r="O9"/>
  <c r="N9"/>
  <c r="M9"/>
  <c r="L9"/>
  <c r="K9"/>
  <c r="J9"/>
  <c r="G9"/>
  <c r="F9"/>
  <c r="B9"/>
  <c r="P9" l="1"/>
  <c r="Q9"/>
  <c r="I9"/>
  <c r="P12"/>
  <c r="P16"/>
  <c r="C16" s="1"/>
  <c r="E16" s="1"/>
  <c r="D17"/>
  <c r="W9"/>
  <c r="V9" s="1"/>
  <c r="H9"/>
  <c r="C12"/>
  <c r="E12" s="1"/>
  <c r="AG11"/>
  <c r="AG15"/>
  <c r="C17"/>
  <c r="E17" s="1"/>
  <c r="AG12"/>
  <c r="D13"/>
  <c r="P13"/>
  <c r="C13" s="1"/>
  <c r="H15"/>
  <c r="C15" s="1"/>
  <c r="E15" s="1"/>
  <c r="AG17"/>
  <c r="D10"/>
  <c r="D14"/>
  <c r="H11"/>
  <c r="C11" s="1"/>
  <c r="E11" s="1"/>
  <c r="C9" l="1"/>
  <c r="E9" s="1"/>
  <c r="D9"/>
  <c r="AG9" s="1"/>
  <c r="AG10"/>
  <c r="E10"/>
  <c r="E13"/>
  <c r="AG13"/>
  <c r="AG14"/>
  <c r="E14"/>
  <c r="M41" i="2" l="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O9"/>
  <c r="N9"/>
  <c r="R23" i="8"/>
  <c r="R22"/>
  <c r="R21"/>
  <c r="R20"/>
  <c r="R19"/>
  <c r="R18"/>
  <c r="R17"/>
  <c r="R16"/>
  <c r="R15"/>
  <c r="R14"/>
  <c r="R13"/>
  <c r="U11"/>
  <c r="R11" s="1"/>
  <c r="R10"/>
  <c r="R9"/>
  <c r="R8"/>
  <c r="M9" i="2" l="1"/>
  <c r="H12"/>
  <c r="H13"/>
  <c r="H14"/>
  <c r="H15"/>
  <c r="H16"/>
  <c r="H17"/>
  <c r="B17" s="1"/>
  <c r="H18"/>
  <c r="H19"/>
  <c r="H20"/>
  <c r="H21"/>
  <c r="H22"/>
  <c r="H23"/>
  <c r="H24"/>
  <c r="H25"/>
  <c r="H26"/>
  <c r="H27"/>
  <c r="H28"/>
  <c r="H29"/>
  <c r="B29" s="1"/>
  <c r="H30"/>
  <c r="H31"/>
  <c r="B31" s="1"/>
  <c r="H32"/>
  <c r="H33"/>
  <c r="H34"/>
  <c r="H35"/>
  <c r="H36"/>
  <c r="H37"/>
  <c r="H38"/>
  <c r="H39"/>
  <c r="H40"/>
  <c r="H41"/>
  <c r="H11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13"/>
  <c r="C12"/>
  <c r="C11"/>
  <c r="C10"/>
  <c r="H10"/>
  <c r="AC40" i="61"/>
  <c r="T40"/>
  <c r="O40"/>
  <c r="K40"/>
  <c r="I40"/>
  <c r="AC39"/>
  <c r="T39"/>
  <c r="O39"/>
  <c r="K39"/>
  <c r="I39"/>
  <c r="AC38"/>
  <c r="T38"/>
  <c r="O38"/>
  <c r="K38"/>
  <c r="I38"/>
  <c r="AC37"/>
  <c r="T37"/>
  <c r="O37"/>
  <c r="K37"/>
  <c r="I37"/>
  <c r="AC36"/>
  <c r="T36"/>
  <c r="O36"/>
  <c r="K36"/>
  <c r="J36" s="1"/>
  <c r="AB36" s="1"/>
  <c r="I36"/>
  <c r="AC35"/>
  <c r="T35"/>
  <c r="O35"/>
  <c r="K35"/>
  <c r="I35"/>
  <c r="AC34"/>
  <c r="T34"/>
  <c r="O34"/>
  <c r="K34"/>
  <c r="I34"/>
  <c r="AC33"/>
  <c r="T33"/>
  <c r="O33"/>
  <c r="K33"/>
  <c r="I33"/>
  <c r="AC32"/>
  <c r="O32"/>
  <c r="J32" s="1"/>
  <c r="AB32" s="1"/>
  <c r="I32"/>
  <c r="AC31"/>
  <c r="T31"/>
  <c r="O31"/>
  <c r="K31"/>
  <c r="I31"/>
  <c r="AC30"/>
  <c r="T30"/>
  <c r="O30"/>
  <c r="K30"/>
  <c r="I30"/>
  <c r="AC29"/>
  <c r="T29"/>
  <c r="O29"/>
  <c r="K29"/>
  <c r="I29"/>
  <c r="AC28"/>
  <c r="T28"/>
  <c r="O28"/>
  <c r="K28"/>
  <c r="I28"/>
  <c r="AC27"/>
  <c r="T27"/>
  <c r="O27"/>
  <c r="K27"/>
  <c r="I27"/>
  <c r="AC26"/>
  <c r="T26"/>
  <c r="O26"/>
  <c r="K26"/>
  <c r="I26"/>
  <c r="AC25"/>
  <c r="T25"/>
  <c r="O25"/>
  <c r="K25"/>
  <c r="I25"/>
  <c r="AC24"/>
  <c r="T24"/>
  <c r="O24"/>
  <c r="K24"/>
  <c r="I24"/>
  <c r="AC23"/>
  <c r="T23"/>
  <c r="O23"/>
  <c r="K23"/>
  <c r="I23"/>
  <c r="AC22"/>
  <c r="T22"/>
  <c r="O22"/>
  <c r="K22"/>
  <c r="I22"/>
  <c r="AC21"/>
  <c r="T21"/>
  <c r="O21"/>
  <c r="K21"/>
  <c r="I21"/>
  <c r="AC20"/>
  <c r="T20"/>
  <c r="O20"/>
  <c r="K20"/>
  <c r="I20"/>
  <c r="AC19"/>
  <c r="T19"/>
  <c r="O19"/>
  <c r="K19"/>
  <c r="I19"/>
  <c r="AC18"/>
  <c r="T18"/>
  <c r="O18"/>
  <c r="K18"/>
  <c r="I18"/>
  <c r="AC17"/>
  <c r="T17"/>
  <c r="O17"/>
  <c r="K17"/>
  <c r="I17"/>
  <c r="AC16"/>
  <c r="T16"/>
  <c r="O16"/>
  <c r="K16"/>
  <c r="I16"/>
  <c r="AC15"/>
  <c r="T15"/>
  <c r="O15"/>
  <c r="K15"/>
  <c r="I15"/>
  <c r="AC14"/>
  <c r="T14"/>
  <c r="O14"/>
  <c r="K14"/>
  <c r="I14"/>
  <c r="AC13"/>
  <c r="T13"/>
  <c r="O13"/>
  <c r="K13"/>
  <c r="I13"/>
  <c r="AC12"/>
  <c r="T12"/>
  <c r="O12"/>
  <c r="K12"/>
  <c r="I12"/>
  <c r="AC11"/>
  <c r="T11"/>
  <c r="O11"/>
  <c r="K11"/>
  <c r="I11"/>
  <c r="AC10"/>
  <c r="T10"/>
  <c r="O10"/>
  <c r="K10"/>
  <c r="I10"/>
  <c r="AC9"/>
  <c r="T9"/>
  <c r="O9"/>
  <c r="J9" s="1"/>
  <c r="AB9" s="1"/>
  <c r="K9"/>
  <c r="I9"/>
  <c r="AC8"/>
  <c r="AA8"/>
  <c r="Z8"/>
  <c r="Y8"/>
  <c r="X8"/>
  <c r="W8"/>
  <c r="V8"/>
  <c r="U8"/>
  <c r="K8"/>
  <c r="J8" s="1"/>
  <c r="AB8" s="1"/>
  <c r="I41"/>
  <c r="K41"/>
  <c r="O41"/>
  <c r="T41"/>
  <c r="J25" l="1"/>
  <c r="AB25" s="1"/>
  <c r="J12"/>
  <c r="AB12" s="1"/>
  <c r="J15"/>
  <c r="AB15" s="1"/>
  <c r="J18"/>
  <c r="AB18" s="1"/>
  <c r="J29"/>
  <c r="AB29" s="1"/>
  <c r="J35"/>
  <c r="AB35" s="1"/>
  <c r="J39"/>
  <c r="AB39" s="1"/>
  <c r="J13"/>
  <c r="AB13" s="1"/>
  <c r="J17"/>
  <c r="AB17" s="1"/>
  <c r="J21"/>
  <c r="AB21" s="1"/>
  <c r="J28"/>
  <c r="AB28" s="1"/>
  <c r="J41"/>
  <c r="J31"/>
  <c r="AB31" s="1"/>
  <c r="J33"/>
  <c r="AB33" s="1"/>
  <c r="B23" i="2"/>
  <c r="B19"/>
  <c r="B28"/>
  <c r="B30"/>
  <c r="J11" i="61"/>
  <c r="AB11" s="1"/>
  <c r="J14"/>
  <c r="AB14" s="1"/>
  <c r="J24"/>
  <c r="AB24" s="1"/>
  <c r="J27"/>
  <c r="AB27" s="1"/>
  <c r="J30"/>
  <c r="AB30" s="1"/>
  <c r="J10"/>
  <c r="AB10" s="1"/>
  <c r="J20"/>
  <c r="AB20" s="1"/>
  <c r="J23"/>
  <c r="AB23" s="1"/>
  <c r="J26"/>
  <c r="AB26" s="1"/>
  <c r="J38"/>
  <c r="AB38" s="1"/>
  <c r="J16"/>
  <c r="AB16" s="1"/>
  <c r="J19"/>
  <c r="AB19" s="1"/>
  <c r="J22"/>
  <c r="AB22" s="1"/>
  <c r="J34"/>
  <c r="AB34" s="1"/>
  <c r="J37"/>
  <c r="AB37" s="1"/>
  <c r="J40"/>
  <c r="AB40" s="1"/>
  <c r="B13" i="2"/>
  <c r="B12"/>
  <c r="B16"/>
  <c r="B15"/>
  <c r="B41"/>
  <c r="B38"/>
  <c r="B36"/>
  <c r="B35"/>
  <c r="B33"/>
  <c r="B27"/>
  <c r="B25"/>
  <c r="B24"/>
  <c r="B21"/>
  <c r="B20"/>
  <c r="B37"/>
  <c r="B32"/>
  <c r="B40"/>
  <c r="B34"/>
  <c r="B26"/>
  <c r="B22"/>
  <c r="B18"/>
  <c r="B14"/>
  <c r="B39"/>
  <c r="B11"/>
  <c r="B10"/>
  <c r="H41" i="61"/>
  <c r="AC41" s="1"/>
  <c r="AB41" l="1"/>
  <c r="G9" i="70" l="1"/>
  <c r="G10"/>
  <c r="T8" i="31"/>
  <c r="A10" i="76"/>
  <c r="A9"/>
  <c r="O11" i="16" l="1"/>
  <c r="O10"/>
  <c r="P11" l="1"/>
  <c r="P10"/>
  <c r="AA12" i="20"/>
  <c r="AA11"/>
  <c r="AA10"/>
  <c r="L10" i="70"/>
  <c r="O10" s="1"/>
  <c r="I10"/>
  <c r="L9"/>
  <c r="I9"/>
  <c r="E12" i="29"/>
  <c r="F8" i="19"/>
  <c r="G8" s="1"/>
  <c r="F7"/>
  <c r="D8"/>
  <c r="D7"/>
  <c r="G7" s="1"/>
  <c r="B11" i="20"/>
  <c r="B12"/>
  <c r="B10"/>
  <c r="E11" i="29"/>
  <c r="E10"/>
  <c r="D11"/>
  <c r="D12"/>
  <c r="D10"/>
  <c r="C9" i="34"/>
  <c r="L9" s="1"/>
  <c r="D9" i="22"/>
  <c r="E8" i="12"/>
  <c r="C8" s="1"/>
  <c r="E9"/>
  <c r="C9" s="1"/>
  <c r="E10"/>
  <c r="C10" s="1"/>
  <c r="E11"/>
  <c r="C11" s="1"/>
  <c r="E12"/>
  <c r="C12" s="1"/>
  <c r="E10" i="39"/>
  <c r="C10" s="1"/>
  <c r="V12" i="20"/>
  <c r="Q12"/>
  <c r="L11"/>
  <c r="L12"/>
  <c r="K12" s="1"/>
  <c r="C10" i="16"/>
  <c r="C11"/>
  <c r="B11" i="17"/>
  <c r="C8" i="34"/>
  <c r="L8" s="1"/>
  <c r="B10" i="17"/>
  <c r="Q11" i="20"/>
  <c r="Q10"/>
  <c r="L10"/>
  <c r="M100" i="41"/>
  <c r="M101"/>
  <c r="M97"/>
  <c r="M98"/>
  <c r="M94"/>
  <c r="M95"/>
  <c r="M88"/>
  <c r="M82" s="1"/>
  <c r="M89"/>
  <c r="M85"/>
  <c r="M86"/>
  <c r="M79"/>
  <c r="M73" s="1"/>
  <c r="M80"/>
  <c r="M76"/>
  <c r="M77"/>
  <c r="M70"/>
  <c r="M71"/>
  <c r="M65" s="1"/>
  <c r="M67"/>
  <c r="M68"/>
  <c r="M61"/>
  <c r="M62"/>
  <c r="M58"/>
  <c r="M59"/>
  <c r="M52"/>
  <c r="M53"/>
  <c r="M47" s="1"/>
  <c r="M49"/>
  <c r="M50"/>
  <c r="M44"/>
  <c r="M43"/>
  <c r="M37" s="1"/>
  <c r="M40"/>
  <c r="M41"/>
  <c r="M34"/>
  <c r="M35"/>
  <c r="M29" s="1"/>
  <c r="M31"/>
  <c r="M32"/>
  <c r="M25"/>
  <c r="M26"/>
  <c r="M22"/>
  <c r="M23"/>
  <c r="M19"/>
  <c r="M20"/>
  <c r="M16"/>
  <c r="M17"/>
  <c r="M13"/>
  <c r="M14"/>
  <c r="M10"/>
  <c r="M11"/>
  <c r="M7"/>
  <c r="M8"/>
  <c r="S101"/>
  <c r="R101"/>
  <c r="Q101"/>
  <c r="P101"/>
  <c r="O101"/>
  <c r="N101"/>
  <c r="L101"/>
  <c r="K101"/>
  <c r="K99" s="1"/>
  <c r="J101"/>
  <c r="I101"/>
  <c r="G101"/>
  <c r="F101"/>
  <c r="E101"/>
  <c r="S100"/>
  <c r="R100"/>
  <c r="R99" s="1"/>
  <c r="Q100"/>
  <c r="P100"/>
  <c r="O100"/>
  <c r="N100"/>
  <c r="N99" s="1"/>
  <c r="L100"/>
  <c r="K100"/>
  <c r="J100"/>
  <c r="I100"/>
  <c r="I99" s="1"/>
  <c r="G100"/>
  <c r="F100"/>
  <c r="E100"/>
  <c r="S98"/>
  <c r="S92" s="1"/>
  <c r="R98"/>
  <c r="Q98"/>
  <c r="P98"/>
  <c r="O98"/>
  <c r="O92" s="1"/>
  <c r="N98"/>
  <c r="L98"/>
  <c r="K98"/>
  <c r="J98"/>
  <c r="J92" s="1"/>
  <c r="I98"/>
  <c r="G98"/>
  <c r="F98"/>
  <c r="E98"/>
  <c r="E92" s="1"/>
  <c r="S97"/>
  <c r="R97"/>
  <c r="Q97"/>
  <c r="P97"/>
  <c r="P96" s="1"/>
  <c r="O97"/>
  <c r="N97"/>
  <c r="L97"/>
  <c r="K97"/>
  <c r="K91" s="1"/>
  <c r="J97"/>
  <c r="I97"/>
  <c r="G97"/>
  <c r="F97"/>
  <c r="F91" s="1"/>
  <c r="E97"/>
  <c r="S95"/>
  <c r="R95"/>
  <c r="Q95"/>
  <c r="Q92" s="1"/>
  <c r="P95"/>
  <c r="O95"/>
  <c r="N95"/>
  <c r="L95"/>
  <c r="L92" s="1"/>
  <c r="K95"/>
  <c r="K93" s="1"/>
  <c r="J95"/>
  <c r="I95"/>
  <c r="G95"/>
  <c r="G92" s="1"/>
  <c r="F95"/>
  <c r="E95"/>
  <c r="S94"/>
  <c r="R94"/>
  <c r="R93" s="1"/>
  <c r="Q94"/>
  <c r="Q91" s="1"/>
  <c r="P94"/>
  <c r="O94"/>
  <c r="N94"/>
  <c r="N91" s="1"/>
  <c r="L94"/>
  <c r="L91" s="1"/>
  <c r="K94"/>
  <c r="J94"/>
  <c r="I94"/>
  <c r="I93" s="1"/>
  <c r="G94"/>
  <c r="F94"/>
  <c r="E94"/>
  <c r="S89"/>
  <c r="R89"/>
  <c r="Q89"/>
  <c r="P89"/>
  <c r="O89"/>
  <c r="N89"/>
  <c r="L89"/>
  <c r="K89"/>
  <c r="J89"/>
  <c r="I89"/>
  <c r="G89"/>
  <c r="F89"/>
  <c r="E89"/>
  <c r="E87" s="1"/>
  <c r="S88"/>
  <c r="R88"/>
  <c r="Q88"/>
  <c r="P88"/>
  <c r="P87" s="1"/>
  <c r="O88"/>
  <c r="N88"/>
  <c r="L88"/>
  <c r="I88"/>
  <c r="I82" s="1"/>
  <c r="G88"/>
  <c r="G87" s="1"/>
  <c r="F88"/>
  <c r="E88"/>
  <c r="S86"/>
  <c r="S83" s="1"/>
  <c r="R86"/>
  <c r="R83" s="1"/>
  <c r="Q86"/>
  <c r="P86"/>
  <c r="O86"/>
  <c r="O83" s="1"/>
  <c r="N86"/>
  <c r="N83" s="1"/>
  <c r="L86"/>
  <c r="K86"/>
  <c r="J86"/>
  <c r="J83" s="1"/>
  <c r="I86"/>
  <c r="G86"/>
  <c r="F86"/>
  <c r="E86"/>
  <c r="S85"/>
  <c r="S82" s="1"/>
  <c r="R85"/>
  <c r="Q85"/>
  <c r="P85"/>
  <c r="P84" s="1"/>
  <c r="O85"/>
  <c r="O82" s="1"/>
  <c r="N85"/>
  <c r="L85"/>
  <c r="K85"/>
  <c r="J85"/>
  <c r="I85"/>
  <c r="G85"/>
  <c r="F85"/>
  <c r="F84" s="1"/>
  <c r="E85"/>
  <c r="E82" s="1"/>
  <c r="S80"/>
  <c r="R80"/>
  <c r="Q80"/>
  <c r="P80"/>
  <c r="O80"/>
  <c r="N80"/>
  <c r="L80"/>
  <c r="K80"/>
  <c r="J80"/>
  <c r="I80"/>
  <c r="G80"/>
  <c r="E80"/>
  <c r="S79"/>
  <c r="R79"/>
  <c r="Q79"/>
  <c r="Q73" s="1"/>
  <c r="P79"/>
  <c r="O79"/>
  <c r="N79"/>
  <c r="L79"/>
  <c r="L78" s="1"/>
  <c r="K79"/>
  <c r="J79"/>
  <c r="I79"/>
  <c r="G79"/>
  <c r="G78" s="1"/>
  <c r="F79"/>
  <c r="E79"/>
  <c r="S77"/>
  <c r="R77"/>
  <c r="R74" s="1"/>
  <c r="Q77"/>
  <c r="P77"/>
  <c r="O77"/>
  <c r="N77"/>
  <c r="N74" s="1"/>
  <c r="L77"/>
  <c r="K77"/>
  <c r="J77"/>
  <c r="I77"/>
  <c r="I74" s="1"/>
  <c r="G77"/>
  <c r="F77"/>
  <c r="E77"/>
  <c r="S76"/>
  <c r="S73" s="1"/>
  <c r="R76"/>
  <c r="Q76"/>
  <c r="P76"/>
  <c r="O76"/>
  <c r="O73" s="1"/>
  <c r="N76"/>
  <c r="L76"/>
  <c r="K76"/>
  <c r="J76"/>
  <c r="J75" s="1"/>
  <c r="I76"/>
  <c r="G76"/>
  <c r="F76"/>
  <c r="E76"/>
  <c r="E75" s="1"/>
  <c r="S71"/>
  <c r="R71"/>
  <c r="Q71"/>
  <c r="P71"/>
  <c r="O71"/>
  <c r="O65" s="1"/>
  <c r="N71"/>
  <c r="L71"/>
  <c r="K71"/>
  <c r="I71"/>
  <c r="G71"/>
  <c r="F71"/>
  <c r="E71"/>
  <c r="E65" s="1"/>
  <c r="S70"/>
  <c r="S69" s="1"/>
  <c r="R70"/>
  <c r="Q70"/>
  <c r="P70"/>
  <c r="P69" s="1"/>
  <c r="O70"/>
  <c r="O69" s="1"/>
  <c r="N70"/>
  <c r="L70"/>
  <c r="K70"/>
  <c r="K69" s="1"/>
  <c r="J70"/>
  <c r="I70"/>
  <c r="G70"/>
  <c r="F70"/>
  <c r="F69" s="1"/>
  <c r="E70"/>
  <c r="S68"/>
  <c r="R68"/>
  <c r="Q68"/>
  <c r="Q65" s="1"/>
  <c r="P68"/>
  <c r="O68"/>
  <c r="N68"/>
  <c r="L68"/>
  <c r="L65" s="1"/>
  <c r="K68"/>
  <c r="K66" s="1"/>
  <c r="J68"/>
  <c r="I68"/>
  <c r="G68"/>
  <c r="G65" s="1"/>
  <c r="F68"/>
  <c r="F65" s="1"/>
  <c r="E68"/>
  <c r="S67"/>
  <c r="R67"/>
  <c r="R64" s="1"/>
  <c r="Q67"/>
  <c r="P67"/>
  <c r="O67"/>
  <c r="O64" s="1"/>
  <c r="N67"/>
  <c r="N64" s="1"/>
  <c r="L67"/>
  <c r="L64" s="1"/>
  <c r="L63" s="1"/>
  <c r="K67"/>
  <c r="J67"/>
  <c r="I67"/>
  <c r="I66" s="1"/>
  <c r="G67"/>
  <c r="F67"/>
  <c r="E67"/>
  <c r="E66" s="1"/>
  <c r="S62"/>
  <c r="S56" s="1"/>
  <c r="R62"/>
  <c r="Q62"/>
  <c r="P62"/>
  <c r="O62"/>
  <c r="O56" s="1"/>
  <c r="N62"/>
  <c r="L62"/>
  <c r="K62"/>
  <c r="J62"/>
  <c r="I62"/>
  <c r="I60" s="1"/>
  <c r="G62"/>
  <c r="F62"/>
  <c r="E62"/>
  <c r="S61"/>
  <c r="R61"/>
  <c r="Q61"/>
  <c r="P61"/>
  <c r="P60" s="1"/>
  <c r="O61"/>
  <c r="N61"/>
  <c r="L61"/>
  <c r="K61"/>
  <c r="K60" s="1"/>
  <c r="J61"/>
  <c r="I61"/>
  <c r="G61"/>
  <c r="G60" s="1"/>
  <c r="F61"/>
  <c r="F55" s="1"/>
  <c r="E61"/>
  <c r="S59"/>
  <c r="R59"/>
  <c r="Q59"/>
  <c r="Q56" s="1"/>
  <c r="P59"/>
  <c r="P56" s="1"/>
  <c r="O59"/>
  <c r="N59"/>
  <c r="L59"/>
  <c r="L56" s="1"/>
  <c r="K59"/>
  <c r="K56" s="1"/>
  <c r="J59"/>
  <c r="I59"/>
  <c r="G59"/>
  <c r="G56" s="1"/>
  <c r="F59"/>
  <c r="F56" s="1"/>
  <c r="E59"/>
  <c r="S58"/>
  <c r="S55" s="1"/>
  <c r="R58"/>
  <c r="R57" s="1"/>
  <c r="Q58"/>
  <c r="P58"/>
  <c r="O58"/>
  <c r="O57" s="1"/>
  <c r="N58"/>
  <c r="N57" s="1"/>
  <c r="L58"/>
  <c r="K58"/>
  <c r="J58"/>
  <c r="J55" s="1"/>
  <c r="I58"/>
  <c r="I57" s="1"/>
  <c r="G58"/>
  <c r="F58"/>
  <c r="E58"/>
  <c r="E57" s="1"/>
  <c r="S53"/>
  <c r="R53"/>
  <c r="Q53"/>
  <c r="P53"/>
  <c r="O53"/>
  <c r="N53"/>
  <c r="L53"/>
  <c r="K53"/>
  <c r="I53"/>
  <c r="I47" s="1"/>
  <c r="G53"/>
  <c r="F53"/>
  <c r="E53"/>
  <c r="S52"/>
  <c r="S51" s="1"/>
  <c r="R52"/>
  <c r="R51" s="1"/>
  <c r="Q52"/>
  <c r="Q51" s="1"/>
  <c r="P52"/>
  <c r="P51" s="1"/>
  <c r="O52"/>
  <c r="O51" s="1"/>
  <c r="N52"/>
  <c r="N51" s="1"/>
  <c r="L52"/>
  <c r="K52"/>
  <c r="J52"/>
  <c r="I52"/>
  <c r="G52"/>
  <c r="F52"/>
  <c r="F51" s="1"/>
  <c r="E52"/>
  <c r="E51" s="1"/>
  <c r="S50"/>
  <c r="S48" s="1"/>
  <c r="R50"/>
  <c r="Q50"/>
  <c r="Q47" s="1"/>
  <c r="P50"/>
  <c r="P47" s="1"/>
  <c r="O50"/>
  <c r="N50"/>
  <c r="L50"/>
  <c r="K50"/>
  <c r="K47" s="1"/>
  <c r="J50"/>
  <c r="J48" s="1"/>
  <c r="I50"/>
  <c r="G50"/>
  <c r="F50"/>
  <c r="F47" s="1"/>
  <c r="E50"/>
  <c r="S49"/>
  <c r="R49"/>
  <c r="Q49"/>
  <c r="Q46" s="1"/>
  <c r="P49"/>
  <c r="O49"/>
  <c r="N49"/>
  <c r="N46" s="1"/>
  <c r="L49"/>
  <c r="L46" s="1"/>
  <c r="K49"/>
  <c r="J49"/>
  <c r="I49"/>
  <c r="I46" s="1"/>
  <c r="G49"/>
  <c r="G48" s="1"/>
  <c r="F49"/>
  <c r="E49"/>
  <c r="S44"/>
  <c r="R44"/>
  <c r="R38" s="1"/>
  <c r="Q44"/>
  <c r="Q42" s="1"/>
  <c r="P44"/>
  <c r="O44"/>
  <c r="N44"/>
  <c r="L44"/>
  <c r="L38" s="1"/>
  <c r="K44"/>
  <c r="J44"/>
  <c r="I44"/>
  <c r="G44"/>
  <c r="F44"/>
  <c r="E44"/>
  <c r="S43"/>
  <c r="S42" s="1"/>
  <c r="R43"/>
  <c r="Q43"/>
  <c r="P43"/>
  <c r="O43"/>
  <c r="O42" s="1"/>
  <c r="N43"/>
  <c r="N37" s="1"/>
  <c r="L43"/>
  <c r="K43"/>
  <c r="J43"/>
  <c r="J42" s="1"/>
  <c r="I43"/>
  <c r="G43"/>
  <c r="F43"/>
  <c r="E43"/>
  <c r="E42" s="1"/>
  <c r="S41"/>
  <c r="R41"/>
  <c r="Q41"/>
  <c r="P41"/>
  <c r="P38" s="1"/>
  <c r="O41"/>
  <c r="L41"/>
  <c r="K41"/>
  <c r="J41"/>
  <c r="J38" s="1"/>
  <c r="I41"/>
  <c r="G41"/>
  <c r="F41"/>
  <c r="E41"/>
  <c r="E38" s="1"/>
  <c r="S40"/>
  <c r="S39" s="1"/>
  <c r="R40"/>
  <c r="R39" s="1"/>
  <c r="Q40"/>
  <c r="P40"/>
  <c r="P37" s="1"/>
  <c r="O40"/>
  <c r="O39" s="1"/>
  <c r="N40"/>
  <c r="L40"/>
  <c r="K40"/>
  <c r="J40"/>
  <c r="I40"/>
  <c r="G40"/>
  <c r="G37" s="1"/>
  <c r="F40"/>
  <c r="F39" s="1"/>
  <c r="E40"/>
  <c r="S35"/>
  <c r="R35"/>
  <c r="Q35"/>
  <c r="P35"/>
  <c r="O35"/>
  <c r="N35"/>
  <c r="L35"/>
  <c r="J35"/>
  <c r="I35"/>
  <c r="H35"/>
  <c r="G35"/>
  <c r="F35"/>
  <c r="E35"/>
  <c r="S34"/>
  <c r="S33" s="1"/>
  <c r="R34"/>
  <c r="Q34"/>
  <c r="P34"/>
  <c r="O34"/>
  <c r="O33" s="1"/>
  <c r="N34"/>
  <c r="L34"/>
  <c r="K34"/>
  <c r="J34"/>
  <c r="I34"/>
  <c r="H34"/>
  <c r="H33" s="1"/>
  <c r="G34"/>
  <c r="F34"/>
  <c r="E34"/>
  <c r="D34"/>
  <c r="S32"/>
  <c r="S29" s="1"/>
  <c r="R32"/>
  <c r="R29" s="1"/>
  <c r="Q32"/>
  <c r="P32"/>
  <c r="O32"/>
  <c r="N32"/>
  <c r="N29" s="1"/>
  <c r="L32"/>
  <c r="L29" s="1"/>
  <c r="K32"/>
  <c r="J32"/>
  <c r="I32"/>
  <c r="G32"/>
  <c r="F32"/>
  <c r="E32"/>
  <c r="S31"/>
  <c r="R31"/>
  <c r="Q31"/>
  <c r="Q28" s="1"/>
  <c r="P31"/>
  <c r="O31"/>
  <c r="O28" s="1"/>
  <c r="N31"/>
  <c r="L31"/>
  <c r="K31"/>
  <c r="K28" s="1"/>
  <c r="J31"/>
  <c r="J28" s="1"/>
  <c r="I31"/>
  <c r="I28" s="1"/>
  <c r="G31"/>
  <c r="G30" s="1"/>
  <c r="F31"/>
  <c r="E31"/>
  <c r="S26"/>
  <c r="R26"/>
  <c r="Q26"/>
  <c r="P26"/>
  <c r="O26"/>
  <c r="N26"/>
  <c r="L26"/>
  <c r="K26"/>
  <c r="J26"/>
  <c r="I26"/>
  <c r="G26"/>
  <c r="F26"/>
  <c r="E26"/>
  <c r="S25"/>
  <c r="R25"/>
  <c r="Q25"/>
  <c r="P25"/>
  <c r="O25"/>
  <c r="N25"/>
  <c r="L25"/>
  <c r="K25"/>
  <c r="K24" s="1"/>
  <c r="J25"/>
  <c r="I25"/>
  <c r="G25"/>
  <c r="F25"/>
  <c r="E25"/>
  <c r="S23"/>
  <c r="R23"/>
  <c r="Q23"/>
  <c r="P23"/>
  <c r="O23"/>
  <c r="N23"/>
  <c r="L23"/>
  <c r="K23"/>
  <c r="J23"/>
  <c r="I23"/>
  <c r="H23"/>
  <c r="G23"/>
  <c r="F23"/>
  <c r="E23"/>
  <c r="D23"/>
  <c r="S22"/>
  <c r="R22"/>
  <c r="Q22"/>
  <c r="P22"/>
  <c r="O22"/>
  <c r="N22"/>
  <c r="L22"/>
  <c r="K22"/>
  <c r="J22"/>
  <c r="I22"/>
  <c r="G22"/>
  <c r="F22"/>
  <c r="E22"/>
  <c r="S20"/>
  <c r="R20"/>
  <c r="Q20"/>
  <c r="Q18" s="1"/>
  <c r="P20"/>
  <c r="O20"/>
  <c r="N20"/>
  <c r="L20"/>
  <c r="K20"/>
  <c r="J20"/>
  <c r="I20"/>
  <c r="G20"/>
  <c r="F20"/>
  <c r="E20"/>
  <c r="S19"/>
  <c r="R19"/>
  <c r="R18" s="1"/>
  <c r="Q19"/>
  <c r="P19"/>
  <c r="O19"/>
  <c r="N19"/>
  <c r="L19"/>
  <c r="K19"/>
  <c r="J19"/>
  <c r="I19"/>
  <c r="G19"/>
  <c r="G18" s="1"/>
  <c r="F19"/>
  <c r="E19"/>
  <c r="S17"/>
  <c r="S15" s="1"/>
  <c r="R17"/>
  <c r="Q17"/>
  <c r="P17"/>
  <c r="O17"/>
  <c r="N17"/>
  <c r="L17"/>
  <c r="K17"/>
  <c r="J17"/>
  <c r="I17"/>
  <c r="G17"/>
  <c r="F17"/>
  <c r="E17"/>
  <c r="S16"/>
  <c r="R16"/>
  <c r="Q16"/>
  <c r="P16"/>
  <c r="O16"/>
  <c r="N16"/>
  <c r="L16"/>
  <c r="K16"/>
  <c r="J16"/>
  <c r="I16"/>
  <c r="G16"/>
  <c r="G15" s="1"/>
  <c r="F16"/>
  <c r="E16"/>
  <c r="S14"/>
  <c r="R14"/>
  <c r="Q14"/>
  <c r="P14"/>
  <c r="O14"/>
  <c r="N14"/>
  <c r="L14"/>
  <c r="K14"/>
  <c r="J14"/>
  <c r="I14"/>
  <c r="H14"/>
  <c r="G14"/>
  <c r="F14"/>
  <c r="E14"/>
  <c r="S13"/>
  <c r="R13"/>
  <c r="Q13"/>
  <c r="P13"/>
  <c r="O13"/>
  <c r="N13"/>
  <c r="L13"/>
  <c r="K13"/>
  <c r="J13"/>
  <c r="I13"/>
  <c r="H13"/>
  <c r="G13"/>
  <c r="F13"/>
  <c r="F12" s="1"/>
  <c r="E13"/>
  <c r="S11"/>
  <c r="R11"/>
  <c r="Q11"/>
  <c r="P11"/>
  <c r="O11"/>
  <c r="N11"/>
  <c r="L11"/>
  <c r="K11"/>
  <c r="J11"/>
  <c r="I11"/>
  <c r="G11"/>
  <c r="F11"/>
  <c r="F9" s="1"/>
  <c r="E11"/>
  <c r="S10"/>
  <c r="R10"/>
  <c r="Q10"/>
  <c r="P10"/>
  <c r="O10"/>
  <c r="O9" s="1"/>
  <c r="N10"/>
  <c r="L10"/>
  <c r="K10"/>
  <c r="J10"/>
  <c r="I10"/>
  <c r="I9" s="1"/>
  <c r="G10"/>
  <c r="F10"/>
  <c r="E10"/>
  <c r="S8"/>
  <c r="R8"/>
  <c r="Q8"/>
  <c r="P8"/>
  <c r="O8"/>
  <c r="N8"/>
  <c r="L8"/>
  <c r="K8"/>
  <c r="J8"/>
  <c r="I8"/>
  <c r="H8"/>
  <c r="G8"/>
  <c r="F8"/>
  <c r="E8"/>
  <c r="D8"/>
  <c r="S7"/>
  <c r="R7"/>
  <c r="Q7"/>
  <c r="P7"/>
  <c r="O7"/>
  <c r="N7"/>
  <c r="L7"/>
  <c r="K7"/>
  <c r="J7"/>
  <c r="I7"/>
  <c r="I6" s="1"/>
  <c r="G7"/>
  <c r="F7"/>
  <c r="E7"/>
  <c r="I2074" i="59"/>
  <c r="E2074"/>
  <c r="I2073"/>
  <c r="E2073"/>
  <c r="I2072"/>
  <c r="E2072"/>
  <c r="I2071"/>
  <c r="E2071"/>
  <c r="I2070"/>
  <c r="E2070"/>
  <c r="I2069"/>
  <c r="E2069"/>
  <c r="I2068"/>
  <c r="E2068"/>
  <c r="I2067"/>
  <c r="E2067"/>
  <c r="I2066"/>
  <c r="E2066"/>
  <c r="I2065"/>
  <c r="E2065"/>
  <c r="I2064"/>
  <c r="E2064"/>
  <c r="I2063"/>
  <c r="I2062"/>
  <c r="E2062"/>
  <c r="I2061"/>
  <c r="E2061"/>
  <c r="I2060"/>
  <c r="E2060"/>
  <c r="I2059"/>
  <c r="E2059"/>
  <c r="I2058"/>
  <c r="E2058"/>
  <c r="I2038"/>
  <c r="H100" i="41" s="1"/>
  <c r="E2038" i="59"/>
  <c r="D100" i="41" s="1"/>
  <c r="W2037" i="59"/>
  <c r="T2037"/>
  <c r="S2037"/>
  <c r="R2037"/>
  <c r="Q2037"/>
  <c r="I2036"/>
  <c r="E2036"/>
  <c r="I2035"/>
  <c r="E2035"/>
  <c r="I2034"/>
  <c r="E2034"/>
  <c r="I2033"/>
  <c r="E2033"/>
  <c r="I2032"/>
  <c r="E2032"/>
  <c r="I2031"/>
  <c r="E2031"/>
  <c r="I2030"/>
  <c r="E2030"/>
  <c r="I2029"/>
  <c r="E2029"/>
  <c r="I2028"/>
  <c r="E2028"/>
  <c r="I2027"/>
  <c r="E2027"/>
  <c r="I2026"/>
  <c r="E2026"/>
  <c r="I2025"/>
  <c r="E2025"/>
  <c r="I2024"/>
  <c r="E2024"/>
  <c r="I2023"/>
  <c r="E2023"/>
  <c r="I2022"/>
  <c r="E2022"/>
  <c r="I2021"/>
  <c r="E2021"/>
  <c r="I2020"/>
  <c r="E2020"/>
  <c r="I2019"/>
  <c r="E2019"/>
  <c r="I2018"/>
  <c r="E2018"/>
  <c r="I2017"/>
  <c r="E2017"/>
  <c r="I2016"/>
  <c r="E2016"/>
  <c r="I2015"/>
  <c r="E2015"/>
  <c r="I2014"/>
  <c r="E2014"/>
  <c r="I2013"/>
  <c r="E2013"/>
  <c r="I2012"/>
  <c r="E2012"/>
  <c r="I2011"/>
  <c r="E2011"/>
  <c r="I2010"/>
  <c r="E2010"/>
  <c r="I2009"/>
  <c r="E2009"/>
  <c r="I2008"/>
  <c r="E2008"/>
  <c r="I2007"/>
  <c r="E2007"/>
  <c r="I2006"/>
  <c r="E2006"/>
  <c r="I2005"/>
  <c r="E2005"/>
  <c r="I2004"/>
  <c r="E2004"/>
  <c r="I2003"/>
  <c r="E2003"/>
  <c r="I2002"/>
  <c r="E2002"/>
  <c r="I2001"/>
  <c r="E2001"/>
  <c r="I2000"/>
  <c r="E2000"/>
  <c r="I1999"/>
  <c r="E1999"/>
  <c r="I1998"/>
  <c r="E1998"/>
  <c r="I1997"/>
  <c r="E1997"/>
  <c r="I1996"/>
  <c r="E1996"/>
  <c r="I1995"/>
  <c r="E1995"/>
  <c r="I1994"/>
  <c r="E1994"/>
  <c r="I1993"/>
  <c r="E1993"/>
  <c r="I1992"/>
  <c r="E1992"/>
  <c r="I1991"/>
  <c r="E1991"/>
  <c r="I1990"/>
  <c r="E1990"/>
  <c r="I1989"/>
  <c r="E1989"/>
  <c r="I1988"/>
  <c r="E1988"/>
  <c r="I1987"/>
  <c r="E1987"/>
  <c r="I1986"/>
  <c r="E1986"/>
  <c r="I1985"/>
  <c r="E1985"/>
  <c r="I1984"/>
  <c r="E1984"/>
  <c r="I1983"/>
  <c r="E1983"/>
  <c r="I1982"/>
  <c r="E1982"/>
  <c r="I1981"/>
  <c r="E1981"/>
  <c r="I1980"/>
  <c r="E1980"/>
  <c r="I1979"/>
  <c r="E1979"/>
  <c r="I1978"/>
  <c r="E1978"/>
  <c r="I1977"/>
  <c r="E1977"/>
  <c r="I1976"/>
  <c r="E1976"/>
  <c r="I1975"/>
  <c r="E1975"/>
  <c r="I1974"/>
  <c r="E1974"/>
  <c r="I1973"/>
  <c r="E1973"/>
  <c r="I1972"/>
  <c r="E1972"/>
  <c r="I1971"/>
  <c r="E1971"/>
  <c r="I1970"/>
  <c r="E1970"/>
  <c r="I1969"/>
  <c r="E1969"/>
  <c r="I1968"/>
  <c r="E1968"/>
  <c r="I1967"/>
  <c r="E1967"/>
  <c r="I1966"/>
  <c r="E1966"/>
  <c r="I1965"/>
  <c r="E1965"/>
  <c r="I1964"/>
  <c r="E1964"/>
  <c r="I1963"/>
  <c r="E1963"/>
  <c r="I1962"/>
  <c r="E1962"/>
  <c r="I1961"/>
  <c r="E1961"/>
  <c r="I1960"/>
  <c r="E1960"/>
  <c r="I1959"/>
  <c r="E1959"/>
  <c r="I1958"/>
  <c r="E1958"/>
  <c r="I1957"/>
  <c r="E1957"/>
  <c r="I1956"/>
  <c r="E1956"/>
  <c r="I1955"/>
  <c r="E1955"/>
  <c r="I1954"/>
  <c r="E1954"/>
  <c r="I1953"/>
  <c r="E1953"/>
  <c r="I1952"/>
  <c r="E1952"/>
  <c r="I1951"/>
  <c r="E1951"/>
  <c r="I1950"/>
  <c r="E1950"/>
  <c r="I1949"/>
  <c r="E1949"/>
  <c r="I1948"/>
  <c r="E1948"/>
  <c r="I1947"/>
  <c r="E1947"/>
  <c r="I1946"/>
  <c r="E1946"/>
  <c r="I1945"/>
  <c r="E1945"/>
  <c r="I1944"/>
  <c r="E1944"/>
  <c r="I1943"/>
  <c r="E1943"/>
  <c r="I1942"/>
  <c r="E1942"/>
  <c r="I1941"/>
  <c r="E1941"/>
  <c r="I1940"/>
  <c r="E1940"/>
  <c r="I1939"/>
  <c r="E1939"/>
  <c r="I1938"/>
  <c r="E1938"/>
  <c r="I1937"/>
  <c r="E1937"/>
  <c r="I1936"/>
  <c r="E1936"/>
  <c r="I1935"/>
  <c r="E1935"/>
  <c r="I1934"/>
  <c r="E1934"/>
  <c r="I1933"/>
  <c r="E1933"/>
  <c r="I1932"/>
  <c r="E1932"/>
  <c r="I1931"/>
  <c r="E1931"/>
  <c r="I1930"/>
  <c r="E1930"/>
  <c r="I1929"/>
  <c r="E1929"/>
  <c r="I1928"/>
  <c r="E1928"/>
  <c r="I1927"/>
  <c r="E1927"/>
  <c r="I1926"/>
  <c r="E1926"/>
  <c r="I1925"/>
  <c r="E1925"/>
  <c r="I1924"/>
  <c r="E1924"/>
  <c r="I1923"/>
  <c r="E1923"/>
  <c r="I1922"/>
  <c r="E1922"/>
  <c r="I1921"/>
  <c r="E1921"/>
  <c r="I1920"/>
  <c r="E1920"/>
  <c r="I1919"/>
  <c r="E1919"/>
  <c r="I1918"/>
  <c r="E1918"/>
  <c r="I1917"/>
  <c r="E1917"/>
  <c r="I1916"/>
  <c r="E1916"/>
  <c r="I1915"/>
  <c r="E1915"/>
  <c r="I1914"/>
  <c r="E1914"/>
  <c r="I1913"/>
  <c r="E1913"/>
  <c r="I1912"/>
  <c r="H98" i="41" s="1"/>
  <c r="E1912" i="59"/>
  <c r="I1911"/>
  <c r="E1911"/>
  <c r="D97" i="41" s="1"/>
  <c r="I1910" i="59"/>
  <c r="E1910"/>
  <c r="W1909"/>
  <c r="T1909"/>
  <c r="S1909"/>
  <c r="R1909"/>
  <c r="Q1909"/>
  <c r="I1908"/>
  <c r="E1908"/>
  <c r="I1907"/>
  <c r="E1907"/>
  <c r="I1906"/>
  <c r="E1906"/>
  <c r="I1905"/>
  <c r="E1905"/>
  <c r="I1904"/>
  <c r="E1904"/>
  <c r="I1903"/>
  <c r="E1903"/>
  <c r="I1902"/>
  <c r="E1902"/>
  <c r="I1901"/>
  <c r="E1901"/>
  <c r="I1900"/>
  <c r="E1900"/>
  <c r="I1899"/>
  <c r="E1899"/>
  <c r="I1898"/>
  <c r="E1898"/>
  <c r="I1897"/>
  <c r="E1897"/>
  <c r="I1896"/>
  <c r="E1896"/>
  <c r="I1895"/>
  <c r="E1895"/>
  <c r="I1894"/>
  <c r="E1894"/>
  <c r="I1893"/>
  <c r="E1893"/>
  <c r="I1892"/>
  <c r="E1892"/>
  <c r="I1891"/>
  <c r="E1891"/>
  <c r="I1890"/>
  <c r="E1890"/>
  <c r="I1889"/>
  <c r="E1889"/>
  <c r="I1888"/>
  <c r="E1888"/>
  <c r="I1887"/>
  <c r="E1887"/>
  <c r="I1886"/>
  <c r="E1886"/>
  <c r="I1885"/>
  <c r="E1885"/>
  <c r="I1884"/>
  <c r="E1884"/>
  <c r="I1883"/>
  <c r="E1883"/>
  <c r="I1882"/>
  <c r="E1882"/>
  <c r="I1881"/>
  <c r="E1881"/>
  <c r="I1880"/>
  <c r="E1880"/>
  <c r="I1879"/>
  <c r="E1879"/>
  <c r="I1878"/>
  <c r="E1878"/>
  <c r="I1877"/>
  <c r="E1877"/>
  <c r="I1876"/>
  <c r="E1876"/>
  <c r="I1875"/>
  <c r="E1875"/>
  <c r="I1874"/>
  <c r="E1874"/>
  <c r="I1873"/>
  <c r="E1873"/>
  <c r="I1872"/>
  <c r="E1872"/>
  <c r="I1871"/>
  <c r="E1871"/>
  <c r="I1870"/>
  <c r="E1870"/>
  <c r="I1869"/>
  <c r="E1869"/>
  <c r="I1868"/>
  <c r="E1868"/>
  <c r="I1867"/>
  <c r="E1867"/>
  <c r="I1866"/>
  <c r="E1866"/>
  <c r="I1865"/>
  <c r="E1865"/>
  <c r="I1864"/>
  <c r="E1864"/>
  <c r="I1863"/>
  <c r="E1863"/>
  <c r="I1862"/>
  <c r="E1862"/>
  <c r="I1861"/>
  <c r="E1861"/>
  <c r="I1860"/>
  <c r="E1860"/>
  <c r="I1859"/>
  <c r="E1859"/>
  <c r="I1858"/>
  <c r="E1858"/>
  <c r="I1857"/>
  <c r="E1857"/>
  <c r="I1856"/>
  <c r="E1856"/>
  <c r="I1855"/>
  <c r="E1855"/>
  <c r="I1854"/>
  <c r="E1854"/>
  <c r="I1853"/>
  <c r="E1853"/>
  <c r="I1852"/>
  <c r="E1852"/>
  <c r="I1851"/>
  <c r="E1851"/>
  <c r="I1850"/>
  <c r="E1850"/>
  <c r="I1849"/>
  <c r="E1849"/>
  <c r="I1848"/>
  <c r="E1848"/>
  <c r="I1847"/>
  <c r="E1847"/>
  <c r="I1846"/>
  <c r="E1846"/>
  <c r="I1845"/>
  <c r="E1845"/>
  <c r="I1844"/>
  <c r="E1844"/>
  <c r="I1843"/>
  <c r="E1843"/>
  <c r="I1842"/>
  <c r="E1842"/>
  <c r="I1841"/>
  <c r="E1841"/>
  <c r="I1840"/>
  <c r="E1840"/>
  <c r="I1839"/>
  <c r="E1839"/>
  <c r="I1838"/>
  <c r="E1838"/>
  <c r="I1837"/>
  <c r="E1837"/>
  <c r="I1836"/>
  <c r="E1836"/>
  <c r="I1835"/>
  <c r="E1835"/>
  <c r="I1834"/>
  <c r="E1834"/>
  <c r="I1833"/>
  <c r="E1833"/>
  <c r="I1832"/>
  <c r="E1832"/>
  <c r="I1831"/>
  <c r="E1831"/>
  <c r="I1830"/>
  <c r="E1830"/>
  <c r="I1829"/>
  <c r="E1829"/>
  <c r="I1828"/>
  <c r="E1828"/>
  <c r="I1827"/>
  <c r="E1827"/>
  <c r="I1826"/>
  <c r="E1826"/>
  <c r="I1825"/>
  <c r="E1825"/>
  <c r="I1824"/>
  <c r="E1824"/>
  <c r="I1823"/>
  <c r="E1823"/>
  <c r="I1822"/>
  <c r="E1822"/>
  <c r="I1821"/>
  <c r="E1821"/>
  <c r="I1820"/>
  <c r="E1820"/>
  <c r="I1819"/>
  <c r="E1819"/>
  <c r="I1818"/>
  <c r="E1818"/>
  <c r="I1817"/>
  <c r="E1817"/>
  <c r="I1816"/>
  <c r="H95" i="41" s="1"/>
  <c r="E1816" i="59"/>
  <c r="I1815"/>
  <c r="E1815"/>
  <c r="I1814"/>
  <c r="E1814"/>
  <c r="I1813"/>
  <c r="E1813"/>
  <c r="I1812"/>
  <c r="H94" i="41" s="1"/>
  <c r="H93" s="1"/>
  <c r="E1812" i="59"/>
  <c r="W1811"/>
  <c r="W1810" s="1"/>
  <c r="T1811"/>
  <c r="S1811"/>
  <c r="S1810" s="1"/>
  <c r="R1811"/>
  <c r="R1810" s="1"/>
  <c r="Q1811"/>
  <c r="D1811"/>
  <c r="C1811"/>
  <c r="I1808"/>
  <c r="E1808"/>
  <c r="I1807"/>
  <c r="E1807"/>
  <c r="I1806"/>
  <c r="E1806"/>
  <c r="I1805"/>
  <c r="E1805"/>
  <c r="I1804"/>
  <c r="E1804"/>
  <c r="I1803"/>
  <c r="E1803"/>
  <c r="I1802"/>
  <c r="E1802"/>
  <c r="I1801"/>
  <c r="E1801"/>
  <c r="I1800"/>
  <c r="E1800"/>
  <c r="I1799"/>
  <c r="E1799"/>
  <c r="I1798"/>
  <c r="E1798"/>
  <c r="I1797"/>
  <c r="E1797"/>
  <c r="I1796"/>
  <c r="E1796"/>
  <c r="I1795"/>
  <c r="E1795"/>
  <c r="I1794"/>
  <c r="E1794"/>
  <c r="I1793"/>
  <c r="E1793"/>
  <c r="I1792"/>
  <c r="E1792"/>
  <c r="I1791"/>
  <c r="E1791"/>
  <c r="I1790"/>
  <c r="E1790"/>
  <c r="I1789"/>
  <c r="E1789"/>
  <c r="I1788"/>
  <c r="E1788"/>
  <c r="I1787"/>
  <c r="E1787"/>
  <c r="I1786"/>
  <c r="E1786"/>
  <c r="I1785"/>
  <c r="E1785"/>
  <c r="L1784"/>
  <c r="I1784" s="1"/>
  <c r="E1784"/>
  <c r="L1783"/>
  <c r="K1783"/>
  <c r="J88" i="41" s="1"/>
  <c r="E1783" i="59"/>
  <c r="I1782"/>
  <c r="I1781"/>
  <c r="I1780"/>
  <c r="I1779"/>
  <c r="I1778"/>
  <c r="I1777"/>
  <c r="I1776"/>
  <c r="I1775"/>
  <c r="E1775"/>
  <c r="I1774"/>
  <c r="E1774"/>
  <c r="I1773"/>
  <c r="E1773"/>
  <c r="I1772"/>
  <c r="E1772"/>
  <c r="I1771"/>
  <c r="E1771"/>
  <c r="I1770"/>
  <c r="E1770"/>
  <c r="I1769"/>
  <c r="E1769"/>
  <c r="I1768"/>
  <c r="E1768"/>
  <c r="I1767"/>
  <c r="E1767"/>
  <c r="I1766"/>
  <c r="E1766"/>
  <c r="I1765"/>
  <c r="E1765"/>
  <c r="I1764"/>
  <c r="E1764"/>
  <c r="I1763"/>
  <c r="E1763"/>
  <c r="I1762"/>
  <c r="E1762"/>
  <c r="I1761"/>
  <c r="E1761"/>
  <c r="I1760"/>
  <c r="E1760"/>
  <c r="I1759"/>
  <c r="E1759"/>
  <c r="I1758"/>
  <c r="E1758"/>
  <c r="I1757"/>
  <c r="E1757"/>
  <c r="I1756"/>
  <c r="E1756"/>
  <c r="I1755"/>
  <c r="E1755"/>
  <c r="I1754"/>
  <c r="E1754"/>
  <c r="I1753"/>
  <c r="E1753"/>
  <c r="I1752"/>
  <c r="E1752"/>
  <c r="I1751"/>
  <c r="E1751"/>
  <c r="I1750"/>
  <c r="E1750"/>
  <c r="I1749"/>
  <c r="E1749"/>
  <c r="I1748"/>
  <c r="E1748"/>
  <c r="I1747"/>
  <c r="E1747"/>
  <c r="I1746"/>
  <c r="E1746"/>
  <c r="I1745"/>
  <c r="E1745"/>
  <c r="I1744"/>
  <c r="E1744"/>
  <c r="I1743"/>
  <c r="E1743"/>
  <c r="I1742"/>
  <c r="E1742"/>
  <c r="I1741"/>
  <c r="E1741"/>
  <c r="I1740"/>
  <c r="E1740"/>
  <c r="I1739"/>
  <c r="E1739"/>
  <c r="I1738"/>
  <c r="E1738"/>
  <c r="I1737"/>
  <c r="E1737"/>
  <c r="L1736"/>
  <c r="K88" i="41" s="1"/>
  <c r="K87" s="1"/>
  <c r="E1736" i="59"/>
  <c r="D88" i="41" s="1"/>
  <c r="W1734" i="59"/>
  <c r="T1734"/>
  <c r="S1734"/>
  <c r="R1734"/>
  <c r="Q1734"/>
  <c r="I1733"/>
  <c r="E1733"/>
  <c r="I1732"/>
  <c r="E1732"/>
  <c r="I1731"/>
  <c r="E1731"/>
  <c r="I1730"/>
  <c r="E1730"/>
  <c r="I1729"/>
  <c r="E1729"/>
  <c r="I1728"/>
  <c r="E1728"/>
  <c r="I1727"/>
  <c r="E1727"/>
  <c r="I1726"/>
  <c r="E1726"/>
  <c r="I1725"/>
  <c r="E1725"/>
  <c r="I1724"/>
  <c r="E1724"/>
  <c r="I1723"/>
  <c r="E1723"/>
  <c r="I1722"/>
  <c r="E1722"/>
  <c r="I1721"/>
  <c r="E1721"/>
  <c r="I1720"/>
  <c r="E1720"/>
  <c r="I1719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I1698"/>
  <c r="E1698"/>
  <c r="I1697"/>
  <c r="E1697"/>
  <c r="I1696"/>
  <c r="E1696"/>
  <c r="I1695"/>
  <c r="E1695"/>
  <c r="I1694"/>
  <c r="E1694"/>
  <c r="I1693"/>
  <c r="E1693"/>
  <c r="I1692"/>
  <c r="E1692"/>
  <c r="I1691"/>
  <c r="E1691"/>
  <c r="I1690"/>
  <c r="E1690"/>
  <c r="I1689"/>
  <c r="E1689"/>
  <c r="I1688"/>
  <c r="E1688"/>
  <c r="I1687"/>
  <c r="E1687"/>
  <c r="I1686"/>
  <c r="E1686"/>
  <c r="I1685"/>
  <c r="E1685"/>
  <c r="I1684"/>
  <c r="E1684"/>
  <c r="I1683"/>
  <c r="E1683"/>
  <c r="I1682"/>
  <c r="E1682"/>
  <c r="I1681"/>
  <c r="E1681"/>
  <c r="I1680"/>
  <c r="E1680"/>
  <c r="I1679"/>
  <c r="E1679"/>
  <c r="I1678"/>
  <c r="E1678"/>
  <c r="I1677"/>
  <c r="E1677"/>
  <c r="I1676"/>
  <c r="E1676"/>
  <c r="I1675"/>
  <c r="E1675"/>
  <c r="I1674"/>
  <c r="E1674"/>
  <c r="I1673"/>
  <c r="E1673"/>
  <c r="I1672"/>
  <c r="E1672"/>
  <c r="I1671"/>
  <c r="E1671"/>
  <c r="I1670"/>
  <c r="E1670"/>
  <c r="I1669"/>
  <c r="E1669"/>
  <c r="I1668"/>
  <c r="E1668"/>
  <c r="I1667"/>
  <c r="E1667"/>
  <c r="I1666"/>
  <c r="E1666"/>
  <c r="I1665"/>
  <c r="E1665"/>
  <c r="I1664"/>
  <c r="E1664"/>
  <c r="I1663"/>
  <c r="E1663"/>
  <c r="I1662"/>
  <c r="E1662"/>
  <c r="I1661"/>
  <c r="E1661"/>
  <c r="I1660"/>
  <c r="E1660"/>
  <c r="I1659"/>
  <c r="E1659"/>
  <c r="I1658"/>
  <c r="E1658"/>
  <c r="I1657"/>
  <c r="E1657"/>
  <c r="I1656"/>
  <c r="E1656"/>
  <c r="I1655"/>
  <c r="E1655"/>
  <c r="I1654"/>
  <c r="E1654"/>
  <c r="I1653"/>
  <c r="E1653"/>
  <c r="I1652"/>
  <c r="E1652"/>
  <c r="I1651"/>
  <c r="E1651"/>
  <c r="E1650"/>
  <c r="D1650"/>
  <c r="I1649"/>
  <c r="E1649"/>
  <c r="I1648"/>
  <c r="E1648"/>
  <c r="I1647"/>
  <c r="E1647"/>
  <c r="I1646"/>
  <c r="E1646"/>
  <c r="I1645"/>
  <c r="E1645"/>
  <c r="I1644"/>
  <c r="E1644"/>
  <c r="I1643"/>
  <c r="E1643"/>
  <c r="I1642"/>
  <c r="E1642"/>
  <c r="I1641"/>
  <c r="E1641"/>
  <c r="I1640"/>
  <c r="E1640"/>
  <c r="I1639"/>
  <c r="E1639"/>
  <c r="I1638"/>
  <c r="E1638"/>
  <c r="I1637"/>
  <c r="E1637"/>
  <c r="I1636"/>
  <c r="E1636"/>
  <c r="I1635"/>
  <c r="E1635"/>
  <c r="I1634"/>
  <c r="E1634"/>
  <c r="I1633"/>
  <c r="E1633"/>
  <c r="I1632"/>
  <c r="E1632"/>
  <c r="I1631"/>
  <c r="E1631"/>
  <c r="I1630"/>
  <c r="E1630"/>
  <c r="I1629"/>
  <c r="E1629"/>
  <c r="I1628"/>
  <c r="E1628"/>
  <c r="I1627"/>
  <c r="H85" i="41" s="1"/>
  <c r="E1627" i="59"/>
  <c r="I1626"/>
  <c r="E1626"/>
  <c r="I1625"/>
  <c r="H86" i="41" s="1"/>
  <c r="E1625" i="59"/>
  <c r="I1624"/>
  <c r="E1624"/>
  <c r="I1623"/>
  <c r="E1623"/>
  <c r="I1622"/>
  <c r="E1622"/>
  <c r="W1621"/>
  <c r="W1620"/>
  <c r="T1621"/>
  <c r="S1621"/>
  <c r="S1620" s="1"/>
  <c r="R1621"/>
  <c r="R1620" s="1"/>
  <c r="Q1621"/>
  <c r="Q1620"/>
  <c r="I1619"/>
  <c r="E1619"/>
  <c r="I1618"/>
  <c r="E1618"/>
  <c r="I1617"/>
  <c r="E1617"/>
  <c r="I1616"/>
  <c r="E1616"/>
  <c r="I1615"/>
  <c r="E1615"/>
  <c r="I1614"/>
  <c r="E1614"/>
  <c r="I1613"/>
  <c r="E1613"/>
  <c r="I1612"/>
  <c r="E1612"/>
  <c r="I1611"/>
  <c r="E1611"/>
  <c r="I1610"/>
  <c r="E1610"/>
  <c r="I1609"/>
  <c r="E1609"/>
  <c r="I1608"/>
  <c r="E1608"/>
  <c r="I1607"/>
  <c r="E1607"/>
  <c r="I1606"/>
  <c r="E1606"/>
  <c r="I1605"/>
  <c r="E1605"/>
  <c r="I1604"/>
  <c r="E1604"/>
  <c r="I1603"/>
  <c r="E1603"/>
  <c r="I1602"/>
  <c r="E1602"/>
  <c r="I1601"/>
  <c r="E1601"/>
  <c r="I1600"/>
  <c r="E1600"/>
  <c r="I1599"/>
  <c r="E1599"/>
  <c r="I1598"/>
  <c r="E1598"/>
  <c r="I1597"/>
  <c r="E1597"/>
  <c r="I1596"/>
  <c r="E1596"/>
  <c r="I1595"/>
  <c r="E1595"/>
  <c r="I1594"/>
  <c r="E1594"/>
  <c r="I1593"/>
  <c r="E1593"/>
  <c r="I1592"/>
  <c r="E1592"/>
  <c r="I1591"/>
  <c r="E1591"/>
  <c r="I1590"/>
  <c r="E1590"/>
  <c r="I1589"/>
  <c r="E1589"/>
  <c r="I1588"/>
  <c r="E1588"/>
  <c r="I1587"/>
  <c r="E1587"/>
  <c r="I1586"/>
  <c r="E1586"/>
  <c r="I1585"/>
  <c r="E1585"/>
  <c r="I1584"/>
  <c r="E1584"/>
  <c r="I1583"/>
  <c r="E1583"/>
  <c r="I1582"/>
  <c r="E1582"/>
  <c r="I1581"/>
  <c r="E1581"/>
  <c r="I1580"/>
  <c r="E1580"/>
  <c r="I1579"/>
  <c r="E1579"/>
  <c r="I1578"/>
  <c r="E1578"/>
  <c r="I1577"/>
  <c r="E1577"/>
  <c r="I1576"/>
  <c r="E1576"/>
  <c r="I1575"/>
  <c r="E1575"/>
  <c r="I1574"/>
  <c r="E1574"/>
  <c r="I1573"/>
  <c r="E1573"/>
  <c r="I1572"/>
  <c r="E1572"/>
  <c r="I1571"/>
  <c r="E1571"/>
  <c r="I1570"/>
  <c r="E1570"/>
  <c r="I1569"/>
  <c r="E1569"/>
  <c r="I1568"/>
  <c r="E1568"/>
  <c r="I1567"/>
  <c r="E1567"/>
  <c r="I1566"/>
  <c r="E1566"/>
  <c r="I1565"/>
  <c r="E1565"/>
  <c r="I1564"/>
  <c r="E1564"/>
  <c r="I1563"/>
  <c r="E1563"/>
  <c r="I1562"/>
  <c r="E1562"/>
  <c r="I1561"/>
  <c r="E1561"/>
  <c r="I1560"/>
  <c r="E1560"/>
  <c r="I1559"/>
  <c r="E1559"/>
  <c r="I1558"/>
  <c r="E1558"/>
  <c r="I1557"/>
  <c r="E1557"/>
  <c r="I1556"/>
  <c r="E1556"/>
  <c r="I1555"/>
  <c r="E1555"/>
  <c r="I1554"/>
  <c r="E1554"/>
  <c r="I1553"/>
  <c r="E1553"/>
  <c r="I1552"/>
  <c r="E1552"/>
  <c r="I1551"/>
  <c r="E1551"/>
  <c r="I1550"/>
  <c r="E1550"/>
  <c r="I1549"/>
  <c r="E1549"/>
  <c r="I1548"/>
  <c r="E1548"/>
  <c r="I1547"/>
  <c r="E1547"/>
  <c r="I1546"/>
  <c r="E1546"/>
  <c r="I1545"/>
  <c r="E1545"/>
  <c r="I1544"/>
  <c r="E1544"/>
  <c r="I1543"/>
  <c r="E1543"/>
  <c r="I1542"/>
  <c r="E1542"/>
  <c r="I1541"/>
  <c r="E1541"/>
  <c r="I1540"/>
  <c r="E1540"/>
  <c r="I1539"/>
  <c r="E1539"/>
  <c r="I1538"/>
  <c r="E1538"/>
  <c r="I1537"/>
  <c r="E1537"/>
  <c r="I1536"/>
  <c r="E1536"/>
  <c r="I1535"/>
  <c r="E1535"/>
  <c r="I1534"/>
  <c r="E1534"/>
  <c r="I1533"/>
  <c r="E1533"/>
  <c r="I1532"/>
  <c r="E1532"/>
  <c r="I1531"/>
  <c r="E1531"/>
  <c r="I1530"/>
  <c r="E1530"/>
  <c r="I1529"/>
  <c r="E1529"/>
  <c r="I1528"/>
  <c r="E1528"/>
  <c r="I1527"/>
  <c r="E1527"/>
  <c r="I1526"/>
  <c r="E1526"/>
  <c r="I1525"/>
  <c r="E1525"/>
  <c r="I1524"/>
  <c r="E1524"/>
  <c r="I1523"/>
  <c r="E1523"/>
  <c r="I1522"/>
  <c r="E1522"/>
  <c r="I1521"/>
  <c r="E1521"/>
  <c r="I1520"/>
  <c r="E1520"/>
  <c r="I1519"/>
  <c r="E1519"/>
  <c r="I1518"/>
  <c r="E1518"/>
  <c r="I1517"/>
  <c r="E1517"/>
  <c r="I1516"/>
  <c r="E1516"/>
  <c r="I1515"/>
  <c r="E1515"/>
  <c r="I1514"/>
  <c r="E1514"/>
  <c r="I1513"/>
  <c r="E1513"/>
  <c r="I1512"/>
  <c r="E1512"/>
  <c r="I1511"/>
  <c r="E1511"/>
  <c r="I1510"/>
  <c r="E1510"/>
  <c r="I1509"/>
  <c r="E1509"/>
  <c r="I1508"/>
  <c r="E1508"/>
  <c r="I1507"/>
  <c r="E1507"/>
  <c r="I1506"/>
  <c r="E1506"/>
  <c r="I1505"/>
  <c r="E1505"/>
  <c r="I1504"/>
  <c r="E1504"/>
  <c r="I1503"/>
  <c r="E1503"/>
  <c r="I1502"/>
  <c r="E1502"/>
  <c r="I1501"/>
  <c r="E1501"/>
  <c r="I1500"/>
  <c r="G1500"/>
  <c r="I1499"/>
  <c r="G1499"/>
  <c r="I1498"/>
  <c r="G1498"/>
  <c r="I1497"/>
  <c r="G1497"/>
  <c r="I1496"/>
  <c r="G1496"/>
  <c r="I1495"/>
  <c r="G1495"/>
  <c r="I1494"/>
  <c r="G1494"/>
  <c r="I1493"/>
  <c r="G1493"/>
  <c r="I1492"/>
  <c r="G1492"/>
  <c r="I1491"/>
  <c r="G1491"/>
  <c r="I1490"/>
  <c r="G1490"/>
  <c r="I1489"/>
  <c r="G1489"/>
  <c r="I1488"/>
  <c r="G1488"/>
  <c r="I1487"/>
  <c r="G1487"/>
  <c r="I1486"/>
  <c r="G1486"/>
  <c r="I1485"/>
  <c r="G1485"/>
  <c r="I1484"/>
  <c r="G1484"/>
  <c r="I1483"/>
  <c r="G1483"/>
  <c r="I1482"/>
  <c r="G1482"/>
  <c r="F80" i="41" s="1"/>
  <c r="F74" s="1"/>
  <c r="I1480" i="59"/>
  <c r="E1480"/>
  <c r="I1479"/>
  <c r="E1479"/>
  <c r="I1478"/>
  <c r="E1478"/>
  <c r="I1477"/>
  <c r="E1477"/>
  <c r="I1476"/>
  <c r="E1476"/>
  <c r="I1475"/>
  <c r="E1475"/>
  <c r="I1474"/>
  <c r="E1474"/>
  <c r="I1473"/>
  <c r="E1473"/>
  <c r="I1472"/>
  <c r="E1472"/>
  <c r="I1471"/>
  <c r="E1471"/>
  <c r="I1470"/>
  <c r="E1470"/>
  <c r="I1469"/>
  <c r="E1469"/>
  <c r="I1468"/>
  <c r="E1468"/>
  <c r="I1467"/>
  <c r="E1467"/>
  <c r="I1466"/>
  <c r="E1466"/>
  <c r="I1465"/>
  <c r="E1465"/>
  <c r="I1464"/>
  <c r="E1464"/>
  <c r="I1463"/>
  <c r="E1463"/>
  <c r="I1462"/>
  <c r="E1462"/>
  <c r="I1461"/>
  <c r="E1461"/>
  <c r="I1460"/>
  <c r="E1460"/>
  <c r="I1459"/>
  <c r="E1459"/>
  <c r="I1458"/>
  <c r="E1458"/>
  <c r="I1457"/>
  <c r="E1457"/>
  <c r="I1456"/>
  <c r="E1456"/>
  <c r="I1455"/>
  <c r="E1455"/>
  <c r="I1454"/>
  <c r="E1454"/>
  <c r="I1453"/>
  <c r="E1453"/>
  <c r="I1452"/>
  <c r="E1452"/>
  <c r="I1451"/>
  <c r="E1451"/>
  <c r="I1450"/>
  <c r="E1450"/>
  <c r="I1449"/>
  <c r="E1449"/>
  <c r="I1448"/>
  <c r="E1448"/>
  <c r="I1447"/>
  <c r="E1447"/>
  <c r="I1446"/>
  <c r="E1446"/>
  <c r="I1445"/>
  <c r="E1445"/>
  <c r="I1444"/>
  <c r="E1444"/>
  <c r="I1443"/>
  <c r="E1443"/>
  <c r="I1442"/>
  <c r="E1442"/>
  <c r="I1441"/>
  <c r="E1441"/>
  <c r="I1440"/>
  <c r="E1440"/>
  <c r="I1439"/>
  <c r="E1439"/>
  <c r="I1438"/>
  <c r="E1438"/>
  <c r="I1437"/>
  <c r="E1437"/>
  <c r="I1436"/>
  <c r="E1436"/>
  <c r="I1435"/>
  <c r="E1435"/>
  <c r="I1434"/>
  <c r="E1434"/>
  <c r="I1433"/>
  <c r="E1433"/>
  <c r="I1432"/>
  <c r="E1432"/>
  <c r="I1431"/>
  <c r="E1431"/>
  <c r="I1430"/>
  <c r="E1430"/>
  <c r="I1429"/>
  <c r="E1429"/>
  <c r="I1428"/>
  <c r="E1428"/>
  <c r="I1427"/>
  <c r="E1427"/>
  <c r="I1426"/>
  <c r="E1426"/>
  <c r="I1425"/>
  <c r="E1425"/>
  <c r="I1424"/>
  <c r="E1424"/>
  <c r="I1423"/>
  <c r="E1423"/>
  <c r="I1422"/>
  <c r="E1422"/>
  <c r="I1421"/>
  <c r="E1421"/>
  <c r="I1420"/>
  <c r="E1420"/>
  <c r="I1419"/>
  <c r="E1419"/>
  <c r="I1418"/>
  <c r="E1418"/>
  <c r="I1417"/>
  <c r="E1417"/>
  <c r="I1416"/>
  <c r="E1416"/>
  <c r="I1415"/>
  <c r="E1415"/>
  <c r="I1414"/>
  <c r="E1414"/>
  <c r="I1413"/>
  <c r="E1413"/>
  <c r="I1412"/>
  <c r="E1412"/>
  <c r="I1411"/>
  <c r="E1411"/>
  <c r="I1410"/>
  <c r="E1410"/>
  <c r="I1409"/>
  <c r="E1409"/>
  <c r="I1408"/>
  <c r="E1408"/>
  <c r="I1407"/>
  <c r="E1407"/>
  <c r="I1406"/>
  <c r="E1406"/>
  <c r="I1405"/>
  <c r="E1405"/>
  <c r="I1404"/>
  <c r="E1404"/>
  <c r="I1403"/>
  <c r="E1403"/>
  <c r="I1402"/>
  <c r="E1402"/>
  <c r="I1401"/>
  <c r="E1401"/>
  <c r="I1400"/>
  <c r="E1400"/>
  <c r="I1399"/>
  <c r="E1399"/>
  <c r="I1398"/>
  <c r="E1398"/>
  <c r="I1397"/>
  <c r="E1397"/>
  <c r="I1396"/>
  <c r="E1396"/>
  <c r="I1395"/>
  <c r="E1395"/>
  <c r="I1394"/>
  <c r="E1394"/>
  <c r="I1393"/>
  <c r="E1393"/>
  <c r="I1392"/>
  <c r="E1392"/>
  <c r="I1391"/>
  <c r="E1391"/>
  <c r="I1390"/>
  <c r="E1390"/>
  <c r="I1389"/>
  <c r="E1389"/>
  <c r="I1388"/>
  <c r="E1388"/>
  <c r="I1387"/>
  <c r="E1387"/>
  <c r="I1386"/>
  <c r="E1386"/>
  <c r="I1385"/>
  <c r="E1385"/>
  <c r="I1384"/>
  <c r="E1384"/>
  <c r="I1383"/>
  <c r="E1383"/>
  <c r="I1382"/>
  <c r="E1382"/>
  <c r="I1381"/>
  <c r="E1381"/>
  <c r="I1380"/>
  <c r="E1380"/>
  <c r="I1379"/>
  <c r="E1379"/>
  <c r="I1378"/>
  <c r="E1378"/>
  <c r="I1377"/>
  <c r="E1377"/>
  <c r="I1376"/>
  <c r="E1376"/>
  <c r="I1375"/>
  <c r="E1375"/>
  <c r="I1374"/>
  <c r="E1374"/>
  <c r="I1373"/>
  <c r="E1373"/>
  <c r="I1372"/>
  <c r="E1372"/>
  <c r="I1371"/>
  <c r="E1371"/>
  <c r="I1370"/>
  <c r="E1370"/>
  <c r="I1369"/>
  <c r="E1369"/>
  <c r="I1368"/>
  <c r="E1368"/>
  <c r="I1367"/>
  <c r="E1367"/>
  <c r="I1366"/>
  <c r="E1366"/>
  <c r="I1365"/>
  <c r="E1365"/>
  <c r="I1364"/>
  <c r="E1364"/>
  <c r="I1363"/>
  <c r="E1363"/>
  <c r="I1362"/>
  <c r="E1362"/>
  <c r="I1361"/>
  <c r="E1361"/>
  <c r="I1360"/>
  <c r="E1360"/>
  <c r="I1359"/>
  <c r="E1359"/>
  <c r="I1358"/>
  <c r="E1358"/>
  <c r="I1357"/>
  <c r="E1357"/>
  <c r="I1356"/>
  <c r="E1356"/>
  <c r="I1355"/>
  <c r="E1355"/>
  <c r="I1354"/>
  <c r="E1354"/>
  <c r="I1353"/>
  <c r="E1353"/>
  <c r="I1352"/>
  <c r="E1352"/>
  <c r="I1351"/>
  <c r="E1351"/>
  <c r="I1350"/>
  <c r="E1350"/>
  <c r="I1349"/>
  <c r="E1349"/>
  <c r="I1348"/>
  <c r="E1348"/>
  <c r="I1347"/>
  <c r="E1347"/>
  <c r="I1346"/>
  <c r="E1346"/>
  <c r="I1345"/>
  <c r="E1345"/>
  <c r="I1344"/>
  <c r="E1344"/>
  <c r="I1343"/>
  <c r="E1343"/>
  <c r="I1342"/>
  <c r="E1342"/>
  <c r="I1341"/>
  <c r="E1341"/>
  <c r="I1340"/>
  <c r="E1340"/>
  <c r="I1339"/>
  <c r="E1339"/>
  <c r="I1338"/>
  <c r="E1338"/>
  <c r="I1337"/>
  <c r="E1337"/>
  <c r="I1336"/>
  <c r="E1336"/>
  <c r="I1335"/>
  <c r="E1335"/>
  <c r="I1334"/>
  <c r="E1334"/>
  <c r="I1333"/>
  <c r="E1333"/>
  <c r="I1332"/>
  <c r="E1332"/>
  <c r="I1331"/>
  <c r="E1331"/>
  <c r="I1330"/>
  <c r="E1330"/>
  <c r="I1329"/>
  <c r="E1329"/>
  <c r="I1328"/>
  <c r="E1328"/>
  <c r="I1327"/>
  <c r="E1327"/>
  <c r="I1326"/>
  <c r="E1326"/>
  <c r="I1325"/>
  <c r="E1325"/>
  <c r="I1324"/>
  <c r="E1324"/>
  <c r="I1323"/>
  <c r="E1323"/>
  <c r="I1322"/>
  <c r="E1322"/>
  <c r="I1321"/>
  <c r="E1321"/>
  <c r="I1320"/>
  <c r="E1320"/>
  <c r="I1319"/>
  <c r="E1319"/>
  <c r="I1318"/>
  <c r="E1318"/>
  <c r="I1317"/>
  <c r="E1317"/>
  <c r="I1316"/>
  <c r="E1316"/>
  <c r="I1315"/>
  <c r="E1315"/>
  <c r="I1314"/>
  <c r="E1314"/>
  <c r="I1313"/>
  <c r="E1313"/>
  <c r="I1312"/>
  <c r="E1312"/>
  <c r="I1311"/>
  <c r="E1311"/>
  <c r="I1310"/>
  <c r="E1310"/>
  <c r="I1309"/>
  <c r="E1309"/>
  <c r="I1308"/>
  <c r="E1308"/>
  <c r="I1307"/>
  <c r="E1307"/>
  <c r="I1306"/>
  <c r="E1306"/>
  <c r="I1305"/>
  <c r="E1305"/>
  <c r="I1304"/>
  <c r="E1304"/>
  <c r="I1303"/>
  <c r="E1303"/>
  <c r="I1302"/>
  <c r="E1302"/>
  <c r="I1301"/>
  <c r="E1301"/>
  <c r="I1300"/>
  <c r="E1300"/>
  <c r="I1299"/>
  <c r="E1299"/>
  <c r="I1298"/>
  <c r="E1298"/>
  <c r="I1297"/>
  <c r="E1297"/>
  <c r="I1296"/>
  <c r="E1296"/>
  <c r="I1295"/>
  <c r="E1295"/>
  <c r="I1294"/>
  <c r="E1294"/>
  <c r="I1293"/>
  <c r="E1293"/>
  <c r="I1292"/>
  <c r="E1292"/>
  <c r="I1291"/>
  <c r="E1291"/>
  <c r="I1290"/>
  <c r="E1290"/>
  <c r="I1289"/>
  <c r="E1289"/>
  <c r="I1288"/>
  <c r="E1288"/>
  <c r="I1287"/>
  <c r="E1287"/>
  <c r="I1286"/>
  <c r="E1286"/>
  <c r="I1285"/>
  <c r="E1285"/>
  <c r="I1284"/>
  <c r="E1284"/>
  <c r="I1283"/>
  <c r="E1283"/>
  <c r="I1282"/>
  <c r="E1282"/>
  <c r="I1281"/>
  <c r="E1281"/>
  <c r="I1280"/>
  <c r="E1280"/>
  <c r="I1279"/>
  <c r="E1279"/>
  <c r="I1278"/>
  <c r="E1278"/>
  <c r="I1277"/>
  <c r="E1277"/>
  <c r="I1276"/>
  <c r="E1276"/>
  <c r="I1275"/>
  <c r="E1275"/>
  <c r="I1274"/>
  <c r="E1274"/>
  <c r="I1273"/>
  <c r="E1273"/>
  <c r="I1272"/>
  <c r="E1272"/>
  <c r="I1271"/>
  <c r="E1271"/>
  <c r="I1270"/>
  <c r="E1270"/>
  <c r="I1269"/>
  <c r="E1269"/>
  <c r="I1268"/>
  <c r="E1268"/>
  <c r="I1267"/>
  <c r="E1267"/>
  <c r="I1266"/>
  <c r="E1266"/>
  <c r="I1265"/>
  <c r="E1265"/>
  <c r="I1264"/>
  <c r="E1264"/>
  <c r="I1263"/>
  <c r="E1263"/>
  <c r="I1262"/>
  <c r="E1262"/>
  <c r="I1258"/>
  <c r="E1258"/>
  <c r="I1257"/>
  <c r="E1257"/>
  <c r="I1256"/>
  <c r="E1256"/>
  <c r="I1255"/>
  <c r="E1255"/>
  <c r="I1254"/>
  <c r="E1254"/>
  <c r="I1253"/>
  <c r="E1253"/>
  <c r="I1252"/>
  <c r="E1252"/>
  <c r="I1251"/>
  <c r="E1251"/>
  <c r="I1250"/>
  <c r="E1250"/>
  <c r="I1249"/>
  <c r="E1249"/>
  <c r="I1248"/>
  <c r="E1248"/>
  <c r="I1247"/>
  <c r="E1247"/>
  <c r="I1246"/>
  <c r="E1246"/>
  <c r="I1245"/>
  <c r="E1245"/>
  <c r="I1244"/>
  <c r="E1244"/>
  <c r="I1243"/>
  <c r="E1243"/>
  <c r="I1242"/>
  <c r="E1242"/>
  <c r="I1241"/>
  <c r="E1241"/>
  <c r="I1240"/>
  <c r="E1240"/>
  <c r="I1239"/>
  <c r="E1239"/>
  <c r="I1238"/>
  <c r="E1238"/>
  <c r="I1237"/>
  <c r="E1237"/>
  <c r="I1236"/>
  <c r="E1236"/>
  <c r="I1235"/>
  <c r="E1235"/>
  <c r="I1234"/>
  <c r="E1234"/>
  <c r="I1233"/>
  <c r="E1233"/>
  <c r="I1232"/>
  <c r="E1232"/>
  <c r="I1231"/>
  <c r="E1231"/>
  <c r="I1230"/>
  <c r="E1230"/>
  <c r="D80" i="41" s="1"/>
  <c r="I1229" i="59"/>
  <c r="E1229"/>
  <c r="I1228"/>
  <c r="E1228"/>
  <c r="W1227"/>
  <c r="T1227"/>
  <c r="S1227"/>
  <c r="R1227"/>
  <c r="Q1227"/>
  <c r="I1226"/>
  <c r="I1225"/>
  <c r="I1224"/>
  <c r="I1223"/>
  <c r="I1222"/>
  <c r="I1221"/>
  <c r="I1220"/>
  <c r="I1219"/>
  <c r="I1218"/>
  <c r="I1217"/>
  <c r="E1217"/>
  <c r="I1216"/>
  <c r="I1215"/>
  <c r="E1215"/>
  <c r="I1214"/>
  <c r="E1214"/>
  <c r="I1213"/>
  <c r="E1213"/>
  <c r="I1212"/>
  <c r="E1212"/>
  <c r="I1211"/>
  <c r="E1211"/>
  <c r="I1210"/>
  <c r="E1210"/>
  <c r="I1209"/>
  <c r="E1209"/>
  <c r="I1208"/>
  <c r="E1208"/>
  <c r="I1207"/>
  <c r="E1207"/>
  <c r="I1206"/>
  <c r="E1206"/>
  <c r="I1205"/>
  <c r="E1205"/>
  <c r="I1204"/>
  <c r="E1204"/>
  <c r="I1203"/>
  <c r="E1203"/>
  <c r="I1202"/>
  <c r="E1202"/>
  <c r="I1201"/>
  <c r="E1201"/>
  <c r="I1200"/>
  <c r="E1200"/>
  <c r="I1199"/>
  <c r="E1199"/>
  <c r="I1198"/>
  <c r="E1198"/>
  <c r="I1197"/>
  <c r="E1197"/>
  <c r="I1196"/>
  <c r="E1196"/>
  <c r="I1195"/>
  <c r="E1195"/>
  <c r="I1194"/>
  <c r="E1194"/>
  <c r="I1193"/>
  <c r="E1193"/>
  <c r="I1192"/>
  <c r="E1192"/>
  <c r="I1191"/>
  <c r="E1191"/>
  <c r="I1190"/>
  <c r="E1190"/>
  <c r="I1189"/>
  <c r="E1189"/>
  <c r="I1188"/>
  <c r="E1188"/>
  <c r="I1187"/>
  <c r="E1187"/>
  <c r="I1186"/>
  <c r="E1186"/>
  <c r="I1185"/>
  <c r="E1185"/>
  <c r="I1184"/>
  <c r="E1184"/>
  <c r="I1183"/>
  <c r="E1183"/>
  <c r="I1182"/>
  <c r="E1182"/>
  <c r="I1181"/>
  <c r="E1181"/>
  <c r="I1180"/>
  <c r="E1180"/>
  <c r="I1179"/>
  <c r="E1179"/>
  <c r="I1178"/>
  <c r="E1178"/>
  <c r="I1177"/>
  <c r="E1177"/>
  <c r="I1176"/>
  <c r="E1176"/>
  <c r="I1175"/>
  <c r="E1175"/>
  <c r="I1174"/>
  <c r="E1174"/>
  <c r="I1173"/>
  <c r="E1173"/>
  <c r="I1172"/>
  <c r="E1172"/>
  <c r="I1171"/>
  <c r="E1171"/>
  <c r="I1170"/>
  <c r="E1170"/>
  <c r="I1169"/>
  <c r="E1169"/>
  <c r="I1168"/>
  <c r="E1168"/>
  <c r="I1167"/>
  <c r="E1167"/>
  <c r="I1166"/>
  <c r="E1166"/>
  <c r="I1165"/>
  <c r="E1165"/>
  <c r="I1164"/>
  <c r="E1164"/>
  <c r="I1163"/>
  <c r="E1163"/>
  <c r="I1162"/>
  <c r="E1162"/>
  <c r="I1161"/>
  <c r="E1161"/>
  <c r="I1160"/>
  <c r="E1160"/>
  <c r="I1159"/>
  <c r="E1159"/>
  <c r="I1158"/>
  <c r="E1158"/>
  <c r="I1157"/>
  <c r="E1157"/>
  <c r="I1156"/>
  <c r="E1156"/>
  <c r="I1155"/>
  <c r="E1155"/>
  <c r="I1154"/>
  <c r="E1154"/>
  <c r="I1153"/>
  <c r="E1153"/>
  <c r="I1152"/>
  <c r="E1152"/>
  <c r="I1151"/>
  <c r="E1151"/>
  <c r="I1150"/>
  <c r="E1150"/>
  <c r="I1149"/>
  <c r="E1149"/>
  <c r="I1148"/>
  <c r="E1148"/>
  <c r="I1147"/>
  <c r="E1147"/>
  <c r="I1146"/>
  <c r="E1146"/>
  <c r="I1145"/>
  <c r="E1145"/>
  <c r="I1144"/>
  <c r="E1144"/>
  <c r="I1143"/>
  <c r="E1143"/>
  <c r="I1142"/>
  <c r="E1142"/>
  <c r="I1141"/>
  <c r="E1141"/>
  <c r="I1140"/>
  <c r="E1140"/>
  <c r="I1139"/>
  <c r="E1139"/>
  <c r="I1138"/>
  <c r="E1138"/>
  <c r="I1137"/>
  <c r="E1137"/>
  <c r="I1136"/>
  <c r="E1136"/>
  <c r="I1135"/>
  <c r="E1135"/>
  <c r="I1134"/>
  <c r="E1134"/>
  <c r="I1133"/>
  <c r="E1133"/>
  <c r="I1132"/>
  <c r="E1132"/>
  <c r="I1131"/>
  <c r="E1131"/>
  <c r="I1130"/>
  <c r="E1130"/>
  <c r="I1129"/>
  <c r="E1129"/>
  <c r="I1128"/>
  <c r="E1128"/>
  <c r="I1127"/>
  <c r="E1127"/>
  <c r="I1126"/>
  <c r="E1126"/>
  <c r="I1125"/>
  <c r="E1125"/>
  <c r="I1124"/>
  <c r="E1124"/>
  <c r="I1123"/>
  <c r="E1123"/>
  <c r="I1122"/>
  <c r="E1122"/>
  <c r="I1121"/>
  <c r="E1121"/>
  <c r="I1120"/>
  <c r="E1120"/>
  <c r="I1119"/>
  <c r="E1119"/>
  <c r="I1118"/>
  <c r="E1118"/>
  <c r="I1117"/>
  <c r="E1117"/>
  <c r="I1116"/>
  <c r="E1116"/>
  <c r="I1115"/>
  <c r="E1115"/>
  <c r="I1114"/>
  <c r="E1114"/>
  <c r="I1113"/>
  <c r="H76" i="41" s="1"/>
  <c r="E1113" i="59"/>
  <c r="I1112"/>
  <c r="E1112"/>
  <c r="W1111"/>
  <c r="W1110" s="1"/>
  <c r="T1111"/>
  <c r="S1111"/>
  <c r="S1110" s="1"/>
  <c r="R1111"/>
  <c r="Q1111"/>
  <c r="Q1110" s="1"/>
  <c r="I1109"/>
  <c r="E1109"/>
  <c r="I1108"/>
  <c r="E1108"/>
  <c r="I1107"/>
  <c r="E1107"/>
  <c r="I1106"/>
  <c r="I1105"/>
  <c r="E1105"/>
  <c r="I1104"/>
  <c r="E1104"/>
  <c r="I1103"/>
  <c r="I1102"/>
  <c r="E1102"/>
  <c r="I1101"/>
  <c r="I1100"/>
  <c r="E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E1084"/>
  <c r="I1083"/>
  <c r="I1082"/>
  <c r="I1081"/>
  <c r="E1081"/>
  <c r="I1080"/>
  <c r="E1080"/>
  <c r="I1079"/>
  <c r="E1079"/>
  <c r="I1078"/>
  <c r="E1078"/>
  <c r="I1077"/>
  <c r="E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E1057"/>
  <c r="I1056"/>
  <c r="E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E1039"/>
  <c r="I1038"/>
  <c r="E1038"/>
  <c r="I1037"/>
  <c r="E1037"/>
  <c r="I1036"/>
  <c r="E1036"/>
  <c r="I1035"/>
  <c r="E1035"/>
  <c r="I1034"/>
  <c r="E1034"/>
  <c r="K1033"/>
  <c r="I1033" s="1"/>
  <c r="E1033"/>
  <c r="I1032"/>
  <c r="E1032"/>
  <c r="I1031"/>
  <c r="E1031"/>
  <c r="K1030"/>
  <c r="I1030"/>
  <c r="E1030"/>
  <c r="I1029"/>
  <c r="E1029"/>
  <c r="I1028"/>
  <c r="E1028"/>
  <c r="I1027"/>
  <c r="E1027"/>
  <c r="I1026"/>
  <c r="E1026"/>
  <c r="I1025"/>
  <c r="E1025"/>
  <c r="I1024"/>
  <c r="E1024"/>
  <c r="I1023"/>
  <c r="E1023"/>
  <c r="I1022"/>
  <c r="E1022"/>
  <c r="I1021"/>
  <c r="E1021"/>
  <c r="I1020"/>
  <c r="I1019"/>
  <c r="I1018"/>
  <c r="I1017"/>
  <c r="I1016"/>
  <c r="I1015"/>
  <c r="I1014"/>
  <c r="I1013"/>
  <c r="I1012"/>
  <c r="I1011"/>
  <c r="I1010"/>
  <c r="E1010"/>
  <c r="I1009"/>
  <c r="I1008"/>
  <c r="E1008"/>
  <c r="I1007"/>
  <c r="E1007"/>
  <c r="I1006"/>
  <c r="E1006"/>
  <c r="I1005"/>
  <c r="E1005"/>
  <c r="I1004"/>
  <c r="E1004"/>
  <c r="I1003"/>
  <c r="E1003"/>
  <c r="I1002"/>
  <c r="E1002"/>
  <c r="I1001"/>
  <c r="E1001"/>
  <c r="I1000"/>
  <c r="E1000"/>
  <c r="I999"/>
  <c r="E999"/>
  <c r="I998"/>
  <c r="E998"/>
  <c r="I997"/>
  <c r="E997"/>
  <c r="I996"/>
  <c r="E996"/>
  <c r="I995"/>
  <c r="E995"/>
  <c r="I994"/>
  <c r="E994"/>
  <c r="I993"/>
  <c r="E993"/>
  <c r="I992"/>
  <c r="E992"/>
  <c r="I991"/>
  <c r="E991"/>
  <c r="I990"/>
  <c r="E990"/>
  <c r="I989"/>
  <c r="E989"/>
  <c r="I988"/>
  <c r="E988"/>
  <c r="I987"/>
  <c r="E987"/>
  <c r="I986"/>
  <c r="E986"/>
  <c r="I985"/>
  <c r="E985"/>
  <c r="I984"/>
  <c r="E984"/>
  <c r="I983"/>
  <c r="E983"/>
  <c r="I982"/>
  <c r="E982"/>
  <c r="I981"/>
  <c r="E981"/>
  <c r="I980"/>
  <c r="E980"/>
  <c r="I979"/>
  <c r="E979"/>
  <c r="I978"/>
  <c r="E978"/>
  <c r="I977"/>
  <c r="E977"/>
  <c r="I976"/>
  <c r="E976"/>
  <c r="I975"/>
  <c r="E975"/>
  <c r="I974"/>
  <c r="E974"/>
  <c r="I973"/>
  <c r="E973"/>
  <c r="D70" i="41" s="1"/>
  <c r="I972" i="59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H70" i="41" s="1"/>
  <c r="W952" i="59"/>
  <c r="T952"/>
  <c r="S952"/>
  <c r="R952"/>
  <c r="Q952"/>
  <c r="I951"/>
  <c r="E951"/>
  <c r="I950"/>
  <c r="E950"/>
  <c r="I949"/>
  <c r="E949"/>
  <c r="I948"/>
  <c r="E948"/>
  <c r="I947"/>
  <c r="E947"/>
  <c r="I946"/>
  <c r="E946"/>
  <c r="I945"/>
  <c r="E945"/>
  <c r="I944"/>
  <c r="E944"/>
  <c r="I943"/>
  <c r="E943"/>
  <c r="I942"/>
  <c r="E942"/>
  <c r="I941"/>
  <c r="E941"/>
  <c r="I940"/>
  <c r="E940"/>
  <c r="I939"/>
  <c r="E939"/>
  <c r="I938"/>
  <c r="E938"/>
  <c r="I937"/>
  <c r="E937"/>
  <c r="I936"/>
  <c r="E936"/>
  <c r="I935"/>
  <c r="E935"/>
  <c r="I934"/>
  <c r="E934"/>
  <c r="I933"/>
  <c r="E933"/>
  <c r="I932"/>
  <c r="E932"/>
  <c r="I931"/>
  <c r="E931"/>
  <c r="I930"/>
  <c r="E930"/>
  <c r="I929"/>
  <c r="E929"/>
  <c r="I928"/>
  <c r="E928"/>
  <c r="I927"/>
  <c r="E927"/>
  <c r="I926"/>
  <c r="E926"/>
  <c r="I925"/>
  <c r="E925"/>
  <c r="I924"/>
  <c r="E924"/>
  <c r="I923"/>
  <c r="E923"/>
  <c r="I922"/>
  <c r="E922"/>
  <c r="I921"/>
  <c r="E921"/>
  <c r="I920"/>
  <c r="E920"/>
  <c r="I919"/>
  <c r="E919"/>
  <c r="I918"/>
  <c r="E918"/>
  <c r="I917"/>
  <c r="E917"/>
  <c r="I916"/>
  <c r="E916"/>
  <c r="I915"/>
  <c r="E915"/>
  <c r="I914"/>
  <c r="E914"/>
  <c r="I913"/>
  <c r="E913"/>
  <c r="I912"/>
  <c r="E912"/>
  <c r="I911"/>
  <c r="E911"/>
  <c r="I910"/>
  <c r="E910"/>
  <c r="I909"/>
  <c r="E909"/>
  <c r="I908"/>
  <c r="E908"/>
  <c r="I907"/>
  <c r="E907"/>
  <c r="I906"/>
  <c r="E906"/>
  <c r="I905"/>
  <c r="E905"/>
  <c r="I904"/>
  <c r="E904"/>
  <c r="I903"/>
  <c r="E903"/>
  <c r="I902"/>
  <c r="E902"/>
  <c r="I901"/>
  <c r="E901"/>
  <c r="I900"/>
  <c r="E900"/>
  <c r="I899"/>
  <c r="E899"/>
  <c r="I898"/>
  <c r="E898"/>
  <c r="I897"/>
  <c r="E897"/>
  <c r="I896"/>
  <c r="E896"/>
  <c r="I895"/>
  <c r="E895"/>
  <c r="I894"/>
  <c r="E894"/>
  <c r="I893"/>
  <c r="E893"/>
  <c r="I892"/>
  <c r="E892"/>
  <c r="I891"/>
  <c r="E891"/>
  <c r="I890"/>
  <c r="E890"/>
  <c r="I889"/>
  <c r="E889"/>
  <c r="I888"/>
  <c r="E888"/>
  <c r="I887"/>
  <c r="E887"/>
  <c r="I886"/>
  <c r="E886"/>
  <c r="I885"/>
  <c r="E885"/>
  <c r="I884"/>
  <c r="E884"/>
  <c r="I883"/>
  <c r="E883"/>
  <c r="I882"/>
  <c r="E882"/>
  <c r="I881"/>
  <c r="E881"/>
  <c r="I880"/>
  <c r="E880"/>
  <c r="I879"/>
  <c r="E879"/>
  <c r="I878"/>
  <c r="E878"/>
  <c r="I877"/>
  <c r="E877"/>
  <c r="I876"/>
  <c r="E876"/>
  <c r="I875"/>
  <c r="E875"/>
  <c r="I874"/>
  <c r="E874"/>
  <c r="I873"/>
  <c r="E873"/>
  <c r="I872"/>
  <c r="E872"/>
  <c r="I871"/>
  <c r="E871"/>
  <c r="I870"/>
  <c r="E870"/>
  <c r="I869"/>
  <c r="E869"/>
  <c r="I868"/>
  <c r="E868"/>
  <c r="I867"/>
  <c r="E867"/>
  <c r="I866"/>
  <c r="E866"/>
  <c r="I865"/>
  <c r="E865"/>
  <c r="I864"/>
  <c r="E864"/>
  <c r="I863"/>
  <c r="E863"/>
  <c r="I862"/>
  <c r="E862"/>
  <c r="I861"/>
  <c r="E861"/>
  <c r="I860"/>
  <c r="E860"/>
  <c r="I859"/>
  <c r="E859"/>
  <c r="I858"/>
  <c r="E858"/>
  <c r="I857"/>
  <c r="E857"/>
  <c r="I856"/>
  <c r="E856"/>
  <c r="I855"/>
  <c r="E855"/>
  <c r="I854"/>
  <c r="E854"/>
  <c r="I853"/>
  <c r="E853"/>
  <c r="I852"/>
  <c r="E852"/>
  <c r="I851"/>
  <c r="E851"/>
  <c r="I850"/>
  <c r="E850"/>
  <c r="I849"/>
  <c r="E849"/>
  <c r="I848"/>
  <c r="E848"/>
  <c r="I847"/>
  <c r="E847"/>
  <c r="I846"/>
  <c r="E846"/>
  <c r="I845"/>
  <c r="E845"/>
  <c r="I844"/>
  <c r="E844"/>
  <c r="I843"/>
  <c r="E843"/>
  <c r="I842"/>
  <c r="E842"/>
  <c r="I841"/>
  <c r="E841"/>
  <c r="I840"/>
  <c r="E840"/>
  <c r="I839"/>
  <c r="E839"/>
  <c r="I838"/>
  <c r="E838"/>
  <c r="I837"/>
  <c r="E837"/>
  <c r="I836"/>
  <c r="E836"/>
  <c r="I835"/>
  <c r="E835"/>
  <c r="I834"/>
  <c r="E834"/>
  <c r="I833"/>
  <c r="E833"/>
  <c r="I832"/>
  <c r="E832"/>
  <c r="I831"/>
  <c r="E831"/>
  <c r="I830"/>
  <c r="E830"/>
  <c r="I829"/>
  <c r="E829"/>
  <c r="I828"/>
  <c r="E828"/>
  <c r="I827"/>
  <c r="E827"/>
  <c r="I826"/>
  <c r="E826"/>
  <c r="I825"/>
  <c r="E825"/>
  <c r="I824"/>
  <c r="E824"/>
  <c r="I823"/>
  <c r="E823"/>
  <c r="I822"/>
  <c r="E822"/>
  <c r="I821"/>
  <c r="E821"/>
  <c r="I820"/>
  <c r="E820"/>
  <c r="I819"/>
  <c r="E819"/>
  <c r="I818"/>
  <c r="E818"/>
  <c r="I817"/>
  <c r="E817"/>
  <c r="I816"/>
  <c r="E816"/>
  <c r="I815"/>
  <c r="E815"/>
  <c r="I814"/>
  <c r="E814"/>
  <c r="I813"/>
  <c r="E813"/>
  <c r="I812"/>
  <c r="E812"/>
  <c r="D67" i="41" s="1"/>
  <c r="I811" i="59"/>
  <c r="E811"/>
  <c r="I810"/>
  <c r="E810"/>
  <c r="I809"/>
  <c r="E809"/>
  <c r="I808"/>
  <c r="E808"/>
  <c r="I807"/>
  <c r="E807"/>
  <c r="I806"/>
  <c r="E806"/>
  <c r="I805"/>
  <c r="E805"/>
  <c r="I804"/>
  <c r="E804"/>
  <c r="I803"/>
  <c r="E803"/>
  <c r="I802"/>
  <c r="E802"/>
  <c r="I801"/>
  <c r="E801"/>
  <c r="I800"/>
  <c r="E800"/>
  <c r="I799"/>
  <c r="I798"/>
  <c r="E798"/>
  <c r="I797"/>
  <c r="E797"/>
  <c r="I796"/>
  <c r="E796"/>
  <c r="I795"/>
  <c r="E795"/>
  <c r="I794"/>
  <c r="E794"/>
  <c r="I793"/>
  <c r="E793"/>
  <c r="I792"/>
  <c r="E792"/>
  <c r="I791"/>
  <c r="E791"/>
  <c r="I790"/>
  <c r="E790"/>
  <c r="W789"/>
  <c r="W788" s="1"/>
  <c r="T789"/>
  <c r="T788" s="1"/>
  <c r="S789"/>
  <c r="S788" s="1"/>
  <c r="R789"/>
  <c r="Q789"/>
  <c r="Q788" s="1"/>
  <c r="I787"/>
  <c r="E787"/>
  <c r="I786"/>
  <c r="E786"/>
  <c r="I785"/>
  <c r="E785"/>
  <c r="I784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I767"/>
  <c r="E767"/>
  <c r="I766"/>
  <c r="E766"/>
  <c r="I765"/>
  <c r="E765"/>
  <c r="I746"/>
  <c r="E746"/>
  <c r="I745"/>
  <c r="E745"/>
  <c r="I744"/>
  <c r="E744"/>
  <c r="I743"/>
  <c r="E743"/>
  <c r="I742"/>
  <c r="E742"/>
  <c r="I741"/>
  <c r="E741"/>
  <c r="I740"/>
  <c r="E740"/>
  <c r="I739"/>
  <c r="E739"/>
  <c r="I738"/>
  <c r="E738"/>
  <c r="E737"/>
  <c r="E736"/>
  <c r="E735"/>
  <c r="E734"/>
  <c r="E733"/>
  <c r="E732"/>
  <c r="I731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I707"/>
  <c r="E707"/>
  <c r="I706"/>
  <c r="E706"/>
  <c r="I705"/>
  <c r="E705"/>
  <c r="I704"/>
  <c r="E704"/>
  <c r="I703"/>
  <c r="E703"/>
  <c r="I702"/>
  <c r="E702"/>
  <c r="I701"/>
  <c r="E701"/>
  <c r="I700"/>
  <c r="E700"/>
  <c r="I699"/>
  <c r="E699"/>
  <c r="W698"/>
  <c r="T698"/>
  <c r="S698"/>
  <c r="S635" s="1"/>
  <c r="R698"/>
  <c r="Q698"/>
  <c r="I697"/>
  <c r="I696"/>
  <c r="I695"/>
  <c r="I694"/>
  <c r="I693"/>
  <c r="I692"/>
  <c r="I691"/>
  <c r="I690"/>
  <c r="E690"/>
  <c r="I689"/>
  <c r="E689"/>
  <c r="I688"/>
  <c r="E688"/>
  <c r="I687"/>
  <c r="E687"/>
  <c r="I686"/>
  <c r="E686"/>
  <c r="I685"/>
  <c r="E685"/>
  <c r="I684"/>
  <c r="E684"/>
  <c r="I683"/>
  <c r="E683"/>
  <c r="I676"/>
  <c r="E676"/>
  <c r="I662"/>
  <c r="E662"/>
  <c r="I661"/>
  <c r="E661"/>
  <c r="I660"/>
  <c r="E660"/>
  <c r="I659"/>
  <c r="E659"/>
  <c r="I658"/>
  <c r="E658"/>
  <c r="I654"/>
  <c r="E654"/>
  <c r="D58" i="41"/>
  <c r="I653" i="59"/>
  <c r="E653"/>
  <c r="I652"/>
  <c r="E652"/>
  <c r="I651"/>
  <c r="E651"/>
  <c r="I650"/>
  <c r="E650"/>
  <c r="I649"/>
  <c r="E649"/>
  <c r="I648"/>
  <c r="E648"/>
  <c r="I647"/>
  <c r="E647"/>
  <c r="I646"/>
  <c r="E646"/>
  <c r="I645"/>
  <c r="E645"/>
  <c r="I644"/>
  <c r="E644"/>
  <c r="I643"/>
  <c r="E643"/>
  <c r="I642"/>
  <c r="E642"/>
  <c r="I641"/>
  <c r="E641"/>
  <c r="I640"/>
  <c r="E640"/>
  <c r="I639"/>
  <c r="E639"/>
  <c r="W636"/>
  <c r="W635"/>
  <c r="T636"/>
  <c r="T635" s="1"/>
  <c r="S636"/>
  <c r="R636"/>
  <c r="R635" s="1"/>
  <c r="Q636"/>
  <c r="Q635" s="1"/>
  <c r="I634"/>
  <c r="E634"/>
  <c r="I633"/>
  <c r="E633"/>
  <c r="I632"/>
  <c r="I631"/>
  <c r="E631"/>
  <c r="I630"/>
  <c r="E630"/>
  <c r="I629"/>
  <c r="I628"/>
  <c r="I627"/>
  <c r="I626"/>
  <c r="I625"/>
  <c r="I624"/>
  <c r="I623"/>
  <c r="I622"/>
  <c r="I621"/>
  <c r="I620"/>
  <c r="I619"/>
  <c r="I618"/>
  <c r="I617"/>
  <c r="I616"/>
  <c r="K615"/>
  <c r="E615"/>
  <c r="I614"/>
  <c r="E614"/>
  <c r="I613"/>
  <c r="E613"/>
  <c r="I612"/>
  <c r="E612"/>
  <c r="I611"/>
  <c r="E611"/>
  <c r="I610"/>
  <c r="E610"/>
  <c r="I609"/>
  <c r="E609"/>
  <c r="I608"/>
  <c r="E608"/>
  <c r="I607"/>
  <c r="I606"/>
  <c r="E606"/>
  <c r="I605"/>
  <c r="E605"/>
  <c r="I604"/>
  <c r="E604"/>
  <c r="I603"/>
  <c r="E603"/>
  <c r="I602"/>
  <c r="E602"/>
  <c r="I601"/>
  <c r="E601"/>
  <c r="I600"/>
  <c r="E600"/>
  <c r="I599"/>
  <c r="E599"/>
  <c r="I598"/>
  <c r="E598"/>
  <c r="I597"/>
  <c r="E597"/>
  <c r="I596"/>
  <c r="E596"/>
  <c r="I595"/>
  <c r="E595"/>
  <c r="I594"/>
  <c r="E594"/>
  <c r="I593"/>
  <c r="E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E566"/>
  <c r="I565"/>
  <c r="E565"/>
  <c r="I564"/>
  <c r="E564"/>
  <c r="I563"/>
  <c r="E563"/>
  <c r="I562"/>
  <c r="I561"/>
  <c r="E561"/>
  <c r="I560"/>
  <c r="E560"/>
  <c r="E557"/>
  <c r="E556"/>
  <c r="E555"/>
  <c r="I554"/>
  <c r="E554"/>
  <c r="E553"/>
  <c r="E552"/>
  <c r="E551"/>
  <c r="E550"/>
  <c r="E548"/>
  <c r="E547"/>
  <c r="I546"/>
  <c r="E546"/>
  <c r="E545"/>
  <c r="E544"/>
  <c r="E543"/>
  <c r="E542"/>
  <c r="E541"/>
  <c r="I537"/>
  <c r="E537"/>
  <c r="I536"/>
  <c r="E536"/>
  <c r="W535"/>
  <c r="T535"/>
  <c r="S535"/>
  <c r="R535"/>
  <c r="Q535"/>
  <c r="I534"/>
  <c r="E534"/>
  <c r="I533"/>
  <c r="E533"/>
  <c r="I532"/>
  <c r="E532"/>
  <c r="I531"/>
  <c r="E531"/>
  <c r="I530"/>
  <c r="E530"/>
  <c r="I529"/>
  <c r="E529"/>
  <c r="I528"/>
  <c r="E528"/>
  <c r="I527"/>
  <c r="E527"/>
  <c r="I526"/>
  <c r="E526"/>
  <c r="I525"/>
  <c r="E525"/>
  <c r="I524"/>
  <c r="E524"/>
  <c r="I523"/>
  <c r="E523"/>
  <c r="I522"/>
  <c r="E522"/>
  <c r="I521"/>
  <c r="E521"/>
  <c r="I520"/>
  <c r="E520"/>
  <c r="I519"/>
  <c r="E519"/>
  <c r="I518"/>
  <c r="E518"/>
  <c r="I517"/>
  <c r="E517"/>
  <c r="I516"/>
  <c r="E516"/>
  <c r="I515"/>
  <c r="E515"/>
  <c r="I514"/>
  <c r="E514"/>
  <c r="I513"/>
  <c r="E513"/>
  <c r="I512"/>
  <c r="E512"/>
  <c r="I511"/>
  <c r="E511"/>
  <c r="I510"/>
  <c r="E510"/>
  <c r="I509"/>
  <c r="E509"/>
  <c r="I508"/>
  <c r="E508"/>
  <c r="I507"/>
  <c r="E507"/>
  <c r="I506"/>
  <c r="E506"/>
  <c r="I505"/>
  <c r="E505"/>
  <c r="I504"/>
  <c r="E504"/>
  <c r="I503"/>
  <c r="E503"/>
  <c r="I502"/>
  <c r="E502"/>
  <c r="I501"/>
  <c r="E501"/>
  <c r="I500"/>
  <c r="E500"/>
  <c r="I499"/>
  <c r="E499"/>
  <c r="I498"/>
  <c r="E498"/>
  <c r="I497"/>
  <c r="E497"/>
  <c r="I496"/>
  <c r="E496"/>
  <c r="I495"/>
  <c r="E495"/>
  <c r="I494"/>
  <c r="E494"/>
  <c r="I493"/>
  <c r="E493"/>
  <c r="I492"/>
  <c r="E492"/>
  <c r="I491"/>
  <c r="E491"/>
  <c r="I490"/>
  <c r="E490"/>
  <c r="I489"/>
  <c r="E489"/>
  <c r="I488"/>
  <c r="E488"/>
  <c r="I487"/>
  <c r="E487"/>
  <c r="D50" i="41" s="1"/>
  <c r="I486" i="59"/>
  <c r="E486"/>
  <c r="W484"/>
  <c r="T484"/>
  <c r="S484"/>
  <c r="S483" s="1"/>
  <c r="R484"/>
  <c r="R483" s="1"/>
  <c r="Q484"/>
  <c r="I482"/>
  <c r="E482"/>
  <c r="I481"/>
  <c r="E481"/>
  <c r="I480"/>
  <c r="E480"/>
  <c r="I479"/>
  <c r="E479"/>
  <c r="I478"/>
  <c r="E478"/>
  <c r="I477"/>
  <c r="E477"/>
  <c r="I476"/>
  <c r="E476"/>
  <c r="I475"/>
  <c r="E475"/>
  <c r="I474"/>
  <c r="E474"/>
  <c r="I473"/>
  <c r="E473"/>
  <c r="I472"/>
  <c r="E472"/>
  <c r="I471"/>
  <c r="E471"/>
  <c r="I470"/>
  <c r="I469"/>
  <c r="E469"/>
  <c r="I468"/>
  <c r="E468"/>
  <c r="I467"/>
  <c r="E467"/>
  <c r="I466"/>
  <c r="E466"/>
  <c r="I465"/>
  <c r="I464"/>
  <c r="E464"/>
  <c r="I463"/>
  <c r="E463"/>
  <c r="I462"/>
  <c r="E462"/>
  <c r="I461"/>
  <c r="E461"/>
  <c r="I460"/>
  <c r="E460"/>
  <c r="I459"/>
  <c r="E459"/>
  <c r="I458"/>
  <c r="E458"/>
  <c r="I457"/>
  <c r="E457"/>
  <c r="I456"/>
  <c r="E456"/>
  <c r="I455"/>
  <c r="E455"/>
  <c r="I454"/>
  <c r="E454"/>
  <c r="I453"/>
  <c r="E453"/>
  <c r="I452"/>
  <c r="E452"/>
  <c r="I451"/>
  <c r="E451"/>
  <c r="I450"/>
  <c r="E450"/>
  <c r="I449"/>
  <c r="E449"/>
  <c r="I448"/>
  <c r="E448"/>
  <c r="I447"/>
  <c r="E447"/>
  <c r="I446"/>
  <c r="E446"/>
  <c r="I445"/>
  <c r="E445"/>
  <c r="I444"/>
  <c r="E444"/>
  <c r="I443"/>
  <c r="E443"/>
  <c r="I442"/>
  <c r="E442"/>
  <c r="I441"/>
  <c r="E441"/>
  <c r="I440"/>
  <c r="E440"/>
  <c r="I439"/>
  <c r="E439"/>
  <c r="I438"/>
  <c r="E438"/>
  <c r="I437"/>
  <c r="E437"/>
  <c r="I436"/>
  <c r="E436"/>
  <c r="I435"/>
  <c r="E435"/>
  <c r="I434"/>
  <c r="E434"/>
  <c r="I433"/>
  <c r="E433"/>
  <c r="I432"/>
  <c r="E432"/>
  <c r="I431"/>
  <c r="E431"/>
  <c r="I430"/>
  <c r="E430"/>
  <c r="I429"/>
  <c r="E429"/>
  <c r="I428"/>
  <c r="E428"/>
  <c r="I427"/>
  <c r="E427"/>
  <c r="I426"/>
  <c r="E426"/>
  <c r="I425"/>
  <c r="E425"/>
  <c r="I424"/>
  <c r="E424"/>
  <c r="I423"/>
  <c r="E423"/>
  <c r="I422"/>
  <c r="E422"/>
  <c r="I421"/>
  <c r="E421"/>
  <c r="I420"/>
  <c r="E420"/>
  <c r="I419"/>
  <c r="E419"/>
  <c r="I418"/>
  <c r="E418"/>
  <c r="I417"/>
  <c r="E417"/>
  <c r="I416"/>
  <c r="E416"/>
  <c r="I415"/>
  <c r="E415"/>
  <c r="I414"/>
  <c r="E414"/>
  <c r="I413"/>
  <c r="E413"/>
  <c r="I412"/>
  <c r="E412"/>
  <c r="I411"/>
  <c r="E411"/>
  <c r="I410"/>
  <c r="E410"/>
  <c r="I409"/>
  <c r="E409"/>
  <c r="I408"/>
  <c r="E408"/>
  <c r="I407"/>
  <c r="E407"/>
  <c r="I406"/>
  <c r="E406"/>
  <c r="I405"/>
  <c r="E405"/>
  <c r="I404"/>
  <c r="E404"/>
  <c r="I403"/>
  <c r="E403"/>
  <c r="I402"/>
  <c r="E402"/>
  <c r="I401"/>
  <c r="E401"/>
  <c r="I400"/>
  <c r="E400"/>
  <c r="I399"/>
  <c r="E399"/>
  <c r="I398"/>
  <c r="E398"/>
  <c r="I397"/>
  <c r="E397"/>
  <c r="I396"/>
  <c r="E396"/>
  <c r="I395"/>
  <c r="E395"/>
  <c r="I394"/>
  <c r="E394"/>
  <c r="I393"/>
  <c r="E393"/>
  <c r="I392"/>
  <c r="E392"/>
  <c r="I391"/>
  <c r="E391"/>
  <c r="I390"/>
  <c r="E390"/>
  <c r="I389"/>
  <c r="E389"/>
  <c r="I388"/>
  <c r="E388"/>
  <c r="I387"/>
  <c r="E387"/>
  <c r="I386"/>
  <c r="E386"/>
  <c r="I385"/>
  <c r="E385"/>
  <c r="I384"/>
  <c r="E384"/>
  <c r="I383"/>
  <c r="E383"/>
  <c r="I382"/>
  <c r="E382"/>
  <c r="I381"/>
  <c r="E381"/>
  <c r="I380"/>
  <c r="E380"/>
  <c r="I379"/>
  <c r="E379"/>
  <c r="I378"/>
  <c r="E378"/>
  <c r="I377"/>
  <c r="E377"/>
  <c r="I376"/>
  <c r="E376"/>
  <c r="I375"/>
  <c r="E375"/>
  <c r="I374"/>
  <c r="E374"/>
  <c r="I373"/>
  <c r="E373"/>
  <c r="I372"/>
  <c r="E372"/>
  <c r="I371"/>
  <c r="E371"/>
  <c r="I370"/>
  <c r="E370"/>
  <c r="I369"/>
  <c r="E369"/>
  <c r="I368"/>
  <c r="E368"/>
  <c r="I367"/>
  <c r="E367"/>
  <c r="I366"/>
  <c r="E366"/>
  <c r="I365"/>
  <c r="E365"/>
  <c r="I364"/>
  <c r="E364"/>
  <c r="I363"/>
  <c r="E363"/>
  <c r="I362"/>
  <c r="E362"/>
  <c r="I361"/>
  <c r="E361"/>
  <c r="I360"/>
  <c r="E360"/>
  <c r="I359"/>
  <c r="E359"/>
  <c r="I358"/>
  <c r="E358"/>
  <c r="I357"/>
  <c r="E357"/>
  <c r="I356"/>
  <c r="E356"/>
  <c r="I355"/>
  <c r="E355"/>
  <c r="I354"/>
  <c r="E354"/>
  <c r="I353"/>
  <c r="E353"/>
  <c r="I352"/>
  <c r="E352"/>
  <c r="I351"/>
  <c r="E351"/>
  <c r="I350"/>
  <c r="E350"/>
  <c r="I349"/>
  <c r="E349"/>
  <c r="I348"/>
  <c r="E348"/>
  <c r="I347"/>
  <c r="E347"/>
  <c r="I346"/>
  <c r="E346"/>
  <c r="I345"/>
  <c r="E345"/>
  <c r="I344"/>
  <c r="E344"/>
  <c r="I343"/>
  <c r="E343"/>
  <c r="I342"/>
  <c r="E342"/>
  <c r="I341"/>
  <c r="E341"/>
  <c r="I340"/>
  <c r="E340"/>
  <c r="I339"/>
  <c r="E339"/>
  <c r="I338"/>
  <c r="E338"/>
  <c r="I337"/>
  <c r="E337"/>
  <c r="I336"/>
  <c r="E336"/>
  <c r="I335"/>
  <c r="E335"/>
  <c r="I334"/>
  <c r="E334"/>
  <c r="I333"/>
  <c r="H43" i="41"/>
  <c r="E333" i="59"/>
  <c r="W332"/>
  <c r="T332"/>
  <c r="S332"/>
  <c r="R332"/>
  <c r="Q332"/>
  <c r="I331"/>
  <c r="E331"/>
  <c r="I330"/>
  <c r="E330"/>
  <c r="I329"/>
  <c r="E329"/>
  <c r="I328"/>
  <c r="E328"/>
  <c r="I327"/>
  <c r="E327"/>
  <c r="I326"/>
  <c r="E326"/>
  <c r="I325"/>
  <c r="E325"/>
  <c r="I324"/>
  <c r="E324"/>
  <c r="I323"/>
  <c r="E323"/>
  <c r="I322"/>
  <c r="E322"/>
  <c r="I321"/>
  <c r="E321"/>
  <c r="I320"/>
  <c r="E320"/>
  <c r="I319"/>
  <c r="E319"/>
  <c r="I318"/>
  <c r="E318"/>
  <c r="I317"/>
  <c r="E317"/>
  <c r="I316"/>
  <c r="E316"/>
  <c r="I315"/>
  <c r="E315"/>
  <c r="I314"/>
  <c r="E314"/>
  <c r="I313"/>
  <c r="E313"/>
  <c r="I312"/>
  <c r="E312"/>
  <c r="I311"/>
  <c r="E311"/>
  <c r="I310"/>
  <c r="E310"/>
  <c r="I309"/>
  <c r="E309"/>
  <c r="I308"/>
  <c r="E308"/>
  <c r="I307"/>
  <c r="E307"/>
  <c r="I306"/>
  <c r="E306"/>
  <c r="I305"/>
  <c r="E305"/>
  <c r="I304"/>
  <c r="E304"/>
  <c r="I303"/>
  <c r="E303"/>
  <c r="I302"/>
  <c r="E302"/>
  <c r="I301"/>
  <c r="E301"/>
  <c r="I300"/>
  <c r="E300"/>
  <c r="I299"/>
  <c r="E299"/>
  <c r="I298"/>
  <c r="E298"/>
  <c r="I297"/>
  <c r="E297"/>
  <c r="I296"/>
  <c r="E296"/>
  <c r="I295"/>
  <c r="E295"/>
  <c r="I294"/>
  <c r="E294"/>
  <c r="I293"/>
  <c r="E293"/>
  <c r="I292"/>
  <c r="E292"/>
  <c r="I291"/>
  <c r="E291"/>
  <c r="I290"/>
  <c r="E290"/>
  <c r="I289"/>
  <c r="E289"/>
  <c r="I288"/>
  <c r="E288"/>
  <c r="I287"/>
  <c r="E287"/>
  <c r="I286"/>
  <c r="E286"/>
  <c r="I285"/>
  <c r="E285"/>
  <c r="I284"/>
  <c r="E284"/>
  <c r="I283"/>
  <c r="E283"/>
  <c r="I282"/>
  <c r="E282"/>
  <c r="I281"/>
  <c r="E281"/>
  <c r="I280"/>
  <c r="E280"/>
  <c r="O279"/>
  <c r="I279"/>
  <c r="E279"/>
  <c r="I278"/>
  <c r="E278"/>
  <c r="I277"/>
  <c r="E277"/>
  <c r="I276"/>
  <c r="E276"/>
  <c r="I275"/>
  <c r="E275"/>
  <c r="O274"/>
  <c r="O275" s="1"/>
  <c r="I274"/>
  <c r="E274"/>
  <c r="I273"/>
  <c r="E273"/>
  <c r="I272"/>
  <c r="E272"/>
  <c r="I271"/>
  <c r="E271"/>
  <c r="I270"/>
  <c r="E270"/>
  <c r="I269"/>
  <c r="E269"/>
  <c r="O268"/>
  <c r="I268"/>
  <c r="E268"/>
  <c r="I267"/>
  <c r="E267"/>
  <c r="I266"/>
  <c r="E266"/>
  <c r="I265"/>
  <c r="E265"/>
  <c r="I264"/>
  <c r="E264"/>
  <c r="I263"/>
  <c r="E263"/>
  <c r="I262"/>
  <c r="E262"/>
  <c r="I261"/>
  <c r="E261"/>
  <c r="I260"/>
  <c r="E260"/>
  <c r="W259"/>
  <c r="T259"/>
  <c r="T258" s="1"/>
  <c r="S259"/>
  <c r="S258" s="1"/>
  <c r="R259"/>
  <c r="R258" s="1"/>
  <c r="Q259"/>
  <c r="Q258" s="1"/>
  <c r="E237"/>
  <c r="E236"/>
  <c r="E235"/>
  <c r="E231"/>
  <c r="L224"/>
  <c r="L223"/>
  <c r="L222"/>
  <c r="L221"/>
  <c r="L220"/>
  <c r="L219"/>
  <c r="W195"/>
  <c r="T195"/>
  <c r="T83" s="1"/>
  <c r="S195"/>
  <c r="R195"/>
  <c r="Q195"/>
  <c r="I186"/>
  <c r="I184"/>
  <c r="I183"/>
  <c r="I182"/>
  <c r="I181"/>
  <c r="I180"/>
  <c r="I179"/>
  <c r="E179"/>
  <c r="I178"/>
  <c r="E178"/>
  <c r="I177"/>
  <c r="E177"/>
  <c r="I176"/>
  <c r="E176"/>
  <c r="I175"/>
  <c r="E175"/>
  <c r="I174"/>
  <c r="E174"/>
  <c r="I173"/>
  <c r="E173"/>
  <c r="I172"/>
  <c r="E172"/>
  <c r="I171"/>
  <c r="E171"/>
  <c r="I170"/>
  <c r="E170"/>
  <c r="I169"/>
  <c r="E169"/>
  <c r="I168"/>
  <c r="E168"/>
  <c r="I167"/>
  <c r="E167"/>
  <c r="I166"/>
  <c r="E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E136"/>
  <c r="I135"/>
  <c r="E135"/>
  <c r="I134"/>
  <c r="E134"/>
  <c r="I133"/>
  <c r="E133"/>
  <c r="I132"/>
  <c r="E132"/>
  <c r="I131"/>
  <c r="E131"/>
  <c r="I130"/>
  <c r="E130"/>
  <c r="I129"/>
  <c r="E129"/>
  <c r="I128"/>
  <c r="E128"/>
  <c r="I127"/>
  <c r="E127"/>
  <c r="I126"/>
  <c r="E126"/>
  <c r="I125"/>
  <c r="E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E95"/>
  <c r="I94"/>
  <c r="I93"/>
  <c r="E93"/>
  <c r="I92"/>
  <c r="E92"/>
  <c r="I91"/>
  <c r="E91"/>
  <c r="I90"/>
  <c r="E90"/>
  <c r="I89"/>
  <c r="I88"/>
  <c r="I87"/>
  <c r="I86"/>
  <c r="I85"/>
  <c r="W84"/>
  <c r="W83" s="1"/>
  <c r="T84"/>
  <c r="S84"/>
  <c r="R84"/>
  <c r="R83"/>
  <c r="Q84"/>
  <c r="Q83" s="1"/>
  <c r="I82"/>
  <c r="E82"/>
  <c r="I81"/>
  <c r="E81"/>
  <c r="I80"/>
  <c r="E80"/>
  <c r="I79"/>
  <c r="E79"/>
  <c r="I78"/>
  <c r="E78"/>
  <c r="I77"/>
  <c r="E77"/>
  <c r="I76"/>
  <c r="E76"/>
  <c r="I75"/>
  <c r="E75"/>
  <c r="I74"/>
  <c r="E74"/>
  <c r="I73"/>
  <c r="E73"/>
  <c r="I72"/>
  <c r="E72"/>
  <c r="W71"/>
  <c r="T71"/>
  <c r="S71"/>
  <c r="R71"/>
  <c r="Q71"/>
  <c r="I70"/>
  <c r="E70"/>
  <c r="I69"/>
  <c r="H22" i="41" s="1"/>
  <c r="H21" s="1"/>
  <c r="E69" i="59"/>
  <c r="D22" i="41" s="1"/>
  <c r="D21" s="1"/>
  <c r="W68" i="59"/>
  <c r="T68"/>
  <c r="S68"/>
  <c r="R68"/>
  <c r="Q68"/>
  <c r="I67"/>
  <c r="E67"/>
  <c r="I66"/>
  <c r="E66"/>
  <c r="I65"/>
  <c r="E65"/>
  <c r="D20" i="41" s="1"/>
  <c r="I64" i="59"/>
  <c r="E64"/>
  <c r="I63"/>
  <c r="E63"/>
  <c r="W62"/>
  <c r="T62"/>
  <c r="S62"/>
  <c r="R62"/>
  <c r="Q62"/>
  <c r="I61"/>
  <c r="E61"/>
  <c r="I60"/>
  <c r="H17" i="41" s="1"/>
  <c r="E60" i="59"/>
  <c r="D17" i="41" s="1"/>
  <c r="I59" i="59"/>
  <c r="E59"/>
  <c r="I58"/>
  <c r="E58"/>
  <c r="I57"/>
  <c r="E57"/>
  <c r="I56"/>
  <c r="E56"/>
  <c r="I55"/>
  <c r="E55"/>
  <c r="I54"/>
  <c r="E54"/>
  <c r="I53"/>
  <c r="E53"/>
  <c r="W52"/>
  <c r="T52"/>
  <c r="S52"/>
  <c r="R52"/>
  <c r="Q52"/>
  <c r="E51"/>
  <c r="E50"/>
  <c r="E49"/>
  <c r="E48"/>
  <c r="E47"/>
  <c r="E46"/>
  <c r="E45"/>
  <c r="E44"/>
  <c r="E43"/>
  <c r="E42"/>
  <c r="E41"/>
  <c r="E40"/>
  <c r="E39"/>
  <c r="W38"/>
  <c r="T38"/>
  <c r="S38"/>
  <c r="R38"/>
  <c r="Q38"/>
  <c r="I37"/>
  <c r="E37"/>
  <c r="I36"/>
  <c r="E36"/>
  <c r="I35"/>
  <c r="E35"/>
  <c r="I34"/>
  <c r="E34"/>
  <c r="I33"/>
  <c r="E33"/>
  <c r="I32"/>
  <c r="E32"/>
  <c r="I31"/>
  <c r="E31"/>
  <c r="I30"/>
  <c r="E30"/>
  <c r="I29"/>
  <c r="E29"/>
  <c r="I28"/>
  <c r="E28"/>
  <c r="I27"/>
  <c r="E27"/>
  <c r="I26"/>
  <c r="E26"/>
  <c r="I25"/>
  <c r="E25"/>
  <c r="I24"/>
  <c r="E24"/>
  <c r="I23"/>
  <c r="E23"/>
  <c r="I22"/>
  <c r="E22"/>
  <c r="I21"/>
  <c r="E21"/>
  <c r="I20"/>
  <c r="E20"/>
  <c r="I19"/>
  <c r="E19"/>
  <c r="I18"/>
  <c r="E18"/>
  <c r="I17"/>
  <c r="E17"/>
  <c r="I16"/>
  <c r="E16"/>
  <c r="I15"/>
  <c r="E15"/>
  <c r="E14"/>
  <c r="D10" i="41"/>
  <c r="W13" i="59"/>
  <c r="T13"/>
  <c r="S13"/>
  <c r="R13"/>
  <c r="Q13"/>
  <c r="I12"/>
  <c r="E12"/>
  <c r="I11"/>
  <c r="E11"/>
  <c r="I10"/>
  <c r="E10"/>
  <c r="I9"/>
  <c r="H7" i="41" s="1"/>
  <c r="E9" i="59"/>
  <c r="W8"/>
  <c r="T8"/>
  <c r="S8"/>
  <c r="R8"/>
  <c r="Q8"/>
  <c r="I1111" i="49"/>
  <c r="I1112"/>
  <c r="L346" i="58"/>
  <c r="L341" s="1"/>
  <c r="D345"/>
  <c r="M345" s="1"/>
  <c r="D344"/>
  <c r="M344" s="1"/>
  <c r="D343"/>
  <c r="M343" s="1"/>
  <c r="D342"/>
  <c r="M342" s="1"/>
  <c r="K341"/>
  <c r="J341"/>
  <c r="I341"/>
  <c r="H341"/>
  <c r="G341"/>
  <c r="F341"/>
  <c r="E341"/>
  <c r="C341"/>
  <c r="B341"/>
  <c r="D340"/>
  <c r="M340" s="1"/>
  <c r="D339"/>
  <c r="M339"/>
  <c r="D338"/>
  <c r="M338" s="1"/>
  <c r="D337"/>
  <c r="M337"/>
  <c r="D336"/>
  <c r="M336" s="1"/>
  <c r="D335"/>
  <c r="M335"/>
  <c r="D334"/>
  <c r="M334" s="1"/>
  <c r="D333"/>
  <c r="M333"/>
  <c r="D332"/>
  <c r="M332" s="1"/>
  <c r="D331"/>
  <c r="M331"/>
  <c r="D330"/>
  <c r="M330" s="1"/>
  <c r="D329"/>
  <c r="M329"/>
  <c r="D328"/>
  <c r="M328" s="1"/>
  <c r="D327"/>
  <c r="M327"/>
  <c r="D326"/>
  <c r="M326" s="1"/>
  <c r="L325"/>
  <c r="K325"/>
  <c r="J325"/>
  <c r="I325"/>
  <c r="H325"/>
  <c r="G325"/>
  <c r="F325"/>
  <c r="E325"/>
  <c r="C325"/>
  <c r="B325"/>
  <c r="D324"/>
  <c r="M324" s="1"/>
  <c r="D323"/>
  <c r="M323" s="1"/>
  <c r="D322"/>
  <c r="M322" s="1"/>
  <c r="D321"/>
  <c r="M321" s="1"/>
  <c r="D320"/>
  <c r="M320" s="1"/>
  <c r="D319"/>
  <c r="M319" s="1"/>
  <c r="D318"/>
  <c r="M318" s="1"/>
  <c r="D317"/>
  <c r="M317" s="1"/>
  <c r="D316"/>
  <c r="M316" s="1"/>
  <c r="D315"/>
  <c r="M315" s="1"/>
  <c r="D314"/>
  <c r="M314" s="1"/>
  <c r="D313"/>
  <c r="M313"/>
  <c r="D312"/>
  <c r="M312" s="1"/>
  <c r="D311"/>
  <c r="M311"/>
  <c r="D310"/>
  <c r="M310" s="1"/>
  <c r="D309"/>
  <c r="M309"/>
  <c r="D308"/>
  <c r="M308" s="1"/>
  <c r="D307"/>
  <c r="M307"/>
  <c r="D306"/>
  <c r="M306" s="1"/>
  <c r="L305"/>
  <c r="K305"/>
  <c r="K304" s="1"/>
  <c r="J305"/>
  <c r="J304" s="1"/>
  <c r="I305"/>
  <c r="I304"/>
  <c r="H305"/>
  <c r="H304" s="1"/>
  <c r="G305"/>
  <c r="F305"/>
  <c r="E305"/>
  <c r="C305"/>
  <c r="C304" s="1"/>
  <c r="B305"/>
  <c r="D303"/>
  <c r="M303" s="1"/>
  <c r="D302"/>
  <c r="M302"/>
  <c r="D301"/>
  <c r="M301" s="1"/>
  <c r="D300"/>
  <c r="M300" s="1"/>
  <c r="D299"/>
  <c r="M299" s="1"/>
  <c r="D298"/>
  <c r="M298" s="1"/>
  <c r="D297"/>
  <c r="M297" s="1"/>
  <c r="D296"/>
  <c r="M296" s="1"/>
  <c r="D295"/>
  <c r="M295" s="1"/>
  <c r="D294"/>
  <c r="M294" s="1"/>
  <c r="D293"/>
  <c r="M293" s="1"/>
  <c r="D292"/>
  <c r="M292" s="1"/>
  <c r="D291"/>
  <c r="M291" s="1"/>
  <c r="G290"/>
  <c r="G289"/>
  <c r="E290"/>
  <c r="L289"/>
  <c r="K289"/>
  <c r="J289"/>
  <c r="I289"/>
  <c r="H289"/>
  <c r="F289"/>
  <c r="C289"/>
  <c r="B289"/>
  <c r="D288"/>
  <c r="M288" s="1"/>
  <c r="D287"/>
  <c r="M287"/>
  <c r="D286"/>
  <c r="M286" s="1"/>
  <c r="D285"/>
  <c r="M285"/>
  <c r="D284"/>
  <c r="M284" s="1"/>
  <c r="D283"/>
  <c r="M283" s="1"/>
  <c r="D282"/>
  <c r="M282" s="1"/>
  <c r="I281"/>
  <c r="I265" s="1"/>
  <c r="I264" s="1"/>
  <c r="H281"/>
  <c r="D280"/>
  <c r="M280" s="1"/>
  <c r="D279"/>
  <c r="M279"/>
  <c r="D278"/>
  <c r="M278" s="1"/>
  <c r="D277"/>
  <c r="M277"/>
  <c r="D276"/>
  <c r="M276" s="1"/>
  <c r="D275"/>
  <c r="M275" s="1"/>
  <c r="D274"/>
  <c r="M274" s="1"/>
  <c r="D273"/>
  <c r="M273" s="1"/>
  <c r="D272"/>
  <c r="M272" s="1"/>
  <c r="D271"/>
  <c r="M271"/>
  <c r="D270"/>
  <c r="M270" s="1"/>
  <c r="D269"/>
  <c r="M269"/>
  <c r="D268"/>
  <c r="M268" s="1"/>
  <c r="D267"/>
  <c r="M267" s="1"/>
  <c r="D266"/>
  <c r="M266" s="1"/>
  <c r="L265"/>
  <c r="L264" s="1"/>
  <c r="K265"/>
  <c r="J265"/>
  <c r="G265"/>
  <c r="G264" s="1"/>
  <c r="F265"/>
  <c r="F264" s="1"/>
  <c r="E265"/>
  <c r="C265"/>
  <c r="B265"/>
  <c r="D263"/>
  <c r="M263"/>
  <c r="D262"/>
  <c r="M262" s="1"/>
  <c r="D261"/>
  <c r="M261" s="1"/>
  <c r="D260"/>
  <c r="M260" s="1"/>
  <c r="D259"/>
  <c r="M259"/>
  <c r="D258"/>
  <c r="M258" s="1"/>
  <c r="D257"/>
  <c r="M257" s="1"/>
  <c r="D256"/>
  <c r="M256" s="1"/>
  <c r="D255"/>
  <c r="M255" s="1"/>
  <c r="D254"/>
  <c r="M254" s="1"/>
  <c r="D253"/>
  <c r="M253" s="1"/>
  <c r="D252"/>
  <c r="M252" s="1"/>
  <c r="D251"/>
  <c r="M251" s="1"/>
  <c r="D250"/>
  <c r="M250" s="1"/>
  <c r="H249"/>
  <c r="H242" s="1"/>
  <c r="D248"/>
  <c r="M248" s="1"/>
  <c r="D247"/>
  <c r="M247"/>
  <c r="D246"/>
  <c r="M246" s="1"/>
  <c r="D245"/>
  <c r="M245" s="1"/>
  <c r="D244"/>
  <c r="M244" s="1"/>
  <c r="D243"/>
  <c r="M243"/>
  <c r="L242"/>
  <c r="K242"/>
  <c r="J242"/>
  <c r="I242"/>
  <c r="G242"/>
  <c r="F242"/>
  <c r="E242"/>
  <c r="C242"/>
  <c r="B242"/>
  <c r="D241"/>
  <c r="M241" s="1"/>
  <c r="D240"/>
  <c r="M240"/>
  <c r="D239"/>
  <c r="M239" s="1"/>
  <c r="D238"/>
  <c r="M238" s="1"/>
  <c r="D237"/>
  <c r="M237" s="1"/>
  <c r="D236"/>
  <c r="M236" s="1"/>
  <c r="D235"/>
  <c r="M235" s="1"/>
  <c r="D234"/>
  <c r="M234" s="1"/>
  <c r="D233"/>
  <c r="M233" s="1"/>
  <c r="D232"/>
  <c r="M232" s="1"/>
  <c r="L231"/>
  <c r="K231"/>
  <c r="K230" s="1"/>
  <c r="J231"/>
  <c r="I231"/>
  <c r="H231"/>
  <c r="G231"/>
  <c r="G230" s="1"/>
  <c r="F231"/>
  <c r="E231"/>
  <c r="C231"/>
  <c r="B231"/>
  <c r="D229"/>
  <c r="M229" s="1"/>
  <c r="D228"/>
  <c r="M228" s="1"/>
  <c r="D227"/>
  <c r="M227" s="1"/>
  <c r="D226"/>
  <c r="M226" s="1"/>
  <c r="D225"/>
  <c r="M225" s="1"/>
  <c r="D224"/>
  <c r="M224" s="1"/>
  <c r="D223"/>
  <c r="M223"/>
  <c r="D222"/>
  <c r="M222" s="1"/>
  <c r="D221"/>
  <c r="M221" s="1"/>
  <c r="L220"/>
  <c r="L219" s="1"/>
  <c r="J220"/>
  <c r="J219"/>
  <c r="I220"/>
  <c r="I219" s="1"/>
  <c r="H220"/>
  <c r="H219" s="1"/>
  <c r="G220"/>
  <c r="G219"/>
  <c r="E220"/>
  <c r="E219" s="1"/>
  <c r="K219"/>
  <c r="F219"/>
  <c r="C219"/>
  <c r="B219"/>
  <c r="D218"/>
  <c r="M218" s="1"/>
  <c r="D217"/>
  <c r="M217" s="1"/>
  <c r="D216"/>
  <c r="M216" s="1"/>
  <c r="D215"/>
  <c r="M215" s="1"/>
  <c r="D214"/>
  <c r="M214" s="1"/>
  <c r="D213"/>
  <c r="M213" s="1"/>
  <c r="D212"/>
  <c r="M212" s="1"/>
  <c r="D211"/>
  <c r="M211" s="1"/>
  <c r="L210"/>
  <c r="K210"/>
  <c r="J210"/>
  <c r="J209" s="1"/>
  <c r="I210"/>
  <c r="I209" s="1"/>
  <c r="H210"/>
  <c r="H209" s="1"/>
  <c r="G210"/>
  <c r="F210"/>
  <c r="E210"/>
  <c r="C210"/>
  <c r="B210"/>
  <c r="B209"/>
  <c r="D208"/>
  <c r="M208" s="1"/>
  <c r="D207"/>
  <c r="M207"/>
  <c r="D206"/>
  <c r="M206" s="1"/>
  <c r="D205"/>
  <c r="M205"/>
  <c r="D204"/>
  <c r="M204"/>
  <c r="D203"/>
  <c r="M203"/>
  <c r="D202"/>
  <c r="M202"/>
  <c r="D201"/>
  <c r="M201"/>
  <c r="D200"/>
  <c r="M200"/>
  <c r="D199"/>
  <c r="M199"/>
  <c r="D198"/>
  <c r="M198"/>
  <c r="D197"/>
  <c r="M197"/>
  <c r="D196"/>
  <c r="M196"/>
  <c r="D195"/>
  <c r="M195"/>
  <c r="D194"/>
  <c r="M194"/>
  <c r="L193"/>
  <c r="K193"/>
  <c r="J193"/>
  <c r="I193"/>
  <c r="H193"/>
  <c r="G193"/>
  <c r="F193"/>
  <c r="E193"/>
  <c r="C193"/>
  <c r="B193"/>
  <c r="D192"/>
  <c r="M192"/>
  <c r="D191"/>
  <c r="M191"/>
  <c r="D190"/>
  <c r="M190"/>
  <c r="D189"/>
  <c r="M189"/>
  <c r="D188"/>
  <c r="M188"/>
  <c r="D187"/>
  <c r="M187"/>
  <c r="D186"/>
  <c r="M186"/>
  <c r="D185"/>
  <c r="M185"/>
  <c r="D184"/>
  <c r="M184"/>
  <c r="D183"/>
  <c r="M183"/>
  <c r="D182"/>
  <c r="M182"/>
  <c r="D181"/>
  <c r="M181"/>
  <c r="D180"/>
  <c r="M180"/>
  <c r="D179"/>
  <c r="M179"/>
  <c r="D178"/>
  <c r="M178"/>
  <c r="L177"/>
  <c r="L176"/>
  <c r="K177"/>
  <c r="J177"/>
  <c r="J176" s="1"/>
  <c r="I177"/>
  <c r="I176" s="1"/>
  <c r="H177"/>
  <c r="H176" s="1"/>
  <c r="G177"/>
  <c r="F177"/>
  <c r="F176" s="1"/>
  <c r="E177"/>
  <c r="E176"/>
  <c r="C177"/>
  <c r="C176" s="1"/>
  <c r="B177"/>
  <c r="D175"/>
  <c r="M175" s="1"/>
  <c r="D174"/>
  <c r="M174" s="1"/>
  <c r="D173"/>
  <c r="M173" s="1"/>
  <c r="D172"/>
  <c r="M172" s="1"/>
  <c r="D171"/>
  <c r="M171" s="1"/>
  <c r="D170"/>
  <c r="M170" s="1"/>
  <c r="D169"/>
  <c r="M169" s="1"/>
  <c r="D168"/>
  <c r="M168"/>
  <c r="D167"/>
  <c r="M167" s="1"/>
  <c r="D166"/>
  <c r="M166" s="1"/>
  <c r="D165"/>
  <c r="M165" s="1"/>
  <c r="D164"/>
  <c r="M164"/>
  <c r="D163"/>
  <c r="M163" s="1"/>
  <c r="D162"/>
  <c r="M162" s="1"/>
  <c r="D161"/>
  <c r="M161" s="1"/>
  <c r="D160"/>
  <c r="M160"/>
  <c r="D159"/>
  <c r="M159" s="1"/>
  <c r="D158"/>
  <c r="M158" s="1"/>
  <c r="D157"/>
  <c r="M157" s="1"/>
  <c r="L156"/>
  <c r="K156"/>
  <c r="J156"/>
  <c r="I156"/>
  <c r="H156"/>
  <c r="G156"/>
  <c r="F156"/>
  <c r="E156"/>
  <c r="C156"/>
  <c r="B156"/>
  <c r="D155"/>
  <c r="M155" s="1"/>
  <c r="D154"/>
  <c r="M154" s="1"/>
  <c r="D153"/>
  <c r="M153" s="1"/>
  <c r="D152"/>
  <c r="M152" s="1"/>
  <c r="D151"/>
  <c r="M151" s="1"/>
  <c r="D150"/>
  <c r="M150"/>
  <c r="D149"/>
  <c r="M149" s="1"/>
  <c r="D148"/>
  <c r="M148" s="1"/>
  <c r="L147"/>
  <c r="K147"/>
  <c r="J147"/>
  <c r="I147"/>
  <c r="H147"/>
  <c r="G147"/>
  <c r="G146" s="1"/>
  <c r="F147"/>
  <c r="E147"/>
  <c r="C147"/>
  <c r="C146" s="1"/>
  <c r="B147"/>
  <c r="B146" s="1"/>
  <c r="D145"/>
  <c r="M145" s="1"/>
  <c r="D144"/>
  <c r="M144"/>
  <c r="D143"/>
  <c r="M143" s="1"/>
  <c r="D142"/>
  <c r="M142" s="1"/>
  <c r="D141"/>
  <c r="M141" s="1"/>
  <c r="D140"/>
  <c r="M140"/>
  <c r="D139"/>
  <c r="M139" s="1"/>
  <c r="D138"/>
  <c r="M138"/>
  <c r="D137"/>
  <c r="M137" s="1"/>
  <c r="D136"/>
  <c r="M136"/>
  <c r="D135"/>
  <c r="M135" s="1"/>
  <c r="D134"/>
  <c r="M134" s="1"/>
  <c r="D133"/>
  <c r="M133" s="1"/>
  <c r="D132"/>
  <c r="M132"/>
  <c r="D131"/>
  <c r="M131" s="1"/>
  <c r="D130"/>
  <c r="M130"/>
  <c r="D129"/>
  <c r="M129" s="1"/>
  <c r="D128"/>
  <c r="M128"/>
  <c r="D127"/>
  <c r="M127" s="1"/>
  <c r="L126"/>
  <c r="K126"/>
  <c r="J126"/>
  <c r="I126"/>
  <c r="H126"/>
  <c r="G126"/>
  <c r="F126"/>
  <c r="E126"/>
  <c r="C126"/>
  <c r="B126"/>
  <c r="D125"/>
  <c r="M125" s="1"/>
  <c r="D124"/>
  <c r="M124"/>
  <c r="D123"/>
  <c r="M123" s="1"/>
  <c r="D122"/>
  <c r="M122"/>
  <c r="D121"/>
  <c r="M121" s="1"/>
  <c r="D120"/>
  <c r="M120"/>
  <c r="D119"/>
  <c r="M119" s="1"/>
  <c r="D118"/>
  <c r="M118" s="1"/>
  <c r="D117"/>
  <c r="M117" s="1"/>
  <c r="D116"/>
  <c r="M116"/>
  <c r="D115"/>
  <c r="M115" s="1"/>
  <c r="L114"/>
  <c r="L113" s="1"/>
  <c r="K114"/>
  <c r="J114"/>
  <c r="I114"/>
  <c r="H114"/>
  <c r="H113" s="1"/>
  <c r="G114"/>
  <c r="G113" s="1"/>
  <c r="F114"/>
  <c r="F113" s="1"/>
  <c r="E114"/>
  <c r="C114"/>
  <c r="C113" s="1"/>
  <c r="B114"/>
  <c r="B113" s="1"/>
  <c r="J113"/>
  <c r="D112"/>
  <c r="M112" s="1"/>
  <c r="D111"/>
  <c r="M111" s="1"/>
  <c r="D110"/>
  <c r="M110" s="1"/>
  <c r="D109"/>
  <c r="M109" s="1"/>
  <c r="D108"/>
  <c r="M108" s="1"/>
  <c r="D107"/>
  <c r="M107" s="1"/>
  <c r="D106"/>
  <c r="M106" s="1"/>
  <c r="D105"/>
  <c r="M105" s="1"/>
  <c r="D104"/>
  <c r="M104" s="1"/>
  <c r="D103"/>
  <c r="M103" s="1"/>
  <c r="D102"/>
  <c r="M102" s="1"/>
  <c r="D101"/>
  <c r="M101" s="1"/>
  <c r="D100"/>
  <c r="M100" s="1"/>
  <c r="D99"/>
  <c r="M99" s="1"/>
  <c r="D98"/>
  <c r="M98" s="1"/>
  <c r="D97"/>
  <c r="M97" s="1"/>
  <c r="D96"/>
  <c r="M96" s="1"/>
  <c r="L95"/>
  <c r="L52" s="1"/>
  <c r="K95"/>
  <c r="J95"/>
  <c r="I95"/>
  <c r="H95"/>
  <c r="G95"/>
  <c r="F95"/>
  <c r="E95"/>
  <c r="D95"/>
  <c r="C95"/>
  <c r="B95"/>
  <c r="D94"/>
  <c r="M94"/>
  <c r="D93"/>
  <c r="M93"/>
  <c r="D92"/>
  <c r="M92"/>
  <c r="D91"/>
  <c r="M91"/>
  <c r="D90"/>
  <c r="M90"/>
  <c r="D89"/>
  <c r="M89"/>
  <c r="D88"/>
  <c r="M88"/>
  <c r="D87"/>
  <c r="M87"/>
  <c r="D86"/>
  <c r="M86"/>
  <c r="D85"/>
  <c r="M85"/>
  <c r="D84"/>
  <c r="M84"/>
  <c r="D83"/>
  <c r="M83"/>
  <c r="D82"/>
  <c r="M82"/>
  <c r="D81"/>
  <c r="M81"/>
  <c r="D80"/>
  <c r="M80"/>
  <c r="D79"/>
  <c r="M79"/>
  <c r="D78"/>
  <c r="M78"/>
  <c r="D77"/>
  <c r="M77"/>
  <c r="D76"/>
  <c r="M76"/>
  <c r="D75"/>
  <c r="M75"/>
  <c r="D74"/>
  <c r="M74"/>
  <c r="D73"/>
  <c r="M73"/>
  <c r="D72"/>
  <c r="M72"/>
  <c r="D71"/>
  <c r="M71"/>
  <c r="D70"/>
  <c r="M70"/>
  <c r="D69"/>
  <c r="M69"/>
  <c r="D68"/>
  <c r="M68"/>
  <c r="J67"/>
  <c r="J53"/>
  <c r="J52" s="1"/>
  <c r="I67"/>
  <c r="I53" s="1"/>
  <c r="H67"/>
  <c r="D67" s="1"/>
  <c r="M67" s="1"/>
  <c r="E67"/>
  <c r="D66"/>
  <c r="C66"/>
  <c r="C53" s="1"/>
  <c r="D65"/>
  <c r="M65"/>
  <c r="D64"/>
  <c r="M64" s="1"/>
  <c r="D63"/>
  <c r="M63" s="1"/>
  <c r="H62"/>
  <c r="D61"/>
  <c r="M61"/>
  <c r="D60"/>
  <c r="M60" s="1"/>
  <c r="D59"/>
  <c r="M59"/>
  <c r="G58"/>
  <c r="G53" s="1"/>
  <c r="G52" s="1"/>
  <c r="E58"/>
  <c r="D57"/>
  <c r="M57"/>
  <c r="D56"/>
  <c r="M56"/>
  <c r="D55"/>
  <c r="M55"/>
  <c r="D54"/>
  <c r="M54"/>
  <c r="L53"/>
  <c r="K53"/>
  <c r="K52" s="1"/>
  <c r="F53"/>
  <c r="F52"/>
  <c r="B53"/>
  <c r="B52" s="1"/>
  <c r="D51"/>
  <c r="M51"/>
  <c r="D50"/>
  <c r="M50" s="1"/>
  <c r="D49"/>
  <c r="M49"/>
  <c r="D48"/>
  <c r="M48" s="1"/>
  <c r="D47"/>
  <c r="M47"/>
  <c r="D46"/>
  <c r="M46" s="1"/>
  <c r="L45"/>
  <c r="K45"/>
  <c r="J45"/>
  <c r="I45"/>
  <c r="H45"/>
  <c r="G45"/>
  <c r="F45"/>
  <c r="E45"/>
  <c r="C45"/>
  <c r="B45"/>
  <c r="D44"/>
  <c r="M44" s="1"/>
  <c r="D43"/>
  <c r="M43"/>
  <c r="D42"/>
  <c r="M42" s="1"/>
  <c r="L41"/>
  <c r="K41"/>
  <c r="J41"/>
  <c r="I41"/>
  <c r="H41"/>
  <c r="G41"/>
  <c r="F41"/>
  <c r="E41"/>
  <c r="C41"/>
  <c r="B41"/>
  <c r="D40"/>
  <c r="M40" s="1"/>
  <c r="D39"/>
  <c r="M39" s="1"/>
  <c r="D38"/>
  <c r="M38" s="1"/>
  <c r="D37"/>
  <c r="M37" s="1"/>
  <c r="D36"/>
  <c r="M36" s="1"/>
  <c r="D35"/>
  <c r="M35" s="1"/>
  <c r="D34"/>
  <c r="M34" s="1"/>
  <c r="D33"/>
  <c r="M33" s="1"/>
  <c r="D32"/>
  <c r="M32" s="1"/>
  <c r="L31"/>
  <c r="K31"/>
  <c r="J31"/>
  <c r="I31"/>
  <c r="H31"/>
  <c r="G31"/>
  <c r="F31"/>
  <c r="E31"/>
  <c r="D31" s="1"/>
  <c r="M31" s="1"/>
  <c r="C31"/>
  <c r="B31"/>
  <c r="D30"/>
  <c r="M30" s="1"/>
  <c r="D29"/>
  <c r="M29" s="1"/>
  <c r="D28"/>
  <c r="M28" s="1"/>
  <c r="D27"/>
  <c r="M27" s="1"/>
  <c r="D26"/>
  <c r="M26" s="1"/>
  <c r="D25"/>
  <c r="M25" s="1"/>
  <c r="L24"/>
  <c r="K24"/>
  <c r="J24"/>
  <c r="I24"/>
  <c r="H24"/>
  <c r="G24"/>
  <c r="F24"/>
  <c r="D24" s="1"/>
  <c r="M24" s="1"/>
  <c r="E24"/>
  <c r="C24"/>
  <c r="B24"/>
  <c r="D23"/>
  <c r="M23" s="1"/>
  <c r="D22"/>
  <c r="M22" s="1"/>
  <c r="D21"/>
  <c r="M21" s="1"/>
  <c r="D20"/>
  <c r="M20" s="1"/>
  <c r="D19"/>
  <c r="M19" s="1"/>
  <c r="D18"/>
  <c r="M18" s="1"/>
  <c r="D17"/>
  <c r="M17" s="1"/>
  <c r="D16"/>
  <c r="M16" s="1"/>
  <c r="D15"/>
  <c r="M15" s="1"/>
  <c r="D14"/>
  <c r="M14" s="1"/>
  <c r="D13"/>
  <c r="M13" s="1"/>
  <c r="L12"/>
  <c r="K12"/>
  <c r="J12"/>
  <c r="I12"/>
  <c r="H12"/>
  <c r="G12"/>
  <c r="F12"/>
  <c r="E12"/>
  <c r="C12"/>
  <c r="B12"/>
  <c r="D11"/>
  <c r="M11" s="1"/>
  <c r="D10"/>
  <c r="M10" s="1"/>
  <c r="D9"/>
  <c r="M9" s="1"/>
  <c r="D8"/>
  <c r="M8" s="1"/>
  <c r="L7"/>
  <c r="K7"/>
  <c r="J7"/>
  <c r="I7"/>
  <c r="H7"/>
  <c r="G7"/>
  <c r="F7"/>
  <c r="E7"/>
  <c r="C7"/>
  <c r="B7"/>
  <c r="C240" i="56"/>
  <c r="K240" s="1"/>
  <c r="C239"/>
  <c r="K239" s="1"/>
  <c r="J238"/>
  <c r="I238"/>
  <c r="H238"/>
  <c r="G238"/>
  <c r="F238"/>
  <c r="E238"/>
  <c r="D238"/>
  <c r="B238"/>
  <c r="C237"/>
  <c r="K237" s="1"/>
  <c r="C236"/>
  <c r="K236" s="1"/>
  <c r="C235"/>
  <c r="K235" s="1"/>
  <c r="C234"/>
  <c r="K234" s="1"/>
  <c r="C233"/>
  <c r="K233" s="1"/>
  <c r="C232"/>
  <c r="K232" s="1"/>
  <c r="C231"/>
  <c r="K231" s="1"/>
  <c r="C230"/>
  <c r="K230" s="1"/>
  <c r="C229"/>
  <c r="K229" s="1"/>
  <c r="C228"/>
  <c r="K228" s="1"/>
  <c r="J227"/>
  <c r="I227"/>
  <c r="H227"/>
  <c r="H217" s="1"/>
  <c r="G227"/>
  <c r="G217" s="1"/>
  <c r="F227"/>
  <c r="E227"/>
  <c r="D227"/>
  <c r="B227"/>
  <c r="C226"/>
  <c r="K226"/>
  <c r="C225"/>
  <c r="K225" s="1"/>
  <c r="J224"/>
  <c r="C224" s="1"/>
  <c r="K224" s="1"/>
  <c r="C223"/>
  <c r="K223"/>
  <c r="C222"/>
  <c r="K222"/>
  <c r="C221"/>
  <c r="K221"/>
  <c r="C220"/>
  <c r="K220"/>
  <c r="C219"/>
  <c r="K219"/>
  <c r="I218"/>
  <c r="I217"/>
  <c r="H218"/>
  <c r="G218"/>
  <c r="F218"/>
  <c r="F217" s="1"/>
  <c r="E218"/>
  <c r="E217"/>
  <c r="D218"/>
  <c r="B218"/>
  <c r="C216"/>
  <c r="C215"/>
  <c r="K215"/>
  <c r="C214"/>
  <c r="K214"/>
  <c r="C213"/>
  <c r="K213"/>
  <c r="C212"/>
  <c r="K212"/>
  <c r="C211"/>
  <c r="K211"/>
  <c r="C210"/>
  <c r="K210"/>
  <c r="C209"/>
  <c r="K209"/>
  <c r="C208"/>
  <c r="K208"/>
  <c r="C207"/>
  <c r="K207"/>
  <c r="C206"/>
  <c r="K206"/>
  <c r="C205"/>
  <c r="K205"/>
  <c r="C204"/>
  <c r="J203"/>
  <c r="I203"/>
  <c r="H203"/>
  <c r="G203"/>
  <c r="F203"/>
  <c r="E203"/>
  <c r="D203"/>
  <c r="B203"/>
  <c r="C202"/>
  <c r="K202" s="1"/>
  <c r="C201"/>
  <c r="K201" s="1"/>
  <c r="C200"/>
  <c r="K200" s="1"/>
  <c r="C199"/>
  <c r="K199" s="1"/>
  <c r="C198"/>
  <c r="K198" s="1"/>
  <c r="C197"/>
  <c r="K197"/>
  <c r="C196"/>
  <c r="K196" s="1"/>
  <c r="C195"/>
  <c r="K195" s="1"/>
  <c r="C194"/>
  <c r="K194" s="1"/>
  <c r="C193"/>
  <c r="K193" s="1"/>
  <c r="J192"/>
  <c r="I192"/>
  <c r="I191"/>
  <c r="H192"/>
  <c r="G192"/>
  <c r="G191" s="1"/>
  <c r="F192"/>
  <c r="E192"/>
  <c r="D192"/>
  <c r="D191" s="1"/>
  <c r="B192"/>
  <c r="C190"/>
  <c r="K190" s="1"/>
  <c r="C189"/>
  <c r="K189" s="1"/>
  <c r="C188"/>
  <c r="K188" s="1"/>
  <c r="C187"/>
  <c r="K187" s="1"/>
  <c r="C186"/>
  <c r="K186" s="1"/>
  <c r="C185"/>
  <c r="K185" s="1"/>
  <c r="C184"/>
  <c r="K184"/>
  <c r="C183"/>
  <c r="K183" s="1"/>
  <c r="C182"/>
  <c r="K182" s="1"/>
  <c r="C181"/>
  <c r="K181" s="1"/>
  <c r="C180"/>
  <c r="K180" s="1"/>
  <c r="C179"/>
  <c r="K179" s="1"/>
  <c r="C178"/>
  <c r="K178" s="1"/>
  <c r="C177"/>
  <c r="K177" s="1"/>
  <c r="C176"/>
  <c r="K176"/>
  <c r="C175"/>
  <c r="K175" s="1"/>
  <c r="C174"/>
  <c r="K174" s="1"/>
  <c r="J173"/>
  <c r="I173"/>
  <c r="H173"/>
  <c r="H166" s="1"/>
  <c r="G173"/>
  <c r="F173"/>
  <c r="E173"/>
  <c r="C173" s="1"/>
  <c r="K173" s="1"/>
  <c r="D173"/>
  <c r="B173"/>
  <c r="C172"/>
  <c r="K172" s="1"/>
  <c r="C171"/>
  <c r="K171"/>
  <c r="C170"/>
  <c r="K170" s="1"/>
  <c r="C169"/>
  <c r="K169" s="1"/>
  <c r="C168"/>
  <c r="K168" s="1"/>
  <c r="J167"/>
  <c r="I167"/>
  <c r="I166" s="1"/>
  <c r="H167"/>
  <c r="G167"/>
  <c r="G166" s="1"/>
  <c r="F167"/>
  <c r="F166" s="1"/>
  <c r="E167"/>
  <c r="D167"/>
  <c r="B167"/>
  <c r="C165"/>
  <c r="K165" s="1"/>
  <c r="C164"/>
  <c r="K164"/>
  <c r="C163"/>
  <c r="K163" s="1"/>
  <c r="C162"/>
  <c r="K162" s="1"/>
  <c r="C161"/>
  <c r="K161" s="1"/>
  <c r="C160"/>
  <c r="K160"/>
  <c r="C159"/>
  <c r="K159" s="1"/>
  <c r="C158"/>
  <c r="K158"/>
  <c r="J157"/>
  <c r="I157"/>
  <c r="H157"/>
  <c r="G157"/>
  <c r="F157"/>
  <c r="E157"/>
  <c r="D157"/>
  <c r="B157"/>
  <c r="C156"/>
  <c r="K156" s="1"/>
  <c r="C155"/>
  <c r="K155"/>
  <c r="C154"/>
  <c r="K154" s="1"/>
  <c r="C153"/>
  <c r="C152"/>
  <c r="C151"/>
  <c r="K151" s="1"/>
  <c r="J150"/>
  <c r="I150"/>
  <c r="I149" s="1"/>
  <c r="H150"/>
  <c r="H149" s="1"/>
  <c r="G150"/>
  <c r="G149" s="1"/>
  <c r="F150"/>
  <c r="F149" s="1"/>
  <c r="E150"/>
  <c r="D150"/>
  <c r="B150"/>
  <c r="B149" s="1"/>
  <c r="E149"/>
  <c r="C148"/>
  <c r="K148" s="1"/>
  <c r="C147"/>
  <c r="K147"/>
  <c r="C146"/>
  <c r="K146" s="1"/>
  <c r="C145"/>
  <c r="K145"/>
  <c r="C144"/>
  <c r="K144" s="1"/>
  <c r="C143"/>
  <c r="K143" s="1"/>
  <c r="C142"/>
  <c r="K142" s="1"/>
  <c r="C141"/>
  <c r="K141"/>
  <c r="C140"/>
  <c r="K140" s="1"/>
  <c r="J139"/>
  <c r="I139"/>
  <c r="H139"/>
  <c r="G139"/>
  <c r="F139"/>
  <c r="E139"/>
  <c r="D139"/>
  <c r="C139" s="1"/>
  <c r="B139"/>
  <c r="C138"/>
  <c r="K138" s="1"/>
  <c r="C137"/>
  <c r="K137" s="1"/>
  <c r="C136"/>
  <c r="K136" s="1"/>
  <c r="C135"/>
  <c r="K135" s="1"/>
  <c r="C134"/>
  <c r="K134" s="1"/>
  <c r="C133"/>
  <c r="K133" s="1"/>
  <c r="C132"/>
  <c r="K132" s="1"/>
  <c r="J131"/>
  <c r="J130" s="1"/>
  <c r="I131"/>
  <c r="I130" s="1"/>
  <c r="H131"/>
  <c r="G131"/>
  <c r="G130"/>
  <c r="F131"/>
  <c r="F130" s="1"/>
  <c r="E131"/>
  <c r="E130" s="1"/>
  <c r="D131"/>
  <c r="B131"/>
  <c r="C129"/>
  <c r="K129" s="1"/>
  <c r="C128"/>
  <c r="K128" s="1"/>
  <c r="C127"/>
  <c r="K127"/>
  <c r="C126"/>
  <c r="K126" s="1"/>
  <c r="C125"/>
  <c r="K125"/>
  <c r="C124"/>
  <c r="K124" s="1"/>
  <c r="C123"/>
  <c r="K123"/>
  <c r="C122"/>
  <c r="K122" s="1"/>
  <c r="C121"/>
  <c r="K121" s="1"/>
  <c r="J120"/>
  <c r="I120"/>
  <c r="H120"/>
  <c r="G120"/>
  <c r="F120"/>
  <c r="E120"/>
  <c r="D120"/>
  <c r="C120" s="1"/>
  <c r="K120" s="1"/>
  <c r="B120"/>
  <c r="C119"/>
  <c r="K119"/>
  <c r="C118"/>
  <c r="K118" s="1"/>
  <c r="C117"/>
  <c r="K117" s="1"/>
  <c r="J116"/>
  <c r="J115" s="1"/>
  <c r="I116"/>
  <c r="I115" s="1"/>
  <c r="H116"/>
  <c r="G116"/>
  <c r="F116"/>
  <c r="F115" s="1"/>
  <c r="E116"/>
  <c r="E115" s="1"/>
  <c r="D116"/>
  <c r="B116"/>
  <c r="B115" s="1"/>
  <c r="H115"/>
  <c r="C114"/>
  <c r="K114" s="1"/>
  <c r="C113"/>
  <c r="K113"/>
  <c r="C112"/>
  <c r="K112" s="1"/>
  <c r="C111"/>
  <c r="K111"/>
  <c r="C110"/>
  <c r="K110" s="1"/>
  <c r="C109"/>
  <c r="K109" s="1"/>
  <c r="C108"/>
  <c r="K108" s="1"/>
  <c r="C107"/>
  <c r="K107"/>
  <c r="C106"/>
  <c r="K106" s="1"/>
  <c r="C105"/>
  <c r="K105"/>
  <c r="C104"/>
  <c r="K104" s="1"/>
  <c r="J103"/>
  <c r="I103"/>
  <c r="H103"/>
  <c r="G103"/>
  <c r="F103"/>
  <c r="E103"/>
  <c r="D103"/>
  <c r="B103"/>
  <c r="C102"/>
  <c r="K102" s="1"/>
  <c r="C101"/>
  <c r="K101" s="1"/>
  <c r="C100"/>
  <c r="K100" s="1"/>
  <c r="C99"/>
  <c r="C98"/>
  <c r="K98"/>
  <c r="C97"/>
  <c r="K97" s="1"/>
  <c r="C96"/>
  <c r="K96" s="1"/>
  <c r="J95"/>
  <c r="J94" s="1"/>
  <c r="I95"/>
  <c r="H95"/>
  <c r="H94" s="1"/>
  <c r="G95"/>
  <c r="F95"/>
  <c r="E95"/>
  <c r="E94" s="1"/>
  <c r="D95"/>
  <c r="B95"/>
  <c r="B94"/>
  <c r="C93"/>
  <c r="K93"/>
  <c r="C92"/>
  <c r="K92"/>
  <c r="C91"/>
  <c r="K91"/>
  <c r="C90"/>
  <c r="K90"/>
  <c r="J89"/>
  <c r="I89"/>
  <c r="H89"/>
  <c r="H60" s="1"/>
  <c r="G89"/>
  <c r="F89"/>
  <c r="E89"/>
  <c r="D89"/>
  <c r="B89"/>
  <c r="B60" s="1"/>
  <c r="C88"/>
  <c r="K88" s="1"/>
  <c r="C87"/>
  <c r="K87" s="1"/>
  <c r="C86"/>
  <c r="K86" s="1"/>
  <c r="C85"/>
  <c r="K85" s="1"/>
  <c r="C84"/>
  <c r="K84" s="1"/>
  <c r="C83"/>
  <c r="K83" s="1"/>
  <c r="C82"/>
  <c r="K82" s="1"/>
  <c r="C81"/>
  <c r="K81" s="1"/>
  <c r="C80"/>
  <c r="K80" s="1"/>
  <c r="C79"/>
  <c r="K79" s="1"/>
  <c r="C78"/>
  <c r="K78" s="1"/>
  <c r="C77"/>
  <c r="K77"/>
  <c r="C76"/>
  <c r="K76" s="1"/>
  <c r="C75"/>
  <c r="K75" s="1"/>
  <c r="C74"/>
  <c r="K74" s="1"/>
  <c r="C73"/>
  <c r="K73" s="1"/>
  <c r="C72"/>
  <c r="K72" s="1"/>
  <c r="C71"/>
  <c r="K71" s="1"/>
  <c r="C70"/>
  <c r="K70" s="1"/>
  <c r="C69"/>
  <c r="K69"/>
  <c r="C68"/>
  <c r="K68" s="1"/>
  <c r="C67"/>
  <c r="K67" s="1"/>
  <c r="C66"/>
  <c r="K66" s="1"/>
  <c r="C65"/>
  <c r="K65" s="1"/>
  <c r="C64"/>
  <c r="K64" s="1"/>
  <c r="C63"/>
  <c r="K63" s="1"/>
  <c r="C62"/>
  <c r="K62" s="1"/>
  <c r="J61"/>
  <c r="J60"/>
  <c r="I61"/>
  <c r="H61"/>
  <c r="G61"/>
  <c r="F61"/>
  <c r="E61"/>
  <c r="D61"/>
  <c r="B61"/>
  <c r="E60"/>
  <c r="C59"/>
  <c r="C58"/>
  <c r="K58"/>
  <c r="C57"/>
  <c r="K57" s="1"/>
  <c r="C56"/>
  <c r="K56"/>
  <c r="C55"/>
  <c r="K55" s="1"/>
  <c r="C54"/>
  <c r="K54" s="1"/>
  <c r="J53"/>
  <c r="I53"/>
  <c r="H53"/>
  <c r="G53"/>
  <c r="F53"/>
  <c r="E53"/>
  <c r="D53"/>
  <c r="B53"/>
  <c r="C52"/>
  <c r="K52"/>
  <c r="C51"/>
  <c r="K51" s="1"/>
  <c r="C50"/>
  <c r="K50"/>
  <c r="C49"/>
  <c r="K49" s="1"/>
  <c r="C48"/>
  <c r="K48" s="1"/>
  <c r="J47"/>
  <c r="I47"/>
  <c r="H47"/>
  <c r="G47"/>
  <c r="F47"/>
  <c r="E47"/>
  <c r="D47"/>
  <c r="B47"/>
  <c r="C46"/>
  <c r="K46" s="1"/>
  <c r="C45"/>
  <c r="K45" s="1"/>
  <c r="C44"/>
  <c r="K44" s="1"/>
  <c r="C43"/>
  <c r="K43" s="1"/>
  <c r="C42"/>
  <c r="K42" s="1"/>
  <c r="C41"/>
  <c r="K41" s="1"/>
  <c r="C40"/>
  <c r="K40" s="1"/>
  <c r="C39"/>
  <c r="K39" s="1"/>
  <c r="C38"/>
  <c r="K38" s="1"/>
  <c r="C37"/>
  <c r="K37" s="1"/>
  <c r="J36"/>
  <c r="I36"/>
  <c r="H36"/>
  <c r="G36"/>
  <c r="F36"/>
  <c r="E36"/>
  <c r="D36"/>
  <c r="B36"/>
  <c r="C35"/>
  <c r="K35" s="1"/>
  <c r="C34"/>
  <c r="K34"/>
  <c r="C33"/>
  <c r="K33" s="1"/>
  <c r="C32"/>
  <c r="K32" s="1"/>
  <c r="C31"/>
  <c r="K31" s="1"/>
  <c r="C30"/>
  <c r="K30"/>
  <c r="C29"/>
  <c r="K29" s="1"/>
  <c r="C28"/>
  <c r="K28"/>
  <c r="C27"/>
  <c r="J26"/>
  <c r="I26"/>
  <c r="H26"/>
  <c r="G26"/>
  <c r="F26"/>
  <c r="E26"/>
  <c r="D26"/>
  <c r="B26"/>
  <c r="C25"/>
  <c r="K25" s="1"/>
  <c r="C24"/>
  <c r="K24" s="1"/>
  <c r="C23"/>
  <c r="K23" s="1"/>
  <c r="C22"/>
  <c r="K22" s="1"/>
  <c r="C21"/>
  <c r="K21" s="1"/>
  <c r="C20"/>
  <c r="K20" s="1"/>
  <c r="C19"/>
  <c r="K19" s="1"/>
  <c r="C18"/>
  <c r="K18" s="1"/>
  <c r="C17"/>
  <c r="K17" s="1"/>
  <c r="C16"/>
  <c r="K16" s="1"/>
  <c r="C15"/>
  <c r="K15" s="1"/>
  <c r="C14"/>
  <c r="K14" s="1"/>
  <c r="J13"/>
  <c r="E13"/>
  <c r="D13"/>
  <c r="C13" s="1"/>
  <c r="B13"/>
  <c r="C12"/>
  <c r="K12" s="1"/>
  <c r="C11"/>
  <c r="K11" s="1"/>
  <c r="C10"/>
  <c r="K10" s="1"/>
  <c r="C9"/>
  <c r="K9" s="1"/>
  <c r="C8"/>
  <c r="J7"/>
  <c r="I7"/>
  <c r="H7"/>
  <c r="G7"/>
  <c r="F7"/>
  <c r="E7"/>
  <c r="D7"/>
  <c r="C7" s="1"/>
  <c r="K7" s="1"/>
  <c r="B7"/>
  <c r="D350" i="53"/>
  <c r="C350" s="1"/>
  <c r="D349"/>
  <c r="C349"/>
  <c r="D348"/>
  <c r="C348" s="1"/>
  <c r="D347"/>
  <c r="C347"/>
  <c r="D346"/>
  <c r="C346" s="1"/>
  <c r="J345"/>
  <c r="I345"/>
  <c r="H345"/>
  <c r="G345"/>
  <c r="F345"/>
  <c r="E345"/>
  <c r="B345"/>
  <c r="D344"/>
  <c r="C344" s="1"/>
  <c r="D343"/>
  <c r="C343" s="1"/>
  <c r="D342"/>
  <c r="C342" s="1"/>
  <c r="D341"/>
  <c r="C341" s="1"/>
  <c r="D340"/>
  <c r="C340" s="1"/>
  <c r="D339"/>
  <c r="C339" s="1"/>
  <c r="D338"/>
  <c r="C338" s="1"/>
  <c r="D337"/>
  <c r="C337" s="1"/>
  <c r="D336"/>
  <c r="C336" s="1"/>
  <c r="D335"/>
  <c r="C335" s="1"/>
  <c r="D334"/>
  <c r="C334" s="1"/>
  <c r="D333"/>
  <c r="C333" s="1"/>
  <c r="D332"/>
  <c r="C332" s="1"/>
  <c r="D331"/>
  <c r="C331" s="1"/>
  <c r="J330"/>
  <c r="I330"/>
  <c r="H330"/>
  <c r="G330"/>
  <c r="F330"/>
  <c r="E330"/>
  <c r="B330"/>
  <c r="B311" s="1"/>
  <c r="D329"/>
  <c r="C329" s="1"/>
  <c r="D328"/>
  <c r="C328"/>
  <c r="D327"/>
  <c r="C327" s="1"/>
  <c r="D326"/>
  <c r="C326"/>
  <c r="D325"/>
  <c r="C325" s="1"/>
  <c r="D324"/>
  <c r="C324" s="1"/>
  <c r="D323"/>
  <c r="C323" s="1"/>
  <c r="D322"/>
  <c r="C322"/>
  <c r="D321"/>
  <c r="C321" s="1"/>
  <c r="D320"/>
  <c r="C320"/>
  <c r="D319"/>
  <c r="C319" s="1"/>
  <c r="D318"/>
  <c r="C318"/>
  <c r="D317"/>
  <c r="C317" s="1"/>
  <c r="D316"/>
  <c r="C316" s="1"/>
  <c r="D315"/>
  <c r="C315" s="1"/>
  <c r="D314"/>
  <c r="C314"/>
  <c r="D313"/>
  <c r="C313" s="1"/>
  <c r="J312"/>
  <c r="J311"/>
  <c r="I312"/>
  <c r="I311" s="1"/>
  <c r="H312"/>
  <c r="G312"/>
  <c r="G311" s="1"/>
  <c r="F312"/>
  <c r="F311" s="1"/>
  <c r="E312"/>
  <c r="D312" s="1"/>
  <c r="C312" s="1"/>
  <c r="B312"/>
  <c r="D310"/>
  <c r="C310" s="1"/>
  <c r="D309"/>
  <c r="C309"/>
  <c r="D308"/>
  <c r="C308" s="1"/>
  <c r="D307"/>
  <c r="C307" s="1"/>
  <c r="D306"/>
  <c r="C306" s="1"/>
  <c r="D305"/>
  <c r="C305"/>
  <c r="D304"/>
  <c r="C304" s="1"/>
  <c r="D302"/>
  <c r="C302"/>
  <c r="D300"/>
  <c r="C300" s="1"/>
  <c r="D299"/>
  <c r="C299"/>
  <c r="D298"/>
  <c r="C298" s="1"/>
  <c r="D297"/>
  <c r="C297" s="1"/>
  <c r="J296"/>
  <c r="I296"/>
  <c r="H296"/>
  <c r="H271" s="1"/>
  <c r="G296"/>
  <c r="F296"/>
  <c r="E296"/>
  <c r="B296"/>
  <c r="D295"/>
  <c r="C295" s="1"/>
  <c r="D294"/>
  <c r="C294"/>
  <c r="D293"/>
  <c r="C293" s="1"/>
  <c r="D292"/>
  <c r="C292"/>
  <c r="D291"/>
  <c r="C291" s="1"/>
  <c r="D290"/>
  <c r="C290" s="1"/>
  <c r="D289"/>
  <c r="C289" s="1"/>
  <c r="D288"/>
  <c r="C288"/>
  <c r="D287"/>
  <c r="C287" s="1"/>
  <c r="D286"/>
  <c r="C286"/>
  <c r="D285"/>
  <c r="C285" s="1"/>
  <c r="D284"/>
  <c r="C284"/>
  <c r="D283"/>
  <c r="C283" s="1"/>
  <c r="D282"/>
  <c r="C282" s="1"/>
  <c r="D281"/>
  <c r="C281" s="1"/>
  <c r="D280"/>
  <c r="C280"/>
  <c r="D279"/>
  <c r="C279" s="1"/>
  <c r="D278"/>
  <c r="C278"/>
  <c r="D277"/>
  <c r="C277" s="1"/>
  <c r="D276"/>
  <c r="C276"/>
  <c r="D275"/>
  <c r="C275" s="1"/>
  <c r="D274"/>
  <c r="C274" s="1"/>
  <c r="D273"/>
  <c r="C273" s="1"/>
  <c r="J272"/>
  <c r="J271" s="1"/>
  <c r="I272"/>
  <c r="I271" s="1"/>
  <c r="H272"/>
  <c r="G272"/>
  <c r="G271" s="1"/>
  <c r="F272"/>
  <c r="F271" s="1"/>
  <c r="E272"/>
  <c r="B272"/>
  <c r="D270"/>
  <c r="C270"/>
  <c r="D269"/>
  <c r="C269" s="1"/>
  <c r="D268"/>
  <c r="C268"/>
  <c r="D267"/>
  <c r="C267" s="1"/>
  <c r="D266"/>
  <c r="C266"/>
  <c r="D265"/>
  <c r="C265" s="1"/>
  <c r="D264"/>
  <c r="C264" s="1"/>
  <c r="D263"/>
  <c r="C263" s="1"/>
  <c r="D262"/>
  <c r="C262"/>
  <c r="D261"/>
  <c r="C261" s="1"/>
  <c r="D260"/>
  <c r="C260"/>
  <c r="D259"/>
  <c r="C259" s="1"/>
  <c r="D258"/>
  <c r="C258"/>
  <c r="D257"/>
  <c r="C257" s="1"/>
  <c r="D256"/>
  <c r="C256" s="1"/>
  <c r="D255"/>
  <c r="C255" s="1"/>
  <c r="D254"/>
  <c r="C254"/>
  <c r="D253"/>
  <c r="C253" s="1"/>
  <c r="D252"/>
  <c r="C252"/>
  <c r="D251"/>
  <c r="C251" s="1"/>
  <c r="D250"/>
  <c r="C250"/>
  <c r="D249"/>
  <c r="C249" s="1"/>
  <c r="D248"/>
  <c r="C248" s="1"/>
  <c r="D247"/>
  <c r="C247" s="1"/>
  <c r="D246"/>
  <c r="C246"/>
  <c r="D245"/>
  <c r="C245" s="1"/>
  <c r="J244"/>
  <c r="I244"/>
  <c r="H244"/>
  <c r="H233" s="1"/>
  <c r="G244"/>
  <c r="F244"/>
  <c r="E244"/>
  <c r="B244"/>
  <c r="D243"/>
  <c r="C243" s="1"/>
  <c r="D242"/>
  <c r="C242"/>
  <c r="D241"/>
  <c r="C241" s="1"/>
  <c r="D240"/>
  <c r="C240"/>
  <c r="D239"/>
  <c r="C239" s="1"/>
  <c r="D238"/>
  <c r="C238" s="1"/>
  <c r="D237"/>
  <c r="C237" s="1"/>
  <c r="D236"/>
  <c r="C236"/>
  <c r="D235"/>
  <c r="C235" s="1"/>
  <c r="J234"/>
  <c r="J233"/>
  <c r="I234"/>
  <c r="I233" s="1"/>
  <c r="H234"/>
  <c r="G234"/>
  <c r="F234"/>
  <c r="F233" s="1"/>
  <c r="E234"/>
  <c r="B234"/>
  <c r="B233"/>
  <c r="D232"/>
  <c r="C232" s="1"/>
  <c r="D231"/>
  <c r="C231"/>
  <c r="D230"/>
  <c r="C230" s="1"/>
  <c r="D229"/>
  <c r="C229"/>
  <c r="D228"/>
  <c r="C228" s="1"/>
  <c r="D227"/>
  <c r="C227" s="1"/>
  <c r="D226"/>
  <c r="C226" s="1"/>
  <c r="D225"/>
  <c r="C225"/>
  <c r="D224"/>
  <c r="C224" s="1"/>
  <c r="D223"/>
  <c r="C223"/>
  <c r="J222"/>
  <c r="I222"/>
  <c r="H222"/>
  <c r="G222"/>
  <c r="G213"/>
  <c r="F222"/>
  <c r="E222"/>
  <c r="D222"/>
  <c r="C222"/>
  <c r="B222"/>
  <c r="D221"/>
  <c r="C221"/>
  <c r="D220"/>
  <c r="C220" s="1"/>
  <c r="D219"/>
  <c r="C219"/>
  <c r="D218"/>
  <c r="C218" s="1"/>
  <c r="D217"/>
  <c r="C217" s="1"/>
  <c r="D216"/>
  <c r="C216" s="1"/>
  <c r="D215"/>
  <c r="C215"/>
  <c r="J214"/>
  <c r="I214"/>
  <c r="I213"/>
  <c r="H214"/>
  <c r="H213" s="1"/>
  <c r="G214"/>
  <c r="F214"/>
  <c r="F213"/>
  <c r="E214"/>
  <c r="B214"/>
  <c r="B213"/>
  <c r="D212"/>
  <c r="C212" s="1"/>
  <c r="D211"/>
  <c r="C211" s="1"/>
  <c r="D210"/>
  <c r="C210" s="1"/>
  <c r="D209"/>
  <c r="C209" s="1"/>
  <c r="D208"/>
  <c r="C208" s="1"/>
  <c r="D207"/>
  <c r="C207" s="1"/>
  <c r="D206"/>
  <c r="C206" s="1"/>
  <c r="D205"/>
  <c r="C205" s="1"/>
  <c r="D204"/>
  <c r="C204" s="1"/>
  <c r="D203"/>
  <c r="C203" s="1"/>
  <c r="D202"/>
  <c r="C202" s="1"/>
  <c r="D201"/>
  <c r="C201" s="1"/>
  <c r="D200"/>
  <c r="C200" s="1"/>
  <c r="D199"/>
  <c r="C199" s="1"/>
  <c r="D198"/>
  <c r="C198" s="1"/>
  <c r="D197"/>
  <c r="C197" s="1"/>
  <c r="D196"/>
  <c r="C196" s="1"/>
  <c r="J195"/>
  <c r="I195"/>
  <c r="H195"/>
  <c r="H181" s="1"/>
  <c r="G195"/>
  <c r="D195" s="1"/>
  <c r="C195" s="1"/>
  <c r="F195"/>
  <c r="E195"/>
  <c r="B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J182"/>
  <c r="J181"/>
  <c r="I182"/>
  <c r="I181"/>
  <c r="H182"/>
  <c r="G182"/>
  <c r="F182"/>
  <c r="E182"/>
  <c r="B182"/>
  <c r="F181"/>
  <c r="D180"/>
  <c r="C180" s="1"/>
  <c r="D179"/>
  <c r="C179" s="1"/>
  <c r="D178"/>
  <c r="C178" s="1"/>
  <c r="D177"/>
  <c r="C177" s="1"/>
  <c r="D176"/>
  <c r="C176" s="1"/>
  <c r="D175"/>
  <c r="C175" s="1"/>
  <c r="D174"/>
  <c r="C174" s="1"/>
  <c r="D173"/>
  <c r="C173" s="1"/>
  <c r="D172"/>
  <c r="C172" s="1"/>
  <c r="D171"/>
  <c r="C171" s="1"/>
  <c r="D170"/>
  <c r="C170" s="1"/>
  <c r="D169"/>
  <c r="C169" s="1"/>
  <c r="D168"/>
  <c r="C168" s="1"/>
  <c r="D167"/>
  <c r="C167" s="1"/>
  <c r="D166"/>
  <c r="C166" s="1"/>
  <c r="D165"/>
  <c r="C165" s="1"/>
  <c r="D164"/>
  <c r="C164" s="1"/>
  <c r="D163"/>
  <c r="C163" s="1"/>
  <c r="D162"/>
  <c r="C162" s="1"/>
  <c r="D161"/>
  <c r="C161" s="1"/>
  <c r="D160"/>
  <c r="C160" s="1"/>
  <c r="D159"/>
  <c r="C159" s="1"/>
  <c r="D158"/>
  <c r="C158" s="1"/>
  <c r="D157"/>
  <c r="C157" s="1"/>
  <c r="D156"/>
  <c r="C156"/>
  <c r="J155"/>
  <c r="I155"/>
  <c r="I146" s="1"/>
  <c r="H155"/>
  <c r="G155"/>
  <c r="F155"/>
  <c r="E155"/>
  <c r="D155" s="1"/>
  <c r="C155" s="1"/>
  <c r="B155"/>
  <c r="D154"/>
  <c r="C154" s="1"/>
  <c r="D153"/>
  <c r="C153" s="1"/>
  <c r="D152"/>
  <c r="C152" s="1"/>
  <c r="D151"/>
  <c r="C151" s="1"/>
  <c r="D150"/>
  <c r="C150" s="1"/>
  <c r="D149"/>
  <c r="C149" s="1"/>
  <c r="D148"/>
  <c r="C148" s="1"/>
  <c r="J147"/>
  <c r="I147"/>
  <c r="H147"/>
  <c r="H146" s="1"/>
  <c r="G147"/>
  <c r="F147"/>
  <c r="E147"/>
  <c r="B147"/>
  <c r="B146" s="1"/>
  <c r="D145"/>
  <c r="C145" s="1"/>
  <c r="D144"/>
  <c r="C144" s="1"/>
  <c r="D143"/>
  <c r="C143" s="1"/>
  <c r="D142"/>
  <c r="C142" s="1"/>
  <c r="D141"/>
  <c r="C141" s="1"/>
  <c r="D140"/>
  <c r="C140" s="1"/>
  <c r="D139"/>
  <c r="C139" s="1"/>
  <c r="D138"/>
  <c r="C138" s="1"/>
  <c r="D137"/>
  <c r="C137" s="1"/>
  <c r="D136"/>
  <c r="C136" s="1"/>
  <c r="D135"/>
  <c r="C135" s="1"/>
  <c r="D134"/>
  <c r="C134" s="1"/>
  <c r="D133"/>
  <c r="C133" s="1"/>
  <c r="J132"/>
  <c r="I132"/>
  <c r="I120"/>
  <c r="H132"/>
  <c r="G132"/>
  <c r="F132"/>
  <c r="E132"/>
  <c r="B132"/>
  <c r="D131"/>
  <c r="C131" s="1"/>
  <c r="D130"/>
  <c r="C130" s="1"/>
  <c r="D129"/>
  <c r="C129" s="1"/>
  <c r="D128"/>
  <c r="C128" s="1"/>
  <c r="D127"/>
  <c r="C127" s="1"/>
  <c r="D126"/>
  <c r="C126" s="1"/>
  <c r="D125"/>
  <c r="C125" s="1"/>
  <c r="D124"/>
  <c r="C124" s="1"/>
  <c r="D123"/>
  <c r="C123" s="1"/>
  <c r="D122"/>
  <c r="C122" s="1"/>
  <c r="J121"/>
  <c r="I121"/>
  <c r="H121"/>
  <c r="H120" s="1"/>
  <c r="G121"/>
  <c r="F121"/>
  <c r="F120" s="1"/>
  <c r="E121"/>
  <c r="B121"/>
  <c r="B120" s="1"/>
  <c r="D119"/>
  <c r="C119" s="1"/>
  <c r="D118"/>
  <c r="C118" s="1"/>
  <c r="D117"/>
  <c r="C117" s="1"/>
  <c r="D116"/>
  <c r="C116" s="1"/>
  <c r="D115"/>
  <c r="C115" s="1"/>
  <c r="D114"/>
  <c r="C114" s="1"/>
  <c r="D113"/>
  <c r="C113" s="1"/>
  <c r="D112"/>
  <c r="C112" s="1"/>
  <c r="D111"/>
  <c r="C111" s="1"/>
  <c r="D110"/>
  <c r="C110" s="1"/>
  <c r="D109"/>
  <c r="C109" s="1"/>
  <c r="D108"/>
  <c r="C108" s="1"/>
  <c r="D107"/>
  <c r="C107" s="1"/>
  <c r="D106"/>
  <c r="C106" s="1"/>
  <c r="D105"/>
  <c r="C105" s="1"/>
  <c r="D104"/>
  <c r="C104" s="1"/>
  <c r="D103"/>
  <c r="C103" s="1"/>
  <c r="D102"/>
  <c r="C102" s="1"/>
  <c r="J101"/>
  <c r="I101"/>
  <c r="H101"/>
  <c r="G101"/>
  <c r="F101"/>
  <c r="E101"/>
  <c r="B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J51"/>
  <c r="J50" s="1"/>
  <c r="I51"/>
  <c r="I50" s="1"/>
  <c r="H51"/>
  <c r="G51"/>
  <c r="F51"/>
  <c r="F50" s="1"/>
  <c r="E51"/>
  <c r="E50" s="1"/>
  <c r="B51"/>
  <c r="D49"/>
  <c r="C49" s="1"/>
  <c r="D48"/>
  <c r="C48" s="1"/>
  <c r="D47"/>
  <c r="C47" s="1"/>
  <c r="D46"/>
  <c r="C46" s="1"/>
  <c r="D45"/>
  <c r="C45" s="1"/>
  <c r="D44"/>
  <c r="C44" s="1"/>
  <c r="J43"/>
  <c r="I43"/>
  <c r="H43"/>
  <c r="G43"/>
  <c r="F43"/>
  <c r="E43"/>
  <c r="B43"/>
  <c r="D42"/>
  <c r="D41"/>
  <c r="C41" s="1"/>
  <c r="J40"/>
  <c r="I40"/>
  <c r="H40"/>
  <c r="G40"/>
  <c r="F40"/>
  <c r="E40"/>
  <c r="B40"/>
  <c r="D39"/>
  <c r="C39"/>
  <c r="D38"/>
  <c r="C38"/>
  <c r="J37"/>
  <c r="I37"/>
  <c r="H37"/>
  <c r="G37"/>
  <c r="D37" s="1"/>
  <c r="C37" s="1"/>
  <c r="F37"/>
  <c r="E37"/>
  <c r="B37"/>
  <c r="D36"/>
  <c r="C36"/>
  <c r="D35"/>
  <c r="C35"/>
  <c r="D34"/>
  <c r="C34"/>
  <c r="D33"/>
  <c r="C33"/>
  <c r="D32"/>
  <c r="C32"/>
  <c r="D31"/>
  <c r="C31"/>
  <c r="D30"/>
  <c r="C30"/>
  <c r="J29"/>
  <c r="I29"/>
  <c r="H29"/>
  <c r="G29"/>
  <c r="F29"/>
  <c r="E29"/>
  <c r="D29" s="1"/>
  <c r="C29" s="1"/>
  <c r="B29"/>
  <c r="D28"/>
  <c r="C28" s="1"/>
  <c r="D27"/>
  <c r="C27" s="1"/>
  <c r="D26"/>
  <c r="C26" s="1"/>
  <c r="D25"/>
  <c r="C25" s="1"/>
  <c r="D24"/>
  <c r="C24" s="1"/>
  <c r="D23"/>
  <c r="C23" s="1"/>
  <c r="J22"/>
  <c r="I22"/>
  <c r="H22"/>
  <c r="G22"/>
  <c r="F22"/>
  <c r="D22" s="1"/>
  <c r="C22" s="1"/>
  <c r="E22"/>
  <c r="B22"/>
  <c r="D21"/>
  <c r="C21" s="1"/>
  <c r="D20"/>
  <c r="C20"/>
  <c r="D19"/>
  <c r="C19" s="1"/>
  <c r="D18"/>
  <c r="C18"/>
  <c r="D17"/>
  <c r="C17" s="1"/>
  <c r="D16"/>
  <c r="C16"/>
  <c r="D15"/>
  <c r="C15" s="1"/>
  <c r="D14"/>
  <c r="C14"/>
  <c r="D13"/>
  <c r="C13" s="1"/>
  <c r="J12"/>
  <c r="I12"/>
  <c r="H12"/>
  <c r="G12"/>
  <c r="F12"/>
  <c r="E12"/>
  <c r="D12" s="1"/>
  <c r="C12" s="1"/>
  <c r="B12"/>
  <c r="D11"/>
  <c r="C11" s="1"/>
  <c r="D10"/>
  <c r="C10" s="1"/>
  <c r="D9"/>
  <c r="C9" s="1"/>
  <c r="D8"/>
  <c r="C8" s="1"/>
  <c r="J7"/>
  <c r="I7"/>
  <c r="H7"/>
  <c r="G7"/>
  <c r="F7"/>
  <c r="E7"/>
  <c r="B7"/>
  <c r="E384" i="51"/>
  <c r="L384" s="1"/>
  <c r="E383"/>
  <c r="L383"/>
  <c r="E382"/>
  <c r="L382" s="1"/>
  <c r="E381"/>
  <c r="L381"/>
  <c r="E380"/>
  <c r="L380" s="1"/>
  <c r="K379"/>
  <c r="J379"/>
  <c r="I379"/>
  <c r="H379"/>
  <c r="G379"/>
  <c r="F379"/>
  <c r="E379" s="1"/>
  <c r="D379"/>
  <c r="C379"/>
  <c r="B379"/>
  <c r="E378"/>
  <c r="L378" s="1"/>
  <c r="E377"/>
  <c r="L377"/>
  <c r="E376"/>
  <c r="L376" s="1"/>
  <c r="E375"/>
  <c r="L375"/>
  <c r="E374"/>
  <c r="L374" s="1"/>
  <c r="I373"/>
  <c r="G373"/>
  <c r="E372"/>
  <c r="L372" s="1"/>
  <c r="E371"/>
  <c r="L371"/>
  <c r="E370"/>
  <c r="L370" s="1"/>
  <c r="E369"/>
  <c r="L369"/>
  <c r="E368"/>
  <c r="L368" s="1"/>
  <c r="E367"/>
  <c r="L367"/>
  <c r="E366"/>
  <c r="L366" s="1"/>
  <c r="E365"/>
  <c r="L365"/>
  <c r="E364"/>
  <c r="L364" s="1"/>
  <c r="E363"/>
  <c r="L363"/>
  <c r="K362"/>
  <c r="J362"/>
  <c r="H362"/>
  <c r="G362"/>
  <c r="F362"/>
  <c r="D362"/>
  <c r="C362"/>
  <c r="B362"/>
  <c r="E361"/>
  <c r="L361" s="1"/>
  <c r="E360"/>
  <c r="L360" s="1"/>
  <c r="E359"/>
  <c r="L359" s="1"/>
  <c r="E358"/>
  <c r="L358" s="1"/>
  <c r="E357"/>
  <c r="L357" s="1"/>
  <c r="E356"/>
  <c r="L356" s="1"/>
  <c r="E355"/>
  <c r="L355" s="1"/>
  <c r="E354"/>
  <c r="L354" s="1"/>
  <c r="E353"/>
  <c r="L353" s="1"/>
  <c r="E352"/>
  <c r="L352" s="1"/>
  <c r="E351"/>
  <c r="L351" s="1"/>
  <c r="E350"/>
  <c r="L350" s="1"/>
  <c r="E349"/>
  <c r="L349" s="1"/>
  <c r="E348"/>
  <c r="L348" s="1"/>
  <c r="E347"/>
  <c r="L347" s="1"/>
  <c r="E346"/>
  <c r="L346" s="1"/>
  <c r="E345"/>
  <c r="L345" s="1"/>
  <c r="E344"/>
  <c r="L344" s="1"/>
  <c r="E343"/>
  <c r="L343" s="1"/>
  <c r="K342"/>
  <c r="J342"/>
  <c r="J341" s="1"/>
  <c r="I342"/>
  <c r="H342"/>
  <c r="H341" s="1"/>
  <c r="G342"/>
  <c r="G341" s="1"/>
  <c r="F342"/>
  <c r="D342"/>
  <c r="D341" s="1"/>
  <c r="C342"/>
  <c r="C341"/>
  <c r="B342"/>
  <c r="B341" s="1"/>
  <c r="E340"/>
  <c r="L340"/>
  <c r="E339"/>
  <c r="L339" s="1"/>
  <c r="E338"/>
  <c r="L338"/>
  <c r="E337"/>
  <c r="L337" s="1"/>
  <c r="E336"/>
  <c r="L336"/>
  <c r="E335"/>
  <c r="L335" s="1"/>
  <c r="E334"/>
  <c r="L334"/>
  <c r="E333"/>
  <c r="L333" s="1"/>
  <c r="E332"/>
  <c r="L332"/>
  <c r="E331"/>
  <c r="L331" s="1"/>
  <c r="E330"/>
  <c r="L330"/>
  <c r="E329"/>
  <c r="L329" s="1"/>
  <c r="E328"/>
  <c r="L328"/>
  <c r="F327"/>
  <c r="K326"/>
  <c r="J326"/>
  <c r="I326"/>
  <c r="H326"/>
  <c r="H301" s="1"/>
  <c r="G326"/>
  <c r="D326"/>
  <c r="C326"/>
  <c r="B326"/>
  <c r="E325"/>
  <c r="L325" s="1"/>
  <c r="E324"/>
  <c r="L324" s="1"/>
  <c r="E323"/>
  <c r="L323" s="1"/>
  <c r="E322"/>
  <c r="L322" s="1"/>
  <c r="E321"/>
  <c r="L321" s="1"/>
  <c r="E320"/>
  <c r="L320" s="1"/>
  <c r="E319"/>
  <c r="L319" s="1"/>
  <c r="E318"/>
  <c r="L318" s="1"/>
  <c r="E317"/>
  <c r="L317" s="1"/>
  <c r="E316"/>
  <c r="L316" s="1"/>
  <c r="E315"/>
  <c r="L315" s="1"/>
  <c r="E314"/>
  <c r="L314" s="1"/>
  <c r="E313"/>
  <c r="L313" s="1"/>
  <c r="E312"/>
  <c r="L312" s="1"/>
  <c r="E311"/>
  <c r="L311" s="1"/>
  <c r="E310"/>
  <c r="L310" s="1"/>
  <c r="E309"/>
  <c r="L309" s="1"/>
  <c r="E308"/>
  <c r="L308" s="1"/>
  <c r="E307"/>
  <c r="L307" s="1"/>
  <c r="E306"/>
  <c r="L306" s="1"/>
  <c r="E305"/>
  <c r="L305" s="1"/>
  <c r="E304"/>
  <c r="L304" s="1"/>
  <c r="E303"/>
  <c r="L303" s="1"/>
  <c r="K302"/>
  <c r="K301" s="1"/>
  <c r="J302"/>
  <c r="J301"/>
  <c r="I302"/>
  <c r="I301" s="1"/>
  <c r="H302"/>
  <c r="G302"/>
  <c r="G301" s="1"/>
  <c r="F302"/>
  <c r="D302"/>
  <c r="D301" s="1"/>
  <c r="C302"/>
  <c r="C301" s="1"/>
  <c r="B302"/>
  <c r="B301" s="1"/>
  <c r="E300"/>
  <c r="L300"/>
  <c r="E299"/>
  <c r="L299" s="1"/>
  <c r="E298"/>
  <c r="L298"/>
  <c r="E297"/>
  <c r="L297" s="1"/>
  <c r="E296"/>
  <c r="L296"/>
  <c r="E295"/>
  <c r="L295" s="1"/>
  <c r="E294"/>
  <c r="L294"/>
  <c r="E293"/>
  <c r="L293" s="1"/>
  <c r="E292"/>
  <c r="L292"/>
  <c r="E291"/>
  <c r="L291" s="1"/>
  <c r="E290"/>
  <c r="L290"/>
  <c r="E289"/>
  <c r="L289" s="1"/>
  <c r="E288"/>
  <c r="L288"/>
  <c r="E287"/>
  <c r="L287" s="1"/>
  <c r="E286"/>
  <c r="L286"/>
  <c r="E285"/>
  <c r="L285" s="1"/>
  <c r="E284"/>
  <c r="L284"/>
  <c r="E283"/>
  <c r="L283" s="1"/>
  <c r="E282"/>
  <c r="L282"/>
  <c r="E281"/>
  <c r="L281" s="1"/>
  <c r="E280"/>
  <c r="L280"/>
  <c r="E279"/>
  <c r="L279" s="1"/>
  <c r="E278"/>
  <c r="L278"/>
  <c r="E277"/>
  <c r="L277" s="1"/>
  <c r="E276"/>
  <c r="L276"/>
  <c r="E275"/>
  <c r="L275" s="1"/>
  <c r="E274"/>
  <c r="L274"/>
  <c r="K273"/>
  <c r="J273"/>
  <c r="I273"/>
  <c r="H273"/>
  <c r="G273"/>
  <c r="F273"/>
  <c r="D273"/>
  <c r="C273"/>
  <c r="B273"/>
  <c r="E272"/>
  <c r="L272" s="1"/>
  <c r="E271"/>
  <c r="L271" s="1"/>
  <c r="E270"/>
  <c r="L270" s="1"/>
  <c r="E269"/>
  <c r="L269" s="1"/>
  <c r="E268"/>
  <c r="L268" s="1"/>
  <c r="E267"/>
  <c r="L267" s="1"/>
  <c r="E266"/>
  <c r="L266" s="1"/>
  <c r="E265"/>
  <c r="L265" s="1"/>
  <c r="E264"/>
  <c r="L264" s="1"/>
  <c r="E263"/>
  <c r="L263" s="1"/>
  <c r="E262"/>
  <c r="L262" s="1"/>
  <c r="E261"/>
  <c r="L261" s="1"/>
  <c r="E260"/>
  <c r="L260" s="1"/>
  <c r="E259"/>
  <c r="L259" s="1"/>
  <c r="E258"/>
  <c r="L258" s="1"/>
  <c r="K257"/>
  <c r="K256" s="1"/>
  <c r="J257"/>
  <c r="J256" s="1"/>
  <c r="I257"/>
  <c r="I256" s="1"/>
  <c r="H257"/>
  <c r="G257"/>
  <c r="F257"/>
  <c r="D257"/>
  <c r="D256" s="1"/>
  <c r="C257"/>
  <c r="C256" s="1"/>
  <c r="B257"/>
  <c r="B256" s="1"/>
  <c r="E255"/>
  <c r="L255" s="1"/>
  <c r="E254"/>
  <c r="L254" s="1"/>
  <c r="E253"/>
  <c r="L253" s="1"/>
  <c r="E252"/>
  <c r="L252" s="1"/>
  <c r="E251"/>
  <c r="L251" s="1"/>
  <c r="E250"/>
  <c r="L250" s="1"/>
  <c r="E249"/>
  <c r="L249" s="1"/>
  <c r="E248"/>
  <c r="L248" s="1"/>
  <c r="E247"/>
  <c r="L247" s="1"/>
  <c r="E246"/>
  <c r="L246" s="1"/>
  <c r="E245"/>
  <c r="L245" s="1"/>
  <c r="K244"/>
  <c r="J244"/>
  <c r="I244"/>
  <c r="H244"/>
  <c r="G244"/>
  <c r="F244"/>
  <c r="D244"/>
  <c r="C244"/>
  <c r="B244"/>
  <c r="E243"/>
  <c r="L243"/>
  <c r="E242"/>
  <c r="L242" s="1"/>
  <c r="E241"/>
  <c r="L241"/>
  <c r="E240"/>
  <c r="L240" s="1"/>
  <c r="E239"/>
  <c r="L239"/>
  <c r="E238"/>
  <c r="L238" s="1"/>
  <c r="E237"/>
  <c r="L237"/>
  <c r="E236"/>
  <c r="L236" s="1"/>
  <c r="E235"/>
  <c r="L235"/>
  <c r="K234"/>
  <c r="J234"/>
  <c r="J233" s="1"/>
  <c r="I234"/>
  <c r="I233"/>
  <c r="H234"/>
  <c r="H233" s="1"/>
  <c r="G234"/>
  <c r="F234"/>
  <c r="F233" s="1"/>
  <c r="D234"/>
  <c r="D233" s="1"/>
  <c r="C234"/>
  <c r="C233" s="1"/>
  <c r="B234"/>
  <c r="E232"/>
  <c r="L232" s="1"/>
  <c r="E231"/>
  <c r="L231"/>
  <c r="E230"/>
  <c r="L230" s="1"/>
  <c r="E229"/>
  <c r="L229"/>
  <c r="E228"/>
  <c r="L228" s="1"/>
  <c r="E227"/>
  <c r="L227"/>
  <c r="E226"/>
  <c r="L226" s="1"/>
  <c r="E225"/>
  <c r="L225"/>
  <c r="E224"/>
  <c r="L224" s="1"/>
  <c r="E223"/>
  <c r="L223"/>
  <c r="E222"/>
  <c r="L222" s="1"/>
  <c r="E221"/>
  <c r="L221"/>
  <c r="E220"/>
  <c r="L220" s="1"/>
  <c r="E219"/>
  <c r="L219"/>
  <c r="E218"/>
  <c r="L218" s="1"/>
  <c r="E217"/>
  <c r="L217"/>
  <c r="E216"/>
  <c r="L216" s="1"/>
  <c r="K215"/>
  <c r="J215"/>
  <c r="I215"/>
  <c r="H215"/>
  <c r="G215"/>
  <c r="F215"/>
  <c r="D215"/>
  <c r="C215"/>
  <c r="B215"/>
  <c r="E214"/>
  <c r="L214" s="1"/>
  <c r="E213"/>
  <c r="L213" s="1"/>
  <c r="E212"/>
  <c r="L212" s="1"/>
  <c r="E211"/>
  <c r="L211" s="1"/>
  <c r="E210"/>
  <c r="L210" s="1"/>
  <c r="E209"/>
  <c r="L209" s="1"/>
  <c r="E208"/>
  <c r="L208" s="1"/>
  <c r="E207"/>
  <c r="L207" s="1"/>
  <c r="E206"/>
  <c r="L206" s="1"/>
  <c r="E205"/>
  <c r="L205" s="1"/>
  <c r="E204"/>
  <c r="L204" s="1"/>
  <c r="E203"/>
  <c r="L203" s="1"/>
  <c r="E202"/>
  <c r="L202" s="1"/>
  <c r="E201"/>
  <c r="L201" s="1"/>
  <c r="K200"/>
  <c r="K199" s="1"/>
  <c r="J200"/>
  <c r="I200"/>
  <c r="H200"/>
  <c r="H199" s="1"/>
  <c r="G200"/>
  <c r="G199" s="1"/>
  <c r="F200"/>
  <c r="D200"/>
  <c r="C200"/>
  <c r="C199" s="1"/>
  <c r="B200"/>
  <c r="B199" s="1"/>
  <c r="E198"/>
  <c r="L198" s="1"/>
  <c r="E197"/>
  <c r="L197" s="1"/>
  <c r="E196"/>
  <c r="L196" s="1"/>
  <c r="E195"/>
  <c r="L195" s="1"/>
  <c r="E194"/>
  <c r="L194" s="1"/>
  <c r="E193"/>
  <c r="L193" s="1"/>
  <c r="E192"/>
  <c r="L192" s="1"/>
  <c r="E191"/>
  <c r="L191" s="1"/>
  <c r="E190"/>
  <c r="L190" s="1"/>
  <c r="E189"/>
  <c r="L189" s="1"/>
  <c r="E188"/>
  <c r="L188" s="1"/>
  <c r="E187"/>
  <c r="L187" s="1"/>
  <c r="E186"/>
  <c r="L186" s="1"/>
  <c r="E185"/>
  <c r="L185" s="1"/>
  <c r="E184"/>
  <c r="L184" s="1"/>
  <c r="E183"/>
  <c r="L183" s="1"/>
  <c r="E182"/>
  <c r="L182" s="1"/>
  <c r="E181"/>
  <c r="L181" s="1"/>
  <c r="E180"/>
  <c r="L180" s="1"/>
  <c r="E179"/>
  <c r="L179" s="1"/>
  <c r="E178"/>
  <c r="L178" s="1"/>
  <c r="E177"/>
  <c r="L177" s="1"/>
  <c r="E176"/>
  <c r="L176" s="1"/>
  <c r="E175"/>
  <c r="L175" s="1"/>
  <c r="E174"/>
  <c r="L174" s="1"/>
  <c r="K173"/>
  <c r="J173"/>
  <c r="I173"/>
  <c r="H173"/>
  <c r="G173"/>
  <c r="F173"/>
  <c r="D173"/>
  <c r="D163" s="1"/>
  <c r="C173"/>
  <c r="B173"/>
  <c r="E172"/>
  <c r="L172" s="1"/>
  <c r="E171"/>
  <c r="L171"/>
  <c r="E170"/>
  <c r="L170" s="1"/>
  <c r="E169"/>
  <c r="L169"/>
  <c r="E168"/>
  <c r="L168" s="1"/>
  <c r="E167"/>
  <c r="L167"/>
  <c r="E166"/>
  <c r="L166" s="1"/>
  <c r="E165"/>
  <c r="L165"/>
  <c r="K164"/>
  <c r="J164"/>
  <c r="I164"/>
  <c r="H164"/>
  <c r="H163" s="1"/>
  <c r="G164"/>
  <c r="F164"/>
  <c r="D164"/>
  <c r="C164"/>
  <c r="C163"/>
  <c r="B164"/>
  <c r="E162"/>
  <c r="L162" s="1"/>
  <c r="E161"/>
  <c r="L161"/>
  <c r="E160"/>
  <c r="L160" s="1"/>
  <c r="E159"/>
  <c r="L159"/>
  <c r="L158"/>
  <c r="K157"/>
  <c r="K149" s="1"/>
  <c r="G157"/>
  <c r="G149" s="1"/>
  <c r="F157"/>
  <c r="E156"/>
  <c r="L156" s="1"/>
  <c r="E155"/>
  <c r="L155"/>
  <c r="E154"/>
  <c r="L154" s="1"/>
  <c r="E153"/>
  <c r="L153"/>
  <c r="E152"/>
  <c r="L152" s="1"/>
  <c r="E151"/>
  <c r="L151"/>
  <c r="E150"/>
  <c r="L150" s="1"/>
  <c r="J149"/>
  <c r="I149"/>
  <c r="H149"/>
  <c r="D149"/>
  <c r="D136" s="1"/>
  <c r="C149"/>
  <c r="B149"/>
  <c r="E148"/>
  <c r="L148" s="1"/>
  <c r="E147"/>
  <c r="L147" s="1"/>
  <c r="E146"/>
  <c r="L146" s="1"/>
  <c r="E145"/>
  <c r="L145" s="1"/>
  <c r="E144"/>
  <c r="L144" s="1"/>
  <c r="E143"/>
  <c r="L143" s="1"/>
  <c r="E142"/>
  <c r="L142" s="1"/>
  <c r="E141"/>
  <c r="L141" s="1"/>
  <c r="E140"/>
  <c r="L140" s="1"/>
  <c r="E139"/>
  <c r="L139" s="1"/>
  <c r="E138"/>
  <c r="L138" s="1"/>
  <c r="K137"/>
  <c r="K136" s="1"/>
  <c r="J137"/>
  <c r="J136" s="1"/>
  <c r="I137"/>
  <c r="H137"/>
  <c r="G137"/>
  <c r="F137"/>
  <c r="D137"/>
  <c r="C137"/>
  <c r="C136" s="1"/>
  <c r="B137"/>
  <c r="B136" s="1"/>
  <c r="E135"/>
  <c r="L135" s="1"/>
  <c r="E134"/>
  <c r="L134" s="1"/>
  <c r="E133"/>
  <c r="L133" s="1"/>
  <c r="E132"/>
  <c r="L132" s="1"/>
  <c r="E131"/>
  <c r="L131" s="1"/>
  <c r="E130"/>
  <c r="L130" s="1"/>
  <c r="E129"/>
  <c r="L129" s="1"/>
  <c r="E128"/>
  <c r="L128" s="1"/>
  <c r="E127"/>
  <c r="L127" s="1"/>
  <c r="E126"/>
  <c r="L126" s="1"/>
  <c r="E125"/>
  <c r="L125" s="1"/>
  <c r="E124"/>
  <c r="L124" s="1"/>
  <c r="E123"/>
  <c r="L123" s="1"/>
  <c r="E122"/>
  <c r="L122" s="1"/>
  <c r="E121"/>
  <c r="L121" s="1"/>
  <c r="E120"/>
  <c r="L120" s="1"/>
  <c r="E119"/>
  <c r="L119" s="1"/>
  <c r="E118"/>
  <c r="L118" s="1"/>
  <c r="E117"/>
  <c r="L117" s="1"/>
  <c r="E116"/>
  <c r="L116" s="1"/>
  <c r="K115"/>
  <c r="J115"/>
  <c r="I115"/>
  <c r="H115"/>
  <c r="H50" s="1"/>
  <c r="G115"/>
  <c r="F115"/>
  <c r="D115"/>
  <c r="C115"/>
  <c r="B115"/>
  <c r="E114"/>
  <c r="L114" s="1"/>
  <c r="E113"/>
  <c r="L113" s="1"/>
  <c r="E112"/>
  <c r="L112" s="1"/>
  <c r="E111"/>
  <c r="L111" s="1"/>
  <c r="E110"/>
  <c r="L110" s="1"/>
  <c r="E109"/>
  <c r="L109" s="1"/>
  <c r="E108"/>
  <c r="L108" s="1"/>
  <c r="E107"/>
  <c r="L107" s="1"/>
  <c r="E106"/>
  <c r="L106" s="1"/>
  <c r="E105"/>
  <c r="L105" s="1"/>
  <c r="E104"/>
  <c r="L104" s="1"/>
  <c r="E103"/>
  <c r="L103" s="1"/>
  <c r="E102"/>
  <c r="L102" s="1"/>
  <c r="E101"/>
  <c r="L101" s="1"/>
  <c r="E100"/>
  <c r="L100" s="1"/>
  <c r="E99"/>
  <c r="L99" s="1"/>
  <c r="E98"/>
  <c r="L98" s="1"/>
  <c r="E97"/>
  <c r="L97" s="1"/>
  <c r="E96"/>
  <c r="L96" s="1"/>
  <c r="E95"/>
  <c r="L95" s="1"/>
  <c r="E94"/>
  <c r="L94" s="1"/>
  <c r="E93"/>
  <c r="L93" s="1"/>
  <c r="E92"/>
  <c r="L92" s="1"/>
  <c r="E91"/>
  <c r="L91" s="1"/>
  <c r="E90"/>
  <c r="L90" s="1"/>
  <c r="E89"/>
  <c r="L89" s="1"/>
  <c r="E88"/>
  <c r="L88" s="1"/>
  <c r="E87"/>
  <c r="L87" s="1"/>
  <c r="E86"/>
  <c r="L86" s="1"/>
  <c r="E85"/>
  <c r="L85" s="1"/>
  <c r="E84"/>
  <c r="L84" s="1"/>
  <c r="E83"/>
  <c r="L83" s="1"/>
  <c r="E82"/>
  <c r="L82" s="1"/>
  <c r="E81"/>
  <c r="L81" s="1"/>
  <c r="E80"/>
  <c r="L80" s="1"/>
  <c r="E79"/>
  <c r="L79" s="1"/>
  <c r="E78"/>
  <c r="L78" s="1"/>
  <c r="K77"/>
  <c r="E76"/>
  <c r="L76" s="1"/>
  <c r="E75"/>
  <c r="L75"/>
  <c r="E74"/>
  <c r="L74" s="1"/>
  <c r="E73"/>
  <c r="L73"/>
  <c r="E72"/>
  <c r="L72" s="1"/>
  <c r="E71"/>
  <c r="L71"/>
  <c r="E70"/>
  <c r="L70" s="1"/>
  <c r="E69"/>
  <c r="L69"/>
  <c r="E68"/>
  <c r="L68" s="1"/>
  <c r="E67"/>
  <c r="L67"/>
  <c r="E66"/>
  <c r="L66" s="1"/>
  <c r="E65"/>
  <c r="L65"/>
  <c r="E64"/>
  <c r="L64" s="1"/>
  <c r="E63"/>
  <c r="L63"/>
  <c r="E62"/>
  <c r="L62" s="1"/>
  <c r="E61"/>
  <c r="L61"/>
  <c r="E60"/>
  <c r="L60" s="1"/>
  <c r="E59"/>
  <c r="L59"/>
  <c r="E58"/>
  <c r="L58" s="1"/>
  <c r="E57"/>
  <c r="L57"/>
  <c r="E56"/>
  <c r="L56" s="1"/>
  <c r="E55"/>
  <c r="L55"/>
  <c r="E54"/>
  <c r="L54" s="1"/>
  <c r="E53"/>
  <c r="L53"/>
  <c r="E52"/>
  <c r="L52" s="1"/>
  <c r="J51"/>
  <c r="J50"/>
  <c r="I51"/>
  <c r="I50" s="1"/>
  <c r="H51"/>
  <c r="G51"/>
  <c r="G50" s="1"/>
  <c r="F51"/>
  <c r="D51"/>
  <c r="C51"/>
  <c r="B51"/>
  <c r="B50" s="1"/>
  <c r="E49"/>
  <c r="L49" s="1"/>
  <c r="E48"/>
  <c r="L48" s="1"/>
  <c r="E47"/>
  <c r="L47" s="1"/>
  <c r="E46"/>
  <c r="L46"/>
  <c r="E45"/>
  <c r="L45" s="1"/>
  <c r="E44"/>
  <c r="L44"/>
  <c r="K43"/>
  <c r="J43"/>
  <c r="I43"/>
  <c r="H43"/>
  <c r="G43"/>
  <c r="E43" s="1"/>
  <c r="F43"/>
  <c r="D43"/>
  <c r="C43"/>
  <c r="B43"/>
  <c r="E42"/>
  <c r="L42" s="1"/>
  <c r="E41"/>
  <c r="L41" s="1"/>
  <c r="K40"/>
  <c r="J40"/>
  <c r="I40"/>
  <c r="H40"/>
  <c r="G40"/>
  <c r="F40"/>
  <c r="D40"/>
  <c r="C40"/>
  <c r="B40"/>
  <c r="E39"/>
  <c r="L39" s="1"/>
  <c r="E38"/>
  <c r="L38"/>
  <c r="K37"/>
  <c r="J37"/>
  <c r="I37"/>
  <c r="H37"/>
  <c r="G37"/>
  <c r="E37" s="1"/>
  <c r="L37" s="1"/>
  <c r="F37"/>
  <c r="D37"/>
  <c r="C37"/>
  <c r="B37"/>
  <c r="E36"/>
  <c r="L36" s="1"/>
  <c r="E35"/>
  <c r="L35"/>
  <c r="E34"/>
  <c r="L34" s="1"/>
  <c r="E33"/>
  <c r="L33"/>
  <c r="E32"/>
  <c r="L32" s="1"/>
  <c r="E31"/>
  <c r="L31" s="1"/>
  <c r="E30"/>
  <c r="L30" s="1"/>
  <c r="K29"/>
  <c r="J29"/>
  <c r="I29"/>
  <c r="H29"/>
  <c r="G29"/>
  <c r="F29"/>
  <c r="D29"/>
  <c r="C29"/>
  <c r="B29"/>
  <c r="E28"/>
  <c r="L28" s="1"/>
  <c r="E27"/>
  <c r="L27"/>
  <c r="E26"/>
  <c r="L26" s="1"/>
  <c r="E25"/>
  <c r="L25"/>
  <c r="E24"/>
  <c r="L24" s="1"/>
  <c r="E23"/>
  <c r="L23" s="1"/>
  <c r="K22"/>
  <c r="J22"/>
  <c r="I22"/>
  <c r="H22"/>
  <c r="G22"/>
  <c r="F22"/>
  <c r="D22"/>
  <c r="C22"/>
  <c r="B22"/>
  <c r="E21"/>
  <c r="L21" s="1"/>
  <c r="E20"/>
  <c r="L20" s="1"/>
  <c r="E19"/>
  <c r="L19" s="1"/>
  <c r="E18"/>
  <c r="L18"/>
  <c r="E17"/>
  <c r="L17" s="1"/>
  <c r="E16"/>
  <c r="L16"/>
  <c r="K15"/>
  <c r="G15"/>
  <c r="F15"/>
  <c r="E14"/>
  <c r="L14"/>
  <c r="K13"/>
  <c r="F13"/>
  <c r="D13"/>
  <c r="D12" s="1"/>
  <c r="I12"/>
  <c r="H12"/>
  <c r="G12"/>
  <c r="C12"/>
  <c r="B12"/>
  <c r="K11"/>
  <c r="K7"/>
  <c r="J11"/>
  <c r="J7"/>
  <c r="G11"/>
  <c r="G7"/>
  <c r="F11"/>
  <c r="F7"/>
  <c r="E10"/>
  <c r="L10"/>
  <c r="E9"/>
  <c r="L9"/>
  <c r="E8"/>
  <c r="L8"/>
  <c r="I7"/>
  <c r="H7"/>
  <c r="D7"/>
  <c r="C7"/>
  <c r="B7"/>
  <c r="Q7" i="49"/>
  <c r="I2073"/>
  <c r="N2073"/>
  <c r="E2073"/>
  <c r="I2072"/>
  <c r="N2072" s="1"/>
  <c r="E2072"/>
  <c r="I2071"/>
  <c r="N2071" s="1"/>
  <c r="E2071"/>
  <c r="I2070"/>
  <c r="E2070"/>
  <c r="I2069"/>
  <c r="N2069" s="1"/>
  <c r="E2069"/>
  <c r="I2068"/>
  <c r="N2068" s="1"/>
  <c r="E2068"/>
  <c r="I2067"/>
  <c r="N2067" s="1"/>
  <c r="E2067"/>
  <c r="I2066"/>
  <c r="N2066"/>
  <c r="E2066"/>
  <c r="I2065"/>
  <c r="N2065"/>
  <c r="E2065"/>
  <c r="I2064"/>
  <c r="N2064" s="1"/>
  <c r="E2064"/>
  <c r="I2063"/>
  <c r="N2063" s="1"/>
  <c r="E2063"/>
  <c r="I2062"/>
  <c r="N2062" s="1"/>
  <c r="I2061"/>
  <c r="N2061" s="1"/>
  <c r="E2061"/>
  <c r="I2060"/>
  <c r="N2060" s="1"/>
  <c r="E2060"/>
  <c r="I2059"/>
  <c r="N2059"/>
  <c r="E2059"/>
  <c r="I2058"/>
  <c r="N2058"/>
  <c r="E2058"/>
  <c r="I2057"/>
  <c r="N2057" s="1"/>
  <c r="E2057"/>
  <c r="N2056"/>
  <c r="I2037"/>
  <c r="E2037"/>
  <c r="W2036"/>
  <c r="I2035"/>
  <c r="M2035" s="1"/>
  <c r="E2035"/>
  <c r="I2034"/>
  <c r="E2034"/>
  <c r="I2033"/>
  <c r="E2033"/>
  <c r="I2032"/>
  <c r="E2032"/>
  <c r="I2031"/>
  <c r="M2031" s="1"/>
  <c r="E2031"/>
  <c r="I2030"/>
  <c r="E2030"/>
  <c r="I2029"/>
  <c r="M2029" s="1"/>
  <c r="E2029"/>
  <c r="I2028"/>
  <c r="E2028"/>
  <c r="I2027"/>
  <c r="M2027" s="1"/>
  <c r="E2027"/>
  <c r="I2026"/>
  <c r="E2026"/>
  <c r="I2025"/>
  <c r="M2025" s="1"/>
  <c r="E2025"/>
  <c r="I2024"/>
  <c r="E2024"/>
  <c r="I2023"/>
  <c r="M2023" s="1"/>
  <c r="E2023"/>
  <c r="I2022"/>
  <c r="E2022"/>
  <c r="M2022" s="1"/>
  <c r="I2021"/>
  <c r="E2021"/>
  <c r="I2020"/>
  <c r="E2020"/>
  <c r="M2020" s="1"/>
  <c r="I2019"/>
  <c r="E2019"/>
  <c r="M2019" s="1"/>
  <c r="I2018"/>
  <c r="E2018"/>
  <c r="I2017"/>
  <c r="M2017" s="1"/>
  <c r="E2017"/>
  <c r="I2016"/>
  <c r="E2016"/>
  <c r="M2016" s="1"/>
  <c r="I2015"/>
  <c r="E2015"/>
  <c r="M2015" s="1"/>
  <c r="I2014"/>
  <c r="E2014"/>
  <c r="I2013"/>
  <c r="E2013"/>
  <c r="I2012"/>
  <c r="E2012"/>
  <c r="M2012" s="1"/>
  <c r="I2011"/>
  <c r="E2011"/>
  <c r="I2010"/>
  <c r="E2010"/>
  <c r="I2009"/>
  <c r="E2009"/>
  <c r="I2008"/>
  <c r="E2008"/>
  <c r="M2008" s="1"/>
  <c r="I2007"/>
  <c r="E2007"/>
  <c r="I2006"/>
  <c r="E2006"/>
  <c r="I2005"/>
  <c r="M2005" s="1"/>
  <c r="E2005"/>
  <c r="I2004"/>
  <c r="E2004"/>
  <c r="I2003"/>
  <c r="M2003" s="1"/>
  <c r="E2003"/>
  <c r="I2002"/>
  <c r="E2002"/>
  <c r="I2001"/>
  <c r="E2001"/>
  <c r="I2000"/>
  <c r="E2000"/>
  <c r="I1999"/>
  <c r="M1999" s="1"/>
  <c r="E1999"/>
  <c r="I1998"/>
  <c r="M1998" s="1"/>
  <c r="E1998"/>
  <c r="I1997"/>
  <c r="E1997"/>
  <c r="I1996"/>
  <c r="E1996"/>
  <c r="I1995"/>
  <c r="E1995"/>
  <c r="I1994"/>
  <c r="E1994"/>
  <c r="I1993"/>
  <c r="M1993" s="1"/>
  <c r="E1993"/>
  <c r="I1992"/>
  <c r="E1992"/>
  <c r="I1991"/>
  <c r="M1991" s="1"/>
  <c r="E1991"/>
  <c r="I1990"/>
  <c r="E1990"/>
  <c r="I1989"/>
  <c r="E1989"/>
  <c r="I1988"/>
  <c r="E1988"/>
  <c r="M1988" s="1"/>
  <c r="I1987"/>
  <c r="E1987"/>
  <c r="I1986"/>
  <c r="E1986"/>
  <c r="I1985"/>
  <c r="E1985"/>
  <c r="I1984"/>
  <c r="M1984" s="1"/>
  <c r="E1984"/>
  <c r="I1983"/>
  <c r="E1983"/>
  <c r="I1982"/>
  <c r="E1982"/>
  <c r="I1981"/>
  <c r="E1981"/>
  <c r="I1980"/>
  <c r="M1980" s="1"/>
  <c r="E1980"/>
  <c r="I1979"/>
  <c r="E1979"/>
  <c r="I1978"/>
  <c r="M1978" s="1"/>
  <c r="E1978"/>
  <c r="I1977"/>
  <c r="E1977"/>
  <c r="M1977" s="1"/>
  <c r="I1976"/>
  <c r="M1976" s="1"/>
  <c r="E1976"/>
  <c r="I1975"/>
  <c r="M1975" s="1"/>
  <c r="E1975"/>
  <c r="I1974"/>
  <c r="M1974" s="1"/>
  <c r="E1974"/>
  <c r="I1973"/>
  <c r="E1973"/>
  <c r="I1972"/>
  <c r="E1972"/>
  <c r="M1972"/>
  <c r="I1971"/>
  <c r="M1971" s="1"/>
  <c r="E1971"/>
  <c r="I1970"/>
  <c r="E1970"/>
  <c r="I1969"/>
  <c r="M1969" s="1"/>
  <c r="E1969"/>
  <c r="I1968"/>
  <c r="E1968"/>
  <c r="I1967"/>
  <c r="M1967" s="1"/>
  <c r="E1967"/>
  <c r="I1966"/>
  <c r="E1966"/>
  <c r="I1965"/>
  <c r="M1965" s="1"/>
  <c r="E1965"/>
  <c r="I1964"/>
  <c r="E1964"/>
  <c r="I1963"/>
  <c r="E1963"/>
  <c r="I1962"/>
  <c r="E1962"/>
  <c r="I1961"/>
  <c r="M1961" s="1"/>
  <c r="E1961"/>
  <c r="I1960"/>
  <c r="E1960"/>
  <c r="I1959"/>
  <c r="E1959"/>
  <c r="I1958"/>
  <c r="E1958"/>
  <c r="I1957"/>
  <c r="M1957" s="1"/>
  <c r="E1957"/>
  <c r="I1956"/>
  <c r="E1956"/>
  <c r="M1956" s="1"/>
  <c r="I1955"/>
  <c r="M1955" s="1"/>
  <c r="E1955"/>
  <c r="I1954"/>
  <c r="E1954"/>
  <c r="I1953"/>
  <c r="M1953" s="1"/>
  <c r="E1953"/>
  <c r="I1952"/>
  <c r="E1952"/>
  <c r="I1951"/>
  <c r="E1951"/>
  <c r="I1950"/>
  <c r="E1950"/>
  <c r="I1949"/>
  <c r="M1949" s="1"/>
  <c r="E1949"/>
  <c r="I1948"/>
  <c r="E1948"/>
  <c r="I1947"/>
  <c r="M1947" s="1"/>
  <c r="E1947"/>
  <c r="I1946"/>
  <c r="E1946"/>
  <c r="I1945"/>
  <c r="E1945"/>
  <c r="I1944"/>
  <c r="E1944"/>
  <c r="I1943"/>
  <c r="E1943"/>
  <c r="I1942"/>
  <c r="E1942"/>
  <c r="I1941"/>
  <c r="M1941" s="1"/>
  <c r="E1941"/>
  <c r="I1940"/>
  <c r="M1940"/>
  <c r="E1940"/>
  <c r="I1939"/>
  <c r="E1939"/>
  <c r="I1938"/>
  <c r="M1938" s="1"/>
  <c r="E1938"/>
  <c r="I1937"/>
  <c r="E1937"/>
  <c r="I1936"/>
  <c r="M1936" s="1"/>
  <c r="E1936"/>
  <c r="I1935"/>
  <c r="E1935"/>
  <c r="I1934"/>
  <c r="E1934"/>
  <c r="I1933"/>
  <c r="E1933"/>
  <c r="I1932"/>
  <c r="M1932" s="1"/>
  <c r="E1932"/>
  <c r="I1931"/>
  <c r="E1931"/>
  <c r="I1930"/>
  <c r="M1930" s="1"/>
  <c r="E1930"/>
  <c r="I1929"/>
  <c r="E1929"/>
  <c r="M1929" s="1"/>
  <c r="I1928"/>
  <c r="E1928"/>
  <c r="I1927"/>
  <c r="M1927" s="1"/>
  <c r="N1927" s="1"/>
  <c r="E1927"/>
  <c r="I1926"/>
  <c r="E1926"/>
  <c r="M1926" s="1"/>
  <c r="N1926" s="1"/>
  <c r="I1925"/>
  <c r="M1925" s="1"/>
  <c r="E1925"/>
  <c r="I1924"/>
  <c r="E1924"/>
  <c r="I1923"/>
  <c r="E1923"/>
  <c r="I1922"/>
  <c r="E1922"/>
  <c r="M1922"/>
  <c r="I1921"/>
  <c r="E1921"/>
  <c r="I1920"/>
  <c r="E1920"/>
  <c r="I1919"/>
  <c r="E1919"/>
  <c r="M1919" s="1"/>
  <c r="I1918"/>
  <c r="E1918"/>
  <c r="I1917"/>
  <c r="E1917"/>
  <c r="I1916"/>
  <c r="E1916"/>
  <c r="I1915"/>
  <c r="E1915"/>
  <c r="M1915" s="1"/>
  <c r="I1914"/>
  <c r="E1914"/>
  <c r="I1913"/>
  <c r="E1913"/>
  <c r="I1912"/>
  <c r="E1912"/>
  <c r="I1911"/>
  <c r="E1911"/>
  <c r="M1911" s="1"/>
  <c r="I1910"/>
  <c r="E1910"/>
  <c r="I1909"/>
  <c r="E1909"/>
  <c r="W1908"/>
  <c r="I1907"/>
  <c r="E1907"/>
  <c r="I1906"/>
  <c r="M1906"/>
  <c r="E1906"/>
  <c r="I1905"/>
  <c r="E1905"/>
  <c r="I1904"/>
  <c r="E1904"/>
  <c r="I1903"/>
  <c r="M1903" s="1"/>
  <c r="E1903"/>
  <c r="I1902"/>
  <c r="E1902"/>
  <c r="M1902" s="1"/>
  <c r="I1901"/>
  <c r="E1901"/>
  <c r="I1900"/>
  <c r="M1900"/>
  <c r="E1900"/>
  <c r="I1899"/>
  <c r="E1899"/>
  <c r="I1898"/>
  <c r="M1898" s="1"/>
  <c r="E1898"/>
  <c r="I1897"/>
  <c r="E1897"/>
  <c r="I1896"/>
  <c r="E1896"/>
  <c r="I1895"/>
  <c r="E1895"/>
  <c r="I1894"/>
  <c r="E1894"/>
  <c r="I1893"/>
  <c r="E1893"/>
  <c r="I1892"/>
  <c r="M1892" s="1"/>
  <c r="E1892"/>
  <c r="I1891"/>
  <c r="M1891"/>
  <c r="E1891"/>
  <c r="I1890"/>
  <c r="E1890"/>
  <c r="I1889"/>
  <c r="M1889" s="1"/>
  <c r="E1889"/>
  <c r="I1888"/>
  <c r="E1888"/>
  <c r="I1887"/>
  <c r="E1887"/>
  <c r="I1886"/>
  <c r="M1886" s="1"/>
  <c r="E1886"/>
  <c r="I1885"/>
  <c r="E1885"/>
  <c r="I1884"/>
  <c r="E1884"/>
  <c r="I1883"/>
  <c r="M1883" s="1"/>
  <c r="E1883"/>
  <c r="I1882"/>
  <c r="E1882"/>
  <c r="I1881"/>
  <c r="E1881"/>
  <c r="I1880"/>
  <c r="E1880"/>
  <c r="I1879"/>
  <c r="M1879" s="1"/>
  <c r="E1879"/>
  <c r="I1878"/>
  <c r="E1878"/>
  <c r="I1877"/>
  <c r="M1877" s="1"/>
  <c r="E1877"/>
  <c r="I1876"/>
  <c r="E1876"/>
  <c r="I1875"/>
  <c r="M1875" s="1"/>
  <c r="E1875"/>
  <c r="I1874"/>
  <c r="E1874"/>
  <c r="I1873"/>
  <c r="E1873"/>
  <c r="I1872"/>
  <c r="E1872"/>
  <c r="I1871"/>
  <c r="M1871" s="1"/>
  <c r="E1871"/>
  <c r="I1870"/>
  <c r="E1870"/>
  <c r="M1870" s="1"/>
  <c r="I1869"/>
  <c r="M1869" s="1"/>
  <c r="E1869"/>
  <c r="I1868"/>
  <c r="E1868"/>
  <c r="I1867"/>
  <c r="M1867" s="1"/>
  <c r="E1867"/>
  <c r="I1866"/>
  <c r="M1866"/>
  <c r="E1866"/>
  <c r="I1865"/>
  <c r="E1865"/>
  <c r="M1865" s="1"/>
  <c r="I1864"/>
  <c r="M1864" s="1"/>
  <c r="E1864"/>
  <c r="I1863"/>
  <c r="E1863"/>
  <c r="I1862"/>
  <c r="E1862"/>
  <c r="I1861"/>
  <c r="E1861"/>
  <c r="I1860"/>
  <c r="M1860" s="1"/>
  <c r="E1860"/>
  <c r="I1859"/>
  <c r="E1859"/>
  <c r="M1859" s="1"/>
  <c r="I1858"/>
  <c r="E1858"/>
  <c r="I1857"/>
  <c r="E1857"/>
  <c r="I1856"/>
  <c r="M1856" s="1"/>
  <c r="E1856"/>
  <c r="I1855"/>
  <c r="M1855"/>
  <c r="E1855"/>
  <c r="I1854"/>
  <c r="E1854"/>
  <c r="I1853"/>
  <c r="M1853" s="1"/>
  <c r="E1853"/>
  <c r="I1852"/>
  <c r="E1852"/>
  <c r="M1852" s="1"/>
  <c r="I1851"/>
  <c r="M1851" s="1"/>
  <c r="E1851"/>
  <c r="I1850"/>
  <c r="M1850" s="1"/>
  <c r="E1850"/>
  <c r="I1849"/>
  <c r="E1849"/>
  <c r="I1848"/>
  <c r="M1848" s="1"/>
  <c r="E1848"/>
  <c r="I1847"/>
  <c r="E1847"/>
  <c r="M1847" s="1"/>
  <c r="I1846"/>
  <c r="E1846"/>
  <c r="I1845"/>
  <c r="M1845" s="1"/>
  <c r="E1845"/>
  <c r="I1844"/>
  <c r="E1844"/>
  <c r="M1844" s="1"/>
  <c r="I1843"/>
  <c r="M1843" s="1"/>
  <c r="E1843"/>
  <c r="I1842"/>
  <c r="E1842"/>
  <c r="I1841"/>
  <c r="M1841" s="1"/>
  <c r="E1841"/>
  <c r="I1840"/>
  <c r="M1840" s="1"/>
  <c r="E1840"/>
  <c r="I1839"/>
  <c r="E1839"/>
  <c r="I1838"/>
  <c r="E1838"/>
  <c r="I1837"/>
  <c r="E1837"/>
  <c r="M1837"/>
  <c r="I1836"/>
  <c r="M1836" s="1"/>
  <c r="E1836"/>
  <c r="I1835"/>
  <c r="E1835"/>
  <c r="I1834"/>
  <c r="M1834" s="1"/>
  <c r="E1834"/>
  <c r="I1833"/>
  <c r="M1833" s="1"/>
  <c r="E1833"/>
  <c r="I1832"/>
  <c r="E1832"/>
  <c r="I1831"/>
  <c r="M1831" s="1"/>
  <c r="E1831"/>
  <c r="I1830"/>
  <c r="M1830"/>
  <c r="E1830"/>
  <c r="I1829"/>
  <c r="E1829"/>
  <c r="M1829"/>
  <c r="I1828"/>
  <c r="M1828" s="1"/>
  <c r="E1828"/>
  <c r="I1827"/>
  <c r="E1827"/>
  <c r="I1826"/>
  <c r="M1826" s="1"/>
  <c r="E1826"/>
  <c r="I1825"/>
  <c r="E1825"/>
  <c r="I1824"/>
  <c r="E1824"/>
  <c r="I1823"/>
  <c r="M1823" s="1"/>
  <c r="E1823"/>
  <c r="I1822"/>
  <c r="E1822"/>
  <c r="M1822" s="1"/>
  <c r="I1821"/>
  <c r="M1821" s="1"/>
  <c r="E1821"/>
  <c r="I1820"/>
  <c r="E1820"/>
  <c r="I1819"/>
  <c r="M1819" s="1"/>
  <c r="E1819"/>
  <c r="I1818"/>
  <c r="E1818"/>
  <c r="M1818" s="1"/>
  <c r="I1817"/>
  <c r="M1817" s="1"/>
  <c r="E1817"/>
  <c r="I1816"/>
  <c r="M1816" s="1"/>
  <c r="E1816"/>
  <c r="I1815"/>
  <c r="E1815"/>
  <c r="I1814"/>
  <c r="E1814"/>
  <c r="I1813"/>
  <c r="E1813"/>
  <c r="M1813"/>
  <c r="I1812"/>
  <c r="M1812" s="1"/>
  <c r="E1812"/>
  <c r="I1811"/>
  <c r="E1811"/>
  <c r="W1810"/>
  <c r="W1809" s="1"/>
  <c r="D1810"/>
  <c r="C1810"/>
  <c r="I1807"/>
  <c r="E1807"/>
  <c r="I1806"/>
  <c r="E1806"/>
  <c r="I1805"/>
  <c r="E1805"/>
  <c r="I1804"/>
  <c r="E1804"/>
  <c r="I1803"/>
  <c r="E1803"/>
  <c r="I1802"/>
  <c r="E1802"/>
  <c r="I1801"/>
  <c r="E1801"/>
  <c r="I1800"/>
  <c r="E1800"/>
  <c r="I1799"/>
  <c r="E1799"/>
  <c r="I1798"/>
  <c r="E1798"/>
  <c r="I1797"/>
  <c r="E1797"/>
  <c r="I1796"/>
  <c r="E1796"/>
  <c r="I1795"/>
  <c r="E1795"/>
  <c r="I1794"/>
  <c r="E1794"/>
  <c r="I1793"/>
  <c r="E1793"/>
  <c r="I1792"/>
  <c r="E1792"/>
  <c r="I1791"/>
  <c r="E1791"/>
  <c r="I1790"/>
  <c r="E1790"/>
  <c r="I1789"/>
  <c r="E1789"/>
  <c r="I1788"/>
  <c r="E1788"/>
  <c r="I1787"/>
  <c r="E1787"/>
  <c r="I1786"/>
  <c r="E1786"/>
  <c r="I1785"/>
  <c r="E1785"/>
  <c r="I1784"/>
  <c r="N1784"/>
  <c r="E1784"/>
  <c r="L1783"/>
  <c r="I1783"/>
  <c r="N1783"/>
  <c r="E1783"/>
  <c r="L1782"/>
  <c r="K1782"/>
  <c r="I1782" s="1"/>
  <c r="E1782"/>
  <c r="I1781"/>
  <c r="I1780"/>
  <c r="I1779"/>
  <c r="I1778"/>
  <c r="I1777"/>
  <c r="I1776"/>
  <c r="I1775"/>
  <c r="I1774"/>
  <c r="E1774"/>
  <c r="I1773"/>
  <c r="E1773"/>
  <c r="I1772"/>
  <c r="E1772"/>
  <c r="I1771"/>
  <c r="E1771"/>
  <c r="I1770"/>
  <c r="E1770"/>
  <c r="I1769"/>
  <c r="E1769"/>
  <c r="I1768"/>
  <c r="E1768"/>
  <c r="I1767"/>
  <c r="E1767"/>
  <c r="I1766"/>
  <c r="E1766"/>
  <c r="I1765"/>
  <c r="E1765"/>
  <c r="I1764"/>
  <c r="E1764"/>
  <c r="I1763"/>
  <c r="E1763"/>
  <c r="I1762"/>
  <c r="E1762"/>
  <c r="I1761"/>
  <c r="E1761"/>
  <c r="I1760"/>
  <c r="E1760"/>
  <c r="I1759"/>
  <c r="E1759"/>
  <c r="I1758"/>
  <c r="E1758"/>
  <c r="I1757"/>
  <c r="E1757"/>
  <c r="I1756"/>
  <c r="E1756"/>
  <c r="I1755"/>
  <c r="E1755"/>
  <c r="I1754"/>
  <c r="E1754"/>
  <c r="I1753"/>
  <c r="E1753"/>
  <c r="I1752"/>
  <c r="E1752"/>
  <c r="I1751"/>
  <c r="E1751"/>
  <c r="I1750"/>
  <c r="E1750"/>
  <c r="I1749"/>
  <c r="E1749"/>
  <c r="I1748"/>
  <c r="E1748"/>
  <c r="I1747"/>
  <c r="E1747"/>
  <c r="I1746"/>
  <c r="E1746"/>
  <c r="I1745"/>
  <c r="E1745"/>
  <c r="I1744"/>
  <c r="E1744"/>
  <c r="I1743"/>
  <c r="E1743"/>
  <c r="I1742"/>
  <c r="E1742"/>
  <c r="I1741"/>
  <c r="E1741"/>
  <c r="I1740"/>
  <c r="E1740"/>
  <c r="I1739"/>
  <c r="E1739"/>
  <c r="N1738"/>
  <c r="I1738"/>
  <c r="E1738"/>
  <c r="N1737"/>
  <c r="I1737"/>
  <c r="E1737"/>
  <c r="N1736"/>
  <c r="I1736"/>
  <c r="E1736"/>
  <c r="N1735"/>
  <c r="L1735"/>
  <c r="I1735"/>
  <c r="E1735"/>
  <c r="W1733"/>
  <c r="I1732"/>
  <c r="E1732"/>
  <c r="I1731"/>
  <c r="E1731"/>
  <c r="I1730"/>
  <c r="E1730"/>
  <c r="I1729"/>
  <c r="E1729"/>
  <c r="I1728"/>
  <c r="E1728"/>
  <c r="I1727"/>
  <c r="E1727"/>
  <c r="I1726"/>
  <c r="E1726"/>
  <c r="I1725"/>
  <c r="E1725"/>
  <c r="I1724"/>
  <c r="E1724"/>
  <c r="I1723"/>
  <c r="E1723"/>
  <c r="I1722"/>
  <c r="E1722"/>
  <c r="I1721"/>
  <c r="E1721"/>
  <c r="I1720"/>
  <c r="E1720"/>
  <c r="I1719"/>
  <c r="E1719"/>
  <c r="I1718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I1697"/>
  <c r="E1697"/>
  <c r="I1696"/>
  <c r="E1696"/>
  <c r="I1695"/>
  <c r="E1695"/>
  <c r="I1694"/>
  <c r="E1694"/>
  <c r="I1693"/>
  <c r="E1693"/>
  <c r="I1692"/>
  <c r="E1692"/>
  <c r="I1691"/>
  <c r="E1691"/>
  <c r="I1690"/>
  <c r="E1690"/>
  <c r="I1689"/>
  <c r="E1689"/>
  <c r="I1688"/>
  <c r="E1688"/>
  <c r="I1687"/>
  <c r="E1687"/>
  <c r="I1686"/>
  <c r="E1686"/>
  <c r="I1685"/>
  <c r="E1685"/>
  <c r="I1684"/>
  <c r="E1684"/>
  <c r="I1683"/>
  <c r="E1683"/>
  <c r="I1682"/>
  <c r="E1682"/>
  <c r="I1681"/>
  <c r="E1681"/>
  <c r="I1680"/>
  <c r="E1680"/>
  <c r="I1679"/>
  <c r="E1679"/>
  <c r="I1678"/>
  <c r="E1678"/>
  <c r="I1677"/>
  <c r="E1677"/>
  <c r="I1676"/>
  <c r="E1676"/>
  <c r="I1675"/>
  <c r="E1675"/>
  <c r="I1674"/>
  <c r="E1674"/>
  <c r="I1673"/>
  <c r="E1673"/>
  <c r="I1672"/>
  <c r="E1672"/>
  <c r="I1671"/>
  <c r="E1671"/>
  <c r="I1670"/>
  <c r="E1670"/>
  <c r="I1669"/>
  <c r="E1669"/>
  <c r="M1668"/>
  <c r="I1668"/>
  <c r="N1668" s="1"/>
  <c r="E1668"/>
  <c r="I1667"/>
  <c r="E1667"/>
  <c r="I1666"/>
  <c r="E1666"/>
  <c r="I1665"/>
  <c r="E1665"/>
  <c r="I1664"/>
  <c r="E1664"/>
  <c r="I1663"/>
  <c r="E1663"/>
  <c r="I1662"/>
  <c r="E1662"/>
  <c r="I1661"/>
  <c r="E1661"/>
  <c r="I1660"/>
  <c r="E1660"/>
  <c r="I1659"/>
  <c r="E1659"/>
  <c r="I1658"/>
  <c r="E1658"/>
  <c r="I1657"/>
  <c r="E1657"/>
  <c r="I1656"/>
  <c r="E1656"/>
  <c r="I1655"/>
  <c r="E1655"/>
  <c r="I1654"/>
  <c r="E1654"/>
  <c r="I1653"/>
  <c r="E1653"/>
  <c r="I1652"/>
  <c r="E1652"/>
  <c r="I1651"/>
  <c r="E1651"/>
  <c r="I1650"/>
  <c r="E1650"/>
  <c r="E1649"/>
  <c r="D1649"/>
  <c r="N1648"/>
  <c r="I1648"/>
  <c r="E1648"/>
  <c r="N1647"/>
  <c r="I1647"/>
  <c r="E1647"/>
  <c r="N1646"/>
  <c r="I1646"/>
  <c r="E1646"/>
  <c r="N1645"/>
  <c r="I1645"/>
  <c r="E1645"/>
  <c r="N1644"/>
  <c r="I1644"/>
  <c r="E1644"/>
  <c r="N1643"/>
  <c r="I1643"/>
  <c r="E1643"/>
  <c r="N1642"/>
  <c r="I1642"/>
  <c r="E1642"/>
  <c r="N1641"/>
  <c r="I1641"/>
  <c r="E1641"/>
  <c r="N1640"/>
  <c r="I1640"/>
  <c r="E1640"/>
  <c r="N1639"/>
  <c r="I1639"/>
  <c r="E1639"/>
  <c r="N1638"/>
  <c r="I1638"/>
  <c r="E1638"/>
  <c r="N1637"/>
  <c r="I1637"/>
  <c r="E1637"/>
  <c r="N1636"/>
  <c r="I1636"/>
  <c r="E1636"/>
  <c r="N1635"/>
  <c r="I1635"/>
  <c r="E1635"/>
  <c r="N1634"/>
  <c r="I1634"/>
  <c r="E1634"/>
  <c r="N1633"/>
  <c r="I1633"/>
  <c r="E1633"/>
  <c r="I1632"/>
  <c r="E1632"/>
  <c r="I1631"/>
  <c r="E1631"/>
  <c r="I1630"/>
  <c r="E1630"/>
  <c r="I1629"/>
  <c r="E1629"/>
  <c r="I1628"/>
  <c r="E1628"/>
  <c r="I1627"/>
  <c r="E1627"/>
  <c r="I1626"/>
  <c r="E1626"/>
  <c r="I1625"/>
  <c r="E1625"/>
  <c r="I1624"/>
  <c r="E1624"/>
  <c r="I1623"/>
  <c r="E1623"/>
  <c r="I1622"/>
  <c r="E1622"/>
  <c r="I1621"/>
  <c r="E1621"/>
  <c r="W1620"/>
  <c r="W1619" s="1"/>
  <c r="I1618"/>
  <c r="E1618"/>
  <c r="I1617"/>
  <c r="E1617"/>
  <c r="I1616"/>
  <c r="E1616"/>
  <c r="I1615"/>
  <c r="E1615"/>
  <c r="I1614"/>
  <c r="E1614"/>
  <c r="I1613"/>
  <c r="E1613"/>
  <c r="I1612"/>
  <c r="E1612"/>
  <c r="I1611"/>
  <c r="E1611"/>
  <c r="I1610"/>
  <c r="E1610"/>
  <c r="I1609"/>
  <c r="E1609"/>
  <c r="I1608"/>
  <c r="E1608"/>
  <c r="I1607"/>
  <c r="E1607"/>
  <c r="I1606"/>
  <c r="E1606"/>
  <c r="I1605"/>
  <c r="E1605"/>
  <c r="I1604"/>
  <c r="E1604"/>
  <c r="I1603"/>
  <c r="E1603"/>
  <c r="I1602"/>
  <c r="E1602"/>
  <c r="I1601"/>
  <c r="E1601"/>
  <c r="I1600"/>
  <c r="E1600"/>
  <c r="I1599"/>
  <c r="E1599"/>
  <c r="I1598"/>
  <c r="E1598"/>
  <c r="I1597"/>
  <c r="E1597"/>
  <c r="I1596"/>
  <c r="E1596"/>
  <c r="I1595"/>
  <c r="E1595"/>
  <c r="I1594"/>
  <c r="E1594"/>
  <c r="I1593"/>
  <c r="E1593"/>
  <c r="I1592"/>
  <c r="E1592"/>
  <c r="I1591"/>
  <c r="E1591"/>
  <c r="I1590"/>
  <c r="E1590"/>
  <c r="I1589"/>
  <c r="E1589"/>
  <c r="I1588"/>
  <c r="E1588"/>
  <c r="I1587"/>
  <c r="E1587"/>
  <c r="I1586"/>
  <c r="E1586"/>
  <c r="I1585"/>
  <c r="E1585"/>
  <c r="I1584"/>
  <c r="E1584"/>
  <c r="I1583"/>
  <c r="E1583"/>
  <c r="I1582"/>
  <c r="E1582"/>
  <c r="I1581"/>
  <c r="E1581"/>
  <c r="I1580"/>
  <c r="E1580"/>
  <c r="I1579"/>
  <c r="E1579"/>
  <c r="I1578"/>
  <c r="E1578"/>
  <c r="I1577"/>
  <c r="E1577"/>
  <c r="I1576"/>
  <c r="E1576"/>
  <c r="I1575"/>
  <c r="E1575"/>
  <c r="I1574"/>
  <c r="E1574"/>
  <c r="I1573"/>
  <c r="E1573"/>
  <c r="I1572"/>
  <c r="E1572"/>
  <c r="I1571"/>
  <c r="E1571"/>
  <c r="I1570"/>
  <c r="E1570"/>
  <c r="I1569"/>
  <c r="E1569"/>
  <c r="I1568"/>
  <c r="E1568"/>
  <c r="I1567"/>
  <c r="E1567"/>
  <c r="I1566"/>
  <c r="E1566"/>
  <c r="I1565"/>
  <c r="E1565"/>
  <c r="I1564"/>
  <c r="E1564"/>
  <c r="I1563"/>
  <c r="E1563"/>
  <c r="I1562"/>
  <c r="E1562"/>
  <c r="I1561"/>
  <c r="E1561"/>
  <c r="I1560"/>
  <c r="E1560"/>
  <c r="I1559"/>
  <c r="E1559"/>
  <c r="I1558"/>
  <c r="E1558"/>
  <c r="I1557"/>
  <c r="E1557"/>
  <c r="I1556"/>
  <c r="E1556"/>
  <c r="I1555"/>
  <c r="E1555"/>
  <c r="I1554"/>
  <c r="E1554"/>
  <c r="I1553"/>
  <c r="E1553"/>
  <c r="I1552"/>
  <c r="E1552"/>
  <c r="I1551"/>
  <c r="E1551"/>
  <c r="I1550"/>
  <c r="E1550"/>
  <c r="I1549"/>
  <c r="E1549"/>
  <c r="I1548"/>
  <c r="E1548"/>
  <c r="I1547"/>
  <c r="E1547"/>
  <c r="I1546"/>
  <c r="E1546"/>
  <c r="I1545"/>
  <c r="E1545"/>
  <c r="I1544"/>
  <c r="E1544"/>
  <c r="I1543"/>
  <c r="E1543"/>
  <c r="I1542"/>
  <c r="E1542"/>
  <c r="I1541"/>
  <c r="E1541"/>
  <c r="I1540"/>
  <c r="E1540"/>
  <c r="I1539"/>
  <c r="E1539"/>
  <c r="I1538"/>
  <c r="E1538"/>
  <c r="I1537"/>
  <c r="E1537"/>
  <c r="I1536"/>
  <c r="E1536"/>
  <c r="I1535"/>
  <c r="E1535"/>
  <c r="I1534"/>
  <c r="E1534"/>
  <c r="I1533"/>
  <c r="E1533"/>
  <c r="I1532"/>
  <c r="E1532"/>
  <c r="I1531"/>
  <c r="E1531"/>
  <c r="I1530"/>
  <c r="E1530"/>
  <c r="I1529"/>
  <c r="E1529"/>
  <c r="I1528"/>
  <c r="E1528"/>
  <c r="I1527"/>
  <c r="E1527"/>
  <c r="I1526"/>
  <c r="E1526"/>
  <c r="I1525"/>
  <c r="E1525"/>
  <c r="I1524"/>
  <c r="E1524"/>
  <c r="I1523"/>
  <c r="E1523"/>
  <c r="I1522"/>
  <c r="E1522"/>
  <c r="I1521"/>
  <c r="E1521"/>
  <c r="I1520"/>
  <c r="E1520"/>
  <c r="I1519"/>
  <c r="E1519"/>
  <c r="I1518"/>
  <c r="E1518"/>
  <c r="I1517"/>
  <c r="E1517"/>
  <c r="M1517" s="1"/>
  <c r="I1516"/>
  <c r="E1516"/>
  <c r="I1515"/>
  <c r="E1515"/>
  <c r="I1514"/>
  <c r="M1514" s="1"/>
  <c r="N1514" s="1"/>
  <c r="E1514"/>
  <c r="I1513"/>
  <c r="E1513"/>
  <c r="M1513" s="1"/>
  <c r="I1512"/>
  <c r="E1512"/>
  <c r="M1512" s="1"/>
  <c r="N1512" s="1"/>
  <c r="I1511"/>
  <c r="E1511"/>
  <c r="M1511" s="1"/>
  <c r="N1511" s="1"/>
  <c r="I1510"/>
  <c r="E1510"/>
  <c r="I1509"/>
  <c r="M1509"/>
  <c r="E1509"/>
  <c r="I1508"/>
  <c r="E1508"/>
  <c r="M1508" s="1"/>
  <c r="N1508" s="1"/>
  <c r="I1507"/>
  <c r="E1507"/>
  <c r="I1506"/>
  <c r="E1506"/>
  <c r="I1505"/>
  <c r="M1505" s="1"/>
  <c r="E1505"/>
  <c r="I1504"/>
  <c r="E1504"/>
  <c r="M1504" s="1"/>
  <c r="N1504" s="1"/>
  <c r="I1503"/>
  <c r="E1503"/>
  <c r="M1503" s="1"/>
  <c r="N1503" s="1"/>
  <c r="I1502"/>
  <c r="E1502"/>
  <c r="I1501"/>
  <c r="E1501"/>
  <c r="M1501" s="1"/>
  <c r="I1500"/>
  <c r="E1500"/>
  <c r="M1499"/>
  <c r="I1499"/>
  <c r="G1499"/>
  <c r="M1498"/>
  <c r="I1498"/>
  <c r="G1498"/>
  <c r="M1497"/>
  <c r="I1497"/>
  <c r="G1497"/>
  <c r="M1496"/>
  <c r="I1496"/>
  <c r="G1496"/>
  <c r="M1495"/>
  <c r="I1495"/>
  <c r="G1495"/>
  <c r="M1494"/>
  <c r="I1494"/>
  <c r="G1494"/>
  <c r="M1493"/>
  <c r="I1493"/>
  <c r="G1493"/>
  <c r="M1492"/>
  <c r="I1492"/>
  <c r="G1492"/>
  <c r="M1491"/>
  <c r="I1491"/>
  <c r="G1491"/>
  <c r="M1490"/>
  <c r="I1490"/>
  <c r="G1490"/>
  <c r="M1489"/>
  <c r="I1489"/>
  <c r="G1489"/>
  <c r="M1488"/>
  <c r="I1488"/>
  <c r="G1488"/>
  <c r="M1487"/>
  <c r="I1487"/>
  <c r="G1487"/>
  <c r="M1486"/>
  <c r="I1486"/>
  <c r="G1486"/>
  <c r="M1485"/>
  <c r="I1485"/>
  <c r="G1485"/>
  <c r="M1484"/>
  <c r="I1484"/>
  <c r="G1484"/>
  <c r="M1483"/>
  <c r="I1483"/>
  <c r="G1483"/>
  <c r="M1482"/>
  <c r="I1482"/>
  <c r="G1482"/>
  <c r="M1481"/>
  <c r="I1481"/>
  <c r="G1481"/>
  <c r="I1479"/>
  <c r="M1479"/>
  <c r="E1479"/>
  <c r="I1478"/>
  <c r="M1478" s="1"/>
  <c r="E1478"/>
  <c r="I1477"/>
  <c r="M1477" s="1"/>
  <c r="E1477"/>
  <c r="I1476"/>
  <c r="M1476"/>
  <c r="E1476"/>
  <c r="I1475"/>
  <c r="M1475"/>
  <c r="E1475"/>
  <c r="I1474"/>
  <c r="M1474" s="1"/>
  <c r="E1474"/>
  <c r="I1473"/>
  <c r="M1473" s="1"/>
  <c r="E1473"/>
  <c r="I1472"/>
  <c r="M1472" s="1"/>
  <c r="E1472"/>
  <c r="I1471"/>
  <c r="M1471"/>
  <c r="E1471"/>
  <c r="I1470"/>
  <c r="M1470" s="1"/>
  <c r="E1470"/>
  <c r="I1469"/>
  <c r="M1469" s="1"/>
  <c r="E1469"/>
  <c r="I1468"/>
  <c r="M1468"/>
  <c r="E1468"/>
  <c r="I1467"/>
  <c r="M1467"/>
  <c r="E1467"/>
  <c r="I1466"/>
  <c r="M1466" s="1"/>
  <c r="E1466"/>
  <c r="I1465"/>
  <c r="M1465" s="1"/>
  <c r="E1465"/>
  <c r="I1464"/>
  <c r="M1464" s="1"/>
  <c r="E1464"/>
  <c r="I1463"/>
  <c r="M1463"/>
  <c r="E1463"/>
  <c r="I1462"/>
  <c r="M1462" s="1"/>
  <c r="E1462"/>
  <c r="I1461"/>
  <c r="M1461" s="1"/>
  <c r="E1461"/>
  <c r="I1460"/>
  <c r="M1460"/>
  <c r="E1460"/>
  <c r="I1459"/>
  <c r="M1459"/>
  <c r="E1459"/>
  <c r="I1458"/>
  <c r="M1458" s="1"/>
  <c r="E1458"/>
  <c r="I1457"/>
  <c r="E1457"/>
  <c r="I1456"/>
  <c r="M1456" s="1"/>
  <c r="E1456"/>
  <c r="I1455"/>
  <c r="E1455"/>
  <c r="I1454"/>
  <c r="E1454"/>
  <c r="I1453"/>
  <c r="E1453"/>
  <c r="I1452"/>
  <c r="E1452"/>
  <c r="M1452"/>
  <c r="I1451"/>
  <c r="M1451" s="1"/>
  <c r="E1451"/>
  <c r="I1450"/>
  <c r="E1450"/>
  <c r="I1449"/>
  <c r="M1449" s="1"/>
  <c r="E1449"/>
  <c r="I1448"/>
  <c r="E1448"/>
  <c r="M1448"/>
  <c r="I1447"/>
  <c r="E1447"/>
  <c r="M1447"/>
  <c r="I1446"/>
  <c r="M1446" s="1"/>
  <c r="E1446"/>
  <c r="I1445"/>
  <c r="E1445"/>
  <c r="I1444"/>
  <c r="M1444" s="1"/>
  <c r="E1444"/>
  <c r="I1443"/>
  <c r="E1443"/>
  <c r="M1443" s="1"/>
  <c r="I1442"/>
  <c r="E1442"/>
  <c r="I1441"/>
  <c r="E1441"/>
  <c r="M1441" s="1"/>
  <c r="I1440"/>
  <c r="E1440"/>
  <c r="M1440" s="1"/>
  <c r="I1439"/>
  <c r="M1439" s="1"/>
  <c r="E1439"/>
  <c r="I1438"/>
  <c r="E1438"/>
  <c r="I1437"/>
  <c r="E1437"/>
  <c r="M1437" s="1"/>
  <c r="I1436"/>
  <c r="E1436"/>
  <c r="I1435"/>
  <c r="E1435"/>
  <c r="I1434"/>
  <c r="E1434"/>
  <c r="I1433"/>
  <c r="E1433"/>
  <c r="I1432"/>
  <c r="E1432"/>
  <c r="I1431"/>
  <c r="E1431"/>
  <c r="I1430"/>
  <c r="E1430"/>
  <c r="I1429"/>
  <c r="E1429"/>
  <c r="I1428"/>
  <c r="E1428"/>
  <c r="M1428"/>
  <c r="I1427"/>
  <c r="M1427" s="1"/>
  <c r="E1427"/>
  <c r="I1426"/>
  <c r="E1426"/>
  <c r="M1426" s="1"/>
  <c r="I1425"/>
  <c r="E1425"/>
  <c r="I1424"/>
  <c r="E1424"/>
  <c r="I1423"/>
  <c r="E1423"/>
  <c r="I1422"/>
  <c r="E1422"/>
  <c r="I1421"/>
  <c r="E1421"/>
  <c r="I1420"/>
  <c r="E1420"/>
  <c r="I1419"/>
  <c r="E1419"/>
  <c r="I1418"/>
  <c r="E1418"/>
  <c r="I1417"/>
  <c r="E1417"/>
  <c r="I1416"/>
  <c r="E1416"/>
  <c r="I1415"/>
  <c r="E1415"/>
  <c r="I1414"/>
  <c r="E1414"/>
  <c r="I1413"/>
  <c r="E1413"/>
  <c r="I1412"/>
  <c r="E1412"/>
  <c r="I1411"/>
  <c r="E1411"/>
  <c r="I1410"/>
  <c r="E1410"/>
  <c r="I1409"/>
  <c r="E1409"/>
  <c r="I1408"/>
  <c r="E1408"/>
  <c r="I1407"/>
  <c r="E1407"/>
  <c r="I1406"/>
  <c r="E1406"/>
  <c r="I1405"/>
  <c r="E1405"/>
  <c r="I1404"/>
  <c r="E1404"/>
  <c r="I1403"/>
  <c r="E1403"/>
  <c r="I1402"/>
  <c r="E1402"/>
  <c r="I1401"/>
  <c r="E1401"/>
  <c r="I1400"/>
  <c r="E1400"/>
  <c r="I1399"/>
  <c r="E1399"/>
  <c r="I1398"/>
  <c r="E1398"/>
  <c r="I1397"/>
  <c r="E1397"/>
  <c r="I1396"/>
  <c r="E1396"/>
  <c r="I1395"/>
  <c r="E1395"/>
  <c r="I1394"/>
  <c r="E1394"/>
  <c r="I1393"/>
  <c r="E1393"/>
  <c r="I1392"/>
  <c r="E1392"/>
  <c r="I1391"/>
  <c r="E1391"/>
  <c r="I1390"/>
  <c r="E1390"/>
  <c r="I1389"/>
  <c r="E1389"/>
  <c r="I1388"/>
  <c r="E1388"/>
  <c r="I1387"/>
  <c r="E1387"/>
  <c r="I1386"/>
  <c r="E1386"/>
  <c r="I1385"/>
  <c r="E1385"/>
  <c r="I1384"/>
  <c r="E1384"/>
  <c r="I1383"/>
  <c r="E1383"/>
  <c r="I1382"/>
  <c r="E1382"/>
  <c r="I1381"/>
  <c r="E1381"/>
  <c r="I1380"/>
  <c r="E1380"/>
  <c r="I1379"/>
  <c r="E1379"/>
  <c r="I1378"/>
  <c r="E1378"/>
  <c r="I1377"/>
  <c r="E1377"/>
  <c r="I1376"/>
  <c r="E1376"/>
  <c r="I1375"/>
  <c r="E1375"/>
  <c r="I1374"/>
  <c r="E1374"/>
  <c r="I1373"/>
  <c r="E1373"/>
  <c r="I1372"/>
  <c r="E1372"/>
  <c r="I1371"/>
  <c r="E1371"/>
  <c r="I1370"/>
  <c r="E1370"/>
  <c r="I1369"/>
  <c r="E1369"/>
  <c r="I1368"/>
  <c r="E1368"/>
  <c r="I1367"/>
  <c r="E1367"/>
  <c r="I1366"/>
  <c r="M1366" s="1"/>
  <c r="E1366"/>
  <c r="I1365"/>
  <c r="E1365"/>
  <c r="I1364"/>
  <c r="E1364"/>
  <c r="I1363"/>
  <c r="E1363"/>
  <c r="M1363"/>
  <c r="I1362"/>
  <c r="E1362"/>
  <c r="I1361"/>
  <c r="E1361"/>
  <c r="I1360"/>
  <c r="E1360"/>
  <c r="M1360" s="1"/>
  <c r="I1359"/>
  <c r="M1359" s="1"/>
  <c r="E1359"/>
  <c r="I1358"/>
  <c r="E1358"/>
  <c r="I1357"/>
  <c r="M1357" s="1"/>
  <c r="E1357"/>
  <c r="I1356"/>
  <c r="E1356"/>
  <c r="M1356" s="1"/>
  <c r="I1355"/>
  <c r="E1355"/>
  <c r="M1355"/>
  <c r="I1354"/>
  <c r="M1354" s="1"/>
  <c r="E1354"/>
  <c r="I1353"/>
  <c r="E1353"/>
  <c r="I1352"/>
  <c r="E1352"/>
  <c r="I1351"/>
  <c r="E1351"/>
  <c r="M1351" s="1"/>
  <c r="I1350"/>
  <c r="E1350"/>
  <c r="I1349"/>
  <c r="E1349"/>
  <c r="I1348"/>
  <c r="E1348"/>
  <c r="M1348" s="1"/>
  <c r="I1347"/>
  <c r="M1347" s="1"/>
  <c r="E1347"/>
  <c r="I1346"/>
  <c r="E1346"/>
  <c r="I1345"/>
  <c r="M1345" s="1"/>
  <c r="E1345"/>
  <c r="I1344"/>
  <c r="E1344"/>
  <c r="M1344"/>
  <c r="I1343"/>
  <c r="E1343"/>
  <c r="M1343"/>
  <c r="I1342"/>
  <c r="E1342"/>
  <c r="I1341"/>
  <c r="E1341"/>
  <c r="I1340"/>
  <c r="E1340"/>
  <c r="I1339"/>
  <c r="E1339"/>
  <c r="I1338"/>
  <c r="E1338"/>
  <c r="I1337"/>
  <c r="E1337"/>
  <c r="I1336"/>
  <c r="E1336"/>
  <c r="I1335"/>
  <c r="E1335"/>
  <c r="I1334"/>
  <c r="E1334"/>
  <c r="I1333"/>
  <c r="E1333"/>
  <c r="I1332"/>
  <c r="E1332"/>
  <c r="I1331"/>
  <c r="E1331"/>
  <c r="I1330"/>
  <c r="E1330"/>
  <c r="I1329"/>
  <c r="E1329"/>
  <c r="I1328"/>
  <c r="E1328"/>
  <c r="I1327"/>
  <c r="E1327"/>
  <c r="I1326"/>
  <c r="E1326"/>
  <c r="I1325"/>
  <c r="E1325"/>
  <c r="I1324"/>
  <c r="E1324"/>
  <c r="I1323"/>
  <c r="E1323"/>
  <c r="I1322"/>
  <c r="E1322"/>
  <c r="I1321"/>
  <c r="E1321"/>
  <c r="I1320"/>
  <c r="E1320"/>
  <c r="I1319"/>
  <c r="E1319"/>
  <c r="I1318"/>
  <c r="E1318"/>
  <c r="I1317"/>
  <c r="E1317"/>
  <c r="I1316"/>
  <c r="E1316"/>
  <c r="I1315"/>
  <c r="E1315"/>
  <c r="I1314"/>
  <c r="E1314"/>
  <c r="I1313"/>
  <c r="E1313"/>
  <c r="I1312"/>
  <c r="E1312"/>
  <c r="I1311"/>
  <c r="E1311"/>
  <c r="I1310"/>
  <c r="E1310"/>
  <c r="I1309"/>
  <c r="E1309"/>
  <c r="I1308"/>
  <c r="E1308"/>
  <c r="I1307"/>
  <c r="E1307"/>
  <c r="I1306"/>
  <c r="E1306"/>
  <c r="I1305"/>
  <c r="E1305"/>
  <c r="I1304"/>
  <c r="E1304"/>
  <c r="I1303"/>
  <c r="E1303"/>
  <c r="I1302"/>
  <c r="E1302"/>
  <c r="I1301"/>
  <c r="E1301"/>
  <c r="I1300"/>
  <c r="E1300"/>
  <c r="I1299"/>
  <c r="E1299"/>
  <c r="I1298"/>
  <c r="E1298"/>
  <c r="I1297"/>
  <c r="E1297"/>
  <c r="I1296"/>
  <c r="E1296"/>
  <c r="I1295"/>
  <c r="E1295"/>
  <c r="I1294"/>
  <c r="E1294"/>
  <c r="I1293"/>
  <c r="E1293"/>
  <c r="I1292"/>
  <c r="E1292"/>
  <c r="I1291"/>
  <c r="E1291"/>
  <c r="I1290"/>
  <c r="E1290"/>
  <c r="I1289"/>
  <c r="E1289"/>
  <c r="I1288"/>
  <c r="E1288"/>
  <c r="I1287"/>
  <c r="E1287"/>
  <c r="I1286"/>
  <c r="E1286"/>
  <c r="I1285"/>
  <c r="E1285"/>
  <c r="I1284"/>
  <c r="E1284"/>
  <c r="M1283"/>
  <c r="N1283" s="1"/>
  <c r="I1283"/>
  <c r="E1283"/>
  <c r="M1282"/>
  <c r="N1282" s="1"/>
  <c r="I1282"/>
  <c r="E1282"/>
  <c r="M1281"/>
  <c r="N1281" s="1"/>
  <c r="I1281"/>
  <c r="E1281"/>
  <c r="M1280"/>
  <c r="N1280" s="1"/>
  <c r="I1280"/>
  <c r="E1280"/>
  <c r="M1279"/>
  <c r="N1279" s="1"/>
  <c r="I1279"/>
  <c r="E1279"/>
  <c r="M1278"/>
  <c r="N1278" s="1"/>
  <c r="I1278"/>
  <c r="E1278"/>
  <c r="M1277"/>
  <c r="N1277" s="1"/>
  <c r="I1277"/>
  <c r="E1277"/>
  <c r="M1276"/>
  <c r="N1276" s="1"/>
  <c r="I1276"/>
  <c r="E1276"/>
  <c r="M1275"/>
  <c r="N1275" s="1"/>
  <c r="I1275"/>
  <c r="E1275"/>
  <c r="M1274"/>
  <c r="N1274" s="1"/>
  <c r="I1274"/>
  <c r="E1274"/>
  <c r="M1273"/>
  <c r="N1273" s="1"/>
  <c r="I1273"/>
  <c r="E1273"/>
  <c r="M1272"/>
  <c r="N1272" s="1"/>
  <c r="I1272"/>
  <c r="E1272"/>
  <c r="M1271"/>
  <c r="N1271" s="1"/>
  <c r="I1271"/>
  <c r="E1271"/>
  <c r="M1270"/>
  <c r="N1270" s="1"/>
  <c r="I1270"/>
  <c r="E1270"/>
  <c r="M1269"/>
  <c r="N1269" s="1"/>
  <c r="I1269"/>
  <c r="E1269"/>
  <c r="M1268"/>
  <c r="N1268" s="1"/>
  <c r="I1268"/>
  <c r="E1268"/>
  <c r="M1267"/>
  <c r="N1267" s="1"/>
  <c r="I1267"/>
  <c r="E1267"/>
  <c r="M1266"/>
  <c r="N1266" s="1"/>
  <c r="I1266"/>
  <c r="E1266"/>
  <c r="M1265"/>
  <c r="N1265" s="1"/>
  <c r="I1265"/>
  <c r="E1265"/>
  <c r="M1264"/>
  <c r="N1264" s="1"/>
  <c r="I1264"/>
  <c r="E1264"/>
  <c r="M1263"/>
  <c r="N1263" s="1"/>
  <c r="I1263"/>
  <c r="E1263"/>
  <c r="M1262"/>
  <c r="N1262" s="1"/>
  <c r="I1262"/>
  <c r="E1262"/>
  <c r="M1261"/>
  <c r="N1261" s="1"/>
  <c r="I1261"/>
  <c r="E1261"/>
  <c r="I1257"/>
  <c r="E1257"/>
  <c r="I1256"/>
  <c r="E1256"/>
  <c r="I1255"/>
  <c r="E1255"/>
  <c r="I1254"/>
  <c r="E1254"/>
  <c r="I1253"/>
  <c r="E1253"/>
  <c r="I1252"/>
  <c r="E1252"/>
  <c r="I1251"/>
  <c r="E1251"/>
  <c r="I1250"/>
  <c r="E1250"/>
  <c r="I1249"/>
  <c r="E1249"/>
  <c r="I1248"/>
  <c r="E1248"/>
  <c r="I1247"/>
  <c r="E1247"/>
  <c r="I1246"/>
  <c r="E1246"/>
  <c r="I1245"/>
  <c r="E1245"/>
  <c r="I1244"/>
  <c r="E1244"/>
  <c r="I1243"/>
  <c r="E1243"/>
  <c r="I1242"/>
  <c r="E1242"/>
  <c r="I1241"/>
  <c r="E1241"/>
  <c r="I1240"/>
  <c r="E1240"/>
  <c r="I1239"/>
  <c r="E1239"/>
  <c r="I1238"/>
  <c r="E1238"/>
  <c r="I1237"/>
  <c r="E1237"/>
  <c r="I1236"/>
  <c r="E1236"/>
  <c r="I1235"/>
  <c r="E1235"/>
  <c r="I1234"/>
  <c r="E1234"/>
  <c r="I1233"/>
  <c r="E1233"/>
  <c r="I1232"/>
  <c r="E1232"/>
  <c r="I1231"/>
  <c r="E1231"/>
  <c r="I1230"/>
  <c r="E1230"/>
  <c r="I1229"/>
  <c r="E1229"/>
  <c r="I1228"/>
  <c r="E1228"/>
  <c r="I1227"/>
  <c r="E1227"/>
  <c r="W1226"/>
  <c r="I1225"/>
  <c r="I1224"/>
  <c r="I1223"/>
  <c r="I1222"/>
  <c r="I1221"/>
  <c r="I1220"/>
  <c r="I1219"/>
  <c r="I1218"/>
  <c r="I1217"/>
  <c r="I1216"/>
  <c r="E1216"/>
  <c r="I1215"/>
  <c r="I1214"/>
  <c r="E1214"/>
  <c r="I1213"/>
  <c r="E1213"/>
  <c r="I1212"/>
  <c r="E1212"/>
  <c r="I1211"/>
  <c r="E1211"/>
  <c r="I1210"/>
  <c r="E1210"/>
  <c r="I1209"/>
  <c r="E1209"/>
  <c r="I1208"/>
  <c r="E1208"/>
  <c r="I1207"/>
  <c r="E1207"/>
  <c r="I1206"/>
  <c r="E1206"/>
  <c r="I1205"/>
  <c r="E1205"/>
  <c r="I1204"/>
  <c r="E1204"/>
  <c r="I1203"/>
  <c r="E1203"/>
  <c r="I1202"/>
  <c r="E1202"/>
  <c r="I1201"/>
  <c r="E1201"/>
  <c r="M1200"/>
  <c r="N1200" s="1"/>
  <c r="I1200"/>
  <c r="E1200"/>
  <c r="M1199"/>
  <c r="N1199" s="1"/>
  <c r="I1199"/>
  <c r="E1199"/>
  <c r="M1198"/>
  <c r="N1198" s="1"/>
  <c r="I1198"/>
  <c r="E1198"/>
  <c r="M1197"/>
  <c r="N1197" s="1"/>
  <c r="I1197"/>
  <c r="E1197"/>
  <c r="M1196"/>
  <c r="N1196" s="1"/>
  <c r="I1196"/>
  <c r="E1196"/>
  <c r="M1195"/>
  <c r="N1195" s="1"/>
  <c r="I1195"/>
  <c r="E1195"/>
  <c r="M1194"/>
  <c r="N1194" s="1"/>
  <c r="I1194"/>
  <c r="E1194"/>
  <c r="M1193"/>
  <c r="N1193" s="1"/>
  <c r="I1193"/>
  <c r="E1193"/>
  <c r="M1192"/>
  <c r="N1192" s="1"/>
  <c r="I1192"/>
  <c r="E1192"/>
  <c r="M1191"/>
  <c r="N1191" s="1"/>
  <c r="I1191"/>
  <c r="E1191"/>
  <c r="M1190"/>
  <c r="N1190" s="1"/>
  <c r="I1190"/>
  <c r="E1190"/>
  <c r="M1189"/>
  <c r="N1189" s="1"/>
  <c r="I1189"/>
  <c r="E1189"/>
  <c r="M1188"/>
  <c r="N1188" s="1"/>
  <c r="I1188"/>
  <c r="E1188"/>
  <c r="M1187"/>
  <c r="N1187" s="1"/>
  <c r="I1187"/>
  <c r="E1187"/>
  <c r="M1186"/>
  <c r="N1186" s="1"/>
  <c r="I1186"/>
  <c r="E1186"/>
  <c r="M1185"/>
  <c r="N1185" s="1"/>
  <c r="I1185"/>
  <c r="E1185"/>
  <c r="M1184"/>
  <c r="N1184" s="1"/>
  <c r="I1184"/>
  <c r="E1184"/>
  <c r="M1183"/>
  <c r="N1183" s="1"/>
  <c r="I1183"/>
  <c r="E1183"/>
  <c r="M1182"/>
  <c r="N1182" s="1"/>
  <c r="I1182"/>
  <c r="E1182"/>
  <c r="M1181"/>
  <c r="N1181" s="1"/>
  <c r="I1181"/>
  <c r="E1181"/>
  <c r="M1180"/>
  <c r="N1180" s="1"/>
  <c r="I1180"/>
  <c r="E1180"/>
  <c r="M1179"/>
  <c r="N1179" s="1"/>
  <c r="I1179"/>
  <c r="E1179"/>
  <c r="M1178"/>
  <c r="N1178" s="1"/>
  <c r="I1178"/>
  <c r="E1178"/>
  <c r="M1177"/>
  <c r="N1177" s="1"/>
  <c r="I1177"/>
  <c r="E1177"/>
  <c r="M1176"/>
  <c r="N1176" s="1"/>
  <c r="I1176"/>
  <c r="E1176"/>
  <c r="I1175"/>
  <c r="E1175"/>
  <c r="I1174"/>
  <c r="E1174"/>
  <c r="I1173"/>
  <c r="E1173"/>
  <c r="I1172"/>
  <c r="E1172"/>
  <c r="I1171"/>
  <c r="E1171"/>
  <c r="I1170"/>
  <c r="E1170"/>
  <c r="I1169"/>
  <c r="E1169"/>
  <c r="I1168"/>
  <c r="E1168"/>
  <c r="I1167"/>
  <c r="E1167"/>
  <c r="I1166"/>
  <c r="E1166"/>
  <c r="I1165"/>
  <c r="E1165"/>
  <c r="I1164"/>
  <c r="E1164"/>
  <c r="I1163"/>
  <c r="E1163"/>
  <c r="I1162"/>
  <c r="E1162"/>
  <c r="I1161"/>
  <c r="E1161"/>
  <c r="I1160"/>
  <c r="E1160"/>
  <c r="I1159"/>
  <c r="E1159"/>
  <c r="I1158"/>
  <c r="E1158"/>
  <c r="I1157"/>
  <c r="E1157"/>
  <c r="I1156"/>
  <c r="E1156"/>
  <c r="I1155"/>
  <c r="E1155"/>
  <c r="I1154"/>
  <c r="E1154"/>
  <c r="I1153"/>
  <c r="E1153"/>
  <c r="I1152"/>
  <c r="E1152"/>
  <c r="I1151"/>
  <c r="E1151"/>
  <c r="I1150"/>
  <c r="E1150"/>
  <c r="I1149"/>
  <c r="E1149"/>
  <c r="I1148"/>
  <c r="E1148"/>
  <c r="I1147"/>
  <c r="E1147"/>
  <c r="I1146"/>
  <c r="E1146"/>
  <c r="I1145"/>
  <c r="E1145"/>
  <c r="I1144"/>
  <c r="E1144"/>
  <c r="I1143"/>
  <c r="E1143"/>
  <c r="I1142"/>
  <c r="E1142"/>
  <c r="I1141"/>
  <c r="E1141"/>
  <c r="I1140"/>
  <c r="E1140"/>
  <c r="I1139"/>
  <c r="E1139"/>
  <c r="I1138"/>
  <c r="E1138"/>
  <c r="I1137"/>
  <c r="E1137"/>
  <c r="I1136"/>
  <c r="E1136"/>
  <c r="I1135"/>
  <c r="E1135"/>
  <c r="I1134"/>
  <c r="E1134"/>
  <c r="I1133"/>
  <c r="E1133"/>
  <c r="I1132"/>
  <c r="E1132"/>
  <c r="I1131"/>
  <c r="E1131"/>
  <c r="I1130"/>
  <c r="E1130"/>
  <c r="I1129"/>
  <c r="E1129"/>
  <c r="I1128"/>
  <c r="E1128"/>
  <c r="I1127"/>
  <c r="E1127"/>
  <c r="I1126"/>
  <c r="E1126"/>
  <c r="I1125"/>
  <c r="E1125"/>
  <c r="I1124"/>
  <c r="E1124"/>
  <c r="I1123"/>
  <c r="E1123"/>
  <c r="I1122"/>
  <c r="E1122"/>
  <c r="I1121"/>
  <c r="E1121"/>
  <c r="I1120"/>
  <c r="E1120"/>
  <c r="I1119"/>
  <c r="E1119"/>
  <c r="I1118"/>
  <c r="E1118"/>
  <c r="I1117"/>
  <c r="E1117"/>
  <c r="I1116"/>
  <c r="E1116"/>
  <c r="I1115"/>
  <c r="E1115"/>
  <c r="I1114"/>
  <c r="E1114"/>
  <c r="I1113"/>
  <c r="E1113"/>
  <c r="E1112"/>
  <c r="E1111"/>
  <c r="W1110"/>
  <c r="W1109" s="1"/>
  <c r="I1108"/>
  <c r="E1108"/>
  <c r="I1107"/>
  <c r="E1107"/>
  <c r="I1106"/>
  <c r="M1106"/>
  <c r="E1106"/>
  <c r="I1105"/>
  <c r="M1105" s="1"/>
  <c r="I1104"/>
  <c r="M1104" s="1"/>
  <c r="E1104"/>
  <c r="I1103"/>
  <c r="M1103" s="1"/>
  <c r="E1103"/>
  <c r="I1102"/>
  <c r="M1102" s="1"/>
  <c r="I1101"/>
  <c r="M1101" s="1"/>
  <c r="E1101"/>
  <c r="I1100"/>
  <c r="M1100" s="1"/>
  <c r="I1099"/>
  <c r="E1099"/>
  <c r="N1098"/>
  <c r="I1098"/>
  <c r="N1097"/>
  <c r="I1097"/>
  <c r="N1096"/>
  <c r="I1096"/>
  <c r="N1095"/>
  <c r="I1095"/>
  <c r="N1094"/>
  <c r="I1094"/>
  <c r="N1093"/>
  <c r="I1093"/>
  <c r="N1092"/>
  <c r="I1092"/>
  <c r="N1091"/>
  <c r="I1091"/>
  <c r="N1090"/>
  <c r="I1090"/>
  <c r="N1089"/>
  <c r="I1089"/>
  <c r="N1088"/>
  <c r="I1088"/>
  <c r="N1087"/>
  <c r="I1087"/>
  <c r="N1086"/>
  <c r="I1086"/>
  <c r="N1085"/>
  <c r="I1085"/>
  <c r="N1084"/>
  <c r="I1084"/>
  <c r="N1083"/>
  <c r="I1083"/>
  <c r="E1083"/>
  <c r="N1082"/>
  <c r="I1082"/>
  <c r="N1081"/>
  <c r="I1081"/>
  <c r="N1080"/>
  <c r="I1080"/>
  <c r="E1080"/>
  <c r="N1079"/>
  <c r="I1079"/>
  <c r="E1079"/>
  <c r="N1078"/>
  <c r="I1078"/>
  <c r="E1078"/>
  <c r="N1077"/>
  <c r="I1077"/>
  <c r="E1077"/>
  <c r="N1076"/>
  <c r="I1076"/>
  <c r="E1076"/>
  <c r="I1075"/>
  <c r="M1075" s="1"/>
  <c r="I1074"/>
  <c r="M1074" s="1"/>
  <c r="I1073"/>
  <c r="M1073" s="1"/>
  <c r="I1072"/>
  <c r="M1072" s="1"/>
  <c r="I1071"/>
  <c r="M1071" s="1"/>
  <c r="I1070"/>
  <c r="M1070" s="1"/>
  <c r="I1069"/>
  <c r="M1069" s="1"/>
  <c r="I1068"/>
  <c r="M1068" s="1"/>
  <c r="I1067"/>
  <c r="M1067" s="1"/>
  <c r="I1066"/>
  <c r="M1066" s="1"/>
  <c r="I1065"/>
  <c r="M1065" s="1"/>
  <c r="I1064"/>
  <c r="M1064" s="1"/>
  <c r="I1063"/>
  <c r="M1063" s="1"/>
  <c r="I1062"/>
  <c r="M1062" s="1"/>
  <c r="I1061"/>
  <c r="M1061" s="1"/>
  <c r="I1060"/>
  <c r="M1060" s="1"/>
  <c r="I1059"/>
  <c r="M1059"/>
  <c r="I1058"/>
  <c r="M1058" s="1"/>
  <c r="I1057"/>
  <c r="M1057" s="1"/>
  <c r="I1056"/>
  <c r="E1056"/>
  <c r="I1055"/>
  <c r="M1055" s="1"/>
  <c r="N1055" s="1"/>
  <c r="E1055"/>
  <c r="I1054"/>
  <c r="I1053"/>
  <c r="M1053"/>
  <c r="I1052"/>
  <c r="I1051"/>
  <c r="M1051" s="1"/>
  <c r="I1050"/>
  <c r="I1049"/>
  <c r="M1049" s="1"/>
  <c r="N1049" s="1"/>
  <c r="I1048"/>
  <c r="I1047"/>
  <c r="M1047" s="1"/>
  <c r="N1047" s="1"/>
  <c r="I1046"/>
  <c r="I1045"/>
  <c r="M1045"/>
  <c r="I1044"/>
  <c r="I1043"/>
  <c r="M1043" s="1"/>
  <c r="N1043" s="1"/>
  <c r="I1042"/>
  <c r="I1041"/>
  <c r="M1041" s="1"/>
  <c r="N1041" s="1"/>
  <c r="I1040"/>
  <c r="I1039"/>
  <c r="I1038"/>
  <c r="E1038"/>
  <c r="M1038" s="1"/>
  <c r="N1038" s="1"/>
  <c r="I1037"/>
  <c r="E1037"/>
  <c r="I1036"/>
  <c r="E1036"/>
  <c r="I1035"/>
  <c r="E1035"/>
  <c r="M1035" s="1"/>
  <c r="I1034"/>
  <c r="M1034" s="1"/>
  <c r="E1034"/>
  <c r="I1033"/>
  <c r="E1033"/>
  <c r="M1033" s="1"/>
  <c r="N1033" s="1"/>
  <c r="K1032"/>
  <c r="I1032" s="1"/>
  <c r="E1032"/>
  <c r="I1031"/>
  <c r="E1031"/>
  <c r="I1030"/>
  <c r="E1030"/>
  <c r="M1030" s="1"/>
  <c r="N1030" s="1"/>
  <c r="K1029"/>
  <c r="I1029" s="1"/>
  <c r="E1029"/>
  <c r="I1028"/>
  <c r="E1028"/>
  <c r="M1028" s="1"/>
  <c r="I1027"/>
  <c r="M1027" s="1"/>
  <c r="N1027" s="1"/>
  <c r="E1027"/>
  <c r="I1026"/>
  <c r="M1026" s="1"/>
  <c r="N1026" s="1"/>
  <c r="E1026"/>
  <c r="I1025"/>
  <c r="E1025"/>
  <c r="I1024"/>
  <c r="E1024"/>
  <c r="M1024"/>
  <c r="I1023"/>
  <c r="E1023"/>
  <c r="I1022"/>
  <c r="E1022"/>
  <c r="I1021"/>
  <c r="E1021"/>
  <c r="M1021" s="1"/>
  <c r="N1021" s="1"/>
  <c r="I1020"/>
  <c r="E1020"/>
  <c r="I1019"/>
  <c r="I1018"/>
  <c r="I1017"/>
  <c r="I1016"/>
  <c r="I1015"/>
  <c r="I1014"/>
  <c r="I1013"/>
  <c r="I1012"/>
  <c r="I1011"/>
  <c r="I1010"/>
  <c r="I1009"/>
  <c r="E1009"/>
  <c r="I1008"/>
  <c r="I1007"/>
  <c r="E1007"/>
  <c r="I1006"/>
  <c r="E1006"/>
  <c r="I1005"/>
  <c r="E1005"/>
  <c r="M1005"/>
  <c r="I1004"/>
  <c r="E1004"/>
  <c r="I1003"/>
  <c r="E1003"/>
  <c r="I1002"/>
  <c r="E1002"/>
  <c r="M1002" s="1"/>
  <c r="I1001"/>
  <c r="E1001"/>
  <c r="M1001" s="1"/>
  <c r="I1000"/>
  <c r="E1000"/>
  <c r="I999"/>
  <c r="E999"/>
  <c r="I998"/>
  <c r="E998"/>
  <c r="I997"/>
  <c r="M997" s="1"/>
  <c r="E997"/>
  <c r="I996"/>
  <c r="M996" s="1"/>
  <c r="E996"/>
  <c r="I995"/>
  <c r="M995" s="1"/>
  <c r="E995"/>
  <c r="I994"/>
  <c r="E994"/>
  <c r="I993"/>
  <c r="M993" s="1"/>
  <c r="E993"/>
  <c r="I992"/>
  <c r="E992"/>
  <c r="I991"/>
  <c r="E991"/>
  <c r="I990"/>
  <c r="E990"/>
  <c r="I989"/>
  <c r="E989"/>
  <c r="I988"/>
  <c r="E988"/>
  <c r="I987"/>
  <c r="E987"/>
  <c r="I986"/>
  <c r="E986"/>
  <c r="I985"/>
  <c r="E985"/>
  <c r="I984"/>
  <c r="E984"/>
  <c r="M984" s="1"/>
  <c r="I983"/>
  <c r="M983" s="1"/>
  <c r="E983"/>
  <c r="I982"/>
  <c r="M982" s="1"/>
  <c r="E982"/>
  <c r="I981"/>
  <c r="M981" s="1"/>
  <c r="E981"/>
  <c r="I980"/>
  <c r="E980"/>
  <c r="I979"/>
  <c r="M979" s="1"/>
  <c r="E979"/>
  <c r="I978"/>
  <c r="E978"/>
  <c r="I977"/>
  <c r="E977"/>
  <c r="I976"/>
  <c r="E976"/>
  <c r="I975"/>
  <c r="E975"/>
  <c r="I974"/>
  <c r="M974" s="1"/>
  <c r="E974"/>
  <c r="I973"/>
  <c r="E973"/>
  <c r="I972"/>
  <c r="E972"/>
  <c r="I971"/>
  <c r="I970"/>
  <c r="I969"/>
  <c r="N968"/>
  <c r="I968"/>
  <c r="I967"/>
  <c r="N966"/>
  <c r="I966"/>
  <c r="N965"/>
  <c r="I965"/>
  <c r="I964"/>
  <c r="I963"/>
  <c r="I962"/>
  <c r="N961"/>
  <c r="I961"/>
  <c r="I960"/>
  <c r="N959"/>
  <c r="I959"/>
  <c r="N958"/>
  <c r="I958"/>
  <c r="N957"/>
  <c r="I957"/>
  <c r="N956"/>
  <c r="I956"/>
  <c r="N955"/>
  <c r="I955"/>
  <c r="N954"/>
  <c r="I954"/>
  <c r="N953"/>
  <c r="I953"/>
  <c r="N952"/>
  <c r="I952"/>
  <c r="W951"/>
  <c r="I950"/>
  <c r="E950"/>
  <c r="I949"/>
  <c r="E949"/>
  <c r="I948"/>
  <c r="E948"/>
  <c r="I947"/>
  <c r="E947"/>
  <c r="I946"/>
  <c r="E946"/>
  <c r="I945"/>
  <c r="E945"/>
  <c r="I944"/>
  <c r="E944"/>
  <c r="I943"/>
  <c r="E943"/>
  <c r="I942"/>
  <c r="E942"/>
  <c r="I941"/>
  <c r="E941"/>
  <c r="I940"/>
  <c r="E940"/>
  <c r="I939"/>
  <c r="E939"/>
  <c r="I938"/>
  <c r="E938"/>
  <c r="I937"/>
  <c r="E937"/>
  <c r="I936"/>
  <c r="E936"/>
  <c r="I935"/>
  <c r="E935"/>
  <c r="I934"/>
  <c r="E934"/>
  <c r="I933"/>
  <c r="E933"/>
  <c r="I932"/>
  <c r="E932"/>
  <c r="I931"/>
  <c r="E931"/>
  <c r="I930"/>
  <c r="E930"/>
  <c r="I929"/>
  <c r="E929"/>
  <c r="I928"/>
  <c r="E928"/>
  <c r="I927"/>
  <c r="E927"/>
  <c r="I926"/>
  <c r="E926"/>
  <c r="I925"/>
  <c r="E925"/>
  <c r="I924"/>
  <c r="E924"/>
  <c r="I923"/>
  <c r="E923"/>
  <c r="I922"/>
  <c r="E922"/>
  <c r="I921"/>
  <c r="E921"/>
  <c r="I920"/>
  <c r="E920"/>
  <c r="I919"/>
  <c r="E919"/>
  <c r="I918"/>
  <c r="E918"/>
  <c r="I917"/>
  <c r="E917"/>
  <c r="I916"/>
  <c r="E916"/>
  <c r="I915"/>
  <c r="E915"/>
  <c r="I914"/>
  <c r="E914"/>
  <c r="I913"/>
  <c r="E913"/>
  <c r="I912"/>
  <c r="E912"/>
  <c r="I911"/>
  <c r="E911"/>
  <c r="I910"/>
  <c r="E910"/>
  <c r="I909"/>
  <c r="E909"/>
  <c r="I908"/>
  <c r="E908"/>
  <c r="I907"/>
  <c r="E907"/>
  <c r="I906"/>
  <c r="E906"/>
  <c r="I905"/>
  <c r="E905"/>
  <c r="I904"/>
  <c r="E904"/>
  <c r="I903"/>
  <c r="E903"/>
  <c r="I902"/>
  <c r="E902"/>
  <c r="I901"/>
  <c r="E901"/>
  <c r="I900"/>
  <c r="E900"/>
  <c r="I899"/>
  <c r="E899"/>
  <c r="I898"/>
  <c r="E898"/>
  <c r="I897"/>
  <c r="E897"/>
  <c r="I896"/>
  <c r="N896" s="1"/>
  <c r="E896"/>
  <c r="I895"/>
  <c r="E895"/>
  <c r="I894"/>
  <c r="M894" s="1"/>
  <c r="N894" s="1"/>
  <c r="E894"/>
  <c r="I893"/>
  <c r="E893"/>
  <c r="M893" s="1"/>
  <c r="N893" s="1"/>
  <c r="I892"/>
  <c r="M892" s="1"/>
  <c r="N892" s="1"/>
  <c r="E892"/>
  <c r="I891"/>
  <c r="E891"/>
  <c r="I890"/>
  <c r="M890" s="1"/>
  <c r="N890" s="1"/>
  <c r="E890"/>
  <c r="I889"/>
  <c r="E889"/>
  <c r="I888"/>
  <c r="E888"/>
  <c r="I887"/>
  <c r="M887" s="1"/>
  <c r="N887" s="1"/>
  <c r="E887"/>
  <c r="I886"/>
  <c r="E886"/>
  <c r="M886" s="1"/>
  <c r="N886" s="1"/>
  <c r="I885"/>
  <c r="E885"/>
  <c r="I884"/>
  <c r="E884"/>
  <c r="I883"/>
  <c r="M883" s="1"/>
  <c r="N883" s="1"/>
  <c r="E883"/>
  <c r="I882"/>
  <c r="E882"/>
  <c r="M882" s="1"/>
  <c r="N882" s="1"/>
  <c r="I881"/>
  <c r="E881"/>
  <c r="I880"/>
  <c r="E880"/>
  <c r="I879"/>
  <c r="M879" s="1"/>
  <c r="N879" s="1"/>
  <c r="E879"/>
  <c r="I878"/>
  <c r="E878"/>
  <c r="M878" s="1"/>
  <c r="N878" s="1"/>
  <c r="I877"/>
  <c r="E877"/>
  <c r="I876"/>
  <c r="E876"/>
  <c r="I875"/>
  <c r="M875" s="1"/>
  <c r="N875" s="1"/>
  <c r="E875"/>
  <c r="I874"/>
  <c r="M874"/>
  <c r="E874"/>
  <c r="I873"/>
  <c r="E873"/>
  <c r="M873" s="1"/>
  <c r="N873" s="1"/>
  <c r="I872"/>
  <c r="M872" s="1"/>
  <c r="N872" s="1"/>
  <c r="E872"/>
  <c r="I871"/>
  <c r="E871"/>
  <c r="I870"/>
  <c r="M870" s="1"/>
  <c r="N870" s="1"/>
  <c r="E870"/>
  <c r="I869"/>
  <c r="E869"/>
  <c r="M869" s="1"/>
  <c r="N869" s="1"/>
  <c r="I868"/>
  <c r="M868" s="1"/>
  <c r="N868" s="1"/>
  <c r="E868"/>
  <c r="I867"/>
  <c r="E867"/>
  <c r="I866"/>
  <c r="M866" s="1"/>
  <c r="N866" s="1"/>
  <c r="E866"/>
  <c r="I865"/>
  <c r="E865"/>
  <c r="I864"/>
  <c r="E864"/>
  <c r="I863"/>
  <c r="M863" s="1"/>
  <c r="N863" s="1"/>
  <c r="E863"/>
  <c r="I862"/>
  <c r="E862"/>
  <c r="M862" s="1"/>
  <c r="N862" s="1"/>
  <c r="I861"/>
  <c r="M861" s="1"/>
  <c r="N861" s="1"/>
  <c r="E861"/>
  <c r="I860"/>
  <c r="N860" s="1"/>
  <c r="E860"/>
  <c r="I859"/>
  <c r="E859"/>
  <c r="I858"/>
  <c r="E858"/>
  <c r="I857"/>
  <c r="E857"/>
  <c r="I856"/>
  <c r="E856"/>
  <c r="I855"/>
  <c r="E855"/>
  <c r="I854"/>
  <c r="E854"/>
  <c r="I853"/>
  <c r="E853"/>
  <c r="I852"/>
  <c r="E852"/>
  <c r="I851"/>
  <c r="E851"/>
  <c r="I850"/>
  <c r="E850"/>
  <c r="I849"/>
  <c r="E849"/>
  <c r="I848"/>
  <c r="E848"/>
  <c r="I847"/>
  <c r="E847"/>
  <c r="I846"/>
  <c r="E846"/>
  <c r="I845"/>
  <c r="E845"/>
  <c r="I844"/>
  <c r="E844"/>
  <c r="I843"/>
  <c r="E843"/>
  <c r="I842"/>
  <c r="E842"/>
  <c r="I841"/>
  <c r="E841"/>
  <c r="I840"/>
  <c r="E840"/>
  <c r="I839"/>
  <c r="E839"/>
  <c r="I838"/>
  <c r="E838"/>
  <c r="I837"/>
  <c r="E837"/>
  <c r="I836"/>
  <c r="E836"/>
  <c r="I835"/>
  <c r="E835"/>
  <c r="I834"/>
  <c r="E834"/>
  <c r="I833"/>
  <c r="E833"/>
  <c r="I832"/>
  <c r="E832"/>
  <c r="I831"/>
  <c r="E831"/>
  <c r="I830"/>
  <c r="E830"/>
  <c r="I829"/>
  <c r="E829"/>
  <c r="I828"/>
  <c r="E828"/>
  <c r="I827"/>
  <c r="E827"/>
  <c r="I826"/>
  <c r="E826"/>
  <c r="I825"/>
  <c r="E825"/>
  <c r="I824"/>
  <c r="E824"/>
  <c r="I823"/>
  <c r="E823"/>
  <c r="I822"/>
  <c r="E822"/>
  <c r="I821"/>
  <c r="E821"/>
  <c r="I820"/>
  <c r="E820"/>
  <c r="I819"/>
  <c r="E819"/>
  <c r="I818"/>
  <c r="E818"/>
  <c r="I817"/>
  <c r="E817"/>
  <c r="I816"/>
  <c r="E816"/>
  <c r="I815"/>
  <c r="E815"/>
  <c r="I814"/>
  <c r="E814"/>
  <c r="I813"/>
  <c r="E813"/>
  <c r="I812"/>
  <c r="E812"/>
  <c r="I811"/>
  <c r="E811"/>
  <c r="I810"/>
  <c r="E810"/>
  <c r="I809"/>
  <c r="E809"/>
  <c r="I808"/>
  <c r="E808"/>
  <c r="I807"/>
  <c r="E807"/>
  <c r="I806"/>
  <c r="E806"/>
  <c r="I805"/>
  <c r="E805"/>
  <c r="I804"/>
  <c r="E804"/>
  <c r="I803"/>
  <c r="E803"/>
  <c r="I802"/>
  <c r="E802"/>
  <c r="I801"/>
  <c r="E801"/>
  <c r="I800"/>
  <c r="E800"/>
  <c r="I799"/>
  <c r="E799"/>
  <c r="I798"/>
  <c r="I797"/>
  <c r="E797"/>
  <c r="I796"/>
  <c r="E796"/>
  <c r="I795"/>
  <c r="E795"/>
  <c r="I794"/>
  <c r="E794"/>
  <c r="I793"/>
  <c r="E793"/>
  <c r="I792"/>
  <c r="E792"/>
  <c r="I791"/>
  <c r="E791"/>
  <c r="I790"/>
  <c r="E790"/>
  <c r="N789"/>
  <c r="I789"/>
  <c r="E789"/>
  <c r="W788"/>
  <c r="W787" s="1"/>
  <c r="I786"/>
  <c r="M786" s="1"/>
  <c r="E786"/>
  <c r="I785"/>
  <c r="E785"/>
  <c r="I784"/>
  <c r="M784" s="1"/>
  <c r="E784"/>
  <c r="I783"/>
  <c r="E783"/>
  <c r="E782"/>
  <c r="M782" s="1"/>
  <c r="E781"/>
  <c r="M781"/>
  <c r="E780"/>
  <c r="M780" s="1"/>
  <c r="E779"/>
  <c r="M779"/>
  <c r="E778"/>
  <c r="M778" s="1"/>
  <c r="E777"/>
  <c r="M777"/>
  <c r="E776"/>
  <c r="M776" s="1"/>
  <c r="E775"/>
  <c r="M775"/>
  <c r="E774"/>
  <c r="M774" s="1"/>
  <c r="E773"/>
  <c r="M773"/>
  <c r="E772"/>
  <c r="M772" s="1"/>
  <c r="E771"/>
  <c r="M771"/>
  <c r="N770"/>
  <c r="E770"/>
  <c r="M770" s="1"/>
  <c r="N769"/>
  <c r="E769"/>
  <c r="M769" s="1"/>
  <c r="E768"/>
  <c r="M768" s="1"/>
  <c r="E767"/>
  <c r="M767" s="1"/>
  <c r="I766"/>
  <c r="M766" s="1"/>
  <c r="E766"/>
  <c r="I765"/>
  <c r="E765"/>
  <c r="I764"/>
  <c r="E764"/>
  <c r="M747"/>
  <c r="M746"/>
  <c r="I745"/>
  <c r="M745"/>
  <c r="E745"/>
  <c r="I744"/>
  <c r="M744" s="1"/>
  <c r="E744"/>
  <c r="I743"/>
  <c r="E743"/>
  <c r="I742"/>
  <c r="M742" s="1"/>
  <c r="E742"/>
  <c r="I741"/>
  <c r="M741" s="1"/>
  <c r="E741"/>
  <c r="I740"/>
  <c r="M740"/>
  <c r="E740"/>
  <c r="I739"/>
  <c r="E739"/>
  <c r="I738"/>
  <c r="M738" s="1"/>
  <c r="E738"/>
  <c r="I737"/>
  <c r="M737" s="1"/>
  <c r="E737"/>
  <c r="E736"/>
  <c r="M736" s="1"/>
  <c r="E735"/>
  <c r="M735" s="1"/>
  <c r="E734"/>
  <c r="M734" s="1"/>
  <c r="E733"/>
  <c r="M733" s="1"/>
  <c r="E732"/>
  <c r="M732" s="1"/>
  <c r="E731"/>
  <c r="M731" s="1"/>
  <c r="I730"/>
  <c r="E730"/>
  <c r="E729"/>
  <c r="E728"/>
  <c r="E727"/>
  <c r="E726"/>
  <c r="E725"/>
  <c r="E724"/>
  <c r="E723"/>
  <c r="E722"/>
  <c r="E721"/>
  <c r="E720"/>
  <c r="E719"/>
  <c r="E718"/>
  <c r="E717"/>
  <c r="E716"/>
  <c r="E715"/>
  <c r="M715"/>
  <c r="E714"/>
  <c r="M714" s="1"/>
  <c r="E713"/>
  <c r="M713"/>
  <c r="E712"/>
  <c r="M712" s="1"/>
  <c r="E711"/>
  <c r="M711"/>
  <c r="E710"/>
  <c r="M710" s="1"/>
  <c r="E709"/>
  <c r="M709"/>
  <c r="E708"/>
  <c r="M708" s="1"/>
  <c r="E707"/>
  <c r="M707"/>
  <c r="I706"/>
  <c r="M706" s="1"/>
  <c r="E706"/>
  <c r="I705"/>
  <c r="M705" s="1"/>
  <c r="E705"/>
  <c r="I704"/>
  <c r="E704"/>
  <c r="I703"/>
  <c r="M703" s="1"/>
  <c r="E703"/>
  <c r="I702"/>
  <c r="E702"/>
  <c r="I701"/>
  <c r="M701" s="1"/>
  <c r="E701"/>
  <c r="I700"/>
  <c r="E700"/>
  <c r="I699"/>
  <c r="E699"/>
  <c r="I698"/>
  <c r="M698" s="1"/>
  <c r="E698"/>
  <c r="W697"/>
  <c r="I696"/>
  <c r="I695"/>
  <c r="I694"/>
  <c r="I693"/>
  <c r="I692"/>
  <c r="I691"/>
  <c r="I690"/>
  <c r="I689"/>
  <c r="N689" s="1"/>
  <c r="E689"/>
  <c r="I688"/>
  <c r="N688" s="1"/>
  <c r="E688"/>
  <c r="I687"/>
  <c r="N687" s="1"/>
  <c r="E687"/>
  <c r="I686"/>
  <c r="N686"/>
  <c r="E686"/>
  <c r="I685"/>
  <c r="N685" s="1"/>
  <c r="E685"/>
  <c r="I684"/>
  <c r="N684"/>
  <c r="E684"/>
  <c r="I683"/>
  <c r="N683" s="1"/>
  <c r="E683"/>
  <c r="I682"/>
  <c r="N682" s="1"/>
  <c r="E682"/>
  <c r="M681"/>
  <c r="M680"/>
  <c r="M679"/>
  <c r="M678"/>
  <c r="M677"/>
  <c r="M676"/>
  <c r="I675"/>
  <c r="M675" s="1"/>
  <c r="E675"/>
  <c r="I661"/>
  <c r="E661"/>
  <c r="I660"/>
  <c r="E660"/>
  <c r="I659"/>
  <c r="E659"/>
  <c r="I658"/>
  <c r="E658"/>
  <c r="I657"/>
  <c r="E657"/>
  <c r="I653"/>
  <c r="E653"/>
  <c r="I652"/>
  <c r="E652"/>
  <c r="I651"/>
  <c r="E651"/>
  <c r="I650"/>
  <c r="E650"/>
  <c r="I649"/>
  <c r="E649"/>
  <c r="I648"/>
  <c r="E648"/>
  <c r="I647"/>
  <c r="E647"/>
  <c r="I646"/>
  <c r="E646"/>
  <c r="I645"/>
  <c r="E645"/>
  <c r="I644"/>
  <c r="E644"/>
  <c r="I643"/>
  <c r="E643"/>
  <c r="I642"/>
  <c r="E642"/>
  <c r="I641"/>
  <c r="E641"/>
  <c r="I640"/>
  <c r="E640"/>
  <c r="I639"/>
  <c r="E639"/>
  <c r="I638"/>
  <c r="E638"/>
  <c r="W635"/>
  <c r="W634" s="1"/>
  <c r="I633"/>
  <c r="E633"/>
  <c r="I632"/>
  <c r="E632"/>
  <c r="I631"/>
  <c r="I630"/>
  <c r="E630"/>
  <c r="I629"/>
  <c r="E629"/>
  <c r="I628"/>
  <c r="I627"/>
  <c r="I626"/>
  <c r="I625"/>
  <c r="I624"/>
  <c r="I623"/>
  <c r="I622"/>
  <c r="I621"/>
  <c r="I620"/>
  <c r="I619"/>
  <c r="I618"/>
  <c r="I617"/>
  <c r="I616"/>
  <c r="I615"/>
  <c r="K614"/>
  <c r="I614" s="1"/>
  <c r="E614"/>
  <c r="I613"/>
  <c r="E613"/>
  <c r="I612"/>
  <c r="E612"/>
  <c r="I611"/>
  <c r="E611"/>
  <c r="I610"/>
  <c r="E610"/>
  <c r="I609"/>
  <c r="E609"/>
  <c r="I608"/>
  <c r="E608"/>
  <c r="I607"/>
  <c r="E607"/>
  <c r="I606"/>
  <c r="I605"/>
  <c r="E605"/>
  <c r="I604"/>
  <c r="E604"/>
  <c r="I603"/>
  <c r="E603"/>
  <c r="I602"/>
  <c r="E602"/>
  <c r="I601"/>
  <c r="E601"/>
  <c r="I600"/>
  <c r="E600"/>
  <c r="I599"/>
  <c r="E599"/>
  <c r="I598"/>
  <c r="E598"/>
  <c r="I597"/>
  <c r="E597"/>
  <c r="I596"/>
  <c r="E596"/>
  <c r="I595"/>
  <c r="E595"/>
  <c r="I594"/>
  <c r="E594"/>
  <c r="I593"/>
  <c r="E593"/>
  <c r="I592"/>
  <c r="E592"/>
  <c r="I591"/>
  <c r="I590"/>
  <c r="I589"/>
  <c r="M589" s="1"/>
  <c r="I588"/>
  <c r="I587"/>
  <c r="I586"/>
  <c r="I585"/>
  <c r="M585" s="1"/>
  <c r="I584"/>
  <c r="M584"/>
  <c r="M583"/>
  <c r="N583" s="1"/>
  <c r="I583"/>
  <c r="M582"/>
  <c r="N582" s="1"/>
  <c r="I582"/>
  <c r="M581"/>
  <c r="N581"/>
  <c r="I581"/>
  <c r="M580"/>
  <c r="N580" s="1"/>
  <c r="I580"/>
  <c r="M579"/>
  <c r="N579"/>
  <c r="I579"/>
  <c r="M578"/>
  <c r="N578" s="1"/>
  <c r="I578"/>
  <c r="M577"/>
  <c r="N577" s="1"/>
  <c r="I577"/>
  <c r="M576"/>
  <c r="N576" s="1"/>
  <c r="I576"/>
  <c r="M575"/>
  <c r="N575" s="1"/>
  <c r="I575"/>
  <c r="M574"/>
  <c r="N574" s="1"/>
  <c r="I574"/>
  <c r="M573"/>
  <c r="N573"/>
  <c r="I573"/>
  <c r="M572"/>
  <c r="N572" s="1"/>
  <c r="I572"/>
  <c r="M571"/>
  <c r="N571"/>
  <c r="I571"/>
  <c r="M570"/>
  <c r="N570" s="1"/>
  <c r="I570"/>
  <c r="M569"/>
  <c r="N569" s="1"/>
  <c r="I569"/>
  <c r="M568"/>
  <c r="N568" s="1"/>
  <c r="I568"/>
  <c r="I567"/>
  <c r="N567" s="1"/>
  <c r="I566"/>
  <c r="N566"/>
  <c r="I565"/>
  <c r="N565" s="1"/>
  <c r="E565"/>
  <c r="I564"/>
  <c r="N564" s="1"/>
  <c r="E564"/>
  <c r="I563"/>
  <c r="N563"/>
  <c r="E563"/>
  <c r="I562"/>
  <c r="N562" s="1"/>
  <c r="E562"/>
  <c r="I561"/>
  <c r="N561"/>
  <c r="I560"/>
  <c r="N560" s="1"/>
  <c r="E560"/>
  <c r="I559"/>
  <c r="N559" s="1"/>
  <c r="E559"/>
  <c r="E556"/>
  <c r="E555"/>
  <c r="E554"/>
  <c r="I553"/>
  <c r="M553" s="1"/>
  <c r="E553"/>
  <c r="E552"/>
  <c r="E551"/>
  <c r="E550"/>
  <c r="E549"/>
  <c r="E547"/>
  <c r="E546"/>
  <c r="I545"/>
  <c r="E545"/>
  <c r="E544"/>
  <c r="E543"/>
  <c r="E542"/>
  <c r="E541"/>
  <c r="E540"/>
  <c r="I536"/>
  <c r="N536" s="1"/>
  <c r="E536"/>
  <c r="I535"/>
  <c r="N535"/>
  <c r="E535"/>
  <c r="W534"/>
  <c r="I533"/>
  <c r="E533"/>
  <c r="I532"/>
  <c r="E532"/>
  <c r="I531"/>
  <c r="E531"/>
  <c r="I530"/>
  <c r="E530"/>
  <c r="I529"/>
  <c r="E529"/>
  <c r="I528"/>
  <c r="E528"/>
  <c r="I527"/>
  <c r="E527"/>
  <c r="I526"/>
  <c r="E526"/>
  <c r="I525"/>
  <c r="E525"/>
  <c r="I524"/>
  <c r="E524"/>
  <c r="I523"/>
  <c r="E523"/>
  <c r="I522"/>
  <c r="E522"/>
  <c r="I521"/>
  <c r="E521"/>
  <c r="I520"/>
  <c r="E520"/>
  <c r="I519"/>
  <c r="E519"/>
  <c r="I518"/>
  <c r="E518"/>
  <c r="I517"/>
  <c r="E517"/>
  <c r="I516"/>
  <c r="E516"/>
  <c r="I515"/>
  <c r="E515"/>
  <c r="I514"/>
  <c r="E514"/>
  <c r="I513"/>
  <c r="E513"/>
  <c r="I512"/>
  <c r="E512"/>
  <c r="I511"/>
  <c r="E511"/>
  <c r="I510"/>
  <c r="E510"/>
  <c r="I509"/>
  <c r="E509"/>
  <c r="I508"/>
  <c r="E508"/>
  <c r="I507"/>
  <c r="E507"/>
  <c r="I506"/>
  <c r="E506"/>
  <c r="I505"/>
  <c r="E505"/>
  <c r="I504"/>
  <c r="E504"/>
  <c r="I503"/>
  <c r="E503"/>
  <c r="I502"/>
  <c r="E502"/>
  <c r="I501"/>
  <c r="E501"/>
  <c r="I500"/>
  <c r="E500"/>
  <c r="I499"/>
  <c r="E499"/>
  <c r="I498"/>
  <c r="E498"/>
  <c r="I497"/>
  <c r="E497"/>
  <c r="I496"/>
  <c r="E496"/>
  <c r="I495"/>
  <c r="E495"/>
  <c r="I494"/>
  <c r="E494"/>
  <c r="I493"/>
  <c r="E493"/>
  <c r="I492"/>
  <c r="E492"/>
  <c r="I491"/>
  <c r="E491"/>
  <c r="I490"/>
  <c r="E490"/>
  <c r="I489"/>
  <c r="E489"/>
  <c r="I488"/>
  <c r="E488"/>
  <c r="I487"/>
  <c r="E487"/>
  <c r="I486"/>
  <c r="E486"/>
  <c r="I485"/>
  <c r="E485"/>
  <c r="W483"/>
  <c r="W482" s="1"/>
  <c r="I481"/>
  <c r="E481"/>
  <c r="I480"/>
  <c r="E480"/>
  <c r="I479"/>
  <c r="E479"/>
  <c r="I478"/>
  <c r="E478"/>
  <c r="I477"/>
  <c r="E477"/>
  <c r="I476"/>
  <c r="E476"/>
  <c r="I475"/>
  <c r="E475"/>
  <c r="I474"/>
  <c r="E474"/>
  <c r="I473"/>
  <c r="E473"/>
  <c r="I472"/>
  <c r="E472"/>
  <c r="I471"/>
  <c r="E471"/>
  <c r="I470"/>
  <c r="E470"/>
  <c r="I469"/>
  <c r="I468"/>
  <c r="E468"/>
  <c r="I467"/>
  <c r="E467"/>
  <c r="I466"/>
  <c r="E466"/>
  <c r="I465"/>
  <c r="E465"/>
  <c r="I464"/>
  <c r="I463"/>
  <c r="E463"/>
  <c r="I462"/>
  <c r="E462"/>
  <c r="I461"/>
  <c r="E461"/>
  <c r="I460"/>
  <c r="E460"/>
  <c r="I459"/>
  <c r="E459"/>
  <c r="I458"/>
  <c r="E458"/>
  <c r="I457"/>
  <c r="E457"/>
  <c r="I456"/>
  <c r="E456"/>
  <c r="I455"/>
  <c r="E455"/>
  <c r="I454"/>
  <c r="E454"/>
  <c r="I453"/>
  <c r="E453"/>
  <c r="I452"/>
  <c r="E452"/>
  <c r="I451"/>
  <c r="E451"/>
  <c r="I450"/>
  <c r="E450"/>
  <c r="I449"/>
  <c r="E449"/>
  <c r="I448"/>
  <c r="E448"/>
  <c r="I447"/>
  <c r="E447"/>
  <c r="I446"/>
  <c r="E446"/>
  <c r="I445"/>
  <c r="E445"/>
  <c r="I444"/>
  <c r="E444"/>
  <c r="I443"/>
  <c r="E443"/>
  <c r="I442"/>
  <c r="E442"/>
  <c r="I441"/>
  <c r="E441"/>
  <c r="I440"/>
  <c r="E440"/>
  <c r="I439"/>
  <c r="E439"/>
  <c r="I438"/>
  <c r="E438"/>
  <c r="I437"/>
  <c r="E437"/>
  <c r="I436"/>
  <c r="E436"/>
  <c r="I435"/>
  <c r="E435"/>
  <c r="I434"/>
  <c r="E434"/>
  <c r="I433"/>
  <c r="E433"/>
  <c r="I432"/>
  <c r="E432"/>
  <c r="I431"/>
  <c r="E431"/>
  <c r="I430"/>
  <c r="E430"/>
  <c r="I429"/>
  <c r="E429"/>
  <c r="I428"/>
  <c r="E428"/>
  <c r="I427"/>
  <c r="E427"/>
  <c r="I426"/>
  <c r="E426"/>
  <c r="I425"/>
  <c r="E425"/>
  <c r="I424"/>
  <c r="E424"/>
  <c r="I423"/>
  <c r="E423"/>
  <c r="I422"/>
  <c r="E422"/>
  <c r="I421"/>
  <c r="E421"/>
  <c r="I420"/>
  <c r="E420"/>
  <c r="I419"/>
  <c r="E419"/>
  <c r="I418"/>
  <c r="E418"/>
  <c r="I417"/>
  <c r="E417"/>
  <c r="I416"/>
  <c r="E416"/>
  <c r="I415"/>
  <c r="E415"/>
  <c r="I414"/>
  <c r="E414"/>
  <c r="I413"/>
  <c r="E413"/>
  <c r="I412"/>
  <c r="E412"/>
  <c r="I411"/>
  <c r="E411"/>
  <c r="I410"/>
  <c r="E410"/>
  <c r="I409"/>
  <c r="E409"/>
  <c r="I408"/>
  <c r="E408"/>
  <c r="I407"/>
  <c r="E407"/>
  <c r="I406"/>
  <c r="E406"/>
  <c r="I405"/>
  <c r="E405"/>
  <c r="I404"/>
  <c r="E404"/>
  <c r="I403"/>
  <c r="E403"/>
  <c r="I402"/>
  <c r="E402"/>
  <c r="I401"/>
  <c r="E401"/>
  <c r="I400"/>
  <c r="E400"/>
  <c r="I399"/>
  <c r="E399"/>
  <c r="I398"/>
  <c r="E398"/>
  <c r="I397"/>
  <c r="E397"/>
  <c r="I396"/>
  <c r="E396"/>
  <c r="I395"/>
  <c r="E395"/>
  <c r="I394"/>
  <c r="E394"/>
  <c r="I393"/>
  <c r="E393"/>
  <c r="I392"/>
  <c r="E392"/>
  <c r="I391"/>
  <c r="E391"/>
  <c r="I390"/>
  <c r="E390"/>
  <c r="I389"/>
  <c r="E389"/>
  <c r="I388"/>
  <c r="E388"/>
  <c r="I387"/>
  <c r="E387"/>
  <c r="I386"/>
  <c r="E386"/>
  <c r="I385"/>
  <c r="E385"/>
  <c r="I384"/>
  <c r="E384"/>
  <c r="I383"/>
  <c r="E383"/>
  <c r="I382"/>
  <c r="E382"/>
  <c r="I381"/>
  <c r="E381"/>
  <c r="I380"/>
  <c r="E380"/>
  <c r="I379"/>
  <c r="E379"/>
  <c r="I378"/>
  <c r="E378"/>
  <c r="I377"/>
  <c r="E377"/>
  <c r="I376"/>
  <c r="E376"/>
  <c r="I375"/>
  <c r="E375"/>
  <c r="I374"/>
  <c r="E374"/>
  <c r="I373"/>
  <c r="E373"/>
  <c r="I372"/>
  <c r="E372"/>
  <c r="I371"/>
  <c r="E371"/>
  <c r="I370"/>
  <c r="E370"/>
  <c r="I369"/>
  <c r="E369"/>
  <c r="I368"/>
  <c r="E368"/>
  <c r="I367"/>
  <c r="E367"/>
  <c r="I366"/>
  <c r="E366"/>
  <c r="I365"/>
  <c r="E365"/>
  <c r="I364"/>
  <c r="E364"/>
  <c r="I363"/>
  <c r="E363"/>
  <c r="I362"/>
  <c r="E362"/>
  <c r="I361"/>
  <c r="E361"/>
  <c r="I360"/>
  <c r="E360"/>
  <c r="I359"/>
  <c r="E359"/>
  <c r="I358"/>
  <c r="E358"/>
  <c r="I357"/>
  <c r="E357"/>
  <c r="I356"/>
  <c r="E356"/>
  <c r="I355"/>
  <c r="E355"/>
  <c r="I354"/>
  <c r="E354"/>
  <c r="I353"/>
  <c r="E353"/>
  <c r="I352"/>
  <c r="E352"/>
  <c r="I351"/>
  <c r="E351"/>
  <c r="I350"/>
  <c r="E350"/>
  <c r="I349"/>
  <c r="E349"/>
  <c r="I348"/>
  <c r="E348"/>
  <c r="I347"/>
  <c r="E347"/>
  <c r="I346"/>
  <c r="E346"/>
  <c r="I345"/>
  <c r="E345"/>
  <c r="I344"/>
  <c r="E344"/>
  <c r="I343"/>
  <c r="E343"/>
  <c r="I342"/>
  <c r="E342"/>
  <c r="I341"/>
  <c r="E341"/>
  <c r="I340"/>
  <c r="E340"/>
  <c r="I339"/>
  <c r="E339"/>
  <c r="I338"/>
  <c r="E338"/>
  <c r="I337"/>
  <c r="E337"/>
  <c r="I336"/>
  <c r="E336"/>
  <c r="I335"/>
  <c r="E335"/>
  <c r="I334"/>
  <c r="E334"/>
  <c r="I333"/>
  <c r="E333"/>
  <c r="I332"/>
  <c r="E332"/>
  <c r="W331"/>
  <c r="I330"/>
  <c r="E330"/>
  <c r="I329"/>
  <c r="E329"/>
  <c r="I328"/>
  <c r="E328"/>
  <c r="I327"/>
  <c r="E327"/>
  <c r="I326"/>
  <c r="E326"/>
  <c r="I325"/>
  <c r="E325"/>
  <c r="I324"/>
  <c r="E324"/>
  <c r="I323"/>
  <c r="E323"/>
  <c r="I322"/>
  <c r="E322"/>
  <c r="I321"/>
  <c r="E321"/>
  <c r="I320"/>
  <c r="E320"/>
  <c r="I319"/>
  <c r="E319"/>
  <c r="I318"/>
  <c r="E318"/>
  <c r="I317"/>
  <c r="E317"/>
  <c r="I316"/>
  <c r="E316"/>
  <c r="I315"/>
  <c r="E315"/>
  <c r="I314"/>
  <c r="E314"/>
  <c r="I313"/>
  <c r="E313"/>
  <c r="N312"/>
  <c r="I312"/>
  <c r="E312"/>
  <c r="N311"/>
  <c r="I311"/>
  <c r="E311"/>
  <c r="N310"/>
  <c r="I310"/>
  <c r="E310"/>
  <c r="N309"/>
  <c r="I309"/>
  <c r="E309"/>
  <c r="I308"/>
  <c r="E308"/>
  <c r="N307"/>
  <c r="I307"/>
  <c r="E307"/>
  <c r="I306"/>
  <c r="E306"/>
  <c r="I305"/>
  <c r="E305"/>
  <c r="I304"/>
  <c r="E304"/>
  <c r="I303"/>
  <c r="E303"/>
  <c r="I302"/>
  <c r="E302"/>
  <c r="I301"/>
  <c r="E301"/>
  <c r="I300"/>
  <c r="E300"/>
  <c r="I299"/>
  <c r="E299"/>
  <c r="I298"/>
  <c r="E298"/>
  <c r="I297"/>
  <c r="E297"/>
  <c r="I296"/>
  <c r="E296"/>
  <c r="I295"/>
  <c r="E295"/>
  <c r="I294"/>
  <c r="E294"/>
  <c r="I293"/>
  <c r="E293"/>
  <c r="I292"/>
  <c r="E292"/>
  <c r="I291"/>
  <c r="E291"/>
  <c r="I290"/>
  <c r="E290"/>
  <c r="I289"/>
  <c r="E289"/>
  <c r="I288"/>
  <c r="E288"/>
  <c r="I287"/>
  <c r="E287"/>
  <c r="I286"/>
  <c r="E286"/>
  <c r="I285"/>
  <c r="E285"/>
  <c r="I284"/>
  <c r="E284"/>
  <c r="I283"/>
  <c r="E283"/>
  <c r="I282"/>
  <c r="E282"/>
  <c r="I281"/>
  <c r="E281"/>
  <c r="I280"/>
  <c r="M280" s="1"/>
  <c r="N280" s="1"/>
  <c r="E280"/>
  <c r="I279"/>
  <c r="M279" s="1"/>
  <c r="N279" s="1"/>
  <c r="E279"/>
  <c r="O278"/>
  <c r="I278"/>
  <c r="E278"/>
  <c r="I277"/>
  <c r="E277"/>
  <c r="I276"/>
  <c r="E276"/>
  <c r="I275"/>
  <c r="E275"/>
  <c r="I274"/>
  <c r="E274"/>
  <c r="O273"/>
  <c r="O274" s="1"/>
  <c r="I273"/>
  <c r="E273"/>
  <c r="I272"/>
  <c r="E272"/>
  <c r="I271"/>
  <c r="E271"/>
  <c r="I270"/>
  <c r="E270"/>
  <c r="I269"/>
  <c r="E269"/>
  <c r="I268"/>
  <c r="E268"/>
  <c r="O267"/>
  <c r="I267"/>
  <c r="M267" s="1"/>
  <c r="N267" s="1"/>
  <c r="E267"/>
  <c r="I266"/>
  <c r="M266" s="1"/>
  <c r="N266" s="1"/>
  <c r="E266"/>
  <c r="I265"/>
  <c r="M265" s="1"/>
  <c r="N265" s="1"/>
  <c r="E265"/>
  <c r="I264"/>
  <c r="M264" s="1"/>
  <c r="N264" s="1"/>
  <c r="E264"/>
  <c r="I263"/>
  <c r="M263"/>
  <c r="E263"/>
  <c r="I262"/>
  <c r="E262"/>
  <c r="I261"/>
  <c r="E261"/>
  <c r="I260"/>
  <c r="E260"/>
  <c r="M259"/>
  <c r="I259"/>
  <c r="N259" s="1"/>
  <c r="E259"/>
  <c r="W258"/>
  <c r="W257" s="1"/>
  <c r="N250"/>
  <c r="N249"/>
  <c r="E236"/>
  <c r="E235"/>
  <c r="E234"/>
  <c r="E230"/>
  <c r="L223"/>
  <c r="L222"/>
  <c r="L221"/>
  <c r="L220"/>
  <c r="L219"/>
  <c r="L218"/>
  <c r="W194"/>
  <c r="I185"/>
  <c r="I183"/>
  <c r="I182"/>
  <c r="I181"/>
  <c r="I180"/>
  <c r="I179"/>
  <c r="I178"/>
  <c r="N178"/>
  <c r="E178"/>
  <c r="I177"/>
  <c r="N177"/>
  <c r="E177"/>
  <c r="I176"/>
  <c r="N176" s="1"/>
  <c r="E176"/>
  <c r="I175"/>
  <c r="N175" s="1"/>
  <c r="E175"/>
  <c r="I174"/>
  <c r="N174" s="1"/>
  <c r="E174"/>
  <c r="I173"/>
  <c r="N173"/>
  <c r="E173"/>
  <c r="I172"/>
  <c r="N172" s="1"/>
  <c r="E172"/>
  <c r="I171"/>
  <c r="N171" s="1"/>
  <c r="E171"/>
  <c r="I170"/>
  <c r="N170"/>
  <c r="E170"/>
  <c r="I169"/>
  <c r="N169"/>
  <c r="E169"/>
  <c r="I168"/>
  <c r="N168" s="1"/>
  <c r="E168"/>
  <c r="I167"/>
  <c r="N167" s="1"/>
  <c r="E167"/>
  <c r="I166"/>
  <c r="N166" s="1"/>
  <c r="E166"/>
  <c r="I165"/>
  <c r="N165"/>
  <c r="E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N145"/>
  <c r="I145"/>
  <c r="N144"/>
  <c r="I144"/>
  <c r="N143"/>
  <c r="I143"/>
  <c r="N142"/>
  <c r="I142"/>
  <c r="I141"/>
  <c r="N140"/>
  <c r="I140"/>
  <c r="N139"/>
  <c r="I139"/>
  <c r="N138"/>
  <c r="I138"/>
  <c r="N137"/>
  <c r="I137"/>
  <c r="N136"/>
  <c r="I136"/>
  <c r="I135"/>
  <c r="E135"/>
  <c r="I134"/>
  <c r="E134"/>
  <c r="I133"/>
  <c r="E133"/>
  <c r="I132"/>
  <c r="E132"/>
  <c r="I131"/>
  <c r="E131"/>
  <c r="I130"/>
  <c r="E130"/>
  <c r="I129"/>
  <c r="E129"/>
  <c r="I128"/>
  <c r="E128"/>
  <c r="I127"/>
  <c r="E127"/>
  <c r="I126"/>
  <c r="E126"/>
  <c r="I125"/>
  <c r="E125"/>
  <c r="I124"/>
  <c r="E124"/>
  <c r="I123"/>
  <c r="I122"/>
  <c r="I121"/>
  <c r="M120"/>
  <c r="N120"/>
  <c r="I120"/>
  <c r="M119"/>
  <c r="N119" s="1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E94"/>
  <c r="I93"/>
  <c r="I92"/>
  <c r="N92" s="1"/>
  <c r="E92"/>
  <c r="I91"/>
  <c r="N91"/>
  <c r="E91"/>
  <c r="I90"/>
  <c r="E90"/>
  <c r="I89"/>
  <c r="E89"/>
  <c r="I88"/>
  <c r="I87"/>
  <c r="I86"/>
  <c r="I85"/>
  <c r="I84"/>
  <c r="W83"/>
  <c r="W82"/>
  <c r="I81"/>
  <c r="E81"/>
  <c r="I80"/>
  <c r="E80"/>
  <c r="I79"/>
  <c r="E79"/>
  <c r="I78"/>
  <c r="E78"/>
  <c r="I77"/>
  <c r="E77"/>
  <c r="I76"/>
  <c r="E76"/>
  <c r="I75"/>
  <c r="E75"/>
  <c r="I74"/>
  <c r="E74"/>
  <c r="I73"/>
  <c r="E73"/>
  <c r="I72"/>
  <c r="E72"/>
  <c r="N71"/>
  <c r="I71"/>
  <c r="E71"/>
  <c r="W70"/>
  <c r="I69"/>
  <c r="E69"/>
  <c r="I68"/>
  <c r="E68"/>
  <c r="W67"/>
  <c r="I66"/>
  <c r="N66" s="1"/>
  <c r="E66"/>
  <c r="I65"/>
  <c r="N65" s="1"/>
  <c r="E65"/>
  <c r="I64"/>
  <c r="N64" s="1"/>
  <c r="E64"/>
  <c r="I63"/>
  <c r="N63" s="1"/>
  <c r="E63"/>
  <c r="I62"/>
  <c r="N62" s="1"/>
  <c r="E62"/>
  <c r="W61"/>
  <c r="I60"/>
  <c r="E60"/>
  <c r="I59"/>
  <c r="E59"/>
  <c r="I58"/>
  <c r="E58"/>
  <c r="I57"/>
  <c r="E57"/>
  <c r="I56"/>
  <c r="E56"/>
  <c r="I55"/>
  <c r="E55"/>
  <c r="I54"/>
  <c r="E54"/>
  <c r="I53"/>
  <c r="E53"/>
  <c r="I52"/>
  <c r="E52"/>
  <c r="W51"/>
  <c r="E50"/>
  <c r="E49"/>
  <c r="E48"/>
  <c r="E47"/>
  <c r="E46"/>
  <c r="E45"/>
  <c r="E44"/>
  <c r="E43"/>
  <c r="E42"/>
  <c r="E41"/>
  <c r="E40"/>
  <c r="E39"/>
  <c r="E38"/>
  <c r="W37"/>
  <c r="I36"/>
  <c r="E36"/>
  <c r="I35"/>
  <c r="E35"/>
  <c r="I34"/>
  <c r="E34"/>
  <c r="I33"/>
  <c r="E33"/>
  <c r="I32"/>
  <c r="E32"/>
  <c r="I31"/>
  <c r="E31"/>
  <c r="I30"/>
  <c r="E30"/>
  <c r="I29"/>
  <c r="E29"/>
  <c r="I28"/>
  <c r="E28"/>
  <c r="I27"/>
  <c r="E27"/>
  <c r="I26"/>
  <c r="E26"/>
  <c r="I25"/>
  <c r="E25"/>
  <c r="I24"/>
  <c r="E24"/>
  <c r="I23"/>
  <c r="E23"/>
  <c r="I22"/>
  <c r="E22"/>
  <c r="I21"/>
  <c r="E21"/>
  <c r="I20"/>
  <c r="E20"/>
  <c r="I19"/>
  <c r="E19"/>
  <c r="I18"/>
  <c r="E18"/>
  <c r="I17"/>
  <c r="E17"/>
  <c r="I16"/>
  <c r="E16"/>
  <c r="I15"/>
  <c r="E15"/>
  <c r="I14"/>
  <c r="E14"/>
  <c r="E13"/>
  <c r="W12"/>
  <c r="N11"/>
  <c r="I11"/>
  <c r="E11"/>
  <c r="I10"/>
  <c r="E10"/>
  <c r="N9"/>
  <c r="I9"/>
  <c r="E9"/>
  <c r="I8"/>
  <c r="E8"/>
  <c r="W7"/>
  <c r="M268"/>
  <c r="N268" s="1"/>
  <c r="M269"/>
  <c r="N269" s="1"/>
  <c r="M270"/>
  <c r="N270"/>
  <c r="M271"/>
  <c r="N271" s="1"/>
  <c r="M272"/>
  <c r="N272" s="1"/>
  <c r="M273"/>
  <c r="N273" s="1"/>
  <c r="M274"/>
  <c r="N274"/>
  <c r="M275"/>
  <c r="N275" s="1"/>
  <c r="M276"/>
  <c r="N276" s="1"/>
  <c r="M277"/>
  <c r="N277" s="1"/>
  <c r="M278"/>
  <c r="N278"/>
  <c r="N874"/>
  <c r="N1024"/>
  <c r="N1028"/>
  <c r="N1034"/>
  <c r="N1035"/>
  <c r="M1042"/>
  <c r="N1042" s="1"/>
  <c r="M1044"/>
  <c r="N1044" s="1"/>
  <c r="N1045"/>
  <c r="M1046"/>
  <c r="N1046"/>
  <c r="M1048"/>
  <c r="N1048"/>
  <c r="M1050"/>
  <c r="N1050" s="1"/>
  <c r="N1051"/>
  <c r="M1052"/>
  <c r="N1052"/>
  <c r="N1053"/>
  <c r="M1054"/>
  <c r="N1054" s="1"/>
  <c r="N1501"/>
  <c r="N1505"/>
  <c r="N1509"/>
  <c r="N1513"/>
  <c r="N1517"/>
  <c r="D8" i="22"/>
  <c r="E9" i="39"/>
  <c r="C9"/>
  <c r="D8" i="28"/>
  <c r="G8"/>
  <c r="J8"/>
  <c r="M8"/>
  <c r="P8"/>
  <c r="S8"/>
  <c r="D9"/>
  <c r="G9"/>
  <c r="J9"/>
  <c r="M9"/>
  <c r="D10"/>
  <c r="G10"/>
  <c r="J10"/>
  <c r="M10"/>
  <c r="P10"/>
  <c r="S10"/>
  <c r="D11"/>
  <c r="M11"/>
  <c r="S11"/>
  <c r="V11"/>
  <c r="D12"/>
  <c r="G12"/>
  <c r="J12"/>
  <c r="M12"/>
  <c r="S12"/>
  <c r="D13"/>
  <c r="G13"/>
  <c r="J13"/>
  <c r="M13"/>
  <c r="S13"/>
  <c r="D14"/>
  <c r="G14"/>
  <c r="J14"/>
  <c r="M14"/>
  <c r="S14"/>
  <c r="D15"/>
  <c r="G15"/>
  <c r="J15"/>
  <c r="M15"/>
  <c r="H16"/>
  <c r="I16"/>
  <c r="N16"/>
  <c r="O16"/>
  <c r="W16"/>
  <c r="X16"/>
  <c r="Y16"/>
  <c r="Z16"/>
  <c r="AA16"/>
  <c r="AC16"/>
  <c r="AD16"/>
  <c r="D26"/>
  <c r="G26"/>
  <c r="J26"/>
  <c r="M26"/>
  <c r="B30"/>
  <c r="C30"/>
  <c r="K30"/>
  <c r="M30" s="1"/>
  <c r="L30"/>
  <c r="Q30"/>
  <c r="Q16"/>
  <c r="R30"/>
  <c r="T30"/>
  <c r="T16"/>
  <c r="U30"/>
  <c r="U16"/>
  <c r="D31"/>
  <c r="G31"/>
  <c r="J31"/>
  <c r="M31"/>
  <c r="B34"/>
  <c r="B16" s="1"/>
  <c r="C34"/>
  <c r="D34" s="1"/>
  <c r="E34"/>
  <c r="F34"/>
  <c r="F16" s="1"/>
  <c r="K34"/>
  <c r="K16"/>
  <c r="L34"/>
  <c r="M34" s="1"/>
  <c r="D36"/>
  <c r="G36"/>
  <c r="J36"/>
  <c r="M36"/>
  <c r="P36"/>
  <c r="P16" s="1"/>
  <c r="S36"/>
  <c r="D40"/>
  <c r="G40"/>
  <c r="J40"/>
  <c r="M40"/>
  <c r="D41"/>
  <c r="M41"/>
  <c r="V41"/>
  <c r="J42"/>
  <c r="M42"/>
  <c r="V42"/>
  <c r="AB42"/>
  <c r="AB16" s="1"/>
  <c r="AE42"/>
  <c r="AE16" s="1"/>
  <c r="D43"/>
  <c r="G43"/>
  <c r="J43"/>
  <c r="D47"/>
  <c r="J47"/>
  <c r="M47"/>
  <c r="B48"/>
  <c r="C48"/>
  <c r="D48" s="1"/>
  <c r="E48"/>
  <c r="G48" s="1"/>
  <c r="F48"/>
  <c r="H48"/>
  <c r="I48"/>
  <c r="K48"/>
  <c r="L48"/>
  <c r="M48"/>
  <c r="N48"/>
  <c r="P48" s="1"/>
  <c r="O48"/>
  <c r="Q48"/>
  <c r="R48"/>
  <c r="D49"/>
  <c r="G49"/>
  <c r="J49"/>
  <c r="M49"/>
  <c r="P49"/>
  <c r="D50"/>
  <c r="G50"/>
  <c r="J50"/>
  <c r="M50"/>
  <c r="S50"/>
  <c r="D51"/>
  <c r="G51"/>
  <c r="M51"/>
  <c r="S51"/>
  <c r="D52"/>
  <c r="G52"/>
  <c r="J52"/>
  <c r="M52"/>
  <c r="P52"/>
  <c r="S52"/>
  <c r="D53"/>
  <c r="G53"/>
  <c r="J53"/>
  <c r="M53"/>
  <c r="S53"/>
  <c r="D54"/>
  <c r="G54"/>
  <c r="J54"/>
  <c r="M54"/>
  <c r="D55"/>
  <c r="G55"/>
  <c r="J55"/>
  <c r="M55"/>
  <c r="P55"/>
  <c r="S55"/>
  <c r="D56"/>
  <c r="G56"/>
  <c r="J56"/>
  <c r="M56"/>
  <c r="D57"/>
  <c r="G57"/>
  <c r="J57"/>
  <c r="M57"/>
  <c r="D60"/>
  <c r="G60"/>
  <c r="J60"/>
  <c r="M60"/>
  <c r="P60"/>
  <c r="D62"/>
  <c r="G62"/>
  <c r="B67"/>
  <c r="E67"/>
  <c r="G67" s="1"/>
  <c r="F67"/>
  <c r="H67"/>
  <c r="J67" s="1"/>
  <c r="I67"/>
  <c r="K67"/>
  <c r="M67" s="1"/>
  <c r="L67"/>
  <c r="N67"/>
  <c r="O67"/>
  <c r="Q67"/>
  <c r="R67"/>
  <c r="D68"/>
  <c r="G68"/>
  <c r="J68"/>
  <c r="M68"/>
  <c r="D69"/>
  <c r="G69"/>
  <c r="J69"/>
  <c r="M69"/>
  <c r="P69"/>
  <c r="S69"/>
  <c r="D70"/>
  <c r="G70"/>
  <c r="J70"/>
  <c r="M70"/>
  <c r="P70"/>
  <c r="S70"/>
  <c r="D71"/>
  <c r="G71"/>
  <c r="J71"/>
  <c r="M71"/>
  <c r="D72"/>
  <c r="G72"/>
  <c r="J72"/>
  <c r="M72"/>
  <c r="S72"/>
  <c r="C73"/>
  <c r="C67" s="1"/>
  <c r="D67" s="1"/>
  <c r="G73"/>
  <c r="M73"/>
  <c r="D74"/>
  <c r="G74"/>
  <c r="M74"/>
  <c r="S74"/>
  <c r="D75"/>
  <c r="G75"/>
  <c r="J75"/>
  <c r="M75"/>
  <c r="D76"/>
  <c r="G76"/>
  <c r="J76"/>
  <c r="M76"/>
  <c r="S76"/>
  <c r="D77"/>
  <c r="G77"/>
  <c r="J77"/>
  <c r="M77"/>
  <c r="P77"/>
  <c r="P78"/>
  <c r="B79"/>
  <c r="D79" s="1"/>
  <c r="C79"/>
  <c r="E79"/>
  <c r="F79"/>
  <c r="G79"/>
  <c r="H79"/>
  <c r="I79"/>
  <c r="K79"/>
  <c r="L79"/>
  <c r="M79" s="1"/>
  <c r="N79"/>
  <c r="O79"/>
  <c r="Q79"/>
  <c r="R79"/>
  <c r="W79"/>
  <c r="Y79" s="1"/>
  <c r="X79"/>
  <c r="Z79"/>
  <c r="AB79" s="1"/>
  <c r="AA79"/>
  <c r="D80"/>
  <c r="G80"/>
  <c r="Y80"/>
  <c r="AB80"/>
  <c r="D81"/>
  <c r="G81"/>
  <c r="Y81"/>
  <c r="D82"/>
  <c r="G82"/>
  <c r="S82"/>
  <c r="Y82"/>
  <c r="AB82"/>
  <c r="D83"/>
  <c r="G83"/>
  <c r="Y83"/>
  <c r="D84"/>
  <c r="G84"/>
  <c r="Y84"/>
  <c r="D85"/>
  <c r="G85"/>
  <c r="M85"/>
  <c r="D86"/>
  <c r="G86"/>
  <c r="M86"/>
  <c r="S86"/>
  <c r="AB86"/>
  <c r="B87"/>
  <c r="C87"/>
  <c r="C78" s="1"/>
  <c r="E87"/>
  <c r="G87" s="1"/>
  <c r="F87"/>
  <c r="F78" s="1"/>
  <c r="H87"/>
  <c r="H78" s="1"/>
  <c r="I87"/>
  <c r="I78" s="1"/>
  <c r="K87"/>
  <c r="L87"/>
  <c r="M87"/>
  <c r="N87"/>
  <c r="N78" s="1"/>
  <c r="O87"/>
  <c r="Q87"/>
  <c r="S87" s="1"/>
  <c r="R87"/>
  <c r="R78" s="1"/>
  <c r="W87"/>
  <c r="W78" s="1"/>
  <c r="X87"/>
  <c r="Y87"/>
  <c r="Z87"/>
  <c r="Z78" s="1"/>
  <c r="AA87"/>
  <c r="AB87" s="1"/>
  <c r="D88"/>
  <c r="G88"/>
  <c r="J88"/>
  <c r="M88"/>
  <c r="D89"/>
  <c r="G89"/>
  <c r="M89"/>
  <c r="D90"/>
  <c r="G90"/>
  <c r="J90"/>
  <c r="M90"/>
  <c r="S90"/>
  <c r="AB90"/>
  <c r="D91"/>
  <c r="G91"/>
  <c r="J91"/>
  <c r="D92"/>
  <c r="G92"/>
  <c r="J92"/>
  <c r="M92"/>
  <c r="D93"/>
  <c r="G93"/>
  <c r="J93"/>
  <c r="M93"/>
  <c r="D94"/>
  <c r="G94"/>
  <c r="J94"/>
  <c r="M94"/>
  <c r="D95"/>
  <c r="G95"/>
  <c r="J95"/>
  <c r="M95"/>
  <c r="D96"/>
  <c r="G96"/>
  <c r="J96"/>
  <c r="M96"/>
  <c r="S96"/>
  <c r="AB96"/>
  <c r="B98"/>
  <c r="C98"/>
  <c r="E98"/>
  <c r="F98"/>
  <c r="H98"/>
  <c r="I98"/>
  <c r="K98"/>
  <c r="L98"/>
  <c r="N98"/>
  <c r="O98"/>
  <c r="Q98"/>
  <c r="R98"/>
  <c r="D99"/>
  <c r="D98" s="1"/>
  <c r="G99"/>
  <c r="J99"/>
  <c r="M99"/>
  <c r="P99"/>
  <c r="P98" s="1"/>
  <c r="S99"/>
  <c r="M100"/>
  <c r="M101"/>
  <c r="D102"/>
  <c r="G102"/>
  <c r="G98"/>
  <c r="J102"/>
  <c r="M102"/>
  <c r="M103"/>
  <c r="D104"/>
  <c r="G104"/>
  <c r="J104"/>
  <c r="M104"/>
  <c r="P104"/>
  <c r="S104"/>
  <c r="B105"/>
  <c r="C105"/>
  <c r="C97" s="1"/>
  <c r="E105"/>
  <c r="E97" s="1"/>
  <c r="F105"/>
  <c r="H105"/>
  <c r="H97"/>
  <c r="I105"/>
  <c r="K105"/>
  <c r="K97" s="1"/>
  <c r="L105"/>
  <c r="L97"/>
  <c r="N105"/>
  <c r="O105"/>
  <c r="O97" s="1"/>
  <c r="Q105"/>
  <c r="Q97" s="1"/>
  <c r="R105"/>
  <c r="R97" s="1"/>
  <c r="M106"/>
  <c r="M108"/>
  <c r="D109"/>
  <c r="G109"/>
  <c r="G105" s="1"/>
  <c r="J109"/>
  <c r="M109"/>
  <c r="D112"/>
  <c r="G112"/>
  <c r="J112"/>
  <c r="J105" s="1"/>
  <c r="M112"/>
  <c r="P112"/>
  <c r="P105" s="1"/>
  <c r="B115"/>
  <c r="D115" s="1"/>
  <c r="C115"/>
  <c r="E115"/>
  <c r="F115"/>
  <c r="H115"/>
  <c r="I115"/>
  <c r="K115"/>
  <c r="L115"/>
  <c r="M115" s="1"/>
  <c r="N115"/>
  <c r="P115" s="1"/>
  <c r="O115"/>
  <c r="Q115"/>
  <c r="S115" s="1"/>
  <c r="R115"/>
  <c r="T115"/>
  <c r="U115"/>
  <c r="D116"/>
  <c r="G116"/>
  <c r="J116"/>
  <c r="M116"/>
  <c r="P116"/>
  <c r="D117"/>
  <c r="G117"/>
  <c r="J117"/>
  <c r="M117"/>
  <c r="P117"/>
  <c r="S117"/>
  <c r="V117"/>
  <c r="D118"/>
  <c r="G118"/>
  <c r="M118"/>
  <c r="S118"/>
  <c r="D119"/>
  <c r="G119"/>
  <c r="J119"/>
  <c r="M119"/>
  <c r="P119"/>
  <c r="S119"/>
  <c r="D120"/>
  <c r="G120"/>
  <c r="J120"/>
  <c r="M120"/>
  <c r="S120"/>
  <c r="B121"/>
  <c r="C121"/>
  <c r="C114" s="1"/>
  <c r="E121"/>
  <c r="E114" s="1"/>
  <c r="F121"/>
  <c r="H121"/>
  <c r="I121"/>
  <c r="I114" s="1"/>
  <c r="K121"/>
  <c r="K114"/>
  <c r="L121"/>
  <c r="L114" s="1"/>
  <c r="N121"/>
  <c r="N114" s="1"/>
  <c r="O121"/>
  <c r="O114"/>
  <c r="P121"/>
  <c r="Q121"/>
  <c r="Q114" s="1"/>
  <c r="R121"/>
  <c r="T121"/>
  <c r="T114"/>
  <c r="U121"/>
  <c r="U114" s="1"/>
  <c r="V121"/>
  <c r="D122"/>
  <c r="G122"/>
  <c r="J122"/>
  <c r="M122"/>
  <c r="D123"/>
  <c r="G123"/>
  <c r="J123"/>
  <c r="M123"/>
  <c r="D124"/>
  <c r="G124"/>
  <c r="J124"/>
  <c r="M124"/>
  <c r="D125"/>
  <c r="G125"/>
  <c r="J125"/>
  <c r="M125"/>
  <c r="D126"/>
  <c r="G126"/>
  <c r="J126"/>
  <c r="M126"/>
  <c r="D127"/>
  <c r="G127"/>
  <c r="J127"/>
  <c r="M127"/>
  <c r="D128"/>
  <c r="G128"/>
  <c r="J128"/>
  <c r="M128"/>
  <c r="D129"/>
  <c r="G129"/>
  <c r="J129"/>
  <c r="M129"/>
  <c r="D130"/>
  <c r="G130"/>
  <c r="J130"/>
  <c r="M130"/>
  <c r="D131"/>
  <c r="G131"/>
  <c r="J131"/>
  <c r="M131"/>
  <c r="D132"/>
  <c r="J132"/>
  <c r="M132"/>
  <c r="D133"/>
  <c r="G133"/>
  <c r="J133"/>
  <c r="M133"/>
  <c r="S133"/>
  <c r="D134"/>
  <c r="G134"/>
  <c r="J134"/>
  <c r="M134"/>
  <c r="T135"/>
  <c r="U135"/>
  <c r="B136"/>
  <c r="C136"/>
  <c r="E136"/>
  <c r="E135" s="1"/>
  <c r="F136"/>
  <c r="H136"/>
  <c r="I136"/>
  <c r="I135" s="1"/>
  <c r="K136"/>
  <c r="L136"/>
  <c r="N136"/>
  <c r="O136"/>
  <c r="Q136"/>
  <c r="R136"/>
  <c r="R135" s="1"/>
  <c r="V136"/>
  <c r="B137"/>
  <c r="E137"/>
  <c r="H137"/>
  <c r="I137"/>
  <c r="K137"/>
  <c r="N137"/>
  <c r="O137"/>
  <c r="Q137"/>
  <c r="R137"/>
  <c r="D138"/>
  <c r="D139"/>
  <c r="D140"/>
  <c r="G140"/>
  <c r="M140"/>
  <c r="S140"/>
  <c r="D141"/>
  <c r="G141"/>
  <c r="J141"/>
  <c r="M141"/>
  <c r="P141"/>
  <c r="S141"/>
  <c r="D142"/>
  <c r="G142"/>
  <c r="J142"/>
  <c r="M142"/>
  <c r="P142"/>
  <c r="S142"/>
  <c r="V142"/>
  <c r="D143"/>
  <c r="G143"/>
  <c r="J143"/>
  <c r="M143"/>
  <c r="D144"/>
  <c r="G144"/>
  <c r="J144"/>
  <c r="M144"/>
  <c r="D145"/>
  <c r="G145"/>
  <c r="J145"/>
  <c r="M145"/>
  <c r="D146"/>
  <c r="G146"/>
  <c r="M146"/>
  <c r="D147"/>
  <c r="G147"/>
  <c r="M147"/>
  <c r="S147"/>
  <c r="C149"/>
  <c r="C137" s="1"/>
  <c r="F149"/>
  <c r="G149" s="1"/>
  <c r="L149"/>
  <c r="L137" s="1"/>
  <c r="D152"/>
  <c r="G152"/>
  <c r="J152"/>
  <c r="M152"/>
  <c r="S152"/>
  <c r="D153"/>
  <c r="J153"/>
  <c r="M153"/>
  <c r="S153"/>
  <c r="D154"/>
  <c r="G154"/>
  <c r="J154"/>
  <c r="M154"/>
  <c r="D156"/>
  <c r="G156"/>
  <c r="J156"/>
  <c r="M156"/>
  <c r="P156"/>
  <c r="S156"/>
  <c r="D159"/>
  <c r="G159"/>
  <c r="J159"/>
  <c r="M159"/>
  <c r="P159"/>
  <c r="S159"/>
  <c r="B161"/>
  <c r="F161"/>
  <c r="I161"/>
  <c r="K161"/>
  <c r="L161"/>
  <c r="N161"/>
  <c r="O161"/>
  <c r="Q161"/>
  <c r="S161" s="1"/>
  <c r="R161"/>
  <c r="D162"/>
  <c r="G162"/>
  <c r="M162"/>
  <c r="S162"/>
  <c r="D163"/>
  <c r="G163"/>
  <c r="J163"/>
  <c r="M163"/>
  <c r="S163"/>
  <c r="D164"/>
  <c r="G164"/>
  <c r="J164"/>
  <c r="M164"/>
  <c r="S164"/>
  <c r="D165"/>
  <c r="G165"/>
  <c r="J165"/>
  <c r="M165"/>
  <c r="S165"/>
  <c r="D166"/>
  <c r="G166"/>
  <c r="J166"/>
  <c r="M166"/>
  <c r="S166"/>
  <c r="D167"/>
  <c r="J167"/>
  <c r="M167"/>
  <c r="S167"/>
  <c r="D168"/>
  <c r="J168"/>
  <c r="M168"/>
  <c r="S168"/>
  <c r="D169"/>
  <c r="G169"/>
  <c r="J169"/>
  <c r="M169"/>
  <c r="S169"/>
  <c r="D170"/>
  <c r="G170"/>
  <c r="J170"/>
  <c r="M170"/>
  <c r="D171"/>
  <c r="G171"/>
  <c r="J171"/>
  <c r="M171"/>
  <c r="S171"/>
  <c r="D172"/>
  <c r="G172"/>
  <c r="J172"/>
  <c r="M172"/>
  <c r="D173"/>
  <c r="G173"/>
  <c r="M173"/>
  <c r="D174"/>
  <c r="G174"/>
  <c r="J174"/>
  <c r="M174"/>
  <c r="S174"/>
  <c r="D175"/>
  <c r="G175"/>
  <c r="J175"/>
  <c r="M175"/>
  <c r="D176"/>
  <c r="G176"/>
  <c r="J176"/>
  <c r="M176"/>
  <c r="C177"/>
  <c r="D177"/>
  <c r="E177"/>
  <c r="E161" s="1"/>
  <c r="G161" s="1"/>
  <c r="H177"/>
  <c r="H161" s="1"/>
  <c r="J161" s="1"/>
  <c r="M177"/>
  <c r="D178"/>
  <c r="G178"/>
  <c r="J178"/>
  <c r="M178"/>
  <c r="D179"/>
  <c r="G179"/>
  <c r="J179"/>
  <c r="M179"/>
  <c r="S179"/>
  <c r="D180"/>
  <c r="G180"/>
  <c r="J180"/>
  <c r="M180"/>
  <c r="S180"/>
  <c r="D181"/>
  <c r="G181"/>
  <c r="J181"/>
  <c r="M181"/>
  <c r="D183"/>
  <c r="G183"/>
  <c r="J183"/>
  <c r="M183"/>
  <c r="S183"/>
  <c r="B184"/>
  <c r="D184" s="1"/>
  <c r="C184"/>
  <c r="E184"/>
  <c r="G184" s="1"/>
  <c r="F184"/>
  <c r="H184"/>
  <c r="I184"/>
  <c r="J184" s="1"/>
  <c r="K184"/>
  <c r="M184" s="1"/>
  <c r="L184"/>
  <c r="D185"/>
  <c r="J185"/>
  <c r="M185"/>
  <c r="S185"/>
  <c r="D186"/>
  <c r="G186"/>
  <c r="J186"/>
  <c r="M186"/>
  <c r="S186"/>
  <c r="V11" i="20"/>
  <c r="K11" s="1"/>
  <c r="J12" i="41"/>
  <c r="N12"/>
  <c r="E21"/>
  <c r="S24"/>
  <c r="L28"/>
  <c r="M38"/>
  <c r="O38"/>
  <c r="G47"/>
  <c r="L47"/>
  <c r="E55"/>
  <c r="O55"/>
  <c r="R56"/>
  <c r="G64"/>
  <c r="S64"/>
  <c r="I65"/>
  <c r="N65"/>
  <c r="R65"/>
  <c r="G73"/>
  <c r="I73"/>
  <c r="E74"/>
  <c r="J74"/>
  <c r="M74"/>
  <c r="O74"/>
  <c r="S74"/>
  <c r="G82"/>
  <c r="G81" s="1"/>
  <c r="L82"/>
  <c r="N82"/>
  <c r="Q82"/>
  <c r="R82"/>
  <c r="E83"/>
  <c r="F83"/>
  <c r="G83"/>
  <c r="I83"/>
  <c r="K83"/>
  <c r="L83"/>
  <c r="P83"/>
  <c r="Q83"/>
  <c r="F92"/>
  <c r="K92"/>
  <c r="N92"/>
  <c r="E99"/>
  <c r="F99"/>
  <c r="J99"/>
  <c r="O99"/>
  <c r="P99"/>
  <c r="S99"/>
  <c r="G91"/>
  <c r="S93"/>
  <c r="O93"/>
  <c r="J93"/>
  <c r="F93"/>
  <c r="E93"/>
  <c r="Q84"/>
  <c r="N84"/>
  <c r="M84"/>
  <c r="L84"/>
  <c r="I84"/>
  <c r="G84"/>
  <c r="Q75"/>
  <c r="P75"/>
  <c r="M75"/>
  <c r="L75"/>
  <c r="K75"/>
  <c r="G75"/>
  <c r="F75"/>
  <c r="O66"/>
  <c r="J66"/>
  <c r="S57"/>
  <c r="M57"/>
  <c r="K57"/>
  <c r="M48"/>
  <c r="F38"/>
  <c r="I37"/>
  <c r="M39"/>
  <c r="M30"/>
  <c r="K30"/>
  <c r="L60"/>
  <c r="M56"/>
  <c r="Q96"/>
  <c r="L96"/>
  <c r="I96"/>
  <c r="G96"/>
  <c r="R87"/>
  <c r="Q87"/>
  <c r="N87"/>
  <c r="L87"/>
  <c r="F87"/>
  <c r="S78"/>
  <c r="R78"/>
  <c r="O78"/>
  <c r="N78"/>
  <c r="J78"/>
  <c r="I78"/>
  <c r="R69"/>
  <c r="Q69"/>
  <c r="N69"/>
  <c r="L69"/>
  <c r="I69"/>
  <c r="G69"/>
  <c r="Q60"/>
  <c r="L51"/>
  <c r="K51"/>
  <c r="V10" i="20"/>
  <c r="B135" i="28"/>
  <c r="L78"/>
  <c r="M1350" i="49"/>
  <c r="M1435"/>
  <c r="M1884"/>
  <c r="D149" i="28"/>
  <c r="K135"/>
  <c r="S79"/>
  <c r="Q78"/>
  <c r="S78" s="1"/>
  <c r="E78"/>
  <c r="G78" s="1"/>
  <c r="M1000" i="49"/>
  <c r="M1455"/>
  <c r="N1782"/>
  <c r="M1880"/>
  <c r="G136" i="28"/>
  <c r="M121"/>
  <c r="D30"/>
  <c r="M976" i="49"/>
  <c r="L40" i="51"/>
  <c r="D147" i="53"/>
  <c r="C147" s="1"/>
  <c r="D214"/>
  <c r="C214" s="1"/>
  <c r="E191" i="56"/>
  <c r="D217"/>
  <c r="D7" i="58"/>
  <c r="M7" s="1"/>
  <c r="M66"/>
  <c r="D114"/>
  <c r="M114" s="1"/>
  <c r="D177"/>
  <c r="M177" s="1"/>
  <c r="H10" i="41"/>
  <c r="H11"/>
  <c r="D14"/>
  <c r="D16"/>
  <c r="H19"/>
  <c r="H20"/>
  <c r="H25"/>
  <c r="H24" s="1"/>
  <c r="H26"/>
  <c r="D31"/>
  <c r="D32"/>
  <c r="K35"/>
  <c r="E215" i="51"/>
  <c r="L215" s="1"/>
  <c r="E234"/>
  <c r="L234" s="1"/>
  <c r="D121" i="53"/>
  <c r="C121" s="1"/>
  <c r="C167" i="56"/>
  <c r="K167" s="1"/>
  <c r="D126" i="58"/>
  <c r="M126" s="1"/>
  <c r="D193"/>
  <c r="M193" s="1"/>
  <c r="D249"/>
  <c r="M249" s="1"/>
  <c r="H31" i="41"/>
  <c r="H28" s="1"/>
  <c r="H32"/>
  <c r="H59"/>
  <c r="H61"/>
  <c r="I615" i="59"/>
  <c r="H53" i="41"/>
  <c r="J53"/>
  <c r="E11" i="51"/>
  <c r="L11" s="1"/>
  <c r="F12"/>
  <c r="D59" i="41"/>
  <c r="D61"/>
  <c r="E233" i="53"/>
  <c r="D94" i="56"/>
  <c r="G94"/>
  <c r="D130"/>
  <c r="H130"/>
  <c r="I52" i="58"/>
  <c r="E289"/>
  <c r="E264" s="1"/>
  <c r="E304"/>
  <c r="D40" i="41"/>
  <c r="D41"/>
  <c r="H50"/>
  <c r="D52"/>
  <c r="D53"/>
  <c r="H62"/>
  <c r="R30"/>
  <c r="N48"/>
  <c r="R48"/>
  <c r="V114" i="28"/>
  <c r="E77" i="51"/>
  <c r="L77" s="1"/>
  <c r="K51"/>
  <c r="K50"/>
  <c r="F256"/>
  <c r="C61" i="56"/>
  <c r="K61" s="1"/>
  <c r="D60"/>
  <c r="C157"/>
  <c r="K157"/>
  <c r="D149"/>
  <c r="C161" i="28"/>
  <c r="F137"/>
  <c r="J87"/>
  <c r="J78" s="1"/>
  <c r="V30"/>
  <c r="V16" s="1"/>
  <c r="R16"/>
  <c r="E16"/>
  <c r="D182" i="53"/>
  <c r="C182" s="1"/>
  <c r="C116" i="56"/>
  <c r="K116" s="1"/>
  <c r="C131"/>
  <c r="K131" s="1"/>
  <c r="B191"/>
  <c r="F50" i="51"/>
  <c r="E164"/>
  <c r="L164" s="1"/>
  <c r="F163"/>
  <c r="D296" i="53"/>
  <c r="C296"/>
  <c r="E271"/>
  <c r="D271"/>
  <c r="C271" s="1"/>
  <c r="J177" i="28"/>
  <c r="G177"/>
  <c r="M149"/>
  <c r="M1838" i="49"/>
  <c r="M1846"/>
  <c r="M1854"/>
  <c r="M1862"/>
  <c r="M1873"/>
  <c r="M1885"/>
  <c r="M1893"/>
  <c r="M1901"/>
  <c r="M1909"/>
  <c r="M1923"/>
  <c r="M1934"/>
  <c r="M1942"/>
  <c r="M1950"/>
  <c r="M1958"/>
  <c r="M1970"/>
  <c r="M1982"/>
  <c r="M1996"/>
  <c r="M2006"/>
  <c r="M2018"/>
  <c r="M2034"/>
  <c r="E13" i="51"/>
  <c r="L13"/>
  <c r="L43"/>
  <c r="H256"/>
  <c r="C47" i="56"/>
  <c r="K47" s="1"/>
  <c r="D272" i="53"/>
  <c r="C272"/>
  <c r="I94" i="56"/>
  <c r="C103"/>
  <c r="K103" s="1"/>
  <c r="B130"/>
  <c r="K139"/>
  <c r="C150"/>
  <c r="K150"/>
  <c r="J149"/>
  <c r="C149"/>
  <c r="K149" s="1"/>
  <c r="F191"/>
  <c r="H191"/>
  <c r="H6"/>
  <c r="C203"/>
  <c r="K203" s="1"/>
  <c r="J218"/>
  <c r="J217" s="1"/>
  <c r="C217" s="1"/>
  <c r="E53" i="58"/>
  <c r="E52" s="1"/>
  <c r="C52"/>
  <c r="M95"/>
  <c r="D210"/>
  <c r="M210" s="1"/>
  <c r="D219"/>
  <c r="M219" s="1"/>
  <c r="D220"/>
  <c r="M220" s="1"/>
  <c r="F230"/>
  <c r="J230"/>
  <c r="B264"/>
  <c r="D346"/>
  <c r="M346"/>
  <c r="W483" i="59"/>
  <c r="D68" i="41"/>
  <c r="J71"/>
  <c r="J69" s="1"/>
  <c r="I1736" i="59"/>
  <c r="D281" i="58"/>
  <c r="M281" s="1"/>
  <c r="H265"/>
  <c r="H264" s="1"/>
  <c r="C218" i="56"/>
  <c r="K218" s="1"/>
  <c r="G137" i="28"/>
  <c r="F135"/>
  <c r="E50" i="51"/>
  <c r="M114" i="28"/>
  <c r="E51" i="51"/>
  <c r="L51" s="1"/>
  <c r="D289" i="58"/>
  <c r="M289" s="1"/>
  <c r="S137" i="28"/>
  <c r="G121"/>
  <c r="AA78"/>
  <c r="AB78" s="1"/>
  <c r="S30"/>
  <c r="S16" s="1"/>
  <c r="F341" i="51"/>
  <c r="L379"/>
  <c r="E327"/>
  <c r="L327" s="1"/>
  <c r="F326"/>
  <c r="F301" s="1"/>
  <c r="E301" s="1"/>
  <c r="L301" s="1"/>
  <c r="E302"/>
  <c r="L302" s="1"/>
  <c r="E146" i="53"/>
  <c r="E181"/>
  <c r="E213"/>
  <c r="D213" s="1"/>
  <c r="D166" i="56"/>
  <c r="D62" i="58"/>
  <c r="M62"/>
  <c r="K113"/>
  <c r="D147"/>
  <c r="M147" s="1"/>
  <c r="K146"/>
  <c r="G209"/>
  <c r="K209"/>
  <c r="D231"/>
  <c r="M231" s="1"/>
  <c r="H230"/>
  <c r="D242"/>
  <c r="M242"/>
  <c r="B304"/>
  <c r="F304"/>
  <c r="L304"/>
  <c r="D325"/>
  <c r="M325" s="1"/>
  <c r="H41" i="41"/>
  <c r="D43"/>
  <c r="P137" i="28"/>
  <c r="J137"/>
  <c r="O135"/>
  <c r="J136"/>
  <c r="G135"/>
  <c r="R114"/>
  <c r="S114"/>
  <c r="J121"/>
  <c r="H114"/>
  <c r="J114" s="1"/>
  <c r="V115"/>
  <c r="J115"/>
  <c r="X78"/>
  <c r="Y78"/>
  <c r="D87"/>
  <c r="B78"/>
  <c r="D78" s="1"/>
  <c r="D73"/>
  <c r="S67"/>
  <c r="L16"/>
  <c r="N260" i="49"/>
  <c r="N263"/>
  <c r="E7" i="51"/>
  <c r="L7"/>
  <c r="J15"/>
  <c r="J12"/>
  <c r="E15"/>
  <c r="L15" s="1"/>
  <c r="G256"/>
  <c r="E256" s="1"/>
  <c r="L256" s="1"/>
  <c r="E257"/>
  <c r="L257"/>
  <c r="H50" i="53"/>
  <c r="D51"/>
  <c r="C51" s="1"/>
  <c r="D132"/>
  <c r="C132" s="1"/>
  <c r="E120"/>
  <c r="H47" i="41"/>
  <c r="D16" i="28"/>
  <c r="D161"/>
  <c r="P136"/>
  <c r="N135"/>
  <c r="P135"/>
  <c r="B114"/>
  <c r="D114"/>
  <c r="D121"/>
  <c r="G115"/>
  <c r="F114"/>
  <c r="G114"/>
  <c r="C16"/>
  <c r="M545" i="49"/>
  <c r="M700"/>
  <c r="M704"/>
  <c r="M739"/>
  <c r="M743"/>
  <c r="M765"/>
  <c r="M783"/>
  <c r="M785"/>
  <c r="M975"/>
  <c r="M978"/>
  <c r="M987"/>
  <c r="M991"/>
  <c r="M1099"/>
  <c r="M1108"/>
  <c r="M1431"/>
  <c r="M1438"/>
  <c r="M1442"/>
  <c r="M1811"/>
  <c r="M1825"/>
  <c r="M1876"/>
  <c r="M1878"/>
  <c r="M1888"/>
  <c r="M1894"/>
  <c r="M1899"/>
  <c r="M1904"/>
  <c r="M1937"/>
  <c r="M1943"/>
  <c r="M1945"/>
  <c r="M1948"/>
  <c r="M1951"/>
  <c r="M1966"/>
  <c r="M1983"/>
  <c r="M1985"/>
  <c r="M1987"/>
  <c r="M1989"/>
  <c r="M1994"/>
  <c r="M1997"/>
  <c r="M2001"/>
  <c r="M2004"/>
  <c r="M2007"/>
  <c r="M2009"/>
  <c r="M2014"/>
  <c r="M2021"/>
  <c r="M2030"/>
  <c r="D50" i="51"/>
  <c r="L50"/>
  <c r="E137"/>
  <c r="L137" s="1"/>
  <c r="F149"/>
  <c r="G163"/>
  <c r="E173"/>
  <c r="L173" s="1"/>
  <c r="I362"/>
  <c r="E362" s="1"/>
  <c r="L362" s="1"/>
  <c r="E373"/>
  <c r="L373"/>
  <c r="D7" i="53"/>
  <c r="C7" s="1"/>
  <c r="G120"/>
  <c r="E342" i="51"/>
  <c r="L342" s="1"/>
  <c r="J120" i="53"/>
  <c r="F146"/>
  <c r="F6" s="1"/>
  <c r="G233"/>
  <c r="D233" s="1"/>
  <c r="C233" s="1"/>
  <c r="J146" i="58"/>
  <c r="L146"/>
  <c r="F209"/>
  <c r="J264"/>
  <c r="J6" s="1"/>
  <c r="D290"/>
  <c r="M290"/>
  <c r="H40" i="41"/>
  <c r="D77"/>
  <c r="D74" s="1"/>
  <c r="H79"/>
  <c r="H73" s="1"/>
  <c r="H80"/>
  <c r="F136" i="51"/>
  <c r="E149"/>
  <c r="L149"/>
  <c r="D120" i="53"/>
  <c r="C120" s="1"/>
  <c r="I341" i="51"/>
  <c r="O15" i="41" l="1"/>
  <c r="J37"/>
  <c r="F46"/>
  <c r="E47"/>
  <c r="E64"/>
  <c r="E63" s="1"/>
  <c r="J64"/>
  <c r="I75"/>
  <c r="F73"/>
  <c r="K73"/>
  <c r="P73"/>
  <c r="E91"/>
  <c r="J91"/>
  <c r="O91"/>
  <c r="S91"/>
  <c r="I92"/>
  <c r="R92"/>
  <c r="L81"/>
  <c r="G46"/>
  <c r="G45" s="1"/>
  <c r="S38"/>
  <c r="K46"/>
  <c r="P46"/>
  <c r="L55"/>
  <c r="Q55"/>
  <c r="N56"/>
  <c r="D15"/>
  <c r="F82"/>
  <c r="E28"/>
  <c r="F81"/>
  <c r="L18"/>
  <c r="K21"/>
  <c r="P21"/>
  <c r="J24"/>
  <c r="O24"/>
  <c r="Q30"/>
  <c r="Q33"/>
  <c r="I42"/>
  <c r="L45"/>
  <c r="J51"/>
  <c r="S47"/>
  <c r="E60"/>
  <c r="J60"/>
  <c r="S54"/>
  <c r="R63"/>
  <c r="G63"/>
  <c r="K65"/>
  <c r="O72"/>
  <c r="S72"/>
  <c r="Q74"/>
  <c r="E84"/>
  <c r="I81"/>
  <c r="J87"/>
  <c r="O87"/>
  <c r="S87"/>
  <c r="N90"/>
  <c r="G90"/>
  <c r="Q90"/>
  <c r="G99"/>
  <c r="L99"/>
  <c r="M42"/>
  <c r="M51"/>
  <c r="M96"/>
  <c r="F78"/>
  <c r="D30"/>
  <c r="N60"/>
  <c r="P78"/>
  <c r="J56"/>
  <c r="J54" s="1"/>
  <c r="R84"/>
  <c r="D64"/>
  <c r="F6"/>
  <c r="K6"/>
  <c r="P6"/>
  <c r="K9"/>
  <c r="J9"/>
  <c r="S9"/>
  <c r="H12"/>
  <c r="L12"/>
  <c r="Q12"/>
  <c r="O12"/>
  <c r="I15"/>
  <c r="R15"/>
  <c r="Q15"/>
  <c r="F18"/>
  <c r="P18"/>
  <c r="J18"/>
  <c r="O18"/>
  <c r="I21"/>
  <c r="N21"/>
  <c r="R21"/>
  <c r="F21"/>
  <c r="J21"/>
  <c r="I24"/>
  <c r="F28"/>
  <c r="P30"/>
  <c r="I48"/>
  <c r="P57"/>
  <c r="J57"/>
  <c r="R60"/>
  <c r="F66"/>
  <c r="K64"/>
  <c r="S65"/>
  <c r="S63" s="1"/>
  <c r="M9"/>
  <c r="M15"/>
  <c r="M21"/>
  <c r="M93"/>
  <c r="M99"/>
  <c r="D55"/>
  <c r="D66"/>
  <c r="J6"/>
  <c r="O6"/>
  <c r="S6"/>
  <c r="R9"/>
  <c r="K15"/>
  <c r="N18"/>
  <c r="G21"/>
  <c r="L21"/>
  <c r="Q21"/>
  <c r="F24"/>
  <c r="F33"/>
  <c r="O54"/>
  <c r="K33"/>
  <c r="Q24"/>
  <c r="I38"/>
  <c r="I36" s="1"/>
  <c r="F45"/>
  <c r="K45"/>
  <c r="P45"/>
  <c r="O47"/>
  <c r="I51"/>
  <c r="G57"/>
  <c r="L54"/>
  <c r="Q54"/>
  <c r="G66"/>
  <c r="L66"/>
  <c r="Q66"/>
  <c r="P66"/>
  <c r="N75"/>
  <c r="R75"/>
  <c r="G74"/>
  <c r="G72" s="1"/>
  <c r="L74"/>
  <c r="L5" s="1"/>
  <c r="F72"/>
  <c r="E78"/>
  <c r="K74"/>
  <c r="P74"/>
  <c r="E81"/>
  <c r="J82"/>
  <c r="J81" s="1"/>
  <c r="O81"/>
  <c r="S81"/>
  <c r="G93"/>
  <c r="L93"/>
  <c r="Q93"/>
  <c r="P93"/>
  <c r="E90"/>
  <c r="J90"/>
  <c r="S90"/>
  <c r="N96"/>
  <c r="R96"/>
  <c r="Q99"/>
  <c r="M12"/>
  <c r="M18"/>
  <c r="M24"/>
  <c r="M36"/>
  <c r="M60"/>
  <c r="M87"/>
  <c r="M92"/>
  <c r="N63"/>
  <c r="P91"/>
  <c r="R55"/>
  <c r="R54" s="1"/>
  <c r="S18"/>
  <c r="I29"/>
  <c r="I27" s="1"/>
  <c r="E39"/>
  <c r="I91"/>
  <c r="N30"/>
  <c r="E33"/>
  <c r="R33"/>
  <c r="L42"/>
  <c r="M28"/>
  <c r="M46"/>
  <c r="M45" s="1"/>
  <c r="M55"/>
  <c r="M64"/>
  <c r="M91"/>
  <c r="M90" s="1"/>
  <c r="Q72"/>
  <c r="K82"/>
  <c r="K81" s="1"/>
  <c r="F90"/>
  <c r="H60"/>
  <c r="O60"/>
  <c r="M78"/>
  <c r="Q78"/>
  <c r="E56"/>
  <c r="E54" s="1"/>
  <c r="F30"/>
  <c r="L90"/>
  <c r="P82"/>
  <c r="I72"/>
  <c r="O63"/>
  <c r="F64"/>
  <c r="I55"/>
  <c r="I45"/>
  <c r="L15"/>
  <c r="E18"/>
  <c r="G24"/>
  <c r="S30"/>
  <c r="D57"/>
  <c r="H29"/>
  <c r="H27" s="1"/>
  <c r="S60"/>
  <c r="E37"/>
  <c r="E36" s="1"/>
  <c r="Q57"/>
  <c r="L73"/>
  <c r="N33"/>
  <c r="G33"/>
  <c r="J39"/>
  <c r="G38"/>
  <c r="G36" s="1"/>
  <c r="P28"/>
  <c r="P27" s="1"/>
  <c r="D37"/>
  <c r="H30"/>
  <c r="P48"/>
  <c r="H56"/>
  <c r="H9"/>
  <c r="S66"/>
  <c r="J84"/>
  <c r="N55"/>
  <c r="N54" s="1"/>
  <c r="L57"/>
  <c r="R46"/>
  <c r="H6"/>
  <c r="D47"/>
  <c r="H84"/>
  <c r="G6"/>
  <c r="Q6"/>
  <c r="E6"/>
  <c r="R6"/>
  <c r="G9"/>
  <c r="L9"/>
  <c r="Q9"/>
  <c r="E12"/>
  <c r="I12"/>
  <c r="R12"/>
  <c r="G12"/>
  <c r="K12"/>
  <c r="P12"/>
  <c r="E15"/>
  <c r="J15"/>
  <c r="G28"/>
  <c r="F29"/>
  <c r="J33"/>
  <c r="P29"/>
  <c r="I39"/>
  <c r="L39"/>
  <c r="Q37"/>
  <c r="K38"/>
  <c r="Q38"/>
  <c r="F37"/>
  <c r="F36" s="1"/>
  <c r="K37"/>
  <c r="Q45"/>
  <c r="I4"/>
  <c r="M63"/>
  <c r="R81"/>
  <c r="F5"/>
  <c r="P72"/>
  <c r="M54"/>
  <c r="K29"/>
  <c r="J65"/>
  <c r="J63" s="1"/>
  <c r="J30"/>
  <c r="K42"/>
  <c r="K39"/>
  <c r="S37"/>
  <c r="S36" s="1"/>
  <c r="R66"/>
  <c r="N93"/>
  <c r="M83"/>
  <c r="M81" s="1"/>
  <c r="O46"/>
  <c r="O45" s="1"/>
  <c r="F42"/>
  <c r="S28"/>
  <c r="P9"/>
  <c r="R42"/>
  <c r="H37"/>
  <c r="S5"/>
  <c r="L6"/>
  <c r="L48"/>
  <c r="D28"/>
  <c r="M33"/>
  <c r="I87"/>
  <c r="K96"/>
  <c r="S96"/>
  <c r="Q39"/>
  <c r="L37"/>
  <c r="L36" s="1"/>
  <c r="M66"/>
  <c r="O75"/>
  <c r="S75"/>
  <c r="P92"/>
  <c r="R91"/>
  <c r="R90" s="1"/>
  <c r="N73"/>
  <c r="N72" s="1"/>
  <c r="E73"/>
  <c r="E72" s="1"/>
  <c r="Q64"/>
  <c r="Q63" s="1"/>
  <c r="I64"/>
  <c r="I63" s="1"/>
  <c r="K55"/>
  <c r="K54" s="1"/>
  <c r="F57"/>
  <c r="E46"/>
  <c r="E45" s="1"/>
  <c r="P15"/>
  <c r="I18"/>
  <c r="P24"/>
  <c r="P39"/>
  <c r="E48"/>
  <c r="J46"/>
  <c r="J36"/>
  <c r="I90"/>
  <c r="M69"/>
  <c r="F60"/>
  <c r="K48"/>
  <c r="N66"/>
  <c r="M72"/>
  <c r="P64"/>
  <c r="S46"/>
  <c r="S45" s="1"/>
  <c r="N28"/>
  <c r="N27" s="1"/>
  <c r="Q29"/>
  <c r="Q27" s="1"/>
  <c r="J47"/>
  <c r="K78"/>
  <c r="F96"/>
  <c r="O96"/>
  <c r="I56"/>
  <c r="I30"/>
  <c r="R37"/>
  <c r="R36" s="1"/>
  <c r="Q48"/>
  <c r="R73"/>
  <c r="R72" s="1"/>
  <c r="J73"/>
  <c r="J72" s="1"/>
  <c r="P65"/>
  <c r="P55"/>
  <c r="P54" s="1"/>
  <c r="P33"/>
  <c r="E30"/>
  <c r="D51"/>
  <c r="D39"/>
  <c r="E69"/>
  <c r="E96"/>
  <c r="J96"/>
  <c r="O30"/>
  <c r="G39"/>
  <c r="P36"/>
  <c r="F48"/>
  <c r="O48"/>
  <c r="K84"/>
  <c r="O84"/>
  <c r="S84"/>
  <c r="G55"/>
  <c r="G54" s="1"/>
  <c r="S12"/>
  <c r="F15"/>
  <c r="O21"/>
  <c r="S21"/>
  <c r="J29"/>
  <c r="J27" s="1"/>
  <c r="O29"/>
  <c r="O5" s="1"/>
  <c r="O37"/>
  <c r="O36" s="1"/>
  <c r="G42"/>
  <c r="H39"/>
  <c r="D137" i="28"/>
  <c r="C135"/>
  <c r="D135" s="1"/>
  <c r="L135"/>
  <c r="M135" s="1"/>
  <c r="M137"/>
  <c r="H18" i="41"/>
  <c r="K90"/>
  <c r="P81"/>
  <c r="S136" i="28"/>
  <c r="M136"/>
  <c r="D136"/>
  <c r="M105"/>
  <c r="M98"/>
  <c r="S98"/>
  <c r="S97" s="1"/>
  <c r="F97"/>
  <c r="O78"/>
  <c r="K78"/>
  <c r="M416" i="49"/>
  <c r="M702"/>
  <c r="M730"/>
  <c r="M764"/>
  <c r="M864"/>
  <c r="N864" s="1"/>
  <c r="M871"/>
  <c r="N871" s="1"/>
  <c r="M877"/>
  <c r="N877" s="1"/>
  <c r="M880"/>
  <c r="N880" s="1"/>
  <c r="M884"/>
  <c r="N884" s="1"/>
  <c r="M888"/>
  <c r="N888" s="1"/>
  <c r="M895"/>
  <c r="N895" s="1"/>
  <c r="O90" i="41"/>
  <c r="N81"/>
  <c r="S121" i="28"/>
  <c r="P114"/>
  <c r="B97"/>
  <c r="J98"/>
  <c r="J97" s="1"/>
  <c r="W6" i="49"/>
  <c r="M699"/>
  <c r="M865"/>
  <c r="N865" s="1"/>
  <c r="M881"/>
  <c r="N881" s="1"/>
  <c r="M885"/>
  <c r="N885" s="1"/>
  <c r="M889"/>
  <c r="N889" s="1"/>
  <c r="M972"/>
  <c r="M980"/>
  <c r="M985"/>
  <c r="M989"/>
  <c r="M999"/>
  <c r="M1004"/>
  <c r="C130" i="56"/>
  <c r="K130" s="1"/>
  <c r="L27" i="41"/>
  <c r="M161" i="28"/>
  <c r="V135"/>
  <c r="D105"/>
  <c r="D97" s="1"/>
  <c r="N97"/>
  <c r="I97"/>
  <c r="P67"/>
  <c r="Q81" i="41"/>
  <c r="F54"/>
  <c r="H135" i="28"/>
  <c r="J135" s="1"/>
  <c r="G97"/>
  <c r="S48"/>
  <c r="J48"/>
  <c r="J16"/>
  <c r="M867" i="49"/>
  <c r="N867" s="1"/>
  <c r="M876"/>
  <c r="N876" s="1"/>
  <c r="M891"/>
  <c r="N891" s="1"/>
  <c r="M973"/>
  <c r="M977"/>
  <c r="M986"/>
  <c r="M988"/>
  <c r="M990"/>
  <c r="M992"/>
  <c r="M994"/>
  <c r="M998"/>
  <c r="M1003"/>
  <c r="M1020"/>
  <c r="N1020" s="1"/>
  <c r="M1022"/>
  <c r="N1022" s="1"/>
  <c r="M1346"/>
  <c r="M1358"/>
  <c r="M1365"/>
  <c r="M1445"/>
  <c r="M1450"/>
  <c r="M1457"/>
  <c r="M1506"/>
  <c r="N1506" s="1"/>
  <c r="M1515"/>
  <c r="N1515" s="1"/>
  <c r="M1815"/>
  <c r="M1824"/>
  <c r="M1839"/>
  <c r="M1849"/>
  <c r="M1896"/>
  <c r="M1905"/>
  <c r="M1924"/>
  <c r="M1959"/>
  <c r="M1963"/>
  <c r="M1986"/>
  <c r="M1995"/>
  <c r="C50" i="51"/>
  <c r="C6" s="1"/>
  <c r="G181" i="53"/>
  <c r="D181" s="1"/>
  <c r="C181" s="1"/>
  <c r="M1023" i="49"/>
  <c r="N1023" s="1"/>
  <c r="M1025"/>
  <c r="N1025" s="1"/>
  <c r="M1037"/>
  <c r="N1037" s="1"/>
  <c r="M1107"/>
  <c r="M1352"/>
  <c r="M1362"/>
  <c r="M1364"/>
  <c r="M1430"/>
  <c r="M1432"/>
  <c r="M1434"/>
  <c r="M1436"/>
  <c r="M1454"/>
  <c r="M1500"/>
  <c r="N1500" s="1"/>
  <c r="M1507"/>
  <c r="N1507" s="1"/>
  <c r="M1510"/>
  <c r="N1510" s="1"/>
  <c r="M1516"/>
  <c r="N1516" s="1"/>
  <c r="M1519"/>
  <c r="N1519" s="1"/>
  <c r="M1814"/>
  <c r="M1881"/>
  <c r="M1887"/>
  <c r="M1973"/>
  <c r="M2033"/>
  <c r="J163" i="51"/>
  <c r="G50" i="53"/>
  <c r="D101"/>
  <c r="C101" s="1"/>
  <c r="M1029" i="49"/>
  <c r="N1029" s="1"/>
  <c r="M1031"/>
  <c r="N1031" s="1"/>
  <c r="M1036"/>
  <c r="N1036" s="1"/>
  <c r="M1349"/>
  <c r="M1353"/>
  <c r="M1361"/>
  <c r="M1429"/>
  <c r="M1433"/>
  <c r="M1453"/>
  <c r="M1502"/>
  <c r="N1502" s="1"/>
  <c r="M1518"/>
  <c r="N1518" s="1"/>
  <c r="M1820"/>
  <c r="M1827"/>
  <c r="M1832"/>
  <c r="M1835"/>
  <c r="M1842"/>
  <c r="M1857"/>
  <c r="M1868"/>
  <c r="M1897"/>
  <c r="M1910"/>
  <c r="M1912"/>
  <c r="M1914"/>
  <c r="M1916"/>
  <c r="M1918"/>
  <c r="M1920"/>
  <c r="M1944"/>
  <c r="M1946"/>
  <c r="M1952"/>
  <c r="M2000"/>
  <c r="M2002"/>
  <c r="M2011"/>
  <c r="M2013"/>
  <c r="M2024"/>
  <c r="M2026"/>
  <c r="E29" i="51"/>
  <c r="L29" s="1"/>
  <c r="E244"/>
  <c r="L244" s="1"/>
  <c r="K233"/>
  <c r="B181" i="53"/>
  <c r="D330"/>
  <c r="C330" s="1"/>
  <c r="K13" i="56"/>
  <c r="C26"/>
  <c r="K26" s="1"/>
  <c r="C53"/>
  <c r="K53" s="1"/>
  <c r="G60"/>
  <c r="C89"/>
  <c r="K89" s="1"/>
  <c r="C227"/>
  <c r="K227" s="1"/>
  <c r="H146" i="58"/>
  <c r="I230"/>
  <c r="H136" i="51"/>
  <c r="H6" s="1"/>
  <c r="E157"/>
  <c r="L157" s="1"/>
  <c r="B163"/>
  <c r="K163"/>
  <c r="D199"/>
  <c r="D6" s="1"/>
  <c r="I199"/>
  <c r="K341"/>
  <c r="E341" s="1"/>
  <c r="L341" s="1"/>
  <c r="I6" i="53"/>
  <c r="D40"/>
  <c r="C40" s="1"/>
  <c r="D234"/>
  <c r="C234" s="1"/>
  <c r="D244"/>
  <c r="C244" s="1"/>
  <c r="D345"/>
  <c r="C345" s="1"/>
  <c r="C36" i="56"/>
  <c r="K36" s="1"/>
  <c r="C95"/>
  <c r="K95" s="1"/>
  <c r="D115"/>
  <c r="J166"/>
  <c r="D12" i="58"/>
  <c r="M12" s="1"/>
  <c r="D58"/>
  <c r="M58" s="1"/>
  <c r="H53"/>
  <c r="I146"/>
  <c r="E230"/>
  <c r="H67" i="41"/>
  <c r="H68"/>
  <c r="M1858" i="49"/>
  <c r="M1861"/>
  <c r="M1863"/>
  <c r="M1872"/>
  <c r="M1874"/>
  <c r="M1882"/>
  <c r="M1890"/>
  <c r="M1895"/>
  <c r="M1907"/>
  <c r="M1913"/>
  <c r="M1917"/>
  <c r="M1921"/>
  <c r="M1928"/>
  <c r="N1928" s="1"/>
  <c r="M1931"/>
  <c r="M1933"/>
  <c r="M1935"/>
  <c r="M1939"/>
  <c r="M1954"/>
  <c r="M1960"/>
  <c r="M1962"/>
  <c r="M1964"/>
  <c r="M1968"/>
  <c r="M1979"/>
  <c r="M1981"/>
  <c r="M1990"/>
  <c r="M1992"/>
  <c r="M2010"/>
  <c r="M2028"/>
  <c r="M2032"/>
  <c r="K12" i="51"/>
  <c r="E22"/>
  <c r="L22" s="1"/>
  <c r="E40"/>
  <c r="E115"/>
  <c r="L115" s="1"/>
  <c r="I136"/>
  <c r="I163"/>
  <c r="E163" s="1"/>
  <c r="L163" s="1"/>
  <c r="E200"/>
  <c r="L200" s="1"/>
  <c r="J199"/>
  <c r="B233"/>
  <c r="G233"/>
  <c r="E233" s="1"/>
  <c r="L233" s="1"/>
  <c r="E273"/>
  <c r="L273" s="1"/>
  <c r="D43" i="53"/>
  <c r="C43" s="1"/>
  <c r="B50"/>
  <c r="B6" s="1"/>
  <c r="G146"/>
  <c r="D146" s="1"/>
  <c r="J146"/>
  <c r="B271"/>
  <c r="H311"/>
  <c r="H6" s="1"/>
  <c r="I60" i="56"/>
  <c r="I6" s="1"/>
  <c r="F60"/>
  <c r="C60" s="1"/>
  <c r="K60" s="1"/>
  <c r="G115"/>
  <c r="E166"/>
  <c r="B217"/>
  <c r="K217" s="1"/>
  <c r="C238"/>
  <c r="K238" s="1"/>
  <c r="D41" i="58"/>
  <c r="M41" s="1"/>
  <c r="F146"/>
  <c r="F6" s="1"/>
  <c r="B176"/>
  <c r="G176"/>
  <c r="K176"/>
  <c r="C209"/>
  <c r="C264"/>
  <c r="Q483" i="59"/>
  <c r="T1620"/>
  <c r="D305" i="58"/>
  <c r="M305" s="1"/>
  <c r="H16" i="41"/>
  <c r="H15" s="1"/>
  <c r="D25"/>
  <c r="D26"/>
  <c r="R788" i="59"/>
  <c r="T1110"/>
  <c r="I1783"/>
  <c r="H88" i="41" s="1"/>
  <c r="H89"/>
  <c r="H83" s="1"/>
  <c r="T1810" i="59"/>
  <c r="D95" i="41"/>
  <c r="N6"/>
  <c r="K18"/>
  <c r="L24"/>
  <c r="I113" i="58"/>
  <c r="I6" s="1"/>
  <c r="D341"/>
  <c r="M341" s="1"/>
  <c r="D13" i="41"/>
  <c r="D12" s="1"/>
  <c r="D19"/>
  <c r="D18" s="1"/>
  <c r="S83" i="59"/>
  <c r="S7" s="1"/>
  <c r="D35" i="41"/>
  <c r="D33" s="1"/>
  <c r="W258" i="59"/>
  <c r="W7" s="1"/>
  <c r="D44" i="41"/>
  <c r="D38" s="1"/>
  <c r="D36" s="1"/>
  <c r="D49"/>
  <c r="H52"/>
  <c r="H51" s="1"/>
  <c r="H58"/>
  <c r="D86"/>
  <c r="Q1810" i="59"/>
  <c r="Q7" s="1"/>
  <c r="E9" i="41"/>
  <c r="N15"/>
  <c r="R28"/>
  <c r="G29"/>
  <c r="L33"/>
  <c r="E29"/>
  <c r="N42"/>
  <c r="M6"/>
  <c r="C230" i="58"/>
  <c r="L230"/>
  <c r="G304"/>
  <c r="D304" s="1"/>
  <c r="M304" s="1"/>
  <c r="H44" i="41"/>
  <c r="H42" s="1"/>
  <c r="D79"/>
  <c r="D78" s="1"/>
  <c r="D85"/>
  <c r="D89"/>
  <c r="D87" s="1"/>
  <c r="H97"/>
  <c r="D101"/>
  <c r="D99" s="1"/>
  <c r="E24"/>
  <c r="N47"/>
  <c r="N45" s="1"/>
  <c r="R47"/>
  <c r="R5" s="1"/>
  <c r="G51"/>
  <c r="O9" i="70"/>
  <c r="K10" i="16"/>
  <c r="L10"/>
  <c r="K11"/>
  <c r="L11"/>
  <c r="H78" i="41"/>
  <c r="J6" i="51"/>
  <c r="E326"/>
  <c r="L326" s="1"/>
  <c r="M78" i="28"/>
  <c r="D265" i="58"/>
  <c r="M265" s="1"/>
  <c r="P97" i="28"/>
  <c r="M16"/>
  <c r="M1032" i="49"/>
  <c r="N1032" s="1"/>
  <c r="G34" i="28"/>
  <c r="G16" s="1"/>
  <c r="G136" i="51"/>
  <c r="G6" s="1"/>
  <c r="Q135" i="28"/>
  <c r="S135" s="1"/>
  <c r="F199" i="51"/>
  <c r="J213" i="53"/>
  <c r="J6" s="1"/>
  <c r="E311"/>
  <c r="J191" i="56"/>
  <c r="D45" i="58"/>
  <c r="M45" s="1"/>
  <c r="F94" i="56"/>
  <c r="B166"/>
  <c r="B6" s="1"/>
  <c r="C192"/>
  <c r="K192" s="1"/>
  <c r="D176" i="58"/>
  <c r="M176" s="1"/>
  <c r="B230"/>
  <c r="B6" s="1"/>
  <c r="D156"/>
  <c r="M156" s="1"/>
  <c r="E146"/>
  <c r="D146" s="1"/>
  <c r="M146" s="1"/>
  <c r="L209"/>
  <c r="L6" s="1"/>
  <c r="E113"/>
  <c r="D113" s="1"/>
  <c r="M113" s="1"/>
  <c r="E209"/>
  <c r="D209" s="1"/>
  <c r="M209" s="1"/>
  <c r="K264"/>
  <c r="K6" s="1"/>
  <c r="H71" i="41"/>
  <c r="D76"/>
  <c r="H77"/>
  <c r="H74" s="1"/>
  <c r="H72" s="1"/>
  <c r="H92"/>
  <c r="N9"/>
  <c r="P42"/>
  <c r="K10" i="20"/>
  <c r="D7" i="41"/>
  <c r="D11"/>
  <c r="N41"/>
  <c r="D71"/>
  <c r="D94"/>
  <c r="D98"/>
  <c r="N24"/>
  <c r="R24"/>
  <c r="T483" i="59"/>
  <c r="T7" s="1"/>
  <c r="H49" i="41"/>
  <c r="D62"/>
  <c r="R1110" i="59"/>
  <c r="R7" s="1"/>
  <c r="H101" i="41"/>
  <c r="H99" s="1"/>
  <c r="L30"/>
  <c r="I33"/>
  <c r="K36" l="1"/>
  <c r="K72"/>
  <c r="I5"/>
  <c r="K63"/>
  <c r="G4"/>
  <c r="F27"/>
  <c r="L72"/>
  <c r="P90"/>
  <c r="F4"/>
  <c r="F3" s="1"/>
  <c r="M4"/>
  <c r="M5"/>
  <c r="M3" s="1"/>
  <c r="J5"/>
  <c r="J4"/>
  <c r="F63"/>
  <c r="Q5"/>
  <c r="M27"/>
  <c r="I54"/>
  <c r="J45"/>
  <c r="K4"/>
  <c r="P63"/>
  <c r="P5"/>
  <c r="Q36"/>
  <c r="K27"/>
  <c r="K5"/>
  <c r="E4"/>
  <c r="N4"/>
  <c r="I3"/>
  <c r="O4"/>
  <c r="O3" s="1"/>
  <c r="L4"/>
  <c r="L3" s="1"/>
  <c r="S27"/>
  <c r="S4"/>
  <c r="S3" s="1"/>
  <c r="O27"/>
  <c r="J3"/>
  <c r="P4"/>
  <c r="Q4"/>
  <c r="Q3" s="1"/>
  <c r="H82"/>
  <c r="H81" s="1"/>
  <c r="H87"/>
  <c r="C146" i="53"/>
  <c r="H64" i="41"/>
  <c r="H66"/>
  <c r="G6" i="56"/>
  <c r="D50" i="53"/>
  <c r="C50" s="1"/>
  <c r="G6"/>
  <c r="D29" i="41"/>
  <c r="D27" s="1"/>
  <c r="H38"/>
  <c r="H75"/>
  <c r="D84"/>
  <c r="D82"/>
  <c r="G5"/>
  <c r="G3" s="1"/>
  <c r="G27"/>
  <c r="D48"/>
  <c r="D46"/>
  <c r="D45" s="1"/>
  <c r="C6" i="58"/>
  <c r="E6" i="56"/>
  <c r="C166"/>
  <c r="I6" i="51"/>
  <c r="K6"/>
  <c r="D230" i="58"/>
  <c r="M230" s="1"/>
  <c r="M97" i="28"/>
  <c r="R27" i="41"/>
  <c r="R4"/>
  <c r="R3" s="1"/>
  <c r="D83"/>
  <c r="D24"/>
  <c r="R45"/>
  <c r="D42"/>
  <c r="H96"/>
  <c r="H91"/>
  <c r="H90" s="1"/>
  <c r="E27"/>
  <c r="E5"/>
  <c r="E3" s="1"/>
  <c r="H57"/>
  <c r="H55"/>
  <c r="H54" s="1"/>
  <c r="G6" i="58"/>
  <c r="H52"/>
  <c r="D53"/>
  <c r="M53" s="1"/>
  <c r="C115" i="56"/>
  <c r="K115" s="1"/>
  <c r="D6"/>
  <c r="B6" i="51"/>
  <c r="E12"/>
  <c r="L12" s="1"/>
  <c r="H48" i="41"/>
  <c r="H46"/>
  <c r="N38"/>
  <c r="N39"/>
  <c r="H69"/>
  <c r="H65"/>
  <c r="F6" i="56"/>
  <c r="C94"/>
  <c r="K94" s="1"/>
  <c r="E136" i="51"/>
  <c r="L136" s="1"/>
  <c r="D264" i="58"/>
  <c r="M264" s="1"/>
  <c r="K166" i="56"/>
  <c r="D92" i="41"/>
  <c r="D96"/>
  <c r="D91"/>
  <c r="D93"/>
  <c r="D9"/>
  <c r="E199" i="51"/>
  <c r="L199" s="1"/>
  <c r="F6"/>
  <c r="E6" s="1"/>
  <c r="L6" s="1"/>
  <c r="C213" i="53"/>
  <c r="D56" i="41"/>
  <c r="D54" s="1"/>
  <c r="D60"/>
  <c r="D6"/>
  <c r="J6" i="56"/>
  <c r="C191"/>
  <c r="K191" s="1"/>
  <c r="D65" i="41"/>
  <c r="D63" s="1"/>
  <c r="D69"/>
  <c r="D73"/>
  <c r="D72" s="1"/>
  <c r="D75"/>
  <c r="D311" i="53"/>
  <c r="C311" s="1"/>
  <c r="E6"/>
  <c r="D6" s="1"/>
  <c r="C6" s="1"/>
  <c r="E6" i="58"/>
  <c r="H63" i="41" l="1"/>
  <c r="P3"/>
  <c r="K3"/>
  <c r="D4"/>
  <c r="D81"/>
  <c r="H5"/>
  <c r="H36"/>
  <c r="D90"/>
  <c r="D52" i="58"/>
  <c r="M52" s="1"/>
  <c r="H6"/>
  <c r="D6" s="1"/>
  <c r="M6" s="1"/>
  <c r="D5" i="41"/>
  <c r="C6" i="56"/>
  <c r="K6" s="1"/>
  <c r="N36" i="41"/>
  <c r="N5"/>
  <c r="N3" s="1"/>
  <c r="H45"/>
  <c r="H4"/>
  <c r="H3" l="1"/>
  <c r="D3"/>
</calcChain>
</file>

<file path=xl/comments1.xml><?xml version="1.0" encoding="utf-8"?>
<comments xmlns="http://schemas.openxmlformats.org/spreadsheetml/2006/main">
  <authors>
    <author>연구팀2011</author>
  </authors>
  <commentList>
    <comment ref="O7" authorId="0">
      <text>
        <r>
          <rPr>
            <sz val="10"/>
            <color indexed="81"/>
            <rFont val="돋움"/>
            <family val="3"/>
            <charset val="129"/>
          </rPr>
          <t>하수도정비기본계획상 기재된 계획연장을 기입</t>
        </r>
      </text>
    </comment>
    <comment ref="P7" authorId="0">
      <text>
        <r>
          <rPr>
            <sz val="10"/>
            <color indexed="81"/>
            <rFont val="돋움"/>
            <family val="3"/>
            <charset val="129"/>
          </rPr>
          <t>자동처리되는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부분이므로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기입하지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않음</t>
        </r>
      </text>
    </comment>
    <comment ref="U7" authorId="0">
      <text>
        <r>
          <rPr>
            <sz val="10"/>
            <color indexed="81"/>
            <rFont val="돋움"/>
            <family val="3"/>
            <charset val="129"/>
          </rPr>
          <t>하수도정비기본계획상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기재된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계획연장을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기입</t>
        </r>
      </text>
    </comment>
    <comment ref="V7" authorId="0">
      <text>
        <r>
          <rPr>
            <sz val="10"/>
            <color indexed="81"/>
            <rFont val="돋움"/>
            <family val="3"/>
            <charset val="129"/>
          </rPr>
          <t>자동처리되는 부분이므로 기입하지 않음</t>
        </r>
      </text>
    </comment>
  </commentList>
</comments>
</file>

<file path=xl/comments10.xml><?xml version="1.0" encoding="utf-8"?>
<comments xmlns="http://schemas.openxmlformats.org/spreadsheetml/2006/main">
  <authors>
    <author>이경수</author>
    <author>한재문</author>
  </authors>
  <commentList>
    <comment ref="K5" authorId="0">
      <text>
        <r>
          <rPr>
            <sz val="11"/>
            <color indexed="81"/>
            <rFont val="돋움"/>
            <family val="3"/>
            <charset val="129"/>
          </rPr>
          <t>도시재이용수,조경용수,친수용수, 하천유지용수, 농업용수, 습지용수, 지하수충전수, 공업용수 등</t>
        </r>
      </text>
    </comment>
    <comment ref="M5" authorId="1">
      <text>
        <r>
          <rPr>
            <sz val="10"/>
            <color indexed="81"/>
            <rFont val="돋움"/>
            <family val="3"/>
            <charset val="129"/>
          </rPr>
          <t>물의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재이용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촉진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및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지원에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관한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법률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시행에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따라</t>
        </r>
        <r>
          <rPr>
            <sz val="10"/>
            <color indexed="81"/>
            <rFont val="Tahoma"/>
            <family val="2"/>
          </rPr>
          <t xml:space="preserve"> ‘11.6.9</t>
        </r>
        <r>
          <rPr>
            <sz val="10"/>
            <color indexed="81"/>
            <rFont val="돋움"/>
            <family val="3"/>
            <charset val="129"/>
          </rPr>
          <t>일이후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시행</t>
        </r>
        <r>
          <rPr>
            <sz val="10"/>
            <color indexed="81"/>
            <rFont val="Tahoma"/>
            <family val="2"/>
          </rPr>
          <t>(</t>
        </r>
        <r>
          <rPr>
            <sz val="10"/>
            <color indexed="81"/>
            <rFont val="돋움"/>
            <family val="3"/>
            <charset val="129"/>
          </rPr>
          <t>인허가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기준</t>
        </r>
        <r>
          <rPr>
            <sz val="10"/>
            <color indexed="81"/>
            <rFont val="Tahoma"/>
            <family val="2"/>
          </rPr>
          <t>)</t>
        </r>
        <r>
          <rPr>
            <sz val="10"/>
            <color indexed="81"/>
            <rFont val="돋움"/>
            <family val="3"/>
            <charset val="129"/>
          </rPr>
          <t>하는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지붕면적</t>
        </r>
        <r>
          <rPr>
            <sz val="10"/>
            <color indexed="81"/>
            <rFont val="Tahoma"/>
            <family val="2"/>
          </rPr>
          <t xml:space="preserve"> 1,000</t>
        </r>
        <r>
          <rPr>
            <sz val="10"/>
            <color indexed="81"/>
            <rFont val="돋움"/>
            <family val="3"/>
            <charset val="129"/>
          </rPr>
          <t>㎡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이상인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운동장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또는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체육관</t>
        </r>
        <r>
          <rPr>
            <sz val="10"/>
            <color indexed="81"/>
            <rFont val="Tahoma"/>
            <family val="2"/>
          </rPr>
          <t xml:space="preserve">, </t>
        </r>
        <r>
          <rPr>
            <sz val="10"/>
            <color indexed="81"/>
            <rFont val="돋움"/>
            <family val="3"/>
            <charset val="129"/>
          </rPr>
          <t>공공청사로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법적시설이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돋움"/>
            <family val="3"/>
            <charset val="129"/>
          </rPr>
          <t>확대</t>
        </r>
        <r>
          <rPr>
            <sz val="10"/>
            <color indexed="81"/>
            <rFont val="Tahoma"/>
            <family val="2"/>
          </rPr>
          <t>·</t>
        </r>
        <r>
          <rPr>
            <sz val="10"/>
            <color indexed="81"/>
            <rFont val="돋움"/>
            <family val="3"/>
            <charset val="129"/>
          </rPr>
          <t>추가</t>
        </r>
      </text>
    </comment>
  </commentList>
</comments>
</file>

<file path=xl/comments11.xml><?xml version="1.0" encoding="utf-8"?>
<comments xmlns="http://schemas.openxmlformats.org/spreadsheetml/2006/main">
  <authors>
    <author>연구팀2011</author>
  </authors>
  <commentList>
    <comment ref="B5" authorId="0">
      <text>
        <r>
          <rPr>
            <sz val="11"/>
            <color indexed="81"/>
            <rFont val="돋움"/>
            <family val="3"/>
            <charset val="129"/>
          </rPr>
          <t>&lt;8.분뇨처리시설&gt; 시트의 기입된 처리장과 일치하여야 함</t>
        </r>
      </text>
    </comment>
    <comment ref="J6" authorId="0">
      <text>
        <r>
          <rPr>
            <sz val="11"/>
            <color indexed="81"/>
            <rFont val="돋움"/>
            <family val="3"/>
            <charset val="129"/>
          </rPr>
          <t>연계처리하는 경우 기타란에 "(연계처리)"를 기입</t>
        </r>
      </text>
    </comment>
  </commentList>
</comments>
</file>

<file path=xl/comments12.xml><?xml version="1.0" encoding="utf-8"?>
<comments xmlns="http://schemas.openxmlformats.org/spreadsheetml/2006/main">
  <authors>
    <author>송혜교</author>
  </authors>
  <commentList>
    <comment ref="N5" authorId="0">
      <text>
        <r>
          <rPr>
            <b/>
            <sz val="12"/>
            <color indexed="81"/>
            <rFont val="돋움"/>
            <family val="3"/>
            <charset val="129"/>
          </rPr>
          <t>단위확인(1일/인)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돋움"/>
            <family val="3"/>
            <charset val="129"/>
          </rPr>
          <t>1일 8시간 기준</t>
        </r>
      </text>
    </comment>
  </commentList>
</comments>
</file>

<file path=xl/comments13.xml><?xml version="1.0" encoding="utf-8"?>
<comments xmlns="http://schemas.openxmlformats.org/spreadsheetml/2006/main">
  <authors>
    <author>송혜교</author>
  </authors>
  <commentList>
    <comment ref="B5" authorId="0">
      <text>
        <r>
          <rPr>
            <sz val="14"/>
            <color indexed="81"/>
            <rFont val="Tahoma"/>
            <family val="2"/>
          </rPr>
          <t>&lt;7.</t>
        </r>
        <r>
          <rPr>
            <sz val="14"/>
            <color indexed="81"/>
            <rFont val="돋움"/>
            <family val="3"/>
            <charset val="129"/>
          </rPr>
          <t>공공하수처리시설</t>
        </r>
        <r>
          <rPr>
            <sz val="14"/>
            <color indexed="81"/>
            <rFont val="Tahoma"/>
            <family val="2"/>
          </rPr>
          <t xml:space="preserve">&gt; </t>
        </r>
        <r>
          <rPr>
            <sz val="14"/>
            <color indexed="81"/>
            <rFont val="돋움"/>
            <family val="3"/>
            <charset val="129"/>
          </rPr>
          <t>시트의</t>
        </r>
        <r>
          <rPr>
            <sz val="14"/>
            <color indexed="81"/>
            <rFont val="Tahoma"/>
            <family val="2"/>
          </rPr>
          <t xml:space="preserve">  </t>
        </r>
        <r>
          <rPr>
            <sz val="14"/>
            <color indexed="81"/>
            <rFont val="돋움"/>
            <family val="3"/>
            <charset val="129"/>
          </rPr>
          <t>모든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하수처리장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실험실</author>
    <author>kwon</author>
    <author>TGOFFICE</author>
    <author>SEC</author>
  </authors>
  <commentList>
    <comment ref="C67" authorId="0">
      <text>
        <r>
          <rPr>
            <b/>
            <sz val="9"/>
            <color indexed="81"/>
            <rFont val="굴림"/>
            <family val="3"/>
            <charset val="129"/>
          </rPr>
          <t>실시설계서</t>
        </r>
      </text>
    </comment>
    <comment ref="E67" authorId="0">
      <text>
        <r>
          <rPr>
            <b/>
            <sz val="9"/>
            <color indexed="81"/>
            <rFont val="굴림"/>
            <family val="3"/>
            <charset val="129"/>
          </rPr>
          <t>휴게실</t>
        </r>
      </text>
    </comment>
    <comment ref="H67" authorId="0">
      <text>
        <r>
          <rPr>
            <b/>
            <sz val="9"/>
            <color indexed="81"/>
            <rFont val="굴림"/>
            <family val="3"/>
            <charset val="129"/>
          </rPr>
          <t>테니스장(W19.7,L36.7)</t>
        </r>
      </text>
    </comment>
    <comment ref="I67" authorId="0">
      <text>
        <r>
          <rPr>
            <b/>
            <sz val="9"/>
            <color indexed="81"/>
            <rFont val="굴림"/>
            <family val="3"/>
            <charset val="129"/>
          </rPr>
          <t>주차장(W2.4*L4.4*30면)</t>
        </r>
      </text>
    </comment>
    <comment ref="J67" authorId="0">
      <text>
        <r>
          <rPr>
            <b/>
            <sz val="9"/>
            <color indexed="81"/>
            <rFont val="굴림"/>
            <family val="3"/>
            <charset val="129"/>
          </rPr>
          <t>홍보관</t>
        </r>
      </text>
    </comment>
    <comment ref="K67" authorId="0">
      <text>
        <r>
          <rPr>
            <b/>
            <sz val="9"/>
            <color indexed="81"/>
            <rFont val="굴림"/>
            <family val="3"/>
            <charset val="129"/>
          </rPr>
          <t>경남에서자로재서알려줌 조금들리수있음</t>
        </r>
      </text>
    </comment>
    <comment ref="E68" authorId="0">
      <text>
        <r>
          <rPr>
            <b/>
            <sz val="9"/>
            <color indexed="81"/>
            <rFont val="굴림"/>
            <family val="3"/>
            <charset val="129"/>
          </rPr>
          <t>조경수</t>
        </r>
      </text>
    </comment>
    <comment ref="L68" authorId="0">
      <text>
        <r>
          <rPr>
            <b/>
            <sz val="9"/>
            <color indexed="81"/>
            <rFont val="굴림"/>
            <family val="3"/>
            <charset val="129"/>
          </rPr>
          <t>weir부 물고기 등
투입</t>
        </r>
      </text>
    </comment>
    <comment ref="H79" authorId="1">
      <text>
        <r>
          <rPr>
            <sz val="9"/>
            <color indexed="81"/>
            <rFont val="굴림"/>
            <family val="3"/>
            <charset val="129"/>
          </rPr>
          <t xml:space="preserve">족구장(112)
풋살장(800)
</t>
        </r>
      </text>
    </comment>
    <comment ref="I79" authorId="1">
      <text>
        <r>
          <rPr>
            <b/>
            <sz val="9"/>
            <color indexed="81"/>
            <rFont val="굴림"/>
            <family val="3"/>
            <charset val="129"/>
          </rPr>
          <t>22면</t>
        </r>
      </text>
    </comment>
    <comment ref="H80" authorId="1">
      <text>
        <r>
          <rPr>
            <b/>
            <sz val="9"/>
            <color indexed="81"/>
            <rFont val="굴림"/>
            <family val="3"/>
            <charset val="129"/>
          </rPr>
          <t>테니스장(201)</t>
        </r>
      </text>
    </comment>
    <comment ref="F275" authorId="2">
      <text>
        <r>
          <rPr>
            <sz val="9"/>
            <color indexed="81"/>
            <rFont val="굴림"/>
            <family val="3"/>
            <charset val="129"/>
          </rPr>
          <t xml:space="preserve">교통공원 교통시설
</t>
        </r>
      </text>
    </comment>
    <comment ref="K275" authorId="2">
      <text>
        <r>
          <rPr>
            <sz val="9"/>
            <color indexed="81"/>
            <rFont val="굴림"/>
            <family val="3"/>
            <charset val="129"/>
          </rPr>
          <t>환경공원, 연못</t>
        </r>
      </text>
    </comment>
    <comment ref="L275" authorId="2">
      <text>
        <r>
          <rPr>
            <sz val="9"/>
            <color indexed="81"/>
            <rFont val="굴림"/>
            <family val="3"/>
            <charset val="129"/>
          </rPr>
          <t xml:space="preserve">잔디광장
</t>
        </r>
      </text>
    </comment>
    <comment ref="G290" authorId="3">
      <text>
        <r>
          <rPr>
            <b/>
            <sz val="9"/>
            <color indexed="81"/>
            <rFont val="굴림"/>
            <family val="3"/>
            <charset val="129"/>
          </rPr>
          <t>SEC:</t>
        </r>
        <r>
          <rPr>
            <sz val="9"/>
            <color indexed="81"/>
            <rFont val="굴림"/>
            <family val="3"/>
            <charset val="129"/>
          </rPr>
          <t xml:space="preserve">
체력단련실+족구장
</t>
        </r>
      </text>
    </comment>
  </commentList>
</comments>
</file>

<file path=xl/comments2.xml><?xml version="1.0" encoding="utf-8"?>
<comments xmlns="http://schemas.openxmlformats.org/spreadsheetml/2006/main">
  <authors>
    <author>연구팀2011</author>
    <author>이경수</author>
  </authors>
  <commentList>
    <comment ref="M5" authorId="0">
      <text>
        <r>
          <rPr>
            <sz val="10"/>
            <color indexed="81"/>
            <rFont val="굴림"/>
            <family val="3"/>
            <charset val="129"/>
          </rPr>
          <t>당해년도 준설실적</t>
        </r>
      </text>
    </comment>
    <comment ref="R6" authorId="1">
      <text>
        <r>
          <rPr>
            <sz val="9"/>
            <color indexed="81"/>
            <rFont val="돋움"/>
            <family val="3"/>
            <charset val="129"/>
          </rPr>
          <t>해양환경관리법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육상에서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발생한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폐기물의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해양배출금지에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작성금지</t>
        </r>
      </text>
    </comment>
  </commentList>
</comments>
</file>

<file path=xl/comments3.xml><?xml version="1.0" encoding="utf-8"?>
<comments xmlns="http://schemas.openxmlformats.org/spreadsheetml/2006/main">
  <authors>
    <author>연구팀2011</author>
  </authors>
  <commentList>
    <comment ref="R5" authorId="0">
      <text>
        <r>
          <rPr>
            <sz val="14"/>
            <color indexed="81"/>
            <rFont val="돋움"/>
            <family val="3"/>
            <charset val="129"/>
          </rPr>
          <t>이전부터 현재까지 총 누계치 기입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송혜교</author>
  </authors>
  <commentList>
    <comment ref="Z5" author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유입</t>
        </r>
        <r>
          <rPr>
            <b/>
            <sz val="9"/>
            <color indexed="81"/>
            <rFont val="Tahoma"/>
            <family val="2"/>
          </rPr>
          <t>BOD-</t>
        </r>
        <r>
          <rPr>
            <b/>
            <sz val="9"/>
            <color indexed="81"/>
            <rFont val="돋움"/>
            <family val="3"/>
            <charset val="129"/>
          </rPr>
          <t>방출</t>
        </r>
        <r>
          <rPr>
            <b/>
            <sz val="9"/>
            <color indexed="81"/>
            <rFont val="Tahoma"/>
            <family val="2"/>
          </rPr>
          <t>BOD)/</t>
        </r>
        <r>
          <rPr>
            <b/>
            <sz val="9"/>
            <color indexed="81"/>
            <rFont val="돋움"/>
            <family val="3"/>
            <charset val="129"/>
          </rPr>
          <t>유입</t>
        </r>
        <r>
          <rPr>
            <b/>
            <sz val="9"/>
            <color indexed="81"/>
            <rFont val="Tahoma"/>
            <family val="2"/>
          </rPr>
          <t xml:space="preserve">BOD*100
</t>
        </r>
        <r>
          <rPr>
            <b/>
            <sz val="9"/>
            <color indexed="81"/>
            <rFont val="돋움"/>
            <family val="3"/>
            <charset val="129"/>
          </rPr>
          <t>하수처리시설유입수및방류수시트참고</t>
        </r>
      </text>
    </comment>
    <comment ref="AA5" authorId="0">
      <text>
        <r>
          <rPr>
            <b/>
            <sz val="9"/>
            <color indexed="81"/>
            <rFont val="돋움"/>
            <family val="3"/>
            <charset val="129"/>
          </rPr>
          <t>유입BOD*유입하수량*처리효율*0.01*0.001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Preferred Customer</author>
    <author>송혜교</author>
    <author>user</author>
    <author>OEM</author>
  </authors>
  <commentList>
    <comment ref="V456" authorId="0">
      <text/>
    </comment>
    <comment ref="A1109" authorId="1">
      <text>
        <r>
          <rPr>
            <b/>
            <sz val="9"/>
            <color indexed="81"/>
            <rFont val="돋움"/>
            <family val="3"/>
            <charset val="129"/>
          </rPr>
          <t>광양시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데이터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오류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82" authorId="2">
      <text>
        <r>
          <rPr>
            <b/>
            <sz val="9"/>
            <color indexed="81"/>
            <rFont val="굴림"/>
            <family val="3"/>
            <charset val="129"/>
          </rPr>
          <t>user:</t>
        </r>
        <r>
          <rPr>
            <sz val="9"/>
            <color indexed="81"/>
            <rFont val="굴림"/>
            <family val="3"/>
            <charset val="129"/>
          </rPr>
          <t xml:space="preserve">
22,000증설</t>
        </r>
      </text>
    </comment>
    <comment ref="P1952" authorId="3">
      <text>
        <r>
          <rPr>
            <b/>
            <sz val="9"/>
            <color indexed="81"/>
            <rFont val="굴림"/>
            <family val="3"/>
            <charset val="129"/>
          </rPr>
          <t>OEM:</t>
        </r>
        <r>
          <rPr>
            <sz val="9"/>
            <color indexed="81"/>
            <rFont val="굴림"/>
            <family val="3"/>
            <charset val="129"/>
          </rPr>
          <t xml:space="preserve">
환경부 제34호(04.10.19까지)
건교부 제153호(05.03.02까지)</t>
        </r>
      </text>
    </comment>
  </commentList>
</comments>
</file>

<file path=xl/comments6.xml><?xml version="1.0" encoding="utf-8"?>
<comments xmlns="http://schemas.openxmlformats.org/spreadsheetml/2006/main">
  <authors>
    <author>송혜교</author>
    <author>Preferred Customer</author>
    <author>user</author>
    <author>OEM</author>
  </authors>
  <commentList>
    <comment ref="B7" authorId="0">
      <text>
        <r>
          <rPr>
            <b/>
            <sz val="9"/>
            <color indexed="81"/>
            <rFont val="돋움"/>
            <family val="3"/>
            <charset val="129"/>
          </rPr>
          <t>보통교부세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해당처리장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457" authorId="1">
      <text/>
    </comment>
    <comment ref="A1110" authorId="0">
      <text>
        <r>
          <rPr>
            <b/>
            <sz val="9"/>
            <color indexed="81"/>
            <rFont val="돋움"/>
            <family val="3"/>
            <charset val="129"/>
          </rPr>
          <t>광양시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데이터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오류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83" authorId="2">
      <text>
        <r>
          <rPr>
            <b/>
            <sz val="9"/>
            <color indexed="81"/>
            <rFont val="굴림"/>
            <family val="3"/>
            <charset val="129"/>
          </rPr>
          <t>user:</t>
        </r>
        <r>
          <rPr>
            <sz val="9"/>
            <color indexed="81"/>
            <rFont val="굴림"/>
            <family val="3"/>
            <charset val="129"/>
          </rPr>
          <t xml:space="preserve">
22,000증설</t>
        </r>
      </text>
    </comment>
    <comment ref="P1953" authorId="3">
      <text>
        <r>
          <rPr>
            <b/>
            <sz val="9"/>
            <color indexed="81"/>
            <rFont val="굴림"/>
            <family val="3"/>
            <charset val="129"/>
          </rPr>
          <t>OEM:</t>
        </r>
        <r>
          <rPr>
            <sz val="9"/>
            <color indexed="81"/>
            <rFont val="굴림"/>
            <family val="3"/>
            <charset val="129"/>
          </rPr>
          <t xml:space="preserve">
환경부 제34호(04.10.19까지)
건교부 제153호(05.03.02까지)</t>
        </r>
      </text>
    </comment>
  </commentList>
</comments>
</file>

<file path=xl/comments7.xml><?xml version="1.0" encoding="utf-8"?>
<comments xmlns="http://schemas.openxmlformats.org/spreadsheetml/2006/main">
  <authors>
    <author>송혜교</author>
    <author>user</author>
    <author>경남도청</author>
  </authors>
  <commentList>
    <comment ref="W78" authorId="0">
      <text>
        <r>
          <rPr>
            <b/>
            <sz val="9"/>
            <color indexed="81"/>
            <rFont val="돋움"/>
            <family val="3"/>
            <charset val="129"/>
          </rPr>
          <t xml:space="preserve">대중탕용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78" authorId="0">
      <text>
        <r>
          <rPr>
            <b/>
            <sz val="9"/>
            <color indexed="81"/>
            <rFont val="돋움"/>
            <family val="3"/>
            <charset val="129"/>
          </rPr>
          <t xml:space="preserve">전용공업용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14" authorId="0">
      <text>
        <r>
          <rPr>
            <b/>
            <sz val="9"/>
            <color indexed="81"/>
            <rFont val="돋움"/>
            <family val="3"/>
            <charset val="129"/>
          </rPr>
          <t xml:space="preserve">공업용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35" authorId="0">
      <text>
        <r>
          <rPr>
            <b/>
            <sz val="9"/>
            <color indexed="81"/>
            <rFont val="돋움"/>
            <family val="3"/>
            <charset val="129"/>
          </rPr>
          <t xml:space="preserve">원정수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42" authorId="1">
      <text>
        <r>
          <rPr>
            <b/>
            <sz val="9"/>
            <color indexed="81"/>
            <rFont val="굴림"/>
            <family val="3"/>
            <charset val="129"/>
          </rPr>
          <t>user:</t>
        </r>
        <r>
          <rPr>
            <sz val="9"/>
            <color indexed="81"/>
            <rFont val="굴림"/>
            <family val="3"/>
            <charset val="129"/>
          </rPr>
          <t xml:space="preserve">
칠곡군의 하수를 구미에서 처리한 비용</t>
        </r>
      </text>
    </comment>
    <comment ref="H168" authorId="2">
      <text>
        <r>
          <rPr>
            <sz val="9"/>
            <color indexed="81"/>
            <rFont val="굴림"/>
            <family val="3"/>
            <charset val="129"/>
          </rPr>
          <t xml:space="preserve">일반용
</t>
        </r>
      </text>
    </comment>
    <comment ref="I168" authorId="2">
      <text>
        <r>
          <rPr>
            <sz val="9"/>
            <color indexed="81"/>
            <rFont val="굴림"/>
            <family val="3"/>
            <charset val="129"/>
          </rPr>
          <t xml:space="preserve">일반용
</t>
        </r>
      </text>
    </comment>
    <comment ref="J168" authorId="2">
      <text>
        <r>
          <rPr>
            <sz val="9"/>
            <color indexed="81"/>
            <rFont val="굴림"/>
            <family val="3"/>
            <charset val="129"/>
          </rPr>
          <t xml:space="preserve">일반용
</t>
        </r>
      </text>
    </comment>
    <comment ref="K168" authorId="2">
      <text>
        <r>
          <rPr>
            <sz val="9"/>
            <color indexed="81"/>
            <rFont val="굴림"/>
            <family val="3"/>
            <charset val="129"/>
          </rPr>
          <t xml:space="preserve">욕탕용
</t>
        </r>
      </text>
    </comment>
    <comment ref="L168" authorId="2">
      <text>
        <r>
          <rPr>
            <sz val="9"/>
            <color indexed="81"/>
            <rFont val="굴림"/>
            <family val="3"/>
            <charset val="129"/>
          </rPr>
          <t xml:space="preserve">욕탕용
</t>
        </r>
      </text>
    </comment>
    <comment ref="M168" authorId="2">
      <text>
        <r>
          <rPr>
            <sz val="9"/>
            <color indexed="81"/>
            <rFont val="굴림"/>
            <family val="3"/>
            <charset val="129"/>
          </rPr>
          <t xml:space="preserve">욕탕용
</t>
        </r>
      </text>
    </comment>
    <comment ref="H174" authorId="2">
      <text>
        <r>
          <rPr>
            <sz val="9"/>
            <color indexed="81"/>
            <rFont val="굴림"/>
            <family val="3"/>
            <charset val="129"/>
          </rPr>
          <t xml:space="preserve">일반용
</t>
        </r>
      </text>
    </comment>
    <comment ref="K174" authorId="2">
      <text>
        <r>
          <rPr>
            <sz val="9"/>
            <color indexed="81"/>
            <rFont val="굴림"/>
            <family val="3"/>
            <charset val="129"/>
          </rPr>
          <t xml:space="preserve">대중탕용
</t>
        </r>
      </text>
    </comment>
  </commentList>
</comments>
</file>

<file path=xl/comments8.xml><?xml version="1.0" encoding="utf-8"?>
<comments xmlns="http://schemas.openxmlformats.org/spreadsheetml/2006/main">
  <authors>
    <author>운영팀1</author>
  </authors>
  <commentList>
    <comment ref="K245" authorId="0">
      <text>
        <r>
          <rPr>
            <b/>
            <sz val="9"/>
            <color indexed="81"/>
            <rFont val="굴림"/>
            <family val="3"/>
            <charset val="129"/>
          </rPr>
          <t>운영팀1:</t>
        </r>
        <r>
          <rPr>
            <sz val="9"/>
            <color indexed="81"/>
            <rFont val="굴림"/>
            <family val="3"/>
            <charset val="129"/>
          </rPr>
          <t xml:space="preserve">
소포수:192
세척수:576
냉각수:432
탈수세척:240
약품용해:6</t>
        </r>
      </text>
    </comment>
  </commentList>
</comments>
</file>

<file path=xl/comments9.xml><?xml version="1.0" encoding="utf-8"?>
<comments xmlns="http://schemas.openxmlformats.org/spreadsheetml/2006/main">
  <authors>
    <author>연구팀2011</author>
    <author>한재문</author>
  </authors>
  <commentList>
    <comment ref="I5" authorId="0">
      <text>
        <r>
          <rPr>
            <sz val="10"/>
            <color indexed="81"/>
            <rFont val="돋움"/>
            <family val="3"/>
            <charset val="129"/>
          </rPr>
          <t>도시재이용수,조경용수,친수용수, 하천유지용수, 농업용수, 습지용수, 지하수충전수, 공업용수 등</t>
        </r>
      </text>
    </comment>
    <comment ref="J5" authorId="1">
      <text>
        <r>
          <rPr>
            <sz val="10"/>
            <color indexed="81"/>
            <rFont val="돋움"/>
            <family val="3"/>
            <charset val="129"/>
          </rPr>
          <t>'01.09.29 이후 최초로 건축허가를 받은 숙박업, 목욕장업, 대규모점포 등(6만 m2 이상), 공장(페수배출량 1,500m3 이상)</t>
        </r>
      </text>
    </comment>
  </commentList>
</comments>
</file>

<file path=xl/sharedStrings.xml><?xml version="1.0" encoding="utf-8"?>
<sst xmlns="http://schemas.openxmlformats.org/spreadsheetml/2006/main" count="56776" uniqueCount="9431">
  <si>
    <t>태백시</t>
    <phoneticPr fontId="3" type="noConversion"/>
  </si>
  <si>
    <t>속초시</t>
    <phoneticPr fontId="3" type="noConversion"/>
  </si>
  <si>
    <t>삼척시</t>
    <phoneticPr fontId="3" type="noConversion"/>
  </si>
  <si>
    <t>홍천군</t>
    <phoneticPr fontId="3" type="noConversion"/>
  </si>
  <si>
    <t>영월군</t>
    <phoneticPr fontId="3" type="noConversion"/>
  </si>
  <si>
    <t>해당없음</t>
    <phoneticPr fontId="3" type="noConversion"/>
  </si>
  <si>
    <t>평창군</t>
    <phoneticPr fontId="3" type="noConversion"/>
  </si>
  <si>
    <t>정선군</t>
    <phoneticPr fontId="3" type="noConversion"/>
  </si>
  <si>
    <t>철원군</t>
    <phoneticPr fontId="3" type="noConversion"/>
  </si>
  <si>
    <t>양구군</t>
    <phoneticPr fontId="3" type="noConversion"/>
  </si>
  <si>
    <t>인제군</t>
    <phoneticPr fontId="3" type="noConversion"/>
  </si>
  <si>
    <t>고성군</t>
    <phoneticPr fontId="3" type="noConversion"/>
  </si>
  <si>
    <t>양양군</t>
    <phoneticPr fontId="3" type="noConversion"/>
  </si>
  <si>
    <t>청주시</t>
    <phoneticPr fontId="3" type="noConversion"/>
  </si>
  <si>
    <t>충주시</t>
    <phoneticPr fontId="3" type="noConversion"/>
  </si>
  <si>
    <t>제천시</t>
    <phoneticPr fontId="3" type="noConversion"/>
  </si>
  <si>
    <t>보은군</t>
    <phoneticPr fontId="3" type="noConversion"/>
  </si>
  <si>
    <t>옥천군</t>
    <phoneticPr fontId="3" type="noConversion"/>
  </si>
  <si>
    <t>영동군</t>
    <phoneticPr fontId="3" type="noConversion"/>
  </si>
  <si>
    <t>증평군</t>
    <phoneticPr fontId="3" type="noConversion"/>
  </si>
  <si>
    <t>진천군</t>
    <phoneticPr fontId="3" type="noConversion"/>
  </si>
  <si>
    <t>괴산군</t>
    <phoneticPr fontId="3" type="noConversion"/>
  </si>
  <si>
    <t>음성군</t>
    <phoneticPr fontId="3" type="noConversion"/>
  </si>
  <si>
    <t>충청남도</t>
    <phoneticPr fontId="3" type="noConversion"/>
  </si>
  <si>
    <t>천안시</t>
    <phoneticPr fontId="3" type="noConversion"/>
  </si>
  <si>
    <t>공주시</t>
    <phoneticPr fontId="3" type="noConversion"/>
  </si>
  <si>
    <t>보령시</t>
    <phoneticPr fontId="3" type="noConversion"/>
  </si>
  <si>
    <t>아산시</t>
    <phoneticPr fontId="3" type="noConversion"/>
  </si>
  <si>
    <t>서산시</t>
    <phoneticPr fontId="3" type="noConversion"/>
  </si>
  <si>
    <t>논산시</t>
    <phoneticPr fontId="3" type="noConversion"/>
  </si>
  <si>
    <t>계룡시</t>
    <phoneticPr fontId="3" type="noConversion"/>
  </si>
  <si>
    <t>군  계</t>
    <phoneticPr fontId="3" type="noConversion"/>
  </si>
  <si>
    <t>금산군</t>
    <phoneticPr fontId="3" type="noConversion"/>
  </si>
  <si>
    <t>연기군</t>
    <phoneticPr fontId="3" type="noConversion"/>
  </si>
  <si>
    <t>부여군</t>
    <phoneticPr fontId="3" type="noConversion"/>
  </si>
  <si>
    <t>서천군</t>
    <phoneticPr fontId="3" type="noConversion"/>
  </si>
  <si>
    <t>청양군</t>
    <phoneticPr fontId="3" type="noConversion"/>
  </si>
  <si>
    <t>홍성군</t>
    <phoneticPr fontId="3" type="noConversion"/>
  </si>
  <si>
    <t>예산군</t>
    <phoneticPr fontId="3" type="noConversion"/>
  </si>
  <si>
    <t>태안군</t>
    <phoneticPr fontId="3" type="noConversion"/>
  </si>
  <si>
    <t>당진군</t>
    <phoneticPr fontId="3" type="noConversion"/>
  </si>
  <si>
    <t>전라북도</t>
    <phoneticPr fontId="3" type="noConversion"/>
  </si>
  <si>
    <t>시부</t>
    <phoneticPr fontId="3" type="noConversion"/>
  </si>
  <si>
    <t>전주시</t>
    <phoneticPr fontId="3" type="noConversion"/>
  </si>
  <si>
    <t>군산시</t>
    <phoneticPr fontId="3" type="noConversion"/>
  </si>
  <si>
    <t>익산시</t>
    <phoneticPr fontId="3" type="noConversion"/>
  </si>
  <si>
    <t>남원시</t>
    <phoneticPr fontId="3" type="noConversion"/>
  </si>
  <si>
    <t>김제시</t>
    <phoneticPr fontId="3" type="noConversion"/>
  </si>
  <si>
    <t>군부</t>
    <phoneticPr fontId="3" type="noConversion"/>
  </si>
  <si>
    <t>완주군</t>
    <phoneticPr fontId="3" type="noConversion"/>
  </si>
  <si>
    <t>진안군</t>
    <phoneticPr fontId="3" type="noConversion"/>
  </si>
  <si>
    <t>무주군</t>
    <phoneticPr fontId="3" type="noConversion"/>
  </si>
  <si>
    <t>장수군</t>
    <phoneticPr fontId="3" type="noConversion"/>
  </si>
  <si>
    <t>임실군</t>
    <phoneticPr fontId="3" type="noConversion"/>
  </si>
  <si>
    <t>순창군</t>
    <phoneticPr fontId="3" type="noConversion"/>
  </si>
  <si>
    <t>고창군</t>
    <phoneticPr fontId="3" type="noConversion"/>
  </si>
  <si>
    <t>부안군</t>
    <phoneticPr fontId="3" type="noConversion"/>
  </si>
  <si>
    <t>정읍시</t>
    <phoneticPr fontId="3" type="noConversion"/>
  </si>
  <si>
    <t>일반용</t>
    <phoneticPr fontId="3" type="noConversion"/>
  </si>
  <si>
    <t>대중탕용</t>
    <phoneticPr fontId="3" type="noConversion"/>
  </si>
  <si>
    <t>공공용</t>
    <phoneticPr fontId="3" type="noConversion"/>
  </si>
  <si>
    <t>공중용</t>
    <phoneticPr fontId="3" type="noConversion"/>
  </si>
  <si>
    <t>동해시</t>
    <phoneticPr fontId="3" type="noConversion"/>
  </si>
  <si>
    <t>횡성군</t>
  </si>
  <si>
    <t>화천군</t>
  </si>
  <si>
    <t xml:space="preserve"> </t>
    <phoneticPr fontId="3" type="noConversion"/>
  </si>
  <si>
    <t>시계</t>
    <phoneticPr fontId="3" type="noConversion"/>
  </si>
  <si>
    <t>-</t>
    <phoneticPr fontId="3" type="noConversion"/>
  </si>
  <si>
    <t>-</t>
    <phoneticPr fontId="3" type="noConversion"/>
  </si>
  <si>
    <t>전용공업용</t>
    <phoneticPr fontId="3" type="noConversion"/>
  </si>
  <si>
    <t>전라남도</t>
    <phoneticPr fontId="3" type="noConversion"/>
  </si>
  <si>
    <t>시  부</t>
    <phoneticPr fontId="3" type="noConversion"/>
  </si>
  <si>
    <t>목포시</t>
    <phoneticPr fontId="3" type="noConversion"/>
  </si>
  <si>
    <t>여수시</t>
    <phoneticPr fontId="3" type="noConversion"/>
  </si>
  <si>
    <t>순천시</t>
    <phoneticPr fontId="3" type="noConversion"/>
  </si>
  <si>
    <t>나주시</t>
    <phoneticPr fontId="3" type="noConversion"/>
  </si>
  <si>
    <t>광양시</t>
    <phoneticPr fontId="3" type="noConversion"/>
  </si>
  <si>
    <t>군  부</t>
    <phoneticPr fontId="3" type="noConversion"/>
  </si>
  <si>
    <t>담양군</t>
    <phoneticPr fontId="3" type="noConversion"/>
  </si>
  <si>
    <t>곡성군</t>
    <phoneticPr fontId="3" type="noConversion"/>
  </si>
  <si>
    <t>구례군</t>
    <phoneticPr fontId="3" type="noConversion"/>
  </si>
  <si>
    <t>고흥군</t>
    <phoneticPr fontId="3" type="noConversion"/>
  </si>
  <si>
    <t>화순군</t>
    <phoneticPr fontId="3" type="noConversion"/>
  </si>
  <si>
    <t>강진군</t>
    <phoneticPr fontId="3" type="noConversion"/>
  </si>
  <si>
    <t>해남군</t>
    <phoneticPr fontId="3" type="noConversion"/>
  </si>
  <si>
    <t>영암군</t>
    <phoneticPr fontId="3" type="noConversion"/>
  </si>
  <si>
    <t>무안군</t>
    <phoneticPr fontId="3" type="noConversion"/>
  </si>
  <si>
    <t>함평군</t>
    <phoneticPr fontId="3" type="noConversion"/>
  </si>
  <si>
    <t>영광군</t>
    <phoneticPr fontId="3" type="noConversion"/>
  </si>
  <si>
    <t>장성군</t>
    <phoneticPr fontId="3" type="noConversion"/>
  </si>
  <si>
    <t>진도군</t>
    <phoneticPr fontId="3" type="noConversion"/>
  </si>
  <si>
    <t>경상남도</t>
    <phoneticPr fontId="3" type="noConversion"/>
  </si>
  <si>
    <t>창원시</t>
    <phoneticPr fontId="3" type="noConversion"/>
  </si>
  <si>
    <t>마산시</t>
    <phoneticPr fontId="3" type="noConversion"/>
  </si>
  <si>
    <t>진주시</t>
    <phoneticPr fontId="3" type="noConversion"/>
  </si>
  <si>
    <t>진해시</t>
    <phoneticPr fontId="3" type="noConversion"/>
  </si>
  <si>
    <t>통영시</t>
    <phoneticPr fontId="3" type="noConversion"/>
  </si>
  <si>
    <t>사천시</t>
    <phoneticPr fontId="3" type="noConversion"/>
  </si>
  <si>
    <t>김해시</t>
    <phoneticPr fontId="3" type="noConversion"/>
  </si>
  <si>
    <t>밀양시</t>
    <phoneticPr fontId="3" type="noConversion"/>
  </si>
  <si>
    <t>거제시</t>
    <phoneticPr fontId="3" type="noConversion"/>
  </si>
  <si>
    <t>양산시</t>
    <phoneticPr fontId="3" type="noConversion"/>
  </si>
  <si>
    <t>의령군</t>
    <phoneticPr fontId="3" type="noConversion"/>
  </si>
  <si>
    <t>함안군</t>
    <phoneticPr fontId="3" type="noConversion"/>
  </si>
  <si>
    <t xml:space="preserve"> </t>
    <phoneticPr fontId="3" type="noConversion"/>
  </si>
  <si>
    <t>창녕군</t>
    <phoneticPr fontId="3" type="noConversion"/>
  </si>
  <si>
    <t>고성군</t>
    <phoneticPr fontId="3" type="noConversion"/>
  </si>
  <si>
    <t>남해군</t>
    <phoneticPr fontId="3" type="noConversion"/>
  </si>
  <si>
    <t>하동군</t>
    <phoneticPr fontId="3" type="noConversion"/>
  </si>
  <si>
    <t>산청군</t>
    <phoneticPr fontId="3" type="noConversion"/>
  </si>
  <si>
    <t>함양군</t>
    <phoneticPr fontId="3" type="noConversion"/>
  </si>
  <si>
    <t>거창군</t>
    <phoneticPr fontId="3" type="noConversion"/>
  </si>
  <si>
    <t>합천군</t>
    <phoneticPr fontId="3" type="noConversion"/>
  </si>
  <si>
    <t>제주시</t>
    <phoneticPr fontId="3" type="noConversion"/>
  </si>
  <si>
    <t>서귀포시</t>
    <phoneticPr fontId="3" type="noConversion"/>
  </si>
  <si>
    <t>시가지</t>
    <phoneticPr fontId="3" type="noConversion"/>
  </si>
  <si>
    <t>읍면</t>
    <phoneticPr fontId="3" type="noConversion"/>
  </si>
  <si>
    <t>수영하수처리장</t>
    <phoneticPr fontId="3" type="noConversion"/>
  </si>
  <si>
    <t>남부하수처리장</t>
    <phoneticPr fontId="3" type="noConversion"/>
  </si>
  <si>
    <t>녹산하수처리장</t>
    <phoneticPr fontId="3" type="noConversion"/>
  </si>
  <si>
    <t>신호하수처리장</t>
    <phoneticPr fontId="3" type="noConversion"/>
  </si>
  <si>
    <t>해운대하수처리장</t>
    <phoneticPr fontId="3" type="noConversion"/>
  </si>
  <si>
    <t>중앙하수처리장</t>
    <phoneticPr fontId="3" type="noConversion"/>
  </si>
  <si>
    <t>기장하수처리장</t>
    <phoneticPr fontId="3" type="noConversion"/>
  </si>
  <si>
    <t>광주</t>
  </si>
  <si>
    <t>달서천하수처리장</t>
    <phoneticPr fontId="3" type="noConversion"/>
  </si>
  <si>
    <t>지산하수처리장</t>
    <phoneticPr fontId="3" type="noConversion"/>
  </si>
  <si>
    <t>안심하수처리장</t>
    <phoneticPr fontId="3" type="noConversion"/>
  </si>
  <si>
    <t>동부하수처리장</t>
    <phoneticPr fontId="3" type="noConversion"/>
  </si>
  <si>
    <t>영도하수처리장</t>
    <phoneticPr fontId="3" type="noConversion"/>
  </si>
  <si>
    <t>강변</t>
    <phoneticPr fontId="3" type="noConversion"/>
  </si>
  <si>
    <t>녹산</t>
    <phoneticPr fontId="3" type="noConversion"/>
  </si>
  <si>
    <t>신호</t>
    <phoneticPr fontId="3" type="noConversion"/>
  </si>
  <si>
    <t>영도</t>
    <phoneticPr fontId="3" type="noConversion"/>
  </si>
  <si>
    <t>승기</t>
    <phoneticPr fontId="3" type="noConversion"/>
  </si>
  <si>
    <t>송도</t>
    <phoneticPr fontId="3" type="noConversion"/>
  </si>
  <si>
    <t>공촌</t>
    <phoneticPr fontId="3" type="noConversion"/>
  </si>
  <si>
    <t>광주제1하수처리장</t>
    <phoneticPr fontId="3" type="noConversion"/>
  </si>
  <si>
    <t>광주제2하수처리장</t>
    <phoneticPr fontId="3" type="noConversion"/>
  </si>
  <si>
    <t>회야</t>
    <phoneticPr fontId="3" type="noConversion"/>
  </si>
  <si>
    <t>벽제</t>
    <phoneticPr fontId="3" type="noConversion"/>
  </si>
  <si>
    <t>부천남부(역곡)</t>
    <phoneticPr fontId="3" type="noConversion"/>
  </si>
  <si>
    <t>박달처리장</t>
  </si>
  <si>
    <t>석수처리장</t>
  </si>
  <si>
    <t xml:space="preserve">안산시 </t>
    <phoneticPr fontId="3" type="noConversion"/>
  </si>
  <si>
    <t>대부</t>
    <phoneticPr fontId="3" type="noConversion"/>
  </si>
  <si>
    <t>구갈레스피아</t>
    <phoneticPr fontId="3" type="noConversion"/>
  </si>
  <si>
    <t>용인레스피아</t>
    <phoneticPr fontId="3" type="noConversion"/>
  </si>
  <si>
    <t>1화도</t>
    <phoneticPr fontId="3" type="noConversion"/>
  </si>
  <si>
    <t>2화도</t>
    <phoneticPr fontId="3" type="noConversion"/>
  </si>
  <si>
    <t>능내2</t>
    <phoneticPr fontId="3" type="noConversion"/>
  </si>
  <si>
    <t>송촌</t>
    <phoneticPr fontId="3" type="noConversion"/>
  </si>
  <si>
    <t>조안</t>
    <phoneticPr fontId="3" type="noConversion"/>
  </si>
  <si>
    <t>능내1</t>
    <phoneticPr fontId="3" type="noConversion"/>
  </si>
  <si>
    <t>시우</t>
    <phoneticPr fontId="3" type="noConversion"/>
  </si>
  <si>
    <t>삼봉1</t>
    <phoneticPr fontId="3" type="noConversion"/>
  </si>
  <si>
    <t>삼봉2</t>
    <phoneticPr fontId="3" type="noConversion"/>
  </si>
  <si>
    <t>장당</t>
    <phoneticPr fontId="3" type="noConversion"/>
  </si>
  <si>
    <t>팽성</t>
    <phoneticPr fontId="3" type="noConversion"/>
  </si>
  <si>
    <t>향남</t>
    <phoneticPr fontId="3" type="noConversion"/>
  </si>
  <si>
    <t>봉담</t>
    <phoneticPr fontId="3" type="noConversion"/>
  </si>
  <si>
    <t>조암</t>
    <phoneticPr fontId="3" type="noConversion"/>
  </si>
  <si>
    <t>금촌</t>
    <phoneticPr fontId="3" type="noConversion"/>
  </si>
  <si>
    <t>적성</t>
    <phoneticPr fontId="3" type="noConversion"/>
  </si>
  <si>
    <t>통일동산</t>
    <phoneticPr fontId="3" type="noConversion"/>
  </si>
  <si>
    <t>단월</t>
    <phoneticPr fontId="3" type="noConversion"/>
  </si>
  <si>
    <t>포천</t>
    <phoneticPr fontId="3" type="noConversion"/>
  </si>
  <si>
    <t>소흘</t>
    <phoneticPr fontId="3" type="noConversion"/>
  </si>
  <si>
    <t>직동</t>
    <phoneticPr fontId="3" type="noConversion"/>
  </si>
  <si>
    <t>경안</t>
  </si>
  <si>
    <t>곤지암</t>
  </si>
  <si>
    <t>매산</t>
  </si>
  <si>
    <t>광동</t>
  </si>
  <si>
    <t>분원</t>
  </si>
  <si>
    <t>귀여</t>
  </si>
  <si>
    <t>남한산성</t>
  </si>
  <si>
    <t>도척</t>
  </si>
  <si>
    <t>삼성</t>
  </si>
  <si>
    <t>오포</t>
  </si>
  <si>
    <t>부곡</t>
    <phoneticPr fontId="3" type="noConversion"/>
  </si>
  <si>
    <t>남방</t>
    <phoneticPr fontId="3" type="noConversion"/>
  </si>
  <si>
    <t>삼회</t>
    <phoneticPr fontId="3" type="noConversion"/>
  </si>
  <si>
    <t>현리</t>
    <phoneticPr fontId="3" type="noConversion"/>
  </si>
  <si>
    <t>연천</t>
    <phoneticPr fontId="3" type="noConversion"/>
  </si>
  <si>
    <t>신서</t>
    <phoneticPr fontId="3" type="noConversion"/>
  </si>
  <si>
    <t>수질환경사업소</t>
    <phoneticPr fontId="3" type="noConversion"/>
  </si>
  <si>
    <t>도계</t>
    <phoneticPr fontId="3" type="noConversion"/>
  </si>
  <si>
    <t>환경기초시설사업소</t>
    <phoneticPr fontId="3" type="noConversion"/>
  </si>
  <si>
    <t>횡성하수종말처리장</t>
    <phoneticPr fontId="3" type="noConversion"/>
  </si>
  <si>
    <t>둔내하수종말처리장</t>
    <phoneticPr fontId="3" type="noConversion"/>
  </si>
  <si>
    <t>산양</t>
    <phoneticPr fontId="3" type="noConversion"/>
  </si>
  <si>
    <t>청주시 환경사업소</t>
    <phoneticPr fontId="3" type="noConversion"/>
  </si>
  <si>
    <t>충주하수처리장</t>
    <phoneticPr fontId="3" type="noConversion"/>
  </si>
  <si>
    <t>수안보하수처리장</t>
    <phoneticPr fontId="3" type="noConversion"/>
  </si>
  <si>
    <t>앙성하수처리장</t>
    <phoneticPr fontId="3" type="noConversion"/>
  </si>
  <si>
    <t>능암하수처리장</t>
    <phoneticPr fontId="3" type="noConversion"/>
  </si>
  <si>
    <t>주덕하수처리장</t>
    <phoneticPr fontId="3" type="noConversion"/>
  </si>
  <si>
    <t>제천하수처리장</t>
    <phoneticPr fontId="3" type="noConversion"/>
  </si>
  <si>
    <t>내수하수처리장</t>
    <phoneticPr fontId="3" type="noConversion"/>
  </si>
  <si>
    <t>미원하수처리장</t>
    <phoneticPr fontId="3" type="noConversion"/>
  </si>
  <si>
    <t>문의하수처리장</t>
    <phoneticPr fontId="3" type="noConversion"/>
  </si>
  <si>
    <t>품곡하수처리장</t>
    <phoneticPr fontId="3" type="noConversion"/>
  </si>
  <si>
    <t>노현하수처리장</t>
    <phoneticPr fontId="3" type="noConversion"/>
  </si>
  <si>
    <t>보은하수처리장</t>
    <phoneticPr fontId="3" type="noConversion"/>
  </si>
  <si>
    <t>내속하수처리장</t>
    <phoneticPr fontId="3" type="noConversion"/>
  </si>
  <si>
    <t>삼승하수처리장</t>
    <phoneticPr fontId="3" type="noConversion"/>
  </si>
  <si>
    <t>회북하수처리장</t>
    <phoneticPr fontId="3" type="noConversion"/>
  </si>
  <si>
    <t>마로하수처리장</t>
    <phoneticPr fontId="3" type="noConversion"/>
  </si>
  <si>
    <t>옥천하수처리장</t>
    <phoneticPr fontId="3" type="noConversion"/>
  </si>
  <si>
    <t>진천하수처리장</t>
    <phoneticPr fontId="3" type="noConversion"/>
  </si>
  <si>
    <t>덕산하수처리장</t>
    <phoneticPr fontId="3" type="noConversion"/>
  </si>
  <si>
    <t>이월하수처리장</t>
    <phoneticPr fontId="3" type="noConversion"/>
  </si>
  <si>
    <t>음성하수처리장</t>
    <phoneticPr fontId="3" type="noConversion"/>
  </si>
  <si>
    <t>금왕하수처리장</t>
    <phoneticPr fontId="3" type="noConversion"/>
  </si>
  <si>
    <t>단양하수처리장</t>
    <phoneticPr fontId="3" type="noConversion"/>
  </si>
  <si>
    <t>매포하수처리장</t>
    <phoneticPr fontId="3" type="noConversion"/>
  </si>
  <si>
    <t>성환</t>
    <phoneticPr fontId="3" type="noConversion"/>
  </si>
  <si>
    <t>유구하수처리장</t>
    <phoneticPr fontId="3" type="noConversion"/>
  </si>
  <si>
    <t>공암하수처리장</t>
    <phoneticPr fontId="3" type="noConversion"/>
  </si>
  <si>
    <t>동학사하수처리장</t>
    <phoneticPr fontId="3" type="noConversion"/>
  </si>
  <si>
    <t>대천해수욕장</t>
    <phoneticPr fontId="3" type="noConversion"/>
  </si>
  <si>
    <t>아산시환경사업소</t>
    <phoneticPr fontId="3" type="noConversion"/>
  </si>
  <si>
    <t>서산 하수종말</t>
    <phoneticPr fontId="3" type="noConversion"/>
  </si>
  <si>
    <t>음암 하수종말</t>
    <phoneticPr fontId="3" type="noConversion"/>
  </si>
  <si>
    <t>도당 하수종말</t>
    <phoneticPr fontId="3" type="noConversion"/>
  </si>
  <si>
    <t>논산하수종말처리장</t>
    <phoneticPr fontId="3" type="noConversion"/>
  </si>
  <si>
    <t>계룡하수처리장</t>
    <phoneticPr fontId="3" type="noConversion"/>
  </si>
  <si>
    <t>금산하수종말처리장</t>
    <phoneticPr fontId="3" type="noConversion"/>
  </si>
  <si>
    <t>조치원하수종말처리장</t>
    <phoneticPr fontId="3" type="noConversion"/>
  </si>
  <si>
    <t>전의하수종말처리장</t>
    <phoneticPr fontId="3" type="noConversion"/>
  </si>
  <si>
    <t>부여처리장</t>
    <phoneticPr fontId="3" type="noConversion"/>
  </si>
  <si>
    <t>백제처리장</t>
    <phoneticPr fontId="3" type="noConversion"/>
  </si>
  <si>
    <t>서천하수종말처리장</t>
    <phoneticPr fontId="3" type="noConversion"/>
  </si>
  <si>
    <t>청양하수종말처리장</t>
    <phoneticPr fontId="3" type="noConversion"/>
  </si>
  <si>
    <t>광천하수종말처리장</t>
    <phoneticPr fontId="3" type="noConversion"/>
  </si>
  <si>
    <t>예산하수종말처리장</t>
    <phoneticPr fontId="3" type="noConversion"/>
  </si>
  <si>
    <t>덕산하수종말처리장</t>
    <phoneticPr fontId="3" type="noConversion"/>
  </si>
  <si>
    <t>삽교하수종말처리장</t>
    <phoneticPr fontId="3" type="noConversion"/>
  </si>
  <si>
    <t>태안하수종말처리장</t>
    <phoneticPr fontId="3" type="noConversion"/>
  </si>
  <si>
    <t>당진하수종말처리장</t>
    <phoneticPr fontId="3" type="noConversion"/>
  </si>
  <si>
    <t>고대부곡하수종말처리장</t>
    <phoneticPr fontId="3" type="noConversion"/>
  </si>
  <si>
    <t>합덕하수종말처리장</t>
    <phoneticPr fontId="3" type="noConversion"/>
  </si>
  <si>
    <t>군산하수종말처리장</t>
    <phoneticPr fontId="3" type="noConversion"/>
  </si>
  <si>
    <t>익산하수종말처리장</t>
    <phoneticPr fontId="3" type="noConversion"/>
  </si>
  <si>
    <t>함열하수종말처리장</t>
    <phoneticPr fontId="3" type="noConversion"/>
  </si>
  <si>
    <t>정읍하수종말처리장</t>
    <phoneticPr fontId="3" type="noConversion"/>
  </si>
  <si>
    <t>남원하수종말처리장</t>
    <phoneticPr fontId="3" type="noConversion"/>
  </si>
  <si>
    <t>운봉하수처리장</t>
    <phoneticPr fontId="3" type="noConversion"/>
  </si>
  <si>
    <t>인월하수처리장</t>
    <phoneticPr fontId="3" type="noConversion"/>
  </si>
  <si>
    <t>김제하수종말처리장</t>
    <phoneticPr fontId="3" type="noConversion"/>
  </si>
  <si>
    <t>삼례하수종말처리장</t>
    <phoneticPr fontId="3" type="noConversion"/>
  </si>
  <si>
    <t>진안하수종말처리장</t>
    <phoneticPr fontId="3" type="noConversion"/>
  </si>
  <si>
    <t>장수하수종말처리장</t>
    <phoneticPr fontId="3" type="noConversion"/>
  </si>
  <si>
    <t>장계하수종말처리장</t>
    <phoneticPr fontId="3" type="noConversion"/>
  </si>
  <si>
    <t>임실하수종말처리장</t>
    <phoneticPr fontId="3" type="noConversion"/>
  </si>
  <si>
    <t>오수하수종말처리장</t>
    <phoneticPr fontId="3" type="noConversion"/>
  </si>
  <si>
    <t>고창하수종말처리장</t>
    <phoneticPr fontId="3" type="noConversion"/>
  </si>
  <si>
    <t>아산하수종말처리장</t>
    <phoneticPr fontId="3" type="noConversion"/>
  </si>
  <si>
    <t>부안하수종말처리장</t>
    <phoneticPr fontId="3" type="noConversion"/>
  </si>
  <si>
    <t>남해하수종말처리장</t>
    <phoneticPr fontId="3" type="noConversion"/>
  </si>
  <si>
    <t>여수시하수종말처리장</t>
    <phoneticPr fontId="3" type="noConversion"/>
  </si>
  <si>
    <t>순천하수처리장</t>
    <phoneticPr fontId="3" type="noConversion"/>
  </si>
  <si>
    <t>광양하수처리장</t>
    <phoneticPr fontId="3" type="noConversion"/>
  </si>
  <si>
    <t>담양군하수종말처리장</t>
    <phoneticPr fontId="3" type="noConversion"/>
  </si>
  <si>
    <t>옥과하수처리장</t>
    <phoneticPr fontId="3" type="noConversion"/>
  </si>
  <si>
    <t>석곡하수처리장</t>
    <phoneticPr fontId="3" type="noConversion"/>
  </si>
  <si>
    <t>지리산온천</t>
    <phoneticPr fontId="3" type="noConversion"/>
  </si>
  <si>
    <t>보성하수처리장</t>
    <phoneticPr fontId="3" type="noConversion"/>
  </si>
  <si>
    <t>복내하수처리장</t>
    <phoneticPr fontId="3" type="noConversion"/>
  </si>
  <si>
    <t>문덕하수처리장</t>
    <phoneticPr fontId="3" type="noConversion"/>
  </si>
  <si>
    <t>도곡온천</t>
    <phoneticPr fontId="3" type="noConversion"/>
  </si>
  <si>
    <t>화순온천</t>
    <phoneticPr fontId="3" type="noConversion"/>
  </si>
  <si>
    <t>강진읍하수종말처리장</t>
    <phoneticPr fontId="3" type="noConversion"/>
  </si>
  <si>
    <t>해남하수종말처리장</t>
    <phoneticPr fontId="3" type="noConversion"/>
  </si>
  <si>
    <t>영암하수처리장</t>
    <phoneticPr fontId="3" type="noConversion"/>
  </si>
  <si>
    <t>무안하수처리장</t>
    <phoneticPr fontId="3" type="noConversion"/>
  </si>
  <si>
    <t>일로하수처리장</t>
    <phoneticPr fontId="3" type="noConversion"/>
  </si>
  <si>
    <t>함평하수종말
처리시설</t>
    <phoneticPr fontId="3" type="noConversion"/>
  </si>
  <si>
    <t>장성하수종말처리장</t>
    <phoneticPr fontId="3" type="noConversion"/>
  </si>
  <si>
    <t>감포</t>
    <phoneticPr fontId="3" type="noConversion"/>
  </si>
  <si>
    <t>의곡</t>
    <phoneticPr fontId="3" type="noConversion"/>
  </si>
  <si>
    <t>대현1</t>
    <phoneticPr fontId="3" type="noConversion"/>
  </si>
  <si>
    <t>대현2</t>
    <phoneticPr fontId="3" type="noConversion"/>
  </si>
  <si>
    <t>도개</t>
    <phoneticPr fontId="3" type="noConversion"/>
  </si>
  <si>
    <t>4단지</t>
    <phoneticPr fontId="3" type="noConversion"/>
  </si>
  <si>
    <t>선산</t>
    <phoneticPr fontId="3" type="noConversion"/>
  </si>
  <si>
    <t>금호</t>
    <phoneticPr fontId="3" type="noConversion"/>
  </si>
  <si>
    <t>마성</t>
    <phoneticPr fontId="3" type="noConversion"/>
  </si>
  <si>
    <t>가은</t>
    <phoneticPr fontId="3" type="noConversion"/>
  </si>
  <si>
    <t>금성</t>
    <phoneticPr fontId="3" type="noConversion"/>
  </si>
  <si>
    <t>왜관</t>
    <phoneticPr fontId="3" type="noConversion"/>
  </si>
  <si>
    <t>약목</t>
    <phoneticPr fontId="3" type="noConversion"/>
  </si>
  <si>
    <t>온정</t>
    <phoneticPr fontId="3" type="noConversion"/>
  </si>
  <si>
    <t>진주하수처리장</t>
    <phoneticPr fontId="3" type="noConversion"/>
  </si>
  <si>
    <t>문산하수처리장</t>
    <phoneticPr fontId="3" type="noConversion"/>
  </si>
  <si>
    <t>사봉하수처리장</t>
    <phoneticPr fontId="3" type="noConversion"/>
  </si>
  <si>
    <t xml:space="preserve">진해 </t>
    <phoneticPr fontId="3" type="noConversion"/>
  </si>
  <si>
    <t>통영하수처리장</t>
    <phoneticPr fontId="3" type="noConversion"/>
  </si>
  <si>
    <t>삼천포</t>
    <phoneticPr fontId="3" type="noConversion"/>
  </si>
  <si>
    <t>서포</t>
    <phoneticPr fontId="3" type="noConversion"/>
  </si>
  <si>
    <t>화목하수처리장</t>
    <phoneticPr fontId="3" type="noConversion"/>
  </si>
  <si>
    <t>장유하수처리장</t>
    <phoneticPr fontId="3" type="noConversion"/>
  </si>
  <si>
    <t>진영하수처리장</t>
    <phoneticPr fontId="3" type="noConversion"/>
  </si>
  <si>
    <t>삼랑진</t>
    <phoneticPr fontId="3" type="noConversion"/>
  </si>
  <si>
    <t>거제중앙</t>
    <phoneticPr fontId="3" type="noConversion"/>
  </si>
  <si>
    <t>의령하수처리장</t>
    <phoneticPr fontId="3" type="noConversion"/>
  </si>
  <si>
    <t>부림하수처리장</t>
    <phoneticPr fontId="3" type="noConversion"/>
  </si>
  <si>
    <t>가야하수처리장</t>
    <phoneticPr fontId="3" type="noConversion"/>
  </si>
  <si>
    <t>대산하수처리장</t>
    <phoneticPr fontId="3" type="noConversion"/>
  </si>
  <si>
    <t>창녕하수</t>
    <phoneticPr fontId="3" type="noConversion"/>
  </si>
  <si>
    <t>남지하수</t>
    <phoneticPr fontId="3" type="noConversion"/>
  </si>
  <si>
    <t>부곡하수</t>
    <phoneticPr fontId="3" type="noConversion"/>
  </si>
  <si>
    <t>남해읍하수처리장</t>
    <phoneticPr fontId="3" type="noConversion"/>
  </si>
  <si>
    <t>상주면하수처리장</t>
    <phoneticPr fontId="3" type="noConversion"/>
  </si>
  <si>
    <t>산청하수</t>
    <phoneticPr fontId="3" type="noConversion"/>
  </si>
  <si>
    <t>함양하수종말처리장</t>
    <phoneticPr fontId="3" type="noConversion"/>
  </si>
  <si>
    <t>가조하수처리장</t>
    <phoneticPr fontId="3" type="noConversion"/>
  </si>
  <si>
    <t>보목</t>
    <phoneticPr fontId="3" type="noConversion"/>
  </si>
  <si>
    <t>색달</t>
    <phoneticPr fontId="3" type="noConversion"/>
  </si>
  <si>
    <t>성산</t>
    <phoneticPr fontId="3" type="noConversion"/>
  </si>
  <si>
    <t>북부</t>
    <phoneticPr fontId="3" type="noConversion"/>
  </si>
  <si>
    <t>안심</t>
    <phoneticPr fontId="3" type="noConversion"/>
  </si>
  <si>
    <t>펑택시</t>
    <phoneticPr fontId="3" type="noConversion"/>
  </si>
  <si>
    <t>시화</t>
    <phoneticPr fontId="3" type="noConversion"/>
  </si>
  <si>
    <t>여주</t>
    <phoneticPr fontId="3" type="noConversion"/>
  </si>
  <si>
    <t>흥천</t>
    <phoneticPr fontId="3" type="noConversion"/>
  </si>
  <si>
    <t>가남</t>
    <phoneticPr fontId="3" type="noConversion"/>
  </si>
  <si>
    <t>금사</t>
    <phoneticPr fontId="3" type="noConversion"/>
  </si>
  <si>
    <t>산북</t>
    <phoneticPr fontId="3" type="noConversion"/>
  </si>
  <si>
    <t>양서</t>
    <phoneticPr fontId="3" type="noConversion"/>
  </si>
  <si>
    <t>용문</t>
    <phoneticPr fontId="3" type="noConversion"/>
  </si>
  <si>
    <t>하자포</t>
    <phoneticPr fontId="3" type="noConversion"/>
  </si>
  <si>
    <t>강하</t>
    <phoneticPr fontId="3" type="noConversion"/>
  </si>
  <si>
    <t>서종</t>
    <phoneticPr fontId="3" type="noConversion"/>
  </si>
  <si>
    <t>지평</t>
    <phoneticPr fontId="3" type="noConversion"/>
  </si>
  <si>
    <t>지장천</t>
    <phoneticPr fontId="3" type="noConversion"/>
  </si>
  <si>
    <t>간성</t>
    <phoneticPr fontId="3" type="noConversion"/>
  </si>
  <si>
    <t>거진</t>
    <phoneticPr fontId="3" type="noConversion"/>
  </si>
  <si>
    <t>신원</t>
    <phoneticPr fontId="3" type="noConversion"/>
  </si>
  <si>
    <t>원주하수종말처리장</t>
    <phoneticPr fontId="3" type="noConversion"/>
  </si>
  <si>
    <t>북항하수종말처리장</t>
    <phoneticPr fontId="3" type="noConversion"/>
  </si>
  <si>
    <t>기흥레스피아</t>
  </si>
  <si>
    <t>이천 하수 처리장</t>
  </si>
  <si>
    <t>장호원하수처리장</t>
  </si>
  <si>
    <t>과천하수처리장</t>
    <phoneticPr fontId="3" type="noConversion"/>
  </si>
  <si>
    <t>가평하수처리장</t>
    <phoneticPr fontId="3" type="noConversion"/>
  </si>
  <si>
    <t>청평하수처리장</t>
    <phoneticPr fontId="3" type="noConversion"/>
  </si>
  <si>
    <t>북면하수처리장</t>
    <phoneticPr fontId="3" type="noConversion"/>
  </si>
  <si>
    <t>현리하수처리장</t>
    <phoneticPr fontId="3" type="noConversion"/>
  </si>
  <si>
    <t>삼회하수처리장</t>
    <phoneticPr fontId="3" type="noConversion"/>
  </si>
  <si>
    <t>연천하수처리장</t>
    <phoneticPr fontId="3" type="noConversion"/>
  </si>
  <si>
    <t>신서하수처리장</t>
    <phoneticPr fontId="3" type="noConversion"/>
  </si>
  <si>
    <t>춘천하수처리장</t>
    <phoneticPr fontId="3" type="noConversion"/>
  </si>
  <si>
    <t>강촌하수처리장</t>
    <phoneticPr fontId="3" type="noConversion"/>
  </si>
  <si>
    <t>태백하수종말처리장</t>
    <phoneticPr fontId="3" type="noConversion"/>
  </si>
  <si>
    <t>진부하수종말처리장</t>
    <phoneticPr fontId="3" type="noConversion"/>
  </si>
  <si>
    <t>지장천하수처리시설</t>
    <phoneticPr fontId="3" type="noConversion"/>
  </si>
  <si>
    <t>갈말하수종말처리장</t>
    <phoneticPr fontId="3" type="noConversion"/>
  </si>
  <si>
    <t>김화하수종말처리장</t>
    <phoneticPr fontId="3" type="noConversion"/>
  </si>
  <si>
    <t>양구읍하수종말처리장</t>
    <phoneticPr fontId="3" type="noConversion"/>
  </si>
  <si>
    <t>인제하수종말처리장</t>
    <phoneticPr fontId="3" type="noConversion"/>
  </si>
  <si>
    <t>간성하수처리장</t>
    <phoneticPr fontId="3" type="noConversion"/>
  </si>
  <si>
    <t>거진하수처리장</t>
    <phoneticPr fontId="3" type="noConversion"/>
  </si>
  <si>
    <t>양양하수종말
처리장</t>
    <phoneticPr fontId="3" type="noConversion"/>
  </si>
  <si>
    <t>청주시환경사업소</t>
    <phoneticPr fontId="3" type="noConversion"/>
  </si>
  <si>
    <t>동이하수처리장</t>
    <phoneticPr fontId="3" type="noConversion"/>
  </si>
  <si>
    <t>안남하수처리장</t>
    <phoneticPr fontId="3" type="noConversion"/>
  </si>
  <si>
    <t>안내하수처리장</t>
    <phoneticPr fontId="3" type="noConversion"/>
  </si>
  <si>
    <t>이원하수처리장</t>
    <phoneticPr fontId="3" type="noConversion"/>
  </si>
  <si>
    <t>증평하수처리장</t>
    <phoneticPr fontId="3" type="noConversion"/>
  </si>
  <si>
    <t>진천처리장</t>
    <phoneticPr fontId="3" type="noConversion"/>
  </si>
  <si>
    <t>덕산처리장</t>
    <phoneticPr fontId="3" type="noConversion"/>
  </si>
  <si>
    <t>이월처리장</t>
    <phoneticPr fontId="3" type="noConversion"/>
  </si>
  <si>
    <t>계룡하수</t>
    <phoneticPr fontId="3" type="noConversion"/>
  </si>
  <si>
    <t>부여하수종말처리장</t>
    <phoneticPr fontId="3" type="noConversion"/>
  </si>
  <si>
    <t>백제하수종말처리장</t>
    <phoneticPr fontId="3" type="noConversion"/>
  </si>
  <si>
    <t xml:space="preserve">전주시 </t>
    <phoneticPr fontId="3" type="noConversion"/>
  </si>
  <si>
    <t>전주환경사업소</t>
    <phoneticPr fontId="3" type="noConversion"/>
  </si>
  <si>
    <t>북항환경관리소</t>
    <phoneticPr fontId="3" type="noConversion"/>
  </si>
  <si>
    <t>여수하종말처리장</t>
    <phoneticPr fontId="3" type="noConversion"/>
  </si>
  <si>
    <t>광영하수처리장</t>
    <phoneticPr fontId="3" type="noConversion"/>
  </si>
  <si>
    <t>담양하수종말처리장</t>
    <phoneticPr fontId="3" type="noConversion"/>
  </si>
  <si>
    <t>건설중</t>
    <phoneticPr fontId="3" type="noConversion"/>
  </si>
  <si>
    <t>진도읍하수종말처리장</t>
    <phoneticPr fontId="3" type="noConversion"/>
  </si>
  <si>
    <t>지도</t>
    <phoneticPr fontId="3" type="noConversion"/>
  </si>
  <si>
    <t>수원시하수처리장</t>
    <phoneticPr fontId="3" type="noConversion"/>
  </si>
  <si>
    <t>성남하수처리장</t>
    <phoneticPr fontId="3" type="noConversion"/>
  </si>
  <si>
    <t>일산하수처리장</t>
    <phoneticPr fontId="3" type="noConversion"/>
  </si>
  <si>
    <t>벽제하수처리장</t>
    <phoneticPr fontId="3" type="noConversion"/>
  </si>
  <si>
    <t>박달하수처리장</t>
    <phoneticPr fontId="3" type="noConversion"/>
  </si>
  <si>
    <t>석수하수처리장</t>
    <phoneticPr fontId="3" type="noConversion"/>
  </si>
  <si>
    <t>1화도하수처리장</t>
    <phoneticPr fontId="3" type="noConversion"/>
  </si>
  <si>
    <t>제2화도하수처리장</t>
    <phoneticPr fontId="3" type="noConversion"/>
  </si>
  <si>
    <t>통복하수처리장</t>
    <phoneticPr fontId="3" type="noConversion"/>
  </si>
  <si>
    <t>장당하수처리장</t>
    <phoneticPr fontId="3" type="noConversion"/>
  </si>
  <si>
    <t>포승하수처리장</t>
    <phoneticPr fontId="3" type="noConversion"/>
  </si>
  <si>
    <t>팽성하수처리장</t>
    <phoneticPr fontId="3" type="noConversion"/>
  </si>
  <si>
    <t xml:space="preserve">시흥시 </t>
    <phoneticPr fontId="3" type="noConversion"/>
  </si>
  <si>
    <t>시흥맑은물관리센터</t>
    <phoneticPr fontId="3" type="noConversion"/>
  </si>
  <si>
    <t>향남하수처리장</t>
    <phoneticPr fontId="3" type="noConversion"/>
  </si>
  <si>
    <t>봉담하수처리장</t>
    <phoneticPr fontId="3" type="noConversion"/>
  </si>
  <si>
    <t>조암하수처리장</t>
    <phoneticPr fontId="3" type="noConversion"/>
  </si>
  <si>
    <t>금촌하수처리장</t>
    <phoneticPr fontId="3" type="noConversion"/>
  </si>
  <si>
    <t>적성하수처리장</t>
    <phoneticPr fontId="3" type="noConversion"/>
  </si>
  <si>
    <t>통일동산하수처리장</t>
    <phoneticPr fontId="3" type="noConversion"/>
  </si>
  <si>
    <t>단월하수처리장</t>
    <phoneticPr fontId="3" type="noConversion"/>
  </si>
  <si>
    <t>영덕하수처리장으로 이송처리</t>
    <phoneticPr fontId="3" type="noConversion"/>
  </si>
  <si>
    <t>청도하수처리장으로이송처리</t>
    <phoneticPr fontId="3" type="noConversion"/>
  </si>
  <si>
    <t>여주하수처리장</t>
    <phoneticPr fontId="3" type="noConversion"/>
  </si>
  <si>
    <t>대신하수처리장</t>
    <phoneticPr fontId="3" type="noConversion"/>
  </si>
  <si>
    <t>흥천하수처리장</t>
    <phoneticPr fontId="3" type="noConversion"/>
  </si>
  <si>
    <t>가남하수처리장</t>
    <phoneticPr fontId="3" type="noConversion"/>
  </si>
  <si>
    <t>금사하수처리장</t>
    <phoneticPr fontId="3" type="noConversion"/>
  </si>
  <si>
    <t>산북하수처리장</t>
    <phoneticPr fontId="3" type="noConversion"/>
  </si>
  <si>
    <t>양평하수처리장</t>
    <phoneticPr fontId="3" type="noConversion"/>
  </si>
  <si>
    <t>양서하수처리장</t>
    <phoneticPr fontId="3" type="noConversion"/>
  </si>
  <si>
    <t>용문하수처리장</t>
    <phoneticPr fontId="3" type="noConversion"/>
  </si>
  <si>
    <t>강하하수처리장</t>
    <phoneticPr fontId="3" type="noConversion"/>
  </si>
  <si>
    <t>지평하수처리장</t>
    <phoneticPr fontId="3" type="noConversion"/>
  </si>
  <si>
    <t>진해하수처리장</t>
    <phoneticPr fontId="3" type="noConversion"/>
  </si>
  <si>
    <t>통영하수종말처리장</t>
    <phoneticPr fontId="3" type="noConversion"/>
  </si>
  <si>
    <t>화목</t>
    <phoneticPr fontId="3" type="noConversion"/>
  </si>
  <si>
    <t>장유</t>
    <phoneticPr fontId="3" type="noConversion"/>
  </si>
  <si>
    <t>진영</t>
    <phoneticPr fontId="3" type="noConversion"/>
  </si>
  <si>
    <t>가야하수종말처리장</t>
    <phoneticPr fontId="3" type="noConversion"/>
  </si>
  <si>
    <t>대산하수종말처리장</t>
    <phoneticPr fontId="3" type="noConversion"/>
  </si>
  <si>
    <t>하동하수종말
처리장</t>
    <phoneticPr fontId="3" type="noConversion"/>
  </si>
  <si>
    <t>김포하수처리장</t>
    <phoneticPr fontId="3" type="noConversion"/>
  </si>
  <si>
    <t>포천하수처리장</t>
    <phoneticPr fontId="3" type="noConversion"/>
  </si>
  <si>
    <t>영북하수처리장</t>
    <phoneticPr fontId="3" type="noConversion"/>
  </si>
  <si>
    <t>소흘하수처리장</t>
    <phoneticPr fontId="3" type="noConversion"/>
  </si>
  <si>
    <t>경안하수처리장</t>
    <phoneticPr fontId="3" type="noConversion"/>
  </si>
  <si>
    <t>광동하수처리장</t>
    <phoneticPr fontId="3" type="noConversion"/>
  </si>
  <si>
    <t>분원하수처리장</t>
    <phoneticPr fontId="3" type="noConversion"/>
  </si>
  <si>
    <t>남한산성하수처리장</t>
    <phoneticPr fontId="3" type="noConversion"/>
  </si>
  <si>
    <t>도척하수처리장</t>
    <phoneticPr fontId="3" type="noConversion"/>
  </si>
  <si>
    <t>오포하수처리장</t>
    <phoneticPr fontId="3" type="noConversion"/>
  </si>
  <si>
    <t>안성하수처리장</t>
    <phoneticPr fontId="3" type="noConversion"/>
  </si>
  <si>
    <t>부곡하수처리장</t>
    <phoneticPr fontId="3" type="noConversion"/>
  </si>
  <si>
    <t>남면하수처리장</t>
    <phoneticPr fontId="3" type="noConversion"/>
  </si>
  <si>
    <t>오산하수처리장</t>
    <phoneticPr fontId="3" type="noConversion"/>
  </si>
  <si>
    <t>동두천하수처리장</t>
    <phoneticPr fontId="3" type="noConversion"/>
  </si>
  <si>
    <t>동해시하수종말처리장</t>
    <phoneticPr fontId="3" type="noConversion"/>
  </si>
  <si>
    <t>소계</t>
    <phoneticPr fontId="3" type="noConversion"/>
  </si>
  <si>
    <t>지  역
(시·군·구)</t>
    <phoneticPr fontId="3" type="noConversion"/>
  </si>
  <si>
    <t>발생량          (A) = (B) + (C)</t>
    <phoneticPr fontId="3" type="noConversion"/>
  </si>
  <si>
    <t>처분량</t>
    <phoneticPr fontId="3" type="noConversion"/>
  </si>
  <si>
    <t>미처분량           (이월량)(C)</t>
    <phoneticPr fontId="3" type="noConversion"/>
  </si>
  <si>
    <t>계(B)</t>
    <phoneticPr fontId="3" type="noConversion"/>
  </si>
  <si>
    <t>재활용</t>
    <phoneticPr fontId="3" type="noConversion"/>
  </si>
  <si>
    <t>육상매립</t>
    <phoneticPr fontId="3" type="noConversion"/>
  </si>
  <si>
    <t>소각</t>
    <phoneticPr fontId="3" type="noConversion"/>
  </si>
  <si>
    <t>해양투기</t>
    <phoneticPr fontId="3" type="noConversion"/>
  </si>
  <si>
    <t>기타</t>
    <phoneticPr fontId="3" type="noConversion"/>
  </si>
  <si>
    <t>지   역
(시·군·구)</t>
    <phoneticPr fontId="3" type="noConversion"/>
  </si>
  <si>
    <t>직   제</t>
    <phoneticPr fontId="3" type="noConversion"/>
  </si>
  <si>
    <t>직원총수</t>
    <phoneticPr fontId="3" type="noConversion"/>
  </si>
  <si>
    <t>행정직</t>
    <phoneticPr fontId="3" type="noConversion"/>
  </si>
  <si>
    <t>기술직</t>
    <phoneticPr fontId="3" type="noConversion"/>
  </si>
  <si>
    <t>기능직</t>
    <phoneticPr fontId="3" type="noConversion"/>
  </si>
  <si>
    <t>토목</t>
    <phoneticPr fontId="3" type="noConversion"/>
  </si>
  <si>
    <t>기계</t>
    <phoneticPr fontId="3" type="noConversion"/>
  </si>
  <si>
    <t>전기</t>
    <phoneticPr fontId="3" type="noConversion"/>
  </si>
  <si>
    <t>화공</t>
    <phoneticPr fontId="3" type="noConversion"/>
  </si>
  <si>
    <t>환경</t>
    <phoneticPr fontId="3" type="noConversion"/>
  </si>
  <si>
    <t>흑석</t>
    <phoneticPr fontId="3" type="noConversion"/>
  </si>
  <si>
    <t>기린</t>
    <phoneticPr fontId="3" type="noConversion"/>
  </si>
  <si>
    <t>공주하수종말처리장</t>
    <phoneticPr fontId="3" type="noConversion"/>
  </si>
  <si>
    <t>남해환경관리소</t>
    <phoneticPr fontId="3" type="noConversion"/>
  </si>
  <si>
    <t>함평하수처리장</t>
    <phoneticPr fontId="3" type="noConversion"/>
  </si>
  <si>
    <t>지도하수처리장</t>
    <phoneticPr fontId="3" type="noConversion"/>
  </si>
  <si>
    <t>대청4리</t>
    <phoneticPr fontId="3" type="noConversion"/>
  </si>
  <si>
    <t>서포1리</t>
    <phoneticPr fontId="3" type="noConversion"/>
  </si>
  <si>
    <t>동량마을하수도</t>
    <phoneticPr fontId="3" type="noConversion"/>
  </si>
  <si>
    <t>논산시 하수종말처리장</t>
    <phoneticPr fontId="3" type="noConversion"/>
  </si>
  <si>
    <t>광양</t>
    <phoneticPr fontId="3" type="noConversion"/>
  </si>
  <si>
    <t>광영</t>
    <phoneticPr fontId="3" type="noConversion"/>
  </si>
  <si>
    <t>문덕</t>
    <phoneticPr fontId="3" type="noConversion"/>
  </si>
  <si>
    <t>운천리</t>
    <phoneticPr fontId="3" type="noConversion"/>
  </si>
  <si>
    <t>임진리</t>
    <phoneticPr fontId="3" type="noConversion"/>
  </si>
  <si>
    <t>향양리</t>
    <phoneticPr fontId="3" type="noConversion"/>
  </si>
  <si>
    <t>연다산리</t>
    <phoneticPr fontId="3" type="noConversion"/>
  </si>
  <si>
    <t>대동리</t>
    <phoneticPr fontId="3" type="noConversion"/>
  </si>
  <si>
    <t>동파리</t>
    <phoneticPr fontId="3" type="noConversion"/>
  </si>
  <si>
    <t>제주하수처리장</t>
    <phoneticPr fontId="3" type="noConversion"/>
  </si>
  <si>
    <t>송광.외서</t>
    <phoneticPr fontId="3" type="noConversion"/>
  </si>
  <si>
    <t>옥과</t>
    <phoneticPr fontId="3" type="noConversion"/>
  </si>
  <si>
    <t>일로</t>
    <phoneticPr fontId="3" type="noConversion"/>
  </si>
  <si>
    <t>진주처리장</t>
    <phoneticPr fontId="3" type="noConversion"/>
  </si>
  <si>
    <t>문산처리장</t>
    <phoneticPr fontId="3" type="noConversion"/>
  </si>
  <si>
    <t>사봉처리장</t>
    <phoneticPr fontId="3" type="noConversion"/>
  </si>
  <si>
    <t>중랑처리구역</t>
    <phoneticPr fontId="3" type="noConversion"/>
  </si>
  <si>
    <t>탄천처리구역</t>
    <phoneticPr fontId="3" type="noConversion"/>
  </si>
  <si>
    <t>서남처리구역</t>
    <phoneticPr fontId="3" type="noConversion"/>
  </si>
  <si>
    <t>난지처리구역</t>
    <phoneticPr fontId="3" type="noConversion"/>
  </si>
  <si>
    <t>강변하수처리장</t>
  </si>
  <si>
    <t xml:space="preserve">동두천시 </t>
    <phoneticPr fontId="3" type="noConversion"/>
  </si>
  <si>
    <t>거창군</t>
  </si>
  <si>
    <t>민원유형(건)</t>
    <phoneticPr fontId="3" type="noConversion"/>
  </si>
  <si>
    <t>방류수질</t>
    <phoneticPr fontId="3" type="noConversion"/>
  </si>
  <si>
    <t>악취</t>
    <phoneticPr fontId="3" type="noConversion"/>
  </si>
  <si>
    <t>미관</t>
    <phoneticPr fontId="3" type="noConversion"/>
  </si>
  <si>
    <t>오염사고</t>
    <phoneticPr fontId="3" type="noConversion"/>
  </si>
  <si>
    <t>요금</t>
    <phoneticPr fontId="3" type="noConversion"/>
  </si>
  <si>
    <t>서울시</t>
    <phoneticPr fontId="3" type="noConversion"/>
  </si>
  <si>
    <t>북고</t>
    <phoneticPr fontId="3" type="noConversion"/>
  </si>
  <si>
    <t xml:space="preserve">마을하수도 </t>
    <phoneticPr fontId="3" type="noConversion"/>
  </si>
  <si>
    <t>하수처리인구
(명)</t>
    <phoneticPr fontId="3" type="noConversion"/>
  </si>
  <si>
    <t>2단계</t>
    <phoneticPr fontId="3" type="noConversion"/>
  </si>
  <si>
    <t>구갈</t>
    <phoneticPr fontId="3" type="noConversion"/>
  </si>
  <si>
    <t>구리하수</t>
    <phoneticPr fontId="3" type="noConversion"/>
  </si>
  <si>
    <t>김포하수</t>
    <phoneticPr fontId="3" type="noConversion"/>
  </si>
  <si>
    <t>김포분뇨</t>
    <phoneticPr fontId="3" type="noConversion"/>
  </si>
  <si>
    <t>곤지암</t>
    <phoneticPr fontId="3" type="noConversion"/>
  </si>
  <si>
    <t>가남</t>
  </si>
  <si>
    <t>금사</t>
  </si>
  <si>
    <t>산북</t>
  </si>
  <si>
    <t>서면하수처리장</t>
    <phoneticPr fontId="3" type="noConversion"/>
  </si>
  <si>
    <t>횡성</t>
    <phoneticPr fontId="3" type="noConversion"/>
  </si>
  <si>
    <t>둔내</t>
    <phoneticPr fontId="3" type="noConversion"/>
  </si>
  <si>
    <t>지장천하수처리장</t>
    <phoneticPr fontId="3" type="noConversion"/>
  </si>
  <si>
    <t>정선읍하수처리장</t>
    <phoneticPr fontId="3" type="noConversion"/>
  </si>
  <si>
    <t>신동읍하수처리장</t>
    <phoneticPr fontId="3" type="noConversion"/>
  </si>
  <si>
    <t>양양처리장</t>
    <phoneticPr fontId="3" type="noConversion"/>
  </si>
  <si>
    <t>인구처리장</t>
    <phoneticPr fontId="3" type="noConversion"/>
  </si>
  <si>
    <t>내수사수처리장</t>
    <phoneticPr fontId="3" type="noConversion"/>
  </si>
  <si>
    <t>증평처리장</t>
    <phoneticPr fontId="3" type="noConversion"/>
  </si>
  <si>
    <t>병천</t>
    <phoneticPr fontId="3" type="noConversion"/>
  </si>
  <si>
    <t>유구처리장</t>
    <phoneticPr fontId="3" type="noConversion"/>
  </si>
  <si>
    <t>공암처리장</t>
    <phoneticPr fontId="3" type="noConversion"/>
  </si>
  <si>
    <t>동학사처리장</t>
    <phoneticPr fontId="3" type="noConversion"/>
  </si>
  <si>
    <t>보령</t>
  </si>
  <si>
    <t>아산시하수종말처리장</t>
    <phoneticPr fontId="3" type="noConversion"/>
  </si>
  <si>
    <t>게룡시</t>
    <phoneticPr fontId="3" type="noConversion"/>
  </si>
  <si>
    <t>서천하수처리장</t>
    <phoneticPr fontId="3" type="noConversion"/>
  </si>
  <si>
    <t>삽교하수처리장</t>
    <phoneticPr fontId="3" type="noConversion"/>
  </si>
  <si>
    <t>고대부곡하수처리장</t>
    <phoneticPr fontId="3" type="noConversion"/>
  </si>
  <si>
    <t>합곡하수처리장</t>
    <phoneticPr fontId="3" type="noConversion"/>
  </si>
  <si>
    <t>운봉</t>
    <phoneticPr fontId="3" type="noConversion"/>
  </si>
  <si>
    <t>인월</t>
    <phoneticPr fontId="3" type="noConversion"/>
  </si>
  <si>
    <t>여수시하수
종말처리장</t>
    <phoneticPr fontId="3" type="noConversion"/>
  </si>
  <si>
    <t>하수처리장</t>
    <phoneticPr fontId="3" type="noConversion"/>
  </si>
  <si>
    <t>구례하수</t>
    <phoneticPr fontId="3" type="noConversion"/>
  </si>
  <si>
    <r>
      <t>처리장
면적
(m</t>
    </r>
    <r>
      <rPr>
        <vertAlign val="superscript"/>
        <sz val="11"/>
        <color indexed="10"/>
        <rFont val="돋움체"/>
        <family val="3"/>
        <charset val="129"/>
      </rPr>
      <t>2</t>
    </r>
    <r>
      <rPr>
        <sz val="11"/>
        <color indexed="10"/>
        <rFont val="돋움체"/>
        <family val="3"/>
        <charset val="129"/>
      </rPr>
      <t>)</t>
    </r>
    <phoneticPr fontId="3" type="noConversion"/>
  </si>
  <si>
    <t>예천하수</t>
    <phoneticPr fontId="3" type="noConversion"/>
  </si>
  <si>
    <t>화목하수</t>
    <phoneticPr fontId="3" type="noConversion"/>
  </si>
  <si>
    <t>장유하수</t>
    <phoneticPr fontId="3" type="noConversion"/>
  </si>
  <si>
    <t>진영하수</t>
    <phoneticPr fontId="3" type="noConversion"/>
  </si>
  <si>
    <t>밀양하수</t>
    <phoneticPr fontId="3" type="noConversion"/>
  </si>
  <si>
    <t>삼랑진하수</t>
    <phoneticPr fontId="3" type="noConversion"/>
  </si>
  <si>
    <t>하남하수</t>
    <phoneticPr fontId="3" type="noConversion"/>
  </si>
  <si>
    <t>양산하수종말처리장</t>
    <phoneticPr fontId="3" type="noConversion"/>
  </si>
  <si>
    <t>창녕하수처리장</t>
    <phoneticPr fontId="3" type="noConversion"/>
  </si>
  <si>
    <t>남지하수처리장</t>
    <phoneticPr fontId="3" type="noConversion"/>
  </si>
  <si>
    <t>산청하수처리장</t>
    <phoneticPr fontId="3" type="noConversion"/>
  </si>
  <si>
    <t>강진읍 하수종말처리장</t>
    <phoneticPr fontId="3" type="noConversion"/>
  </si>
  <si>
    <t>회동마을
하수처리시설</t>
    <phoneticPr fontId="3" type="noConversion"/>
  </si>
  <si>
    <t>남평마을
하수처리시설</t>
    <phoneticPr fontId="3" type="noConversion"/>
  </si>
  <si>
    <t>양구읍
하수종말처리장</t>
    <phoneticPr fontId="3" type="noConversion"/>
  </si>
  <si>
    <t>대전(1개소)</t>
    <phoneticPr fontId="3" type="noConversion"/>
  </si>
  <si>
    <t>곡릉천</t>
    <phoneticPr fontId="3" type="noConversion"/>
  </si>
  <si>
    <t>굴포천</t>
    <phoneticPr fontId="3" type="noConversion"/>
  </si>
  <si>
    <t>안양천</t>
    <phoneticPr fontId="3" type="noConversion"/>
  </si>
  <si>
    <t>중랑천</t>
    <phoneticPr fontId="3" type="noConversion"/>
  </si>
  <si>
    <t>설마천</t>
    <phoneticPr fontId="3" type="noConversion"/>
  </si>
  <si>
    <t>궁개천</t>
    <phoneticPr fontId="3" type="noConversion"/>
  </si>
  <si>
    <t>삼석천</t>
    <phoneticPr fontId="3" type="noConversion"/>
  </si>
  <si>
    <t>군선천</t>
    <phoneticPr fontId="3" type="noConversion"/>
  </si>
  <si>
    <t>주수천</t>
    <phoneticPr fontId="3" type="noConversion"/>
  </si>
  <si>
    <t>내린천</t>
    <phoneticPr fontId="3" type="noConversion"/>
  </si>
  <si>
    <t>전천</t>
    <phoneticPr fontId="3" type="noConversion"/>
  </si>
  <si>
    <t>주천강</t>
    <phoneticPr fontId="3" type="noConversion"/>
  </si>
  <si>
    <t>계천</t>
    <phoneticPr fontId="3" type="noConversion"/>
  </si>
  <si>
    <t>이리천</t>
    <phoneticPr fontId="3" type="noConversion"/>
  </si>
  <si>
    <t>대화</t>
    <phoneticPr fontId="3" type="noConversion"/>
  </si>
  <si>
    <t>조양강</t>
    <phoneticPr fontId="3" type="noConversion"/>
  </si>
  <si>
    <t>화천천</t>
    <phoneticPr fontId="3" type="noConversion"/>
  </si>
  <si>
    <t>수입천</t>
    <phoneticPr fontId="3" type="noConversion"/>
  </si>
  <si>
    <t>인북천</t>
    <phoneticPr fontId="3" type="noConversion"/>
  </si>
  <si>
    <t>장평천</t>
    <phoneticPr fontId="3" type="noConversion"/>
  </si>
  <si>
    <t>오십천</t>
    <phoneticPr fontId="3" type="noConversion"/>
  </si>
  <si>
    <t>총면적(㎢)</t>
    <phoneticPr fontId="3" type="noConversion"/>
  </si>
  <si>
    <t>지 역
(시, 시가지·구·군
·읍·면)</t>
    <phoneticPr fontId="3" type="noConversion"/>
  </si>
  <si>
    <t>시설명계
(하수/개량/마을/슬러지)</t>
    <phoneticPr fontId="3" type="noConversion"/>
  </si>
  <si>
    <t>시설용량계(하수/마을)</t>
    <phoneticPr fontId="3" type="noConversion"/>
  </si>
  <si>
    <t>(㎥/일)</t>
    <phoneticPr fontId="3" type="noConversion"/>
  </si>
  <si>
    <t>처리량</t>
    <phoneticPr fontId="3" type="noConversion"/>
  </si>
  <si>
    <t>처리 효율(%)</t>
    <phoneticPr fontId="3" type="noConversion"/>
  </si>
  <si>
    <t>처리  부하량(kg BOD/D)</t>
    <phoneticPr fontId="3" type="noConversion"/>
  </si>
  <si>
    <t>처리
방법</t>
    <phoneticPr fontId="3" type="noConversion"/>
  </si>
  <si>
    <t>적용신기술</t>
    <phoneticPr fontId="3" type="noConversion"/>
  </si>
  <si>
    <t>연계처리량(㎥/일)</t>
    <phoneticPr fontId="3" type="noConversion"/>
  </si>
  <si>
    <t>전화
번호</t>
    <phoneticPr fontId="3" type="noConversion"/>
  </si>
  <si>
    <t>방류수
소독방법</t>
    <phoneticPr fontId="3" type="noConversion"/>
  </si>
  <si>
    <t>물리적
a1</t>
    <phoneticPr fontId="3" type="noConversion"/>
  </si>
  <si>
    <t>생물학적
a2</t>
    <phoneticPr fontId="3" type="noConversion"/>
  </si>
  <si>
    <t>고도
a3</t>
    <phoneticPr fontId="3" type="noConversion"/>
  </si>
  <si>
    <t>물리적
b1</t>
    <phoneticPr fontId="3" type="noConversion"/>
  </si>
  <si>
    <t>생물학적
b2</t>
    <phoneticPr fontId="3" type="noConversion"/>
  </si>
  <si>
    <t>고도
b3</t>
    <phoneticPr fontId="3" type="noConversion"/>
  </si>
  <si>
    <t>축산</t>
    <phoneticPr fontId="3" type="noConversion"/>
  </si>
  <si>
    <t>침출수</t>
    <phoneticPr fontId="3" type="noConversion"/>
  </si>
  <si>
    <t>표준활성
오니법</t>
    <phoneticPr fontId="3" type="noConversion"/>
  </si>
  <si>
    <t>'76.
9.21</t>
    <phoneticPr fontId="3" type="noConversion"/>
  </si>
  <si>
    <t>자가</t>
    <phoneticPr fontId="3" type="noConversion"/>
  </si>
  <si>
    <t>염소
소독</t>
    <phoneticPr fontId="3" type="noConversion"/>
  </si>
  <si>
    <t>강남구 일원동 580</t>
    <phoneticPr fontId="3" type="noConversion"/>
  </si>
  <si>
    <t>3410-9706</t>
    <phoneticPr fontId="3" type="noConversion"/>
  </si>
  <si>
    <t>'87.
12.09</t>
    <phoneticPr fontId="3" type="noConversion"/>
  </si>
  <si>
    <t>87.6.30
'99.4.30</t>
  </si>
  <si>
    <t>고양시 현천동 673-2</t>
    <phoneticPr fontId="3" type="noConversion"/>
  </si>
  <si>
    <t>300-8522</t>
    <phoneticPr fontId="3" type="noConversion"/>
  </si>
  <si>
    <t>'87.
06.30</t>
    <phoneticPr fontId="3" type="noConversion"/>
  </si>
  <si>
    <t>영도</t>
  </si>
  <si>
    <t>영도구 동삼동175-2</t>
  </si>
  <si>
    <t>고도처리공법</t>
  </si>
  <si>
    <t>KSBNRⓜ공법</t>
  </si>
  <si>
    <t>405-4945</t>
  </si>
  <si>
    <t>06.01.01</t>
  </si>
  <si>
    <t>자외선
소독</t>
  </si>
  <si>
    <t>연안
(남해)</t>
  </si>
  <si>
    <t>수영1단계</t>
  </si>
  <si>
    <t>수영구 안락2동 1108</t>
    <phoneticPr fontId="3" type="noConversion"/>
  </si>
  <si>
    <t>표준활성슬러지법</t>
  </si>
  <si>
    <t>760-3325</t>
  </si>
  <si>
    <t>'88.04.30</t>
  </si>
  <si>
    <t>위탁</t>
  </si>
  <si>
    <t>염소  
소독</t>
  </si>
  <si>
    <t>수영천</t>
  </si>
  <si>
    <t>수영2단계</t>
  </si>
  <si>
    <t>'98.03.31</t>
  </si>
  <si>
    <t>UV소독</t>
  </si>
  <si>
    <t>강변1단계</t>
  </si>
  <si>
    <t>사하구 신평2동 659-2</t>
    <phoneticPr fontId="3" type="noConversion"/>
  </si>
  <si>
    <t>204-4905</t>
  </si>
  <si>
    <t>`90.11.01</t>
  </si>
  <si>
    <t>염소소독</t>
  </si>
  <si>
    <t>강변2단계</t>
  </si>
  <si>
    <t>응집순환변법</t>
  </si>
  <si>
    <t>`01.10.01</t>
  </si>
  <si>
    <t>남부</t>
  </si>
  <si>
    <t>남구 용호3동 29</t>
    <phoneticPr fontId="3" type="noConversion"/>
  </si>
  <si>
    <t>713-0135</t>
  </si>
  <si>
    <t>'96.06.05</t>
  </si>
  <si>
    <t>녹산</t>
  </si>
  <si>
    <t>강서구 송정동 1173</t>
    <phoneticPr fontId="3" type="noConversion"/>
  </si>
  <si>
    <t xml:space="preserve">MLE     공법  </t>
  </si>
  <si>
    <t>831-0379</t>
  </si>
  <si>
    <t>'01.08.18</t>
  </si>
  <si>
    <t>UV</t>
  </si>
  <si>
    <t>신호</t>
  </si>
  <si>
    <t>강서구 신호동    294</t>
    <phoneticPr fontId="3" type="noConversion"/>
  </si>
  <si>
    <t>순산소    포기법</t>
  </si>
  <si>
    <t>'01.10.25</t>
  </si>
  <si>
    <t>염소 소독</t>
  </si>
  <si>
    <t>해운대</t>
  </si>
  <si>
    <t>해운대구 좌동 1425</t>
    <phoneticPr fontId="3" type="noConversion"/>
  </si>
  <si>
    <t>709-0541</t>
  </si>
  <si>
    <t>'96.09.01</t>
  </si>
  <si>
    <t>공기업위탁</t>
  </si>
  <si>
    <t>춘천</t>
  </si>
  <si>
    <t>서부(강동)</t>
  </si>
  <si>
    <t>강서구 강동동 1539</t>
    <phoneticPr fontId="3" type="noConversion"/>
  </si>
  <si>
    <t>SBR변법</t>
  </si>
  <si>
    <t>970-0421</t>
  </si>
  <si>
    <t>'03.05.01</t>
  </si>
  <si>
    <t>평강천</t>
  </si>
  <si>
    <t>서낙동강</t>
  </si>
  <si>
    <t>중앙</t>
  </si>
  <si>
    <t>서구 암남동 704-1</t>
    <phoneticPr fontId="3" type="noConversion"/>
  </si>
  <si>
    <t>BIOFOR
공법</t>
  </si>
  <si>
    <t>'06.01.01</t>
  </si>
  <si>
    <t>공단위탁</t>
  </si>
  <si>
    <t>자외선</t>
  </si>
  <si>
    <t>연안
(동해)</t>
  </si>
  <si>
    <t>마을</t>
    <phoneticPr fontId="3" type="noConversion"/>
  </si>
  <si>
    <t>산성마을</t>
  </si>
  <si>
    <t>금정구 금성동143-1</t>
    <phoneticPr fontId="3" type="noConversion"/>
  </si>
  <si>
    <t>세일바이오시스템</t>
  </si>
  <si>
    <t>517-2177</t>
  </si>
  <si>
    <t>대천천</t>
  </si>
  <si>
    <t>공해마을</t>
  </si>
  <si>
    <t>금정구 금성동709-1</t>
    <phoneticPr fontId="3" type="noConversion"/>
  </si>
  <si>
    <t>517-2178</t>
  </si>
  <si>
    <t>상장안</t>
  </si>
  <si>
    <t>기장군 장안읍 장안리 387</t>
    <phoneticPr fontId="3" type="noConversion"/>
  </si>
  <si>
    <t>생물학</t>
  </si>
  <si>
    <t>HBC</t>
  </si>
  <si>
    <t>장안천</t>
  </si>
  <si>
    <t>하근</t>
  </si>
  <si>
    <t>기장군 장안읍 기룡리 1067-44</t>
    <phoneticPr fontId="3" type="noConversion"/>
  </si>
  <si>
    <t>세일</t>
  </si>
  <si>
    <t>하리</t>
  </si>
  <si>
    <t>기장군 장안읍 원리 308-1</t>
    <phoneticPr fontId="3" type="noConversion"/>
  </si>
  <si>
    <t>COSBR</t>
  </si>
  <si>
    <t>좌광천</t>
  </si>
  <si>
    <t>기룡</t>
  </si>
  <si>
    <t>고도</t>
  </si>
  <si>
    <t>CNR</t>
  </si>
  <si>
    <t>광산</t>
  </si>
  <si>
    <t>청광</t>
  </si>
  <si>
    <t>동백천</t>
  </si>
  <si>
    <t>당곡</t>
  </si>
  <si>
    <t>NPR</t>
  </si>
  <si>
    <t>일광천</t>
  </si>
  <si>
    <t>중리미동</t>
  </si>
  <si>
    <t>기장군 철마면 웅천리 462-9</t>
    <phoneticPr fontId="3" type="noConversion"/>
  </si>
  <si>
    <t>고도단계식 혐기획여과법</t>
  </si>
  <si>
    <t>528-5232</t>
  </si>
  <si>
    <t>철마천</t>
  </si>
  <si>
    <t>마지</t>
  </si>
  <si>
    <t>기장군 철마면 연구리677-6</t>
    <phoneticPr fontId="3" type="noConversion"/>
  </si>
  <si>
    <t>혐기호기접촉법</t>
  </si>
  <si>
    <t>와여장전</t>
  </si>
  <si>
    <t>기장군 철마면 장전리583-19</t>
    <phoneticPr fontId="3" type="noConversion"/>
  </si>
  <si>
    <t>세일바이오생물법</t>
  </si>
  <si>
    <t>임곡1</t>
  </si>
  <si>
    <t>기장군 정관면 임곡리 469-16</t>
    <phoneticPr fontId="3" type="noConversion"/>
  </si>
  <si>
    <t>바실러스균이용고도처리공법</t>
  </si>
  <si>
    <t>서구 비산7동 3048</t>
    <phoneticPr fontId="3" type="noConversion"/>
  </si>
  <si>
    <t>오존</t>
    <phoneticPr fontId="3" type="noConversion"/>
  </si>
  <si>
    <t>북구 서변동 1290-4</t>
    <phoneticPr fontId="3" type="noConversion"/>
  </si>
  <si>
    <t>서구 비산7동 3442</t>
    <phoneticPr fontId="3" type="noConversion"/>
  </si>
  <si>
    <t>수성구 두산동 499-4</t>
    <phoneticPr fontId="3" type="noConversion"/>
  </si>
  <si>
    <t>동구 율하동 828-3</t>
    <phoneticPr fontId="3" type="noConversion"/>
  </si>
  <si>
    <t>상당</t>
    <phoneticPr fontId="3" type="noConversion"/>
  </si>
  <si>
    <t>달성군 하빈면 기곡리294</t>
    <phoneticPr fontId="3" type="noConversion"/>
  </si>
  <si>
    <t>현수미생물접촉폭기</t>
  </si>
  <si>
    <t>02.4.15</t>
  </si>
  <si>
    <t>오존
소독</t>
    <phoneticPr fontId="3" type="noConversion"/>
  </si>
  <si>
    <t>하빈천</t>
  </si>
  <si>
    <t>자모</t>
    <phoneticPr fontId="3" type="noConversion"/>
  </si>
  <si>
    <t>달성군 현풍면 자모리676-1</t>
  </si>
  <si>
    <t>활성슬러지</t>
  </si>
  <si>
    <t>05.2.28</t>
  </si>
  <si>
    <t>자모천</t>
  </si>
  <si>
    <t>오설</t>
    <phoneticPr fontId="3" type="noConversion"/>
  </si>
  <si>
    <t>달성군 구지면 오설리457-1</t>
  </si>
  <si>
    <t>침지막분리</t>
  </si>
  <si>
    <t>05.3.9</t>
  </si>
  <si>
    <t>오설천</t>
  </si>
  <si>
    <t>달성군 다사읍 이천리 산22</t>
  </si>
  <si>
    <t>BSTS-Ⅱ고도처리</t>
  </si>
  <si>
    <t>05.6.29</t>
  </si>
  <si>
    <t>금호강</t>
  </si>
  <si>
    <t>달성군 달천리359-1</t>
  </si>
  <si>
    <t>박곡</t>
    <phoneticPr fontId="3" type="noConversion"/>
  </si>
  <si>
    <t>달성군 다사읍 박곡리417</t>
  </si>
  <si>
    <t>박실천</t>
  </si>
  <si>
    <t>기세</t>
    <phoneticPr fontId="3" type="noConversion"/>
  </si>
  <si>
    <t>달성군 옥포면 기세리434 외3필지</t>
  </si>
  <si>
    <t>SAMCO공업</t>
    <phoneticPr fontId="3" type="noConversion"/>
  </si>
  <si>
    <t>06.7.8</t>
  </si>
  <si>
    <t>LEE CHANG</t>
    <phoneticPr fontId="3" type="noConversion"/>
  </si>
  <si>
    <t>99.4.17</t>
    <phoneticPr fontId="3" type="noConversion"/>
  </si>
  <si>
    <t>창촌</t>
    <phoneticPr fontId="3" type="noConversion"/>
  </si>
  <si>
    <t>서원 창촌리 574-1</t>
    <phoneticPr fontId="3" type="noConversion"/>
  </si>
  <si>
    <t>98.12.22</t>
    <phoneticPr fontId="3" type="noConversion"/>
  </si>
  <si>
    <t>백골</t>
    <phoneticPr fontId="3" type="noConversion"/>
  </si>
  <si>
    <t>하동면 옥동리221-1</t>
    <phoneticPr fontId="3" type="noConversion"/>
  </si>
  <si>
    <t>모관유공관</t>
    <phoneticPr fontId="3" type="noConversion"/>
  </si>
  <si>
    <t>270-2343</t>
    <phoneticPr fontId="3" type="noConversion"/>
  </si>
  <si>
    <t>97.4.24</t>
    <phoneticPr fontId="3" type="noConversion"/>
  </si>
  <si>
    <t>옥동천</t>
    <phoneticPr fontId="3" type="noConversion"/>
  </si>
  <si>
    <t>상촌</t>
    <phoneticPr fontId="3" type="noConversion"/>
  </si>
  <si>
    <t>남면 조전리 475-1</t>
    <phoneticPr fontId="3" type="noConversion"/>
  </si>
  <si>
    <t>BRC</t>
    <phoneticPr fontId="3" type="noConversion"/>
  </si>
  <si>
    <t>370-2343</t>
    <phoneticPr fontId="3" type="noConversion"/>
  </si>
  <si>
    <t>97.4.3</t>
    <phoneticPr fontId="3" type="noConversion"/>
  </si>
  <si>
    <t>조전천</t>
    <phoneticPr fontId="3" type="noConversion"/>
  </si>
  <si>
    <t>들골</t>
    <phoneticPr fontId="3" type="noConversion"/>
  </si>
  <si>
    <t>남면 북쌍1리 862-3</t>
    <phoneticPr fontId="3" type="noConversion"/>
  </si>
  <si>
    <t>현수미생물</t>
    <phoneticPr fontId="3" type="noConversion"/>
  </si>
  <si>
    <t>02.1.6</t>
    <phoneticPr fontId="3" type="noConversion"/>
  </si>
  <si>
    <t>팔괴</t>
    <phoneticPr fontId="3" type="noConversion"/>
  </si>
  <si>
    <t>영월읍 팔괴2리</t>
    <phoneticPr fontId="3" type="noConversion"/>
  </si>
  <si>
    <t>모관침윤</t>
    <phoneticPr fontId="3" type="noConversion"/>
  </si>
  <si>
    <t>97.6.6</t>
    <phoneticPr fontId="3" type="noConversion"/>
  </si>
  <si>
    <t>돈디</t>
    <phoneticPr fontId="3" type="noConversion"/>
  </si>
  <si>
    <t>남면 북쌍2리280-13</t>
    <phoneticPr fontId="3" type="noConversion"/>
  </si>
  <si>
    <t>A2EBC</t>
    <phoneticPr fontId="3" type="noConversion"/>
  </si>
  <si>
    <t>03.11.3</t>
    <phoneticPr fontId="3" type="noConversion"/>
  </si>
  <si>
    <t>연당천</t>
    <phoneticPr fontId="3" type="noConversion"/>
  </si>
  <si>
    <t>음지</t>
    <phoneticPr fontId="3" type="noConversion"/>
  </si>
  <si>
    <t>남면 토교3리1250-1</t>
    <phoneticPr fontId="3" type="noConversion"/>
  </si>
  <si>
    <t>03.5.29</t>
    <phoneticPr fontId="3" type="noConversion"/>
  </si>
  <si>
    <t>본동</t>
    <phoneticPr fontId="3" type="noConversion"/>
  </si>
  <si>
    <t>주천면 금마리</t>
    <phoneticPr fontId="3" type="noConversion"/>
  </si>
  <si>
    <t>01.7.7</t>
    <phoneticPr fontId="3" type="noConversion"/>
  </si>
  <si>
    <t>버들치</t>
    <phoneticPr fontId="3" type="noConversion"/>
  </si>
  <si>
    <t>주천면 도천리253-2</t>
    <phoneticPr fontId="3" type="noConversion"/>
  </si>
  <si>
    <t>마차</t>
    <phoneticPr fontId="3" type="noConversion"/>
  </si>
  <si>
    <t>북면 마차리</t>
    <phoneticPr fontId="3" type="noConversion"/>
  </si>
  <si>
    <t>94.11.19</t>
    <phoneticPr fontId="3" type="noConversion"/>
  </si>
  <si>
    <t>마차천</t>
    <phoneticPr fontId="3" type="noConversion"/>
  </si>
  <si>
    <t>남면 연당1리865-9</t>
    <phoneticPr fontId="3" type="noConversion"/>
  </si>
  <si>
    <t>97.04.26</t>
    <phoneticPr fontId="3" type="noConversion"/>
  </si>
  <si>
    <t>공순원</t>
    <phoneticPr fontId="3" type="noConversion"/>
  </si>
  <si>
    <t>주천면 신일1리1727-1</t>
    <phoneticPr fontId="3" type="noConversion"/>
  </si>
  <si>
    <t>주진</t>
    <phoneticPr fontId="3" type="noConversion"/>
  </si>
  <si>
    <t>평창읍 주진리590-2</t>
    <phoneticPr fontId="3" type="noConversion"/>
  </si>
  <si>
    <t>330-2164</t>
    <phoneticPr fontId="3" type="noConversion"/>
  </si>
  <si>
    <t xml:space="preserve"> '92.12.26</t>
    <phoneticPr fontId="3" type="noConversion"/>
  </si>
  <si>
    <t>서강</t>
    <phoneticPr fontId="3" type="noConversion"/>
  </si>
  <si>
    <t>미탄면 창리 730</t>
    <phoneticPr fontId="3" type="noConversion"/>
  </si>
  <si>
    <t xml:space="preserve"> '96.06.17</t>
    <phoneticPr fontId="3" type="noConversion"/>
  </si>
  <si>
    <t>대화면 대화리 1970-8</t>
    <phoneticPr fontId="3" type="noConversion"/>
  </si>
  <si>
    <t xml:space="preserve"> '97.04.18</t>
    <phoneticPr fontId="3" type="noConversion"/>
  </si>
  <si>
    <t>창동</t>
    <phoneticPr fontId="3" type="noConversion"/>
  </si>
  <si>
    <t>봉평면 창동리 421-5</t>
    <phoneticPr fontId="3" type="noConversion"/>
  </si>
  <si>
    <t xml:space="preserve"> '97.09.17</t>
    <phoneticPr fontId="3" type="noConversion"/>
  </si>
  <si>
    <t>장평</t>
    <phoneticPr fontId="3" type="noConversion"/>
  </si>
  <si>
    <t>용평면 장평리 323-3</t>
    <phoneticPr fontId="3" type="noConversion"/>
  </si>
  <si>
    <t xml:space="preserve"> '96.12.13</t>
    <phoneticPr fontId="3" type="noConversion"/>
  </si>
  <si>
    <t>진부면 동산리 27-3</t>
    <phoneticPr fontId="3" type="noConversion"/>
  </si>
  <si>
    <t xml:space="preserve"> '97.11.24</t>
    <phoneticPr fontId="3" type="noConversion"/>
  </si>
  <si>
    <t>560-2937</t>
    <phoneticPr fontId="3" type="noConversion"/>
  </si>
  <si>
    <t>회동</t>
    <phoneticPr fontId="3" type="noConversion"/>
  </si>
  <si>
    <t>정선읍 용탄리 646-2</t>
    <phoneticPr fontId="3" type="noConversion"/>
  </si>
  <si>
    <t>CNR 공법</t>
    <phoneticPr fontId="3" type="noConversion"/>
  </si>
  <si>
    <t>송오</t>
    <phoneticPr fontId="3" type="noConversion"/>
  </si>
  <si>
    <t>정선읍 덕송2리 288</t>
    <phoneticPr fontId="3" type="noConversion"/>
  </si>
  <si>
    <t>남면 무릉리 430-1</t>
    <phoneticPr fontId="3" type="noConversion"/>
  </si>
  <si>
    <t>560-2517</t>
    <phoneticPr fontId="3" type="noConversion"/>
  </si>
  <si>
    <t>동면 몰운2리 267-6</t>
    <phoneticPr fontId="3" type="noConversion"/>
  </si>
  <si>
    <t>어천</t>
    <phoneticPr fontId="3" type="noConversion"/>
  </si>
  <si>
    <t>돌목</t>
    <phoneticPr fontId="3" type="noConversion"/>
  </si>
  <si>
    <t>동면 석곡2리</t>
    <phoneticPr fontId="3" type="noConversion"/>
  </si>
  <si>
    <t>여량</t>
    <phoneticPr fontId="3" type="noConversion"/>
  </si>
  <si>
    <t>북면 여량리 305-16</t>
    <phoneticPr fontId="3" type="noConversion"/>
  </si>
  <si>
    <t>봉정</t>
    <phoneticPr fontId="3" type="noConversion"/>
  </si>
  <si>
    <t>북면 봉정리</t>
    <phoneticPr fontId="3" type="noConversion"/>
  </si>
  <si>
    <t>북평면 장열2리 589-5</t>
    <phoneticPr fontId="3" type="noConversion"/>
  </si>
  <si>
    <t>문화마을</t>
    <phoneticPr fontId="3" type="noConversion"/>
  </si>
  <si>
    <t>북평면 남평리 978</t>
    <phoneticPr fontId="3" type="noConversion"/>
  </si>
  <si>
    <t>북평</t>
    <phoneticPr fontId="3" type="noConversion"/>
  </si>
  <si>
    <t>북평면 북평리 819-12</t>
    <phoneticPr fontId="3" type="noConversion"/>
  </si>
  <si>
    <t>북평면 남평리 970-4</t>
    <phoneticPr fontId="3" type="noConversion"/>
  </si>
  <si>
    <t>임계</t>
    <phoneticPr fontId="3" type="noConversion"/>
  </si>
  <si>
    <t>임계면 송계리 751</t>
    <phoneticPr fontId="3" type="noConversion"/>
  </si>
  <si>
    <t>봉산</t>
    <phoneticPr fontId="3" type="noConversion"/>
  </si>
  <si>
    <t>임계면 봉산2리 718-1</t>
    <phoneticPr fontId="3" type="noConversion"/>
  </si>
  <si>
    <t>임계면봉산리 241-24</t>
    <phoneticPr fontId="3" type="noConversion"/>
  </si>
  <si>
    <t>갈말</t>
    <phoneticPr fontId="3" type="noConversion"/>
  </si>
  <si>
    <t>갈말읍 군탄리 1268-39</t>
    <phoneticPr fontId="3" type="noConversion"/>
  </si>
  <si>
    <r>
      <t>CASS</t>
    </r>
    <r>
      <rPr>
        <vertAlign val="superscript"/>
        <sz val="8"/>
        <rFont val="굴림체"/>
        <family val="3"/>
        <charset val="129"/>
      </rPr>
      <t xml:space="preserve">TM
</t>
    </r>
    <r>
      <rPr>
        <sz val="8"/>
        <rFont val="굴림체"/>
        <family val="3"/>
        <charset val="129"/>
      </rPr>
      <t>SBR</t>
    </r>
    <phoneticPr fontId="3" type="noConversion"/>
  </si>
  <si>
    <t>문혜</t>
    <phoneticPr fontId="3" type="noConversion"/>
  </si>
  <si>
    <t>김화</t>
    <phoneticPr fontId="3" type="noConversion"/>
  </si>
  <si>
    <t>김화읍 청량리 1-34</t>
    <phoneticPr fontId="3" type="noConversion"/>
  </si>
  <si>
    <t xml:space="preserve"> 와수6리</t>
    <phoneticPr fontId="3" type="noConversion"/>
  </si>
  <si>
    <t>서면 와수리 598-3</t>
    <phoneticPr fontId="3" type="noConversion"/>
  </si>
  <si>
    <t>07. 3.21</t>
    <phoneticPr fontId="3" type="noConversion"/>
  </si>
  <si>
    <t>인진강</t>
    <phoneticPr fontId="3" type="noConversion"/>
  </si>
  <si>
    <t xml:space="preserve"> 와수5리</t>
    <phoneticPr fontId="3" type="noConversion"/>
  </si>
  <si>
    <t>서면 와수리 143-5</t>
    <phoneticPr fontId="3" type="noConversion"/>
  </si>
  <si>
    <t>TBCR</t>
    <phoneticPr fontId="3" type="noConversion"/>
  </si>
  <si>
    <t>06.12.27</t>
    <phoneticPr fontId="3" type="noConversion"/>
  </si>
  <si>
    <t xml:space="preserve"> 오덕7리</t>
    <phoneticPr fontId="3" type="noConversion"/>
  </si>
  <si>
    <t>동송읍 오덕리 2098</t>
    <phoneticPr fontId="3" type="noConversion"/>
  </si>
  <si>
    <t>06.11.16</t>
    <phoneticPr fontId="3" type="noConversion"/>
  </si>
  <si>
    <t>상서면 산양리 472-6</t>
    <phoneticPr fontId="3" type="noConversion"/>
  </si>
  <si>
    <t>442-5473</t>
    <phoneticPr fontId="3" type="noConversion"/>
  </si>
  <si>
    <t>03.8.12.</t>
    <phoneticPr fontId="3" type="noConversion"/>
  </si>
  <si>
    <t>UV자외선</t>
    <phoneticPr fontId="3" type="noConversion"/>
  </si>
  <si>
    <t>상2리</t>
    <phoneticPr fontId="3" type="noConversion"/>
  </si>
  <si>
    <t>화천읍 상2리 656-4</t>
    <phoneticPr fontId="3" type="noConversion"/>
  </si>
  <si>
    <t>440-2538</t>
    <phoneticPr fontId="3" type="noConversion"/>
  </si>
  <si>
    <t>00.12.1.</t>
    <phoneticPr fontId="3" type="noConversion"/>
  </si>
  <si>
    <t>중2리</t>
    <phoneticPr fontId="3" type="noConversion"/>
  </si>
  <si>
    <t>화천읍 중2리 186</t>
    <phoneticPr fontId="3" type="noConversion"/>
  </si>
  <si>
    <t>모관침윤트랜치법</t>
    <phoneticPr fontId="3" type="noConversion"/>
  </si>
  <si>
    <t>96.5.13.</t>
    <phoneticPr fontId="3" type="noConversion"/>
  </si>
  <si>
    <t>풍산</t>
    <phoneticPr fontId="3" type="noConversion"/>
  </si>
  <si>
    <t>화천읍 풍산리 1289</t>
    <phoneticPr fontId="3" type="noConversion"/>
  </si>
  <si>
    <t>혐기,호기생물학적방법</t>
    <phoneticPr fontId="3" type="noConversion"/>
  </si>
  <si>
    <t>99.5.4.</t>
    <phoneticPr fontId="3" type="noConversion"/>
  </si>
  <si>
    <t>풍산천</t>
    <phoneticPr fontId="3" type="noConversion"/>
  </si>
  <si>
    <t>신풍</t>
    <phoneticPr fontId="3" type="noConversion"/>
  </si>
  <si>
    <t>상서면 신풍리 61-3</t>
    <phoneticPr fontId="3" type="noConversion"/>
  </si>
  <si>
    <t>01.12.24.</t>
    <phoneticPr fontId="3" type="noConversion"/>
  </si>
  <si>
    <t>구운</t>
    <phoneticPr fontId="3" type="noConversion"/>
  </si>
  <si>
    <t>상서면 구운리 1031-14</t>
    <phoneticPr fontId="3" type="noConversion"/>
  </si>
  <si>
    <t>00.10.7.</t>
    <phoneticPr fontId="3" type="noConversion"/>
  </si>
  <si>
    <t>구운천</t>
    <phoneticPr fontId="3" type="noConversion"/>
  </si>
  <si>
    <t>신대</t>
    <phoneticPr fontId="3" type="noConversion"/>
  </si>
  <si>
    <t>상서면 신대리 874-3</t>
    <phoneticPr fontId="3" type="noConversion"/>
  </si>
  <si>
    <t>00.2.27.</t>
    <phoneticPr fontId="3" type="noConversion"/>
  </si>
  <si>
    <t>파포천</t>
    <phoneticPr fontId="3" type="noConversion"/>
  </si>
  <si>
    <t>장촌</t>
    <phoneticPr fontId="3" type="noConversion"/>
  </si>
  <si>
    <t>상서면 장촌리 514-1</t>
    <phoneticPr fontId="3" type="noConversion"/>
  </si>
  <si>
    <t>97.9.23</t>
    <phoneticPr fontId="3" type="noConversion"/>
  </si>
  <si>
    <t>파포</t>
    <phoneticPr fontId="3" type="noConversion"/>
  </si>
  <si>
    <t>상서면 파포리 844</t>
    <phoneticPr fontId="3" type="noConversion"/>
  </si>
  <si>
    <t>98.3.26</t>
    <phoneticPr fontId="3" type="noConversion"/>
  </si>
  <si>
    <t>다목</t>
    <phoneticPr fontId="3" type="noConversion"/>
  </si>
  <si>
    <t>상서면 다목리 185</t>
    <phoneticPr fontId="3" type="noConversion"/>
  </si>
  <si>
    <t>95.5.26.</t>
    <phoneticPr fontId="3" type="noConversion"/>
  </si>
  <si>
    <t>다목천</t>
    <phoneticPr fontId="3" type="noConversion"/>
  </si>
  <si>
    <t>명월</t>
    <phoneticPr fontId="3" type="noConversion"/>
  </si>
  <si>
    <t>사내면 명얼리 508-8</t>
    <phoneticPr fontId="3" type="noConversion"/>
  </si>
  <si>
    <t>고도접촉산화법
(TBCR)</t>
    <phoneticPr fontId="3" type="noConversion"/>
  </si>
  <si>
    <t>99.7.10</t>
    <phoneticPr fontId="3" type="noConversion"/>
  </si>
  <si>
    <t>명월천</t>
    <phoneticPr fontId="3" type="noConversion"/>
  </si>
  <si>
    <t>광덕</t>
    <phoneticPr fontId="3" type="noConversion"/>
  </si>
  <si>
    <t>사내면 광덕리 1139-1</t>
    <phoneticPr fontId="3" type="noConversion"/>
  </si>
  <si>
    <t>99.6.21.</t>
    <phoneticPr fontId="3" type="noConversion"/>
  </si>
  <si>
    <t>수밀천</t>
    <phoneticPr fontId="3" type="noConversion"/>
  </si>
  <si>
    <t>문화</t>
    <phoneticPr fontId="3" type="noConversion"/>
  </si>
  <si>
    <t>사내면 사창리 226-13</t>
    <phoneticPr fontId="3" type="noConversion"/>
  </si>
  <si>
    <t>99.10.2.</t>
    <phoneticPr fontId="3" type="noConversion"/>
  </si>
  <si>
    <t>거례</t>
    <phoneticPr fontId="3" type="noConversion"/>
  </si>
  <si>
    <t>하남면 거례리 686</t>
    <phoneticPr fontId="3" type="noConversion"/>
  </si>
  <si>
    <t>혐기,호기접촉순환법</t>
    <phoneticPr fontId="3" type="noConversion"/>
  </si>
  <si>
    <t>00.5.29.</t>
    <phoneticPr fontId="3" type="noConversion"/>
  </si>
  <si>
    <t>거례천</t>
    <phoneticPr fontId="3" type="noConversion"/>
  </si>
  <si>
    <t>서오지리</t>
    <phoneticPr fontId="3" type="noConversion"/>
  </si>
  <si>
    <t>하남면 서오지리 330-1</t>
    <phoneticPr fontId="3" type="noConversion"/>
  </si>
  <si>
    <t>99.7.10.</t>
    <phoneticPr fontId="3" type="noConversion"/>
  </si>
  <si>
    <t>서오천</t>
    <phoneticPr fontId="3" type="noConversion"/>
  </si>
  <si>
    <t>원천1리</t>
    <phoneticPr fontId="3" type="noConversion"/>
  </si>
  <si>
    <t>하남면 원천리 444-2</t>
    <phoneticPr fontId="3" type="noConversion"/>
  </si>
  <si>
    <t>02.3.17.</t>
    <phoneticPr fontId="3" type="noConversion"/>
  </si>
  <si>
    <t>원천천</t>
    <phoneticPr fontId="3" type="noConversion"/>
  </si>
  <si>
    <t>원천2리</t>
    <phoneticPr fontId="3" type="noConversion"/>
  </si>
  <si>
    <t>하남면 원천리 1139</t>
    <phoneticPr fontId="3" type="noConversion"/>
  </si>
  <si>
    <t>04.10.16.</t>
    <phoneticPr fontId="3" type="noConversion"/>
  </si>
  <si>
    <t>용호</t>
    <phoneticPr fontId="3" type="noConversion"/>
  </si>
  <si>
    <t>간동면 용호리 833-1</t>
    <phoneticPr fontId="3" type="noConversion"/>
  </si>
  <si>
    <t>유촌</t>
    <phoneticPr fontId="3" type="noConversion"/>
  </si>
  <si>
    <t>간동면 유촌리 636-3</t>
    <phoneticPr fontId="3" type="noConversion"/>
  </si>
  <si>
    <t>98.8.11.</t>
    <phoneticPr fontId="3" type="noConversion"/>
  </si>
  <si>
    <t>도송</t>
    <phoneticPr fontId="3" type="noConversion"/>
  </si>
  <si>
    <t>간동면 도송리 526</t>
    <phoneticPr fontId="3" type="noConversion"/>
  </si>
  <si>
    <t>혐기및2단교호간헐폭기(KSBNR)</t>
    <phoneticPr fontId="3" type="noConversion"/>
  </si>
  <si>
    <t>03.8.13.</t>
    <phoneticPr fontId="3" type="noConversion"/>
  </si>
  <si>
    <t>도송천</t>
    <phoneticPr fontId="3" type="noConversion"/>
  </si>
  <si>
    <t>정림리</t>
    <phoneticPr fontId="3" type="noConversion"/>
  </si>
  <si>
    <t>양구읍정림리164-3</t>
    <phoneticPr fontId="3" type="noConversion"/>
  </si>
  <si>
    <t>토양피복접촉산화</t>
    <phoneticPr fontId="3" type="noConversion"/>
  </si>
  <si>
    <t>480-2267</t>
    <phoneticPr fontId="3" type="noConversion"/>
  </si>
  <si>
    <t xml:space="preserve"> '93.12.19</t>
    <phoneticPr fontId="3" type="noConversion"/>
  </si>
  <si>
    <t>군량리</t>
    <phoneticPr fontId="3" type="noConversion"/>
  </si>
  <si>
    <t>양구읍군량리122</t>
    <phoneticPr fontId="3" type="noConversion"/>
  </si>
  <si>
    <t>접척산화</t>
    <phoneticPr fontId="3" type="noConversion"/>
  </si>
  <si>
    <t xml:space="preserve"> '96.5.7</t>
    <phoneticPr fontId="3" type="noConversion"/>
  </si>
  <si>
    <t>석현리</t>
    <phoneticPr fontId="3" type="noConversion"/>
  </si>
  <si>
    <t>양구읍석현리38-2</t>
    <phoneticPr fontId="3" type="noConversion"/>
  </si>
  <si>
    <t xml:space="preserve"> '98.5.8</t>
    <phoneticPr fontId="3" type="noConversion"/>
  </si>
  <si>
    <t>소양호</t>
    <phoneticPr fontId="3" type="noConversion"/>
  </si>
  <si>
    <t>웅진리</t>
    <phoneticPr fontId="3" type="noConversion"/>
  </si>
  <si>
    <t>양구읍웅진리397-4</t>
    <phoneticPr fontId="3" type="noConversion"/>
  </si>
  <si>
    <t xml:space="preserve"> '97.3.22</t>
    <phoneticPr fontId="3" type="noConversion"/>
  </si>
  <si>
    <t>도사리</t>
    <phoneticPr fontId="3" type="noConversion"/>
  </si>
  <si>
    <t>양구읍도사리221-9</t>
    <phoneticPr fontId="3" type="noConversion"/>
  </si>
  <si>
    <t xml:space="preserve"> '98.11.3</t>
    <phoneticPr fontId="3" type="noConversion"/>
  </si>
  <si>
    <t>한전천</t>
    <phoneticPr fontId="3" type="noConversion"/>
  </si>
  <si>
    <t>하3리</t>
    <phoneticPr fontId="3" type="noConversion"/>
  </si>
  <si>
    <t>양구읍하3리214-11</t>
    <phoneticPr fontId="3" type="noConversion"/>
  </si>
  <si>
    <t xml:space="preserve"> '00.4.28</t>
    <phoneticPr fontId="3" type="noConversion"/>
  </si>
  <si>
    <t>고대리</t>
    <phoneticPr fontId="3" type="noConversion"/>
  </si>
  <si>
    <t>양구읍고대리211-7</t>
    <phoneticPr fontId="3" type="noConversion"/>
  </si>
  <si>
    <t>안대리</t>
    <phoneticPr fontId="3" type="noConversion"/>
  </si>
  <si>
    <t>양구읍안대리4-8</t>
    <phoneticPr fontId="3" type="noConversion"/>
  </si>
  <si>
    <t xml:space="preserve"> '99.4.21</t>
    <phoneticPr fontId="3" type="noConversion"/>
  </si>
  <si>
    <t>동수리</t>
    <phoneticPr fontId="3" type="noConversion"/>
  </si>
  <si>
    <t>양구읍동수리78-1</t>
    <phoneticPr fontId="3" type="noConversion"/>
  </si>
  <si>
    <t xml:space="preserve"> '01.5.8</t>
    <phoneticPr fontId="3" type="noConversion"/>
  </si>
  <si>
    <t>구암리</t>
    <phoneticPr fontId="3" type="noConversion"/>
  </si>
  <si>
    <t>남면구암리374-2</t>
    <phoneticPr fontId="3" type="noConversion"/>
  </si>
  <si>
    <t xml:space="preserve"> '91.12.18</t>
    <phoneticPr fontId="3" type="noConversion"/>
  </si>
  <si>
    <t>가오작1리</t>
    <phoneticPr fontId="3" type="noConversion"/>
  </si>
  <si>
    <t>남면가오작1리837</t>
    <phoneticPr fontId="3" type="noConversion"/>
  </si>
  <si>
    <t xml:space="preserve"> '93.5.21</t>
    <phoneticPr fontId="3" type="noConversion"/>
  </si>
  <si>
    <t>가오작2리</t>
    <phoneticPr fontId="3" type="noConversion"/>
  </si>
  <si>
    <t>남면가오작2리1044-1</t>
    <phoneticPr fontId="3" type="noConversion"/>
  </si>
  <si>
    <t xml:space="preserve"> '92.12.7</t>
    <phoneticPr fontId="3" type="noConversion"/>
  </si>
  <si>
    <t>적리</t>
    <phoneticPr fontId="3" type="noConversion"/>
  </si>
  <si>
    <t>남면적리458</t>
    <phoneticPr fontId="3" type="noConversion"/>
  </si>
  <si>
    <t xml:space="preserve"> '95.12.1</t>
    <phoneticPr fontId="3" type="noConversion"/>
  </si>
  <si>
    <t>청1리</t>
    <phoneticPr fontId="3" type="noConversion"/>
  </si>
  <si>
    <t>남면청1리1038-4</t>
    <phoneticPr fontId="3" type="noConversion"/>
  </si>
  <si>
    <t xml:space="preserve"> '97.4.21</t>
    <phoneticPr fontId="3" type="noConversion"/>
  </si>
  <si>
    <t>황강리</t>
    <phoneticPr fontId="3" type="noConversion"/>
  </si>
  <si>
    <t>남면황강리340</t>
    <phoneticPr fontId="3" type="noConversion"/>
  </si>
  <si>
    <t xml:space="preserve"> '97.7.24</t>
    <phoneticPr fontId="3" type="noConversion"/>
  </si>
  <si>
    <t>죽1리</t>
    <phoneticPr fontId="3" type="noConversion"/>
  </si>
  <si>
    <t>남면죽1리611-4</t>
    <phoneticPr fontId="3" type="noConversion"/>
  </si>
  <si>
    <t xml:space="preserve"> '98.7.30</t>
    <phoneticPr fontId="3" type="noConversion"/>
  </si>
  <si>
    <t>심포리</t>
    <phoneticPr fontId="3" type="noConversion"/>
  </si>
  <si>
    <t>남면심포리352</t>
    <phoneticPr fontId="3" type="noConversion"/>
  </si>
  <si>
    <t xml:space="preserve"> '02.4.18</t>
    <phoneticPr fontId="3" type="noConversion"/>
  </si>
  <si>
    <t>임당1리</t>
    <phoneticPr fontId="3" type="noConversion"/>
  </si>
  <si>
    <t>동면임당1리988-1</t>
    <phoneticPr fontId="3" type="noConversion"/>
  </si>
  <si>
    <t xml:space="preserve"> '99.6.12</t>
    <phoneticPr fontId="3" type="noConversion"/>
  </si>
  <si>
    <t>임당2리</t>
    <phoneticPr fontId="3" type="noConversion"/>
  </si>
  <si>
    <t>동면임당2리434-2</t>
    <phoneticPr fontId="3" type="noConversion"/>
  </si>
  <si>
    <t>지석1리</t>
    <phoneticPr fontId="3" type="noConversion"/>
  </si>
  <si>
    <t>동면지석1리997-1</t>
    <phoneticPr fontId="3" type="noConversion"/>
  </si>
  <si>
    <t xml:space="preserve"> '99.5.9</t>
    <phoneticPr fontId="3" type="noConversion"/>
  </si>
  <si>
    <t>지석2리</t>
    <phoneticPr fontId="3" type="noConversion"/>
  </si>
  <si>
    <t>동면지석2리48-5</t>
    <phoneticPr fontId="3" type="noConversion"/>
  </si>
  <si>
    <t xml:space="preserve"> '97.5.7</t>
    <phoneticPr fontId="3" type="noConversion"/>
  </si>
  <si>
    <t>월운리</t>
    <phoneticPr fontId="3" type="noConversion"/>
  </si>
  <si>
    <t>동면월운리84-4</t>
    <phoneticPr fontId="3" type="noConversion"/>
  </si>
  <si>
    <t>팔랑2리</t>
    <phoneticPr fontId="3" type="noConversion"/>
  </si>
  <si>
    <t>동면팔랑리1473-3</t>
    <phoneticPr fontId="3" type="noConversion"/>
  </si>
  <si>
    <t xml:space="preserve"> '95.4.29</t>
    <phoneticPr fontId="3" type="noConversion"/>
  </si>
  <si>
    <t>임당리(골말)</t>
    <phoneticPr fontId="3" type="noConversion"/>
  </si>
  <si>
    <t>동면임당리70-1</t>
    <phoneticPr fontId="3" type="noConversion"/>
  </si>
  <si>
    <t>발효칩처리시스템정화</t>
    <phoneticPr fontId="3" type="noConversion"/>
  </si>
  <si>
    <t xml:space="preserve"> '01.5.2</t>
    <phoneticPr fontId="3" type="noConversion"/>
  </si>
  <si>
    <t>원당리</t>
    <phoneticPr fontId="3" type="noConversion"/>
  </si>
  <si>
    <t>동면원당리842</t>
    <phoneticPr fontId="3" type="noConversion"/>
  </si>
  <si>
    <t xml:space="preserve"> '01.6.14</t>
    <phoneticPr fontId="3" type="noConversion"/>
  </si>
  <si>
    <t>후곡리</t>
    <phoneticPr fontId="3" type="noConversion"/>
  </si>
  <si>
    <t>동면후곡리768</t>
    <phoneticPr fontId="3" type="noConversion"/>
  </si>
  <si>
    <t xml:space="preserve"> '02.5.2</t>
    <phoneticPr fontId="3" type="noConversion"/>
  </si>
  <si>
    <t>팔랑1리</t>
    <phoneticPr fontId="3" type="noConversion"/>
  </si>
  <si>
    <t>동면팔랑1리1561-13</t>
    <phoneticPr fontId="3" type="noConversion"/>
  </si>
  <si>
    <t>CNR-PROCESS</t>
    <phoneticPr fontId="3" type="noConversion"/>
  </si>
  <si>
    <t xml:space="preserve"> '03.5.27</t>
    <phoneticPr fontId="3" type="noConversion"/>
  </si>
  <si>
    <t>동면지석리483</t>
    <phoneticPr fontId="3" type="noConversion"/>
  </si>
  <si>
    <t>덕곡1,2리</t>
    <phoneticPr fontId="3" type="noConversion"/>
  </si>
  <si>
    <t>동면덕곡2리643-1</t>
    <phoneticPr fontId="3" type="noConversion"/>
  </si>
  <si>
    <t>막일체형생물학적고도처리</t>
    <phoneticPr fontId="3" type="noConversion"/>
  </si>
  <si>
    <t xml:space="preserve"> '04.7.16</t>
    <phoneticPr fontId="3" type="noConversion"/>
  </si>
  <si>
    <t>장평리</t>
    <phoneticPr fontId="3" type="noConversion"/>
  </si>
  <si>
    <t>방산면장평리209-1</t>
    <phoneticPr fontId="3" type="noConversion"/>
  </si>
  <si>
    <t>송현리</t>
    <phoneticPr fontId="3" type="noConversion"/>
  </si>
  <si>
    <t>방산면송현리1095</t>
    <phoneticPr fontId="3" type="noConversion"/>
  </si>
  <si>
    <t>모관침윤트랜치</t>
    <phoneticPr fontId="3" type="noConversion"/>
  </si>
  <si>
    <t>공법상방류수채수불가</t>
    <phoneticPr fontId="3" type="noConversion"/>
  </si>
  <si>
    <t xml:space="preserve"> '97.4.28</t>
    <phoneticPr fontId="3" type="noConversion"/>
  </si>
  <si>
    <t>장평,현리</t>
    <phoneticPr fontId="3" type="noConversion"/>
  </si>
  <si>
    <t>방산면현리189-2</t>
    <phoneticPr fontId="3" type="noConversion"/>
  </si>
  <si>
    <t xml:space="preserve"> '00.11.3</t>
    <phoneticPr fontId="3" type="noConversion"/>
  </si>
  <si>
    <t>금악리4반</t>
    <phoneticPr fontId="3" type="noConversion"/>
  </si>
  <si>
    <t>방산면금악리4반905-11</t>
    <phoneticPr fontId="3" type="noConversion"/>
  </si>
  <si>
    <t xml:space="preserve"> '98.4.27</t>
    <phoneticPr fontId="3" type="noConversion"/>
  </si>
  <si>
    <t>오미리1반</t>
    <phoneticPr fontId="3" type="noConversion"/>
  </si>
  <si>
    <t>오미리1111</t>
    <phoneticPr fontId="3" type="noConversion"/>
  </si>
  <si>
    <t>선회와류식SBR</t>
    <phoneticPr fontId="3" type="noConversion"/>
  </si>
  <si>
    <t xml:space="preserve"> '05.05.20</t>
    <phoneticPr fontId="3" type="noConversion"/>
  </si>
  <si>
    <t>현3리</t>
    <phoneticPr fontId="3" type="noConversion"/>
  </si>
  <si>
    <t>해안면현리411-1</t>
    <phoneticPr fontId="3" type="noConversion"/>
  </si>
  <si>
    <t xml:space="preserve"> '96.5.17</t>
    <phoneticPr fontId="3" type="noConversion"/>
  </si>
  <si>
    <t>성황천</t>
    <phoneticPr fontId="3" type="noConversion"/>
  </si>
  <si>
    <t>오유리</t>
    <phoneticPr fontId="3" type="noConversion"/>
  </si>
  <si>
    <t>해안면오유리110</t>
    <phoneticPr fontId="3" type="noConversion"/>
  </si>
  <si>
    <t xml:space="preserve"> '98.7.10</t>
    <phoneticPr fontId="3" type="noConversion"/>
  </si>
  <si>
    <t>만대리</t>
    <phoneticPr fontId="3" type="noConversion"/>
  </si>
  <si>
    <t>해안면만대리1266</t>
    <phoneticPr fontId="3" type="noConversion"/>
  </si>
  <si>
    <t xml:space="preserve"> '02.4.26</t>
    <phoneticPr fontId="3" type="noConversion"/>
  </si>
  <si>
    <t>현1.2리</t>
    <phoneticPr fontId="3" type="noConversion"/>
  </si>
  <si>
    <t>해안면현리9-5</t>
    <phoneticPr fontId="3" type="noConversion"/>
  </si>
  <si>
    <t xml:space="preserve"> '01.11.2</t>
    <phoneticPr fontId="3" type="noConversion"/>
  </si>
  <si>
    <t>오유1리</t>
    <phoneticPr fontId="3" type="noConversion"/>
  </si>
  <si>
    <t>해안면오유리1리64-19</t>
    <phoneticPr fontId="3" type="noConversion"/>
  </si>
  <si>
    <t xml:space="preserve"> '04.5.27</t>
    <phoneticPr fontId="3" type="noConversion"/>
  </si>
  <si>
    <t xml:space="preserve"> 인제하수
 처리장</t>
    <phoneticPr fontId="3" type="noConversion"/>
  </si>
  <si>
    <t>인제읍 남북리 520</t>
    <phoneticPr fontId="3" type="noConversion"/>
  </si>
  <si>
    <t xml:space="preserve">SBR </t>
    <phoneticPr fontId="3" type="noConversion"/>
  </si>
  <si>
    <t>460-2133</t>
    <phoneticPr fontId="3" type="noConversion"/>
  </si>
  <si>
    <t>'03.04.04</t>
    <phoneticPr fontId="3" type="noConversion"/>
  </si>
  <si>
    <t>uv</t>
    <phoneticPr fontId="3" type="noConversion"/>
  </si>
  <si>
    <t>기린하수처리장</t>
    <phoneticPr fontId="3" type="noConversion"/>
  </si>
  <si>
    <t>기린면 현리 615</t>
    <phoneticPr fontId="3" type="noConversion"/>
  </si>
  <si>
    <t xml:space="preserve"> 고사마을</t>
    <phoneticPr fontId="3" type="noConversion"/>
  </si>
  <si>
    <t>인제읍 고사리 577</t>
    <phoneticPr fontId="3" type="noConversion"/>
  </si>
  <si>
    <t>­</t>
    <phoneticPr fontId="3" type="noConversion"/>
  </si>
  <si>
    <t>BSTS-Ⅱ</t>
    <phoneticPr fontId="3" type="noConversion"/>
  </si>
  <si>
    <t>460-2133</t>
  </si>
  <si>
    <t>'05.12.20</t>
    <phoneticPr fontId="3" type="noConversion"/>
  </si>
  <si>
    <t>용대</t>
    <phoneticPr fontId="3" type="noConversion"/>
  </si>
  <si>
    <t>북면 용대리 503</t>
    <phoneticPr fontId="3" type="noConversion"/>
  </si>
  <si>
    <t>변형회분식활성슬러지</t>
    <phoneticPr fontId="3" type="noConversion"/>
  </si>
  <si>
    <t>'02.12.20</t>
    <phoneticPr fontId="3" type="noConversion"/>
  </si>
  <si>
    <t>서화</t>
    <phoneticPr fontId="3" type="noConversion"/>
  </si>
  <si>
    <t>서화면 서화리 1034-5</t>
    <phoneticPr fontId="3" type="noConversion"/>
  </si>
  <si>
    <t>고효율접촉산화</t>
    <phoneticPr fontId="3" type="noConversion"/>
  </si>
  <si>
    <t>'93.12.16</t>
    <phoneticPr fontId="3" type="noConversion"/>
  </si>
  <si>
    <t>상남</t>
    <phoneticPr fontId="3" type="noConversion"/>
  </si>
  <si>
    <t>상남면 상남리 109</t>
    <phoneticPr fontId="3" type="noConversion"/>
  </si>
  <si>
    <t>'94.12.16</t>
    <phoneticPr fontId="3" type="noConversion"/>
  </si>
  <si>
    <t>신남</t>
    <phoneticPr fontId="3" type="noConversion"/>
  </si>
  <si>
    <t>남면 신남리 186-4</t>
    <phoneticPr fontId="3" type="noConversion"/>
  </si>
  <si>
    <t>'98.12.31</t>
    <phoneticPr fontId="3" type="noConversion"/>
  </si>
  <si>
    <t>남면 어론리 818</t>
    <phoneticPr fontId="3" type="noConversion"/>
  </si>
  <si>
    <t>자연여과형접촉포기</t>
    <phoneticPr fontId="3" type="noConversion"/>
  </si>
  <si>
    <t>'04.12.31</t>
    <phoneticPr fontId="3" type="noConversion"/>
  </si>
  <si>
    <t>군량밭</t>
    <phoneticPr fontId="3" type="noConversion"/>
  </si>
  <si>
    <t>인제읍 귀둔리</t>
    <phoneticPr fontId="3" type="noConversion"/>
  </si>
  <si>
    <t>목편발효칩공법</t>
    <phoneticPr fontId="3" type="noConversion"/>
  </si>
  <si>
    <t>서리</t>
    <phoneticPr fontId="3" type="noConversion"/>
  </si>
  <si>
    <t>기린면 서리 453</t>
    <phoneticPr fontId="3" type="noConversion"/>
  </si>
  <si>
    <t>'04.07.30</t>
    <phoneticPr fontId="3" type="noConversion"/>
  </si>
  <si>
    <t>간성읍 동호리 790-3</t>
    <phoneticPr fontId="3" type="noConversion"/>
  </si>
  <si>
    <t>D.N.R</t>
    <phoneticPr fontId="3" type="noConversion"/>
  </si>
  <si>
    <t>680-3768</t>
    <phoneticPr fontId="3" type="noConversion"/>
  </si>
  <si>
    <t>'04.11.30</t>
    <phoneticPr fontId="3" type="noConversion"/>
  </si>
  <si>
    <t>흘리</t>
    <phoneticPr fontId="3" type="noConversion"/>
  </si>
  <si>
    <t>간성읍 흘리 92-2</t>
    <phoneticPr fontId="3" type="noConversion"/>
  </si>
  <si>
    <t>거진읍 거진리 471-5</t>
    <phoneticPr fontId="3" type="noConversion"/>
  </si>
  <si>
    <t>680-3769</t>
    <phoneticPr fontId="3" type="noConversion"/>
  </si>
  <si>
    <t>'04.10.25</t>
    <phoneticPr fontId="3" type="noConversion"/>
  </si>
  <si>
    <t>자산천</t>
    <phoneticPr fontId="3" type="noConversion"/>
  </si>
  <si>
    <t>죽정</t>
    <phoneticPr fontId="3" type="noConversion"/>
  </si>
  <si>
    <t>현내면 죽정리 863-1</t>
    <phoneticPr fontId="3" type="noConversion"/>
  </si>
  <si>
    <t>화진포</t>
    <phoneticPr fontId="3" type="noConversion"/>
  </si>
  <si>
    <t>거진읍 송정리</t>
    <phoneticPr fontId="3" type="noConversion"/>
  </si>
  <si>
    <t>활성오니+살수여상</t>
    <phoneticPr fontId="3" type="noConversion"/>
  </si>
  <si>
    <t>초도</t>
    <phoneticPr fontId="3" type="noConversion"/>
  </si>
  <si>
    <t>현내면 초도리 320-17</t>
    <phoneticPr fontId="3" type="noConversion"/>
  </si>
  <si>
    <t>침지식
막분리공법</t>
    <phoneticPr fontId="3" type="noConversion"/>
  </si>
  <si>
    <t>학야</t>
    <phoneticPr fontId="3" type="noConversion"/>
  </si>
  <si>
    <t>토성면 학야리 221</t>
    <phoneticPr fontId="3" type="noConversion"/>
  </si>
  <si>
    <t>N.P.R</t>
    <phoneticPr fontId="3" type="noConversion"/>
  </si>
  <si>
    <t>문암천</t>
    <phoneticPr fontId="3" type="noConversion"/>
  </si>
  <si>
    <t>토성면 신평리 112-1</t>
    <phoneticPr fontId="3" type="noConversion"/>
  </si>
  <si>
    <t>천진천</t>
    <phoneticPr fontId="3" type="noConversion"/>
  </si>
  <si>
    <t>양양읍 조산리 80-8</t>
    <phoneticPr fontId="3" type="noConversion"/>
  </si>
  <si>
    <t>'03.7.1</t>
    <phoneticPr fontId="3" type="noConversion"/>
  </si>
  <si>
    <t>현남면 인구리 67-1</t>
    <phoneticPr fontId="3" type="noConversion"/>
  </si>
  <si>
    <t>05. 4.1</t>
    <phoneticPr fontId="3" type="noConversion"/>
  </si>
  <si>
    <t>해송천</t>
    <phoneticPr fontId="3" type="noConversion"/>
  </si>
  <si>
    <t>공수전리</t>
    <phoneticPr fontId="3" type="noConversion"/>
  </si>
  <si>
    <t>서면 공수전리 60-1</t>
    <phoneticPr fontId="3" type="noConversion"/>
  </si>
  <si>
    <t>토양식오수정화장치</t>
    <phoneticPr fontId="3" type="noConversion"/>
  </si>
  <si>
    <t>'95.12.13</t>
    <phoneticPr fontId="3" type="noConversion"/>
  </si>
  <si>
    <t>후천</t>
    <phoneticPr fontId="3" type="noConversion"/>
  </si>
  <si>
    <t>남대천
동해</t>
    <phoneticPr fontId="3" type="noConversion"/>
  </si>
  <si>
    <t>손양문화</t>
    <phoneticPr fontId="3" type="noConversion"/>
  </si>
  <si>
    <t>손양면 도화리 102-2</t>
    <phoneticPr fontId="3" type="noConversion"/>
  </si>
  <si>
    <t>630-0140</t>
    <phoneticPr fontId="3" type="noConversion"/>
  </si>
  <si>
    <t>'98.10.27</t>
    <phoneticPr fontId="3" type="noConversion"/>
  </si>
  <si>
    <t>동호리</t>
    <phoneticPr fontId="3" type="noConversion"/>
  </si>
  <si>
    <t>손양면 동호리 1-66</t>
    <phoneticPr fontId="3" type="noConversion"/>
  </si>
  <si>
    <t>접촉폭기법</t>
    <phoneticPr fontId="3" type="noConversion"/>
  </si>
  <si>
    <t>'05.12.1</t>
    <phoneticPr fontId="3" type="noConversion"/>
  </si>
  <si>
    <t>잔교리</t>
    <phoneticPr fontId="3" type="noConversion"/>
  </si>
  <si>
    <t>현북면 잔교리 67</t>
    <phoneticPr fontId="3" type="noConversion"/>
  </si>
  <si>
    <t>'99.11.23</t>
    <phoneticPr fontId="3" type="noConversion"/>
  </si>
  <si>
    <t>잔교천</t>
    <phoneticPr fontId="3" type="noConversion"/>
  </si>
  <si>
    <t>남애3리
68해일주택</t>
    <phoneticPr fontId="3" type="noConversion"/>
  </si>
  <si>
    <t>현남면 남애리 6-2</t>
    <phoneticPr fontId="3" type="noConversion"/>
  </si>
  <si>
    <t>고효율오수합병정화장치</t>
    <phoneticPr fontId="3" type="noConversion"/>
  </si>
  <si>
    <t>'00.1.19</t>
    <phoneticPr fontId="3" type="noConversion"/>
  </si>
  <si>
    <t>광진리</t>
    <phoneticPr fontId="3" type="noConversion"/>
  </si>
  <si>
    <t>현남면 광진리234-5번지선</t>
    <phoneticPr fontId="3" type="noConversion"/>
  </si>
  <si>
    <t>자연여과형접촉폭기식</t>
    <phoneticPr fontId="3" type="noConversion"/>
  </si>
  <si>
    <t>'00.12.15</t>
    <phoneticPr fontId="3" type="noConversion"/>
  </si>
  <si>
    <t>동산리</t>
    <phoneticPr fontId="3" type="noConversion"/>
  </si>
  <si>
    <t>현남면동산리35</t>
    <phoneticPr fontId="3" type="noConversion"/>
  </si>
  <si>
    <t>고효율오수합병정화조</t>
    <phoneticPr fontId="3" type="noConversion"/>
  </si>
  <si>
    <t>'01.12.26</t>
    <phoneticPr fontId="3" type="noConversion"/>
  </si>
  <si>
    <t>상복리</t>
    <phoneticPr fontId="3" type="noConversion"/>
  </si>
  <si>
    <t>강현면 상복리 1004, 중복리458</t>
    <phoneticPr fontId="3" type="noConversion"/>
  </si>
  <si>
    <t>강선천</t>
    <phoneticPr fontId="3" type="noConversion"/>
  </si>
  <si>
    <t>청원군 옥산면 가락리 79-5</t>
    <phoneticPr fontId="3" type="noConversion"/>
  </si>
  <si>
    <t>표준활성
 슬러지법</t>
    <phoneticPr fontId="3" type="noConversion"/>
  </si>
  <si>
    <t>CNR공법(공사중)</t>
    <phoneticPr fontId="3" type="noConversion"/>
  </si>
  <si>
    <t>92.
4.30</t>
    <phoneticPr fontId="3" type="noConversion"/>
  </si>
  <si>
    <t>봉방동 553</t>
    <phoneticPr fontId="3" type="noConversion"/>
  </si>
  <si>
    <t>850-3850</t>
    <phoneticPr fontId="3" type="noConversion"/>
  </si>
  <si>
    <t>95.
10.23</t>
    <phoneticPr fontId="3" type="noConversion"/>
  </si>
  <si>
    <t>소가주</t>
    <phoneticPr fontId="3" type="noConversion"/>
  </si>
  <si>
    <t>가주동 257-1</t>
    <phoneticPr fontId="3" type="noConversion"/>
  </si>
  <si>
    <t>고효율오수합병정화법+수초이용자연정화법</t>
    <phoneticPr fontId="3" type="noConversion"/>
  </si>
  <si>
    <t>850-3871</t>
    <phoneticPr fontId="3" type="noConversion"/>
  </si>
  <si>
    <t>01.1.5</t>
    <phoneticPr fontId="3" type="noConversion"/>
  </si>
  <si>
    <t>상용관</t>
    <phoneticPr fontId="3" type="noConversion"/>
  </si>
  <si>
    <t>용관동 56-10</t>
    <phoneticPr fontId="3" type="noConversion"/>
  </si>
  <si>
    <t>흡입식분리막공법</t>
    <phoneticPr fontId="3" type="noConversion"/>
  </si>
  <si>
    <t>00.8.8</t>
    <phoneticPr fontId="3" type="noConversion"/>
  </si>
  <si>
    <t>주덕</t>
    <phoneticPr fontId="3" type="noConversion"/>
  </si>
  <si>
    <t>이류면 장성리 323</t>
    <phoneticPr fontId="3" type="noConversion"/>
  </si>
  <si>
    <t>850-7491</t>
    <phoneticPr fontId="3" type="noConversion"/>
  </si>
  <si>
    <t>06.
10.31</t>
    <phoneticPr fontId="3" type="noConversion"/>
  </si>
  <si>
    <t>자랑골</t>
    <phoneticPr fontId="3" type="noConversion"/>
  </si>
  <si>
    <t>설운리 210-4</t>
    <phoneticPr fontId="3" type="noConversion"/>
  </si>
  <si>
    <t>변형회분식활성슬러지법</t>
    <phoneticPr fontId="3" type="noConversion"/>
  </si>
  <si>
    <t>00.
6.14</t>
    <phoneticPr fontId="3" type="noConversion"/>
  </si>
  <si>
    <t>벌말</t>
    <phoneticPr fontId="3" type="noConversion"/>
  </si>
  <si>
    <t>세성리 660-26</t>
    <phoneticPr fontId="3" type="noConversion"/>
  </si>
  <si>
    <t>00.
12.27</t>
    <phoneticPr fontId="3" type="noConversion"/>
  </si>
  <si>
    <t>셋계</t>
    <phoneticPr fontId="3" type="noConversion"/>
  </si>
  <si>
    <t>향산리 650-4</t>
    <phoneticPr fontId="3" type="noConversion"/>
  </si>
  <si>
    <t>01.
12.27</t>
    <phoneticPr fontId="3" type="noConversion"/>
  </si>
  <si>
    <t>새술막</t>
    <phoneticPr fontId="3" type="noConversion"/>
  </si>
  <si>
    <t>세성리 314-10</t>
    <phoneticPr fontId="3" type="noConversion"/>
  </si>
  <si>
    <t>04.
02.24</t>
    <phoneticPr fontId="3" type="noConversion"/>
  </si>
  <si>
    <t>점말</t>
    <phoneticPr fontId="3" type="noConversion"/>
  </si>
  <si>
    <t>설운리 453-7</t>
    <phoneticPr fontId="3" type="noConversion"/>
  </si>
  <si>
    <t>대향산</t>
    <phoneticPr fontId="3" type="noConversion"/>
  </si>
  <si>
    <t>향산리 219-2</t>
    <phoneticPr fontId="3" type="noConversion"/>
  </si>
  <si>
    <t>접촉산화법+수초이용자연정화법</t>
    <phoneticPr fontId="3" type="noConversion"/>
  </si>
  <si>
    <t>00.
8.9</t>
    <phoneticPr fontId="3" type="noConversion"/>
  </si>
  <si>
    <t>쌍천</t>
    <phoneticPr fontId="3" type="noConversion"/>
  </si>
  <si>
    <t>용천리 47-2</t>
    <phoneticPr fontId="3" type="noConversion"/>
  </si>
  <si>
    <t>850-6432</t>
    <phoneticPr fontId="3" type="noConversion"/>
  </si>
  <si>
    <t>02.
12.27</t>
    <phoneticPr fontId="3" type="noConversion"/>
  </si>
  <si>
    <t>수회리 785-1</t>
    <phoneticPr fontId="3" type="noConversion"/>
  </si>
  <si>
    <t>회전원판접촉</t>
    <phoneticPr fontId="3" type="noConversion"/>
  </si>
  <si>
    <t>850-3895</t>
    <phoneticPr fontId="3" type="noConversion"/>
  </si>
  <si>
    <t>98.
12.8</t>
    <phoneticPr fontId="3" type="noConversion"/>
  </si>
  <si>
    <t>미륵리</t>
    <phoneticPr fontId="3" type="noConversion"/>
  </si>
  <si>
    <t>미륵리 207</t>
    <phoneticPr fontId="3" type="noConversion"/>
  </si>
  <si>
    <t>04.
6.15</t>
    <phoneticPr fontId="3" type="noConversion"/>
  </si>
  <si>
    <t>수주</t>
    <phoneticPr fontId="3" type="noConversion"/>
  </si>
  <si>
    <t>문주리 233</t>
    <phoneticPr fontId="3" type="noConversion"/>
  </si>
  <si>
    <t>Y-M접촉산화공법</t>
    <phoneticPr fontId="3" type="noConversion"/>
  </si>
  <si>
    <t>00.
9.24</t>
    <phoneticPr fontId="3" type="noConversion"/>
  </si>
  <si>
    <t>앙성</t>
    <phoneticPr fontId="3" type="noConversion"/>
  </si>
  <si>
    <t>용대리 36-2</t>
    <phoneticPr fontId="3" type="noConversion"/>
  </si>
  <si>
    <t>HANT</t>
    <phoneticPr fontId="3" type="noConversion"/>
  </si>
  <si>
    <t>850-3861</t>
    <phoneticPr fontId="3" type="noConversion"/>
  </si>
  <si>
    <t>06.
7.21</t>
    <phoneticPr fontId="3" type="noConversion"/>
  </si>
  <si>
    <t>능암</t>
    <phoneticPr fontId="3" type="noConversion"/>
  </si>
  <si>
    <t>능암리 291-1</t>
    <phoneticPr fontId="3" type="noConversion"/>
  </si>
  <si>
    <t>CASS-SBR</t>
    <phoneticPr fontId="3" type="noConversion"/>
  </si>
  <si>
    <t>상대촌</t>
    <phoneticPr fontId="3" type="noConversion"/>
  </si>
  <si>
    <t>지당리 471-10</t>
    <phoneticPr fontId="3" type="noConversion"/>
  </si>
  <si>
    <t>수초이용고도자연정화법</t>
    <phoneticPr fontId="3" type="noConversion"/>
  </si>
  <si>
    <t>04.
2.24</t>
    <phoneticPr fontId="3" type="noConversion"/>
  </si>
  <si>
    <t>화동</t>
    <phoneticPr fontId="3" type="noConversion"/>
  </si>
  <si>
    <t>유송리 344-6</t>
    <phoneticPr fontId="3" type="noConversion"/>
  </si>
  <si>
    <t>00.
6.30</t>
    <phoneticPr fontId="3" type="noConversion"/>
  </si>
  <si>
    <t>축동</t>
    <phoneticPr fontId="3" type="noConversion"/>
  </si>
  <si>
    <t>잠병리 737</t>
    <phoneticPr fontId="3" type="noConversion"/>
  </si>
  <si>
    <t>01.
9.3</t>
    <phoneticPr fontId="3" type="noConversion"/>
  </si>
  <si>
    <t>도촌</t>
    <phoneticPr fontId="3" type="noConversion"/>
  </si>
  <si>
    <t>도촌리 649</t>
    <phoneticPr fontId="3" type="noConversion"/>
  </si>
  <si>
    <t>고효율오수합병정화법</t>
    <phoneticPr fontId="3" type="noConversion"/>
  </si>
  <si>
    <t>850-5731</t>
    <phoneticPr fontId="3" type="noConversion"/>
  </si>
  <si>
    <t>01.
1.5</t>
    <phoneticPr fontId="3" type="noConversion"/>
  </si>
  <si>
    <t>용교리 702-10</t>
    <phoneticPr fontId="3" type="noConversion"/>
  </si>
  <si>
    <t>03.
12.3</t>
    <phoneticPr fontId="3" type="noConversion"/>
  </si>
  <si>
    <t>동량</t>
    <phoneticPr fontId="3" type="noConversion"/>
  </si>
  <si>
    <t>조동리 1353-6</t>
    <phoneticPr fontId="3" type="noConversion"/>
  </si>
  <si>
    <t>선회와류식활성슬러지법</t>
    <phoneticPr fontId="3" type="noConversion"/>
  </si>
  <si>
    <t>06.
11.9</t>
    <phoneticPr fontId="3" type="noConversion"/>
  </si>
  <si>
    <t>송강리 1858-53</t>
    <phoneticPr fontId="3" type="noConversion"/>
  </si>
  <si>
    <t>00.
7.6</t>
    <phoneticPr fontId="3" type="noConversion"/>
  </si>
  <si>
    <t>율능</t>
    <phoneticPr fontId="3" type="noConversion"/>
  </si>
  <si>
    <t>율능리 169-4</t>
    <phoneticPr fontId="3" type="noConversion"/>
  </si>
  <si>
    <t>회분식활성슬러지법+수초이용자연정화법</t>
    <phoneticPr fontId="3" type="noConversion"/>
  </si>
  <si>
    <t>00.
7.10</t>
    <phoneticPr fontId="3" type="noConversion"/>
  </si>
  <si>
    <t>동계</t>
    <phoneticPr fontId="3" type="noConversion"/>
  </si>
  <si>
    <t>목계리 48-2</t>
    <phoneticPr fontId="3" type="noConversion"/>
  </si>
  <si>
    <t>바투바이오휠터공법</t>
    <phoneticPr fontId="3" type="noConversion"/>
  </si>
  <si>
    <t>04.
2.26</t>
    <phoneticPr fontId="3" type="noConversion"/>
  </si>
  <si>
    <t>주치리 685-5</t>
    <phoneticPr fontId="3" type="noConversion"/>
  </si>
  <si>
    <t>복탄</t>
    <phoneticPr fontId="3" type="noConversion"/>
  </si>
  <si>
    <t>복탄리 885</t>
    <phoneticPr fontId="3" type="noConversion"/>
  </si>
  <si>
    <t>고효율합병정화시설</t>
    <phoneticPr fontId="3" type="noConversion"/>
  </si>
  <si>
    <t>별묘</t>
    <phoneticPr fontId="3" type="noConversion"/>
  </si>
  <si>
    <t>오량리 698</t>
    <phoneticPr fontId="3" type="noConversion"/>
  </si>
  <si>
    <t>접촉산화법+중공사막공법</t>
    <phoneticPr fontId="3" type="noConversion"/>
  </si>
  <si>
    <t>00.
8.18</t>
    <phoneticPr fontId="3" type="noConversion"/>
  </si>
  <si>
    <t>천남동50</t>
    <phoneticPr fontId="3" type="noConversion"/>
  </si>
  <si>
    <t>표준활성
슬러지법</t>
    <phoneticPr fontId="3" type="noConversion"/>
  </si>
  <si>
    <t>641-4180</t>
    <phoneticPr fontId="3" type="noConversion"/>
  </si>
  <si>
    <t>91.
6.8</t>
    <phoneticPr fontId="3" type="noConversion"/>
  </si>
  <si>
    <t>송학</t>
    <phoneticPr fontId="3" type="noConversion"/>
  </si>
  <si>
    <t>송학 장곡 612</t>
    <phoneticPr fontId="3" type="noConversion"/>
  </si>
  <si>
    <t>641-4173</t>
    <phoneticPr fontId="3" type="noConversion"/>
  </si>
  <si>
    <t>04.
10.05</t>
    <phoneticPr fontId="3" type="noConversion"/>
  </si>
  <si>
    <t>무도천</t>
    <phoneticPr fontId="3" type="noConversion"/>
  </si>
  <si>
    <t>금성성내1</t>
    <phoneticPr fontId="3" type="noConversion"/>
  </si>
  <si>
    <t>금성 성내 164-2</t>
  </si>
  <si>
    <t>회분식활성슬러지</t>
  </si>
  <si>
    <t>641-4173</t>
  </si>
  <si>
    <t>99.
11.10.</t>
    <phoneticPr fontId="3" type="noConversion"/>
  </si>
  <si>
    <t>염소
소독</t>
  </si>
  <si>
    <t>금성성내2</t>
    <phoneticPr fontId="3" type="noConversion"/>
  </si>
  <si>
    <t>금성 성내 164-6</t>
  </si>
  <si>
    <t>바이오휠터+약품처리</t>
  </si>
  <si>
    <t>01.
07.01.</t>
    <phoneticPr fontId="3" type="noConversion"/>
  </si>
  <si>
    <t>금성중전</t>
    <phoneticPr fontId="3" type="noConversion"/>
  </si>
  <si>
    <t>금성 중전 162-4</t>
  </si>
  <si>
    <t>변형회분식 활성슬러지</t>
  </si>
  <si>
    <t>금성포전</t>
    <phoneticPr fontId="3" type="noConversion"/>
  </si>
  <si>
    <t>금성 포전 246</t>
  </si>
  <si>
    <t>고효율합병정화조+생물막여과</t>
  </si>
  <si>
    <t>금성문화</t>
    <phoneticPr fontId="3" type="noConversion"/>
  </si>
  <si>
    <t>금성 구룡 466-75</t>
  </si>
  <si>
    <t>00.
03.23.</t>
    <phoneticPr fontId="3" type="noConversion"/>
  </si>
  <si>
    <t>금성큰말</t>
    <phoneticPr fontId="3" type="noConversion"/>
  </si>
  <si>
    <t>03.
06.25.</t>
    <phoneticPr fontId="3" type="noConversion"/>
  </si>
  <si>
    <t>청풍대류</t>
    <phoneticPr fontId="3" type="noConversion"/>
  </si>
  <si>
    <t>청풍 대류 191-6</t>
  </si>
  <si>
    <t>청풍도곡</t>
    <phoneticPr fontId="3" type="noConversion"/>
  </si>
  <si>
    <t>청풍 도곡 184-13</t>
  </si>
  <si>
    <t>00.
02.12.</t>
    <phoneticPr fontId="3" type="noConversion"/>
  </si>
  <si>
    <t>청풍북진</t>
    <phoneticPr fontId="3" type="noConversion"/>
  </si>
  <si>
    <t>금성 성내 200</t>
  </si>
  <si>
    <t>청풍물태
 기존</t>
    <phoneticPr fontId="3" type="noConversion"/>
  </si>
  <si>
    <t>청풍 물태 311</t>
  </si>
  <si>
    <t>03.
12.08.</t>
    <phoneticPr fontId="3" type="noConversion"/>
  </si>
  <si>
    <t>청풍물태
 문화</t>
    <phoneticPr fontId="3" type="noConversion"/>
  </si>
  <si>
    <t>수산고명</t>
    <phoneticPr fontId="3" type="noConversion"/>
  </si>
  <si>
    <t>수산 고명 201-4</t>
  </si>
  <si>
    <t>바이오휠터</t>
  </si>
  <si>
    <t>01.
03.17.</t>
    <phoneticPr fontId="3" type="noConversion"/>
  </si>
  <si>
    <t>고명천</t>
  </si>
  <si>
    <t>수산상천</t>
    <phoneticPr fontId="3" type="noConversion"/>
  </si>
  <si>
    <t>수산 상천 722-7</t>
  </si>
  <si>
    <t>B3공법</t>
  </si>
  <si>
    <t>수산수리</t>
    <phoneticPr fontId="3" type="noConversion"/>
  </si>
  <si>
    <t>수산 수리 326-1</t>
  </si>
  <si>
    <t>04.
02.04.</t>
    <phoneticPr fontId="3" type="noConversion"/>
  </si>
  <si>
    <t>덕산월약</t>
    <phoneticPr fontId="3" type="noConversion"/>
  </si>
  <si>
    <t>덕산 월악 611-1</t>
  </si>
  <si>
    <t>광천</t>
  </si>
  <si>
    <t>한수송계</t>
    <phoneticPr fontId="3" type="noConversion"/>
  </si>
  <si>
    <t>한수 송계 557-7</t>
  </si>
  <si>
    <t>동달천</t>
  </si>
  <si>
    <t>한수기존</t>
    <phoneticPr fontId="3" type="noConversion"/>
  </si>
  <si>
    <t>한수 송계 774</t>
  </si>
  <si>
    <t>백운매촌</t>
    <phoneticPr fontId="3" type="noConversion"/>
  </si>
  <si>
    <t>백운 원월 148-15</t>
  </si>
  <si>
    <t>수초골재    자연정화</t>
  </si>
  <si>
    <t>04.
05.31.</t>
    <phoneticPr fontId="3" type="noConversion"/>
  </si>
  <si>
    <t>제천천</t>
  </si>
  <si>
    <t>청풍학현</t>
    <phoneticPr fontId="3" type="noConversion"/>
  </si>
  <si>
    <t>청풍 학현 383</t>
  </si>
  <si>
    <t>03.
12.23.</t>
    <phoneticPr fontId="3" type="noConversion"/>
  </si>
  <si>
    <t>내수</t>
    <phoneticPr fontId="3" type="noConversion"/>
  </si>
  <si>
    <t>내수읍 내수리 366</t>
    <phoneticPr fontId="3" type="noConversion"/>
  </si>
  <si>
    <t>251-4902</t>
    <phoneticPr fontId="3" type="noConversion"/>
  </si>
  <si>
    <t>06.
07.01</t>
    <phoneticPr fontId="3" type="noConversion"/>
  </si>
  <si>
    <t>미원</t>
    <phoneticPr fontId="3" type="noConversion"/>
  </si>
  <si>
    <t>미원면 미원리463-2</t>
    <phoneticPr fontId="3" type="noConversion"/>
  </si>
  <si>
    <t>293-0208</t>
    <phoneticPr fontId="3" type="noConversion"/>
  </si>
  <si>
    <t>04.
12.30</t>
    <phoneticPr fontId="3" type="noConversion"/>
  </si>
  <si>
    <t>문의</t>
    <phoneticPr fontId="3" type="noConversion"/>
  </si>
  <si>
    <t>문의면미천리336-1</t>
    <phoneticPr fontId="3" type="noConversion"/>
  </si>
  <si>
    <t>장기
포기</t>
    <phoneticPr fontId="3" type="noConversion"/>
  </si>
  <si>
    <t>251-4442</t>
    <phoneticPr fontId="3" type="noConversion"/>
  </si>
  <si>
    <t>91.
7</t>
    <phoneticPr fontId="3" type="noConversion"/>
  </si>
  <si>
    <t>무심</t>
    <phoneticPr fontId="3" type="noConversion"/>
  </si>
  <si>
    <t>금강
서해</t>
    <phoneticPr fontId="3" type="noConversion"/>
  </si>
  <si>
    <t>품곡</t>
    <phoneticPr fontId="3" type="noConversion"/>
  </si>
  <si>
    <t>문의면 품곡리235-4</t>
    <phoneticPr fontId="3" type="noConversion"/>
  </si>
  <si>
    <t>산화구법</t>
  </si>
  <si>
    <t>99.
12</t>
    <phoneticPr fontId="3" type="noConversion"/>
  </si>
  <si>
    <t>등동천</t>
  </si>
  <si>
    <t>대청댐</t>
  </si>
  <si>
    <t>노현</t>
    <phoneticPr fontId="3" type="noConversion"/>
  </si>
  <si>
    <t>문의면노현리503</t>
    <phoneticPr fontId="3" type="noConversion"/>
  </si>
  <si>
    <t>장기포기</t>
    <phoneticPr fontId="3" type="noConversion"/>
  </si>
  <si>
    <t>251-4472</t>
    <phoneticPr fontId="3" type="noConversion"/>
  </si>
  <si>
    <t>92.
7</t>
    <phoneticPr fontId="3" type="noConversion"/>
  </si>
  <si>
    <t>강내기존</t>
    <phoneticPr fontId="3" type="noConversion"/>
  </si>
  <si>
    <t>강내면궁현리206-13</t>
    <phoneticPr fontId="3" type="noConversion"/>
  </si>
  <si>
    <t>목편발효칩</t>
    <phoneticPr fontId="3" type="noConversion"/>
  </si>
  <si>
    <t>01.
12.29</t>
    <phoneticPr fontId="3" type="noConversion"/>
  </si>
  <si>
    <t>동막천</t>
    <phoneticPr fontId="3" type="noConversion"/>
  </si>
  <si>
    <t>금강</t>
  </si>
  <si>
    <t>강내문화</t>
    <phoneticPr fontId="3" type="noConversion"/>
  </si>
  <si>
    <t>강내면궁현리223</t>
    <phoneticPr fontId="3" type="noConversion"/>
  </si>
  <si>
    <t>구방리</t>
    <phoneticPr fontId="3" type="noConversion"/>
  </si>
  <si>
    <t>미원면구방리107-1</t>
    <phoneticPr fontId="3" type="noConversion"/>
  </si>
  <si>
    <t>목편
발효칩</t>
    <phoneticPr fontId="3" type="noConversion"/>
  </si>
  <si>
    <t>02.
05.24</t>
    <phoneticPr fontId="3" type="noConversion"/>
  </si>
  <si>
    <t>금관2리</t>
    <phoneticPr fontId="3" type="noConversion"/>
  </si>
  <si>
    <t>미원면금관2리209-2</t>
    <phoneticPr fontId="3" type="noConversion"/>
  </si>
  <si>
    <t>활성슬
러지법</t>
    <phoneticPr fontId="3" type="noConversion"/>
  </si>
  <si>
    <t>00.
07.08</t>
    <phoneticPr fontId="3" type="noConversion"/>
  </si>
  <si>
    <t>박대천</t>
    <phoneticPr fontId="3" type="noConversion"/>
  </si>
  <si>
    <t>금관산촌</t>
    <phoneticPr fontId="3" type="noConversion"/>
  </si>
  <si>
    <t>미원면금관리342</t>
    <phoneticPr fontId="3" type="noConversion"/>
  </si>
  <si>
    <t>00.
12.29</t>
    <phoneticPr fontId="3" type="noConversion"/>
  </si>
  <si>
    <t>묵방1</t>
    <phoneticPr fontId="3" type="noConversion"/>
  </si>
  <si>
    <t>내수읍 묵방1리317-1</t>
    <phoneticPr fontId="3" type="noConversion"/>
  </si>
  <si>
    <t>표준활
성슬러
지법</t>
  </si>
  <si>
    <t>UV살균</t>
  </si>
  <si>
    <t>미호천</t>
  </si>
  <si>
    <t>묵방2</t>
    <phoneticPr fontId="3" type="noConversion"/>
  </si>
  <si>
    <t>내수읍묵방1 317-1</t>
    <phoneticPr fontId="3" type="noConversion"/>
  </si>
  <si>
    <t>금강서해</t>
  </si>
  <si>
    <t>비중문화</t>
    <phoneticPr fontId="3" type="noConversion"/>
  </si>
  <si>
    <t>내수읍 비중127-1</t>
    <phoneticPr fontId="3" type="noConversion"/>
  </si>
  <si>
    <t>99.
07.29</t>
    <phoneticPr fontId="3" type="noConversion"/>
  </si>
  <si>
    <t>선바위</t>
    <phoneticPr fontId="3" type="noConversion"/>
  </si>
  <si>
    <t>내수읍 입동149-8</t>
    <phoneticPr fontId="3" type="noConversion"/>
  </si>
  <si>
    <t>미설치</t>
  </si>
  <si>
    <t>98.
12.28</t>
    <phoneticPr fontId="3" type="noConversion"/>
  </si>
  <si>
    <t>어암2리</t>
    <phoneticPr fontId="3" type="noConversion"/>
  </si>
  <si>
    <t>미원면 어암2 22-2</t>
    <phoneticPr fontId="3" type="noConversion"/>
  </si>
  <si>
    <t>01.
09.13</t>
    <phoneticPr fontId="3" type="noConversion"/>
  </si>
  <si>
    <t>옥화1</t>
    <phoneticPr fontId="3" type="noConversion"/>
  </si>
  <si>
    <t>미원면 옥화1 117</t>
    <phoneticPr fontId="3" type="noConversion"/>
  </si>
  <si>
    <t>99.
05.03</t>
    <phoneticPr fontId="3" type="noConversion"/>
  </si>
  <si>
    <t>옥화2</t>
    <phoneticPr fontId="3" type="noConversion"/>
  </si>
  <si>
    <t>미원면 옥화2 159-1117</t>
    <phoneticPr fontId="3" type="noConversion"/>
  </si>
  <si>
    <t>UV살균</t>
    <phoneticPr fontId="3" type="noConversion"/>
  </si>
  <si>
    <t>외수</t>
    <phoneticPr fontId="3" type="noConversion"/>
  </si>
  <si>
    <t>내수읍 내수3리 322-7</t>
    <phoneticPr fontId="3" type="noConversion"/>
  </si>
  <si>
    <t>우산1</t>
    <phoneticPr fontId="3" type="noConversion"/>
  </si>
  <si>
    <t>내수읍 우산1리 613번지</t>
    <phoneticPr fontId="3" type="noConversion"/>
  </si>
  <si>
    <t>우산2</t>
    <phoneticPr fontId="3" type="noConversion"/>
  </si>
  <si>
    <t>내수읍 우산2 131-1</t>
    <phoneticPr fontId="3" type="noConversion"/>
  </si>
  <si>
    <t>계</t>
    <phoneticPr fontId="3" type="noConversion"/>
  </si>
  <si>
    <t>기타</t>
    <phoneticPr fontId="3" type="noConversion"/>
  </si>
  <si>
    <t>부패탱크</t>
    <phoneticPr fontId="3" type="noConversion"/>
  </si>
  <si>
    <t>임호프탱크</t>
    <phoneticPr fontId="3" type="noConversion"/>
  </si>
  <si>
    <t>폭기방법</t>
    <phoneticPr fontId="3" type="noConversion"/>
  </si>
  <si>
    <t>접촉폭기</t>
    <phoneticPr fontId="3" type="noConversion"/>
  </si>
  <si>
    <t>11~20</t>
    <phoneticPr fontId="3" type="noConversion"/>
  </si>
  <si>
    <t>51~100</t>
    <phoneticPr fontId="3" type="noConversion"/>
  </si>
  <si>
    <t>101~500</t>
    <phoneticPr fontId="3" type="noConversion"/>
  </si>
  <si>
    <t>재정별 사업비</t>
    <phoneticPr fontId="3" type="noConversion"/>
  </si>
  <si>
    <t>용도별사업비</t>
    <phoneticPr fontId="3" type="noConversion"/>
  </si>
  <si>
    <t>처리장</t>
    <phoneticPr fontId="3" type="noConversion"/>
  </si>
  <si>
    <t>시설비</t>
    <phoneticPr fontId="3" type="noConversion"/>
  </si>
  <si>
    <t>개보수비</t>
    <phoneticPr fontId="3" type="noConversion"/>
  </si>
  <si>
    <t>유수지 및 배수펌프장</t>
    <phoneticPr fontId="3" type="noConversion"/>
  </si>
  <si>
    <t>우수</t>
    <phoneticPr fontId="3" type="noConversion"/>
  </si>
  <si>
    <t>오수</t>
    <phoneticPr fontId="3" type="noConversion"/>
  </si>
  <si>
    <t>맨홀(개소)</t>
    <phoneticPr fontId="3" type="noConversion"/>
  </si>
  <si>
    <t>처분량</t>
    <phoneticPr fontId="3" type="noConversion"/>
  </si>
  <si>
    <t>재활용</t>
    <phoneticPr fontId="3" type="noConversion"/>
  </si>
  <si>
    <t>육상매립</t>
    <phoneticPr fontId="3" type="noConversion"/>
  </si>
  <si>
    <t>소각</t>
    <phoneticPr fontId="3" type="noConversion"/>
  </si>
  <si>
    <t>해양투기</t>
    <phoneticPr fontId="3" type="noConversion"/>
  </si>
  <si>
    <t>오수처리시설</t>
    <phoneticPr fontId="3" type="noConversion"/>
  </si>
  <si>
    <t>행정직</t>
    <phoneticPr fontId="3" type="noConversion"/>
  </si>
  <si>
    <t>기술직</t>
    <phoneticPr fontId="3" type="noConversion"/>
  </si>
  <si>
    <t>소계</t>
    <phoneticPr fontId="3" type="noConversion"/>
  </si>
  <si>
    <t>토목</t>
    <phoneticPr fontId="3" type="noConversion"/>
  </si>
  <si>
    <t>기계</t>
    <phoneticPr fontId="3" type="noConversion"/>
  </si>
  <si>
    <t>전기</t>
    <phoneticPr fontId="3" type="noConversion"/>
  </si>
  <si>
    <t>화공</t>
    <phoneticPr fontId="3" type="noConversion"/>
  </si>
  <si>
    <t>환경</t>
    <phoneticPr fontId="3" type="noConversion"/>
  </si>
  <si>
    <t>기능직</t>
    <phoneticPr fontId="3" type="noConversion"/>
  </si>
  <si>
    <t>업체수(개소)</t>
    <phoneticPr fontId="3" type="noConversion"/>
  </si>
  <si>
    <t>시설(차량) 확보현황(대수)</t>
    <phoneticPr fontId="3" type="noConversion"/>
  </si>
  <si>
    <t>4.5톤이하</t>
    <phoneticPr fontId="3" type="noConversion"/>
  </si>
  <si>
    <t>8톤이하</t>
    <phoneticPr fontId="3" type="noConversion"/>
  </si>
  <si>
    <t>3톤이하</t>
    <phoneticPr fontId="3" type="noConversion"/>
  </si>
  <si>
    <t>업소수</t>
    <phoneticPr fontId="3" type="noConversion"/>
  </si>
  <si>
    <t>시설수</t>
    <phoneticPr fontId="3" type="noConversion"/>
  </si>
  <si>
    <t>용량(톤)</t>
    <phoneticPr fontId="3" type="noConversion"/>
  </si>
  <si>
    <t>제조실적</t>
    <phoneticPr fontId="3" type="noConversion"/>
  </si>
  <si>
    <t>관리실적</t>
    <phoneticPr fontId="3" type="noConversion"/>
  </si>
  <si>
    <t>구분</t>
    <phoneticPr fontId="3" type="noConversion"/>
  </si>
  <si>
    <t>BOD</t>
    <phoneticPr fontId="3" type="noConversion"/>
  </si>
  <si>
    <t>COD</t>
    <phoneticPr fontId="3" type="noConversion"/>
  </si>
  <si>
    <t>SS</t>
    <phoneticPr fontId="3" type="noConversion"/>
  </si>
  <si>
    <t>T-N</t>
    <phoneticPr fontId="3" type="noConversion"/>
  </si>
  <si>
    <t>T-P</t>
    <phoneticPr fontId="3" type="noConversion"/>
  </si>
  <si>
    <t>대장균군수</t>
    <phoneticPr fontId="3" type="noConversion"/>
  </si>
  <si>
    <t>직원총수</t>
    <phoneticPr fontId="3" type="noConversion"/>
  </si>
  <si>
    <t>수계</t>
    <phoneticPr fontId="3" type="noConversion"/>
  </si>
  <si>
    <t>지  역
(시·군·구)</t>
    <phoneticPr fontId="3" type="noConversion"/>
  </si>
  <si>
    <t>위  치</t>
    <phoneticPr fontId="3" type="noConversion"/>
  </si>
  <si>
    <t>계획배수
면   적
(㎢)</t>
    <phoneticPr fontId="3" type="noConversion"/>
  </si>
  <si>
    <t>대  수</t>
    <phoneticPr fontId="3" type="noConversion"/>
  </si>
  <si>
    <t>오수펌프</t>
    <phoneticPr fontId="3" type="noConversion"/>
  </si>
  <si>
    <t>우수펌프</t>
    <phoneticPr fontId="3" type="noConversion"/>
  </si>
  <si>
    <t>배  수  능  력</t>
    <phoneticPr fontId="3" type="noConversion"/>
  </si>
  <si>
    <t>시설명</t>
    <phoneticPr fontId="3" type="noConversion"/>
  </si>
  <si>
    <t>소재지</t>
    <phoneticPr fontId="3" type="noConversion"/>
  </si>
  <si>
    <t>전화번호</t>
    <phoneticPr fontId="3" type="noConversion"/>
  </si>
  <si>
    <t>가동
개시일</t>
    <phoneticPr fontId="3" type="noConversion"/>
  </si>
  <si>
    <t>사업비
(백만원)</t>
    <phoneticPr fontId="3" type="noConversion"/>
  </si>
  <si>
    <t>운영방법</t>
    <phoneticPr fontId="3" type="noConversion"/>
  </si>
  <si>
    <t>방류수역</t>
    <phoneticPr fontId="3" type="noConversion"/>
  </si>
  <si>
    <t>지류</t>
    <phoneticPr fontId="3" type="noConversion"/>
  </si>
  <si>
    <t>연  계
처리장명</t>
    <phoneticPr fontId="3" type="noConversion"/>
  </si>
  <si>
    <r>
      <t xml:space="preserve">지  역
</t>
    </r>
    <r>
      <rPr>
        <sz val="9"/>
        <rFont val="굴림체"/>
        <family val="3"/>
        <charset val="129"/>
      </rPr>
      <t>(시·군·구)</t>
    </r>
    <phoneticPr fontId="3" type="noConversion"/>
  </si>
  <si>
    <t>운  영
유지비</t>
    <phoneticPr fontId="3" type="noConversion"/>
  </si>
  <si>
    <t>토실·토구(개소)</t>
    <phoneticPr fontId="3" type="noConversion"/>
  </si>
  <si>
    <t>지   역
(시·군·구)</t>
    <phoneticPr fontId="3" type="noConversion"/>
  </si>
  <si>
    <t>수집·운반실적
(㎥/년)</t>
    <phoneticPr fontId="3" type="noConversion"/>
  </si>
  <si>
    <t>지  역
(시·군·구)</t>
    <phoneticPr fontId="3" type="noConversion"/>
  </si>
  <si>
    <t>설계·시공실적</t>
    <phoneticPr fontId="3" type="noConversion"/>
  </si>
  <si>
    <t>지  역
(시·군 ·구)</t>
    <phoneticPr fontId="3" type="noConversion"/>
  </si>
  <si>
    <t>구  경(mm)</t>
    <phoneticPr fontId="3" type="noConversion"/>
  </si>
  <si>
    <t>양수량(㎥/hr)</t>
    <phoneticPr fontId="3" type="noConversion"/>
  </si>
  <si>
    <t>본류</t>
    <phoneticPr fontId="3" type="noConversion"/>
  </si>
  <si>
    <t>청천시(A)</t>
    <phoneticPr fontId="3" type="noConversion"/>
  </si>
  <si>
    <t>우수량(B-A)</t>
    <phoneticPr fontId="3" type="noConversion"/>
  </si>
  <si>
    <t>하수처리구역 내(㎥/일)</t>
    <phoneticPr fontId="3" type="noConversion"/>
  </si>
  <si>
    <t>21~50</t>
    <phoneticPr fontId="3" type="noConversion"/>
  </si>
  <si>
    <t>501이상</t>
    <phoneticPr fontId="3" type="noConversion"/>
  </si>
  <si>
    <t>하수처리구역 외(㎥/일)</t>
    <phoneticPr fontId="3" type="noConversion"/>
  </si>
  <si>
    <t>총계</t>
    <phoneticPr fontId="3" type="noConversion"/>
  </si>
  <si>
    <t>(단위 : 백만원)</t>
    <phoneticPr fontId="3" type="noConversion"/>
  </si>
  <si>
    <t>계</t>
    <phoneticPr fontId="3" type="noConversion"/>
  </si>
  <si>
    <t>수밀검사·CCTV
조사량(m)</t>
    <phoneticPr fontId="3" type="noConversion"/>
  </si>
  <si>
    <t>합류식</t>
    <phoneticPr fontId="3" type="noConversion"/>
  </si>
  <si>
    <t>분류식</t>
    <phoneticPr fontId="3" type="noConversion"/>
  </si>
  <si>
    <t>하수처리장명</t>
    <phoneticPr fontId="3" type="noConversion"/>
  </si>
  <si>
    <t>(단위 :명)</t>
    <phoneticPr fontId="3" type="noConversion"/>
  </si>
  <si>
    <t>종사인원(명)</t>
    <phoneticPr fontId="3" type="noConversion"/>
  </si>
  <si>
    <t>오수처리시설수</t>
    <phoneticPr fontId="3" type="noConversion"/>
  </si>
  <si>
    <t>처리장명</t>
    <phoneticPr fontId="3" type="noConversion"/>
  </si>
  <si>
    <t>(단위 : ㎎/ℓ, 개/㎖)</t>
    <phoneticPr fontId="3" type="noConversion"/>
  </si>
  <si>
    <t>계획시간대최대배수량(㎥/hr)</t>
    <phoneticPr fontId="3" type="noConversion"/>
  </si>
  <si>
    <t>(단위 : 톤/년)</t>
    <phoneticPr fontId="3" type="noConversion"/>
  </si>
  <si>
    <t>분뇨처리장명</t>
    <phoneticPr fontId="3" type="noConversion"/>
  </si>
  <si>
    <t>II. 총괄</t>
    <phoneticPr fontId="3" type="noConversion"/>
  </si>
  <si>
    <t>III. 하수 및 분뇨처리시설</t>
    <phoneticPr fontId="3" type="noConversion"/>
  </si>
  <si>
    <t>시설용량
(㎥/일)</t>
  </si>
  <si>
    <t>처리량  (㎥/일)</t>
    <phoneticPr fontId="3" type="noConversion"/>
  </si>
  <si>
    <t>처리공법</t>
    <phoneticPr fontId="3" type="noConversion"/>
  </si>
  <si>
    <t>지 역
(시·군·구)</t>
    <phoneticPr fontId="3" type="noConversion"/>
  </si>
  <si>
    <t xml:space="preserve">IV. 하수도 재정 및 사용료 </t>
    <phoneticPr fontId="3" type="noConversion"/>
  </si>
  <si>
    <t>중앙정부 지원액</t>
    <phoneticPr fontId="3" type="noConversion"/>
  </si>
  <si>
    <t>지방비</t>
    <phoneticPr fontId="3" type="noConversion"/>
  </si>
  <si>
    <r>
      <t>VI. 하수 및 분뇨슬러지 발생</t>
    </r>
    <r>
      <rPr>
        <b/>
        <sz val="12"/>
        <rFont val="굴림"/>
        <family val="3"/>
        <charset val="129"/>
      </rPr>
      <t>·</t>
    </r>
    <r>
      <rPr>
        <b/>
        <sz val="12"/>
        <rFont val="휴먼옛체"/>
        <family val="1"/>
        <charset val="129"/>
      </rPr>
      <t>처리</t>
    </r>
    <phoneticPr fontId="3" type="noConversion"/>
  </si>
  <si>
    <t>발생량          (A) = (B) + (C)</t>
    <phoneticPr fontId="3" type="noConversion"/>
  </si>
  <si>
    <t>계(B)</t>
    <phoneticPr fontId="3" type="noConversion"/>
  </si>
  <si>
    <t>미처분량           (이월량)(C)</t>
    <phoneticPr fontId="3" type="noConversion"/>
  </si>
  <si>
    <t>지 역</t>
  </si>
  <si>
    <t>(시․군․구)</t>
  </si>
  <si>
    <t>가 정 용</t>
  </si>
  <si>
    <t>업 무 용</t>
  </si>
  <si>
    <t>영 업 용</t>
  </si>
  <si>
    <t>욕 탕  1종</t>
  </si>
  <si>
    <t>부과액</t>
  </si>
  <si>
    <t>(백만원)</t>
  </si>
  <si>
    <t>부과량</t>
  </si>
  <si>
    <t>(천톤)</t>
  </si>
  <si>
    <t>단가</t>
  </si>
  <si>
    <t>(원/톤)</t>
  </si>
  <si>
    <t>지 역
(시, 시가지·구·군·읍·면)</t>
    <phoneticPr fontId="3" type="noConversion"/>
  </si>
  <si>
    <t>4
(4/0/0/0)</t>
    <phoneticPr fontId="3" type="noConversion"/>
  </si>
  <si>
    <t>성동구 송정동 73</t>
    <phoneticPr fontId="3" type="noConversion"/>
  </si>
  <si>
    <t>2214-8106</t>
    <phoneticPr fontId="3" type="noConversion"/>
  </si>
  <si>
    <t>직영</t>
    <phoneticPr fontId="3" type="noConversion"/>
  </si>
  <si>
    <t>염소소독</t>
    <phoneticPr fontId="3" type="noConversion"/>
  </si>
  <si>
    <t>한강</t>
    <phoneticPr fontId="3" type="noConversion"/>
  </si>
  <si>
    <t>표준활성슬러지법</t>
    <phoneticPr fontId="3" type="noConversion"/>
  </si>
  <si>
    <t>연안(동해)</t>
    <phoneticPr fontId="3" type="noConversion"/>
  </si>
  <si>
    <t>연안
(동해)</t>
    <phoneticPr fontId="3" type="noConversion"/>
  </si>
  <si>
    <t>(m)</t>
  </si>
  <si>
    <t>덕타일주철관</t>
    <phoneticPr fontId="3" type="noConversion"/>
  </si>
  <si>
    <t>PVC관</t>
    <phoneticPr fontId="3" type="noConversion"/>
  </si>
  <si>
    <t>PE관</t>
    <phoneticPr fontId="3" type="noConversion"/>
  </si>
  <si>
    <t>흄관</t>
    <phoneticPr fontId="3" type="noConversion"/>
  </si>
  <si>
    <t>PC관</t>
    <phoneticPr fontId="3" type="noConversion"/>
  </si>
  <si>
    <t>VR관</t>
    <phoneticPr fontId="3" type="noConversion"/>
  </si>
  <si>
    <t>강화플라스틱복합관</t>
    <phoneticPr fontId="3" type="noConversion"/>
  </si>
  <si>
    <t>유리섬유복합관</t>
    <phoneticPr fontId="3" type="noConversion"/>
  </si>
  <si>
    <t>파형강관</t>
    <phoneticPr fontId="3" type="noConversion"/>
  </si>
  <si>
    <t>레진콘크리트관</t>
    <phoneticPr fontId="3" type="noConversion"/>
  </si>
  <si>
    <t>관종</t>
    <phoneticPr fontId="3" type="noConversion"/>
  </si>
  <si>
    <t>1. 하수처리수 재이용</t>
    <phoneticPr fontId="3" type="noConversion"/>
  </si>
  <si>
    <t>처리량
(㎥/일)</t>
    <phoneticPr fontId="3" type="noConversion"/>
  </si>
  <si>
    <t>시설용량
(㎥/일)</t>
    <phoneticPr fontId="3" type="noConversion"/>
  </si>
  <si>
    <t>재이용량(㎥/일)</t>
    <phoneticPr fontId="3" type="noConversion"/>
  </si>
  <si>
    <t>처리수재이용율
(%)</t>
    <phoneticPr fontId="3" type="noConversion"/>
  </si>
  <si>
    <t>조경용수</t>
    <phoneticPr fontId="3" type="noConversion"/>
  </si>
  <si>
    <t>친수용수</t>
    <phoneticPr fontId="3" type="noConversion"/>
  </si>
  <si>
    <t>공업용수</t>
    <phoneticPr fontId="3" type="noConversion"/>
  </si>
  <si>
    <t>청소용수</t>
    <phoneticPr fontId="3" type="noConversion"/>
  </si>
  <si>
    <t>농업용수</t>
    <phoneticPr fontId="3" type="noConversion"/>
  </si>
  <si>
    <t>2. 하수슬러지</t>
    <phoneticPr fontId="3" type="noConversion"/>
  </si>
  <si>
    <t>Ⅸ. 서비스수준</t>
    <phoneticPr fontId="3" type="noConversion"/>
  </si>
  <si>
    <t>1. 민원</t>
    <phoneticPr fontId="3" type="noConversion"/>
  </si>
  <si>
    <t>불친절</t>
  </si>
  <si>
    <t>기준인구당
민원건수
(건/10,000명)</t>
    <phoneticPr fontId="3" type="noConversion"/>
  </si>
  <si>
    <t>주민친화시설 면적(m2)</t>
    <phoneticPr fontId="3" type="noConversion"/>
  </si>
  <si>
    <t>휴게시설</t>
    <phoneticPr fontId="3" type="noConversion"/>
  </si>
  <si>
    <t>어린이
놀이공간</t>
    <phoneticPr fontId="3" type="noConversion"/>
  </si>
  <si>
    <t>체력단련
시설</t>
    <phoneticPr fontId="3" type="noConversion"/>
  </si>
  <si>
    <t>운동시설</t>
    <phoneticPr fontId="3" type="noConversion"/>
  </si>
  <si>
    <t>주차장</t>
    <phoneticPr fontId="3" type="noConversion"/>
  </si>
  <si>
    <t>교육 및
문화시설</t>
    <phoneticPr fontId="3" type="noConversion"/>
  </si>
  <si>
    <t>습지조성
(생태공원)</t>
    <phoneticPr fontId="3" type="noConversion"/>
  </si>
  <si>
    <t>주민친화시설
활용율
(%)</t>
    <phoneticPr fontId="3" type="noConversion"/>
  </si>
  <si>
    <t>2. 주민친화시설</t>
    <phoneticPr fontId="3" type="noConversion"/>
  </si>
  <si>
    <t>시설연장
(m)</t>
    <phoneticPr fontId="3" type="noConversion"/>
  </si>
  <si>
    <t>6. 하수종말처리장</t>
    <phoneticPr fontId="3" type="noConversion"/>
  </si>
  <si>
    <t>직   제</t>
    <phoneticPr fontId="3" type="noConversion"/>
  </si>
  <si>
    <t>(단위 :명)</t>
    <phoneticPr fontId="3" type="noConversion"/>
  </si>
  <si>
    <t>* 해당 시군구별로 조례에 정한 업종별로 작성</t>
    <phoneticPr fontId="3" type="noConversion"/>
  </si>
  <si>
    <t>2이하</t>
    <phoneticPr fontId="3" type="noConversion"/>
  </si>
  <si>
    <t>3~10</t>
    <phoneticPr fontId="3" type="noConversion"/>
  </si>
  <si>
    <t>욕 탕  2종</t>
    <phoneticPr fontId="3" type="noConversion"/>
  </si>
  <si>
    <t>산 업 용</t>
    <phoneticPr fontId="3" type="noConversion"/>
  </si>
  <si>
    <t>2 업종별 하수도 요금(업종별)</t>
    <phoneticPr fontId="3" type="noConversion"/>
  </si>
  <si>
    <t>Box</t>
    <phoneticPr fontId="3" type="noConversion"/>
  </si>
  <si>
    <t>서울특별시</t>
    <phoneticPr fontId="3" type="noConversion"/>
  </si>
  <si>
    <t>연안</t>
    <phoneticPr fontId="3" type="noConversion"/>
  </si>
  <si>
    <t>-</t>
    <phoneticPr fontId="3" type="noConversion"/>
  </si>
  <si>
    <t>낙동강</t>
    <phoneticPr fontId="3" type="noConversion"/>
  </si>
  <si>
    <t>대천천</t>
    <phoneticPr fontId="3" type="noConversion"/>
  </si>
  <si>
    <t>영산강</t>
    <phoneticPr fontId="3" type="noConversion"/>
  </si>
  <si>
    <t>금강</t>
    <phoneticPr fontId="3" type="noConversion"/>
  </si>
  <si>
    <t>고양시</t>
  </si>
  <si>
    <t>오산천</t>
    <phoneticPr fontId="3" type="noConversion"/>
  </si>
  <si>
    <t>한강</t>
  </si>
  <si>
    <t>서해</t>
    <phoneticPr fontId="3" type="noConversion"/>
  </si>
  <si>
    <t>임진강</t>
    <phoneticPr fontId="3" type="noConversion"/>
  </si>
  <si>
    <t>청미천</t>
    <phoneticPr fontId="3" type="noConversion"/>
  </si>
  <si>
    <t>남면</t>
    <phoneticPr fontId="3" type="noConversion"/>
  </si>
  <si>
    <t>북면</t>
    <phoneticPr fontId="3" type="noConversion"/>
  </si>
  <si>
    <t>서면</t>
    <phoneticPr fontId="3" type="noConversion"/>
  </si>
  <si>
    <t>남대천</t>
    <phoneticPr fontId="3" type="noConversion"/>
  </si>
  <si>
    <t>도계</t>
  </si>
  <si>
    <t>송천</t>
    <phoneticPr fontId="3" type="noConversion"/>
  </si>
  <si>
    <t>화천군</t>
    <phoneticPr fontId="3" type="noConversion"/>
  </si>
  <si>
    <t>양구군</t>
    <phoneticPr fontId="3" type="noConversion"/>
  </si>
  <si>
    <t>서천</t>
    <phoneticPr fontId="3" type="noConversion"/>
  </si>
  <si>
    <t>인제군</t>
    <phoneticPr fontId="3" type="noConversion"/>
  </si>
  <si>
    <t>고성군</t>
    <phoneticPr fontId="3" type="noConversion"/>
  </si>
  <si>
    <t>양양군</t>
    <phoneticPr fontId="3" type="noConversion"/>
  </si>
  <si>
    <t>청주시</t>
    <phoneticPr fontId="3" type="noConversion"/>
  </si>
  <si>
    <t>충주시</t>
    <phoneticPr fontId="3" type="noConversion"/>
  </si>
  <si>
    <t>달천</t>
    <phoneticPr fontId="3" type="noConversion"/>
  </si>
  <si>
    <t>제천시</t>
    <phoneticPr fontId="3" type="noConversion"/>
  </si>
  <si>
    <t>남한강</t>
    <phoneticPr fontId="3" type="noConversion"/>
  </si>
  <si>
    <t>군부</t>
    <phoneticPr fontId="3" type="noConversion"/>
  </si>
  <si>
    <t>청원군</t>
    <phoneticPr fontId="3" type="noConversion"/>
  </si>
  <si>
    <t>미호천</t>
    <phoneticPr fontId="3" type="noConversion"/>
  </si>
  <si>
    <t>보은군</t>
    <phoneticPr fontId="3" type="noConversion"/>
  </si>
  <si>
    <t>보청천</t>
    <phoneticPr fontId="3" type="noConversion"/>
  </si>
  <si>
    <t>삼가천</t>
    <phoneticPr fontId="3" type="noConversion"/>
  </si>
  <si>
    <t>오덕천</t>
    <phoneticPr fontId="3" type="noConversion"/>
  </si>
  <si>
    <t>회인천</t>
    <phoneticPr fontId="3" type="noConversion"/>
  </si>
  <si>
    <t>옥천군</t>
    <phoneticPr fontId="3" type="noConversion"/>
  </si>
  <si>
    <t>평산천</t>
    <phoneticPr fontId="3" type="noConversion"/>
  </si>
  <si>
    <t>안남천</t>
    <phoneticPr fontId="3" type="noConversion"/>
  </si>
  <si>
    <t>현리천</t>
    <phoneticPr fontId="3" type="noConversion"/>
  </si>
  <si>
    <t>이원천</t>
    <phoneticPr fontId="3" type="noConversion"/>
  </si>
  <si>
    <t>금산천</t>
    <phoneticPr fontId="3" type="noConversion"/>
  </si>
  <si>
    <t>영동군</t>
    <phoneticPr fontId="3" type="noConversion"/>
  </si>
  <si>
    <t>증평군</t>
    <phoneticPr fontId="3" type="noConversion"/>
  </si>
  <si>
    <t>보강천</t>
    <phoneticPr fontId="3" type="noConversion"/>
  </si>
  <si>
    <t>진천군</t>
    <phoneticPr fontId="3" type="noConversion"/>
  </si>
  <si>
    <t>괴산군</t>
    <phoneticPr fontId="3" type="noConversion"/>
  </si>
  <si>
    <t>음성군</t>
    <phoneticPr fontId="3" type="noConversion"/>
  </si>
  <si>
    <t>단양군</t>
    <phoneticPr fontId="3" type="noConversion"/>
  </si>
  <si>
    <t>충청남도</t>
    <phoneticPr fontId="3" type="noConversion"/>
  </si>
  <si>
    <t>천안시</t>
    <phoneticPr fontId="3" type="noConversion"/>
  </si>
  <si>
    <t>공주시</t>
    <phoneticPr fontId="3" type="noConversion"/>
  </si>
  <si>
    <t>유구천</t>
    <phoneticPr fontId="3" type="noConversion"/>
  </si>
  <si>
    <t>보령시</t>
    <phoneticPr fontId="3" type="noConversion"/>
  </si>
  <si>
    <t>웅천천</t>
    <phoneticPr fontId="3" type="noConversion"/>
  </si>
  <si>
    <t>남포천</t>
    <phoneticPr fontId="3" type="noConversion"/>
  </si>
  <si>
    <t>읍내천</t>
    <phoneticPr fontId="3" type="noConversion"/>
  </si>
  <si>
    <t>아산시</t>
    <phoneticPr fontId="3" type="noConversion"/>
  </si>
  <si>
    <t>곡교천</t>
    <phoneticPr fontId="3" type="noConversion"/>
  </si>
  <si>
    <t>둔포천</t>
    <phoneticPr fontId="3" type="noConversion"/>
  </si>
  <si>
    <t>무한천</t>
    <phoneticPr fontId="3" type="noConversion"/>
  </si>
  <si>
    <t>서산시</t>
    <phoneticPr fontId="3" type="noConversion"/>
  </si>
  <si>
    <t>지곡면</t>
    <phoneticPr fontId="3" type="noConversion"/>
  </si>
  <si>
    <t>논산시</t>
    <phoneticPr fontId="3" type="noConversion"/>
  </si>
  <si>
    <t>논산천</t>
    <phoneticPr fontId="3" type="noConversion"/>
  </si>
  <si>
    <t>계룡시</t>
    <phoneticPr fontId="3" type="noConversion"/>
  </si>
  <si>
    <t>두계</t>
    <phoneticPr fontId="3" type="noConversion"/>
  </si>
  <si>
    <t>금산군</t>
    <phoneticPr fontId="3" type="noConversion"/>
  </si>
  <si>
    <t>봉황천</t>
    <phoneticPr fontId="3" type="noConversion"/>
  </si>
  <si>
    <t>추풍천</t>
    <phoneticPr fontId="3" type="noConversion"/>
  </si>
  <si>
    <t>연기군</t>
    <phoneticPr fontId="3" type="noConversion"/>
  </si>
  <si>
    <t>조치원</t>
    <phoneticPr fontId="3" type="noConversion"/>
  </si>
  <si>
    <t>조천</t>
    <phoneticPr fontId="3" type="noConversion"/>
  </si>
  <si>
    <t>부여군</t>
    <phoneticPr fontId="3" type="noConversion"/>
  </si>
  <si>
    <t>금천</t>
    <phoneticPr fontId="3" type="noConversion"/>
  </si>
  <si>
    <t>석성천</t>
    <phoneticPr fontId="3" type="noConversion"/>
  </si>
  <si>
    <t>서천군</t>
    <phoneticPr fontId="3" type="noConversion"/>
  </si>
  <si>
    <t>청양군</t>
    <phoneticPr fontId="3" type="noConversion"/>
  </si>
  <si>
    <t>지천</t>
    <phoneticPr fontId="3" type="noConversion"/>
  </si>
  <si>
    <t>홍성군</t>
    <phoneticPr fontId="3" type="noConversion"/>
  </si>
  <si>
    <t>예산군</t>
    <phoneticPr fontId="3" type="noConversion"/>
  </si>
  <si>
    <t>삽교천</t>
    <phoneticPr fontId="3" type="noConversion"/>
  </si>
  <si>
    <t>태안군</t>
    <phoneticPr fontId="3" type="noConversion"/>
  </si>
  <si>
    <t>태안천</t>
    <phoneticPr fontId="3" type="noConversion"/>
  </si>
  <si>
    <t>당진군</t>
    <phoneticPr fontId="3" type="noConversion"/>
  </si>
  <si>
    <t>전라북도</t>
    <phoneticPr fontId="3" type="noConversion"/>
  </si>
  <si>
    <t>시부</t>
    <phoneticPr fontId="3" type="noConversion"/>
  </si>
  <si>
    <t>전주시</t>
    <phoneticPr fontId="3" type="noConversion"/>
  </si>
  <si>
    <t>전주천</t>
    <phoneticPr fontId="3" type="noConversion"/>
  </si>
  <si>
    <t>군산시</t>
    <phoneticPr fontId="3" type="noConversion"/>
  </si>
  <si>
    <t>익산시</t>
    <phoneticPr fontId="3" type="noConversion"/>
  </si>
  <si>
    <t>만경강</t>
    <phoneticPr fontId="3" type="noConversion"/>
  </si>
  <si>
    <t>탑천</t>
    <phoneticPr fontId="3" type="noConversion"/>
  </si>
  <si>
    <t>산북천</t>
    <phoneticPr fontId="3" type="noConversion"/>
  </si>
  <si>
    <t>어량천</t>
    <phoneticPr fontId="3" type="noConversion"/>
  </si>
  <si>
    <t>익산천</t>
    <phoneticPr fontId="3" type="noConversion"/>
  </si>
  <si>
    <t>정읍시</t>
    <phoneticPr fontId="3" type="noConversion"/>
  </si>
  <si>
    <t>동진강</t>
    <phoneticPr fontId="3" type="noConversion"/>
  </si>
  <si>
    <t>섬진강</t>
    <phoneticPr fontId="3" type="noConversion"/>
  </si>
  <si>
    <t>남원시</t>
    <phoneticPr fontId="3" type="noConversion"/>
  </si>
  <si>
    <t>요천</t>
    <phoneticPr fontId="3" type="noConversion"/>
  </si>
  <si>
    <t>람천</t>
    <phoneticPr fontId="3" type="noConversion"/>
  </si>
  <si>
    <t>대산면</t>
    <phoneticPr fontId="3" type="noConversion"/>
  </si>
  <si>
    <t>김제시</t>
    <phoneticPr fontId="3" type="noConversion"/>
  </si>
  <si>
    <t>완주군</t>
    <phoneticPr fontId="3" type="noConversion"/>
  </si>
  <si>
    <t>진안군</t>
    <phoneticPr fontId="3" type="noConversion"/>
  </si>
  <si>
    <t>해당없음</t>
    <phoneticPr fontId="3" type="noConversion"/>
  </si>
  <si>
    <t>무주군</t>
    <phoneticPr fontId="3" type="noConversion"/>
  </si>
  <si>
    <t>장수군</t>
    <phoneticPr fontId="3" type="noConversion"/>
  </si>
  <si>
    <t>장수천</t>
    <phoneticPr fontId="3" type="noConversion"/>
  </si>
  <si>
    <t>오수천</t>
    <phoneticPr fontId="3" type="noConversion"/>
  </si>
  <si>
    <t>장계천</t>
    <phoneticPr fontId="3" type="noConversion"/>
  </si>
  <si>
    <t>유천</t>
    <phoneticPr fontId="3" type="noConversion"/>
  </si>
  <si>
    <t>계북천</t>
    <phoneticPr fontId="3" type="noConversion"/>
  </si>
  <si>
    <t>임실군</t>
    <phoneticPr fontId="3" type="noConversion"/>
  </si>
  <si>
    <t>주암호</t>
    <phoneticPr fontId="3" type="noConversion"/>
  </si>
  <si>
    <t xml:space="preserve"> </t>
    <phoneticPr fontId="3" type="noConversion"/>
  </si>
  <si>
    <t>보성강</t>
    <phoneticPr fontId="3" type="noConversion"/>
  </si>
  <si>
    <t>옥과천</t>
    <phoneticPr fontId="3" type="noConversion"/>
  </si>
  <si>
    <t>구례군</t>
    <phoneticPr fontId="3" type="noConversion"/>
  </si>
  <si>
    <t>서시천</t>
    <phoneticPr fontId="3" type="noConversion"/>
  </si>
  <si>
    <t>고흥군</t>
    <phoneticPr fontId="3" type="noConversion"/>
  </si>
  <si>
    <t>보성군</t>
    <phoneticPr fontId="3" type="noConversion"/>
  </si>
  <si>
    <t>벌교천</t>
    <phoneticPr fontId="3" type="noConversion"/>
  </si>
  <si>
    <t>조성면</t>
    <phoneticPr fontId="3" type="noConversion"/>
  </si>
  <si>
    <t>송곡천</t>
    <phoneticPr fontId="3" type="noConversion"/>
  </si>
  <si>
    <t>화순군</t>
    <phoneticPr fontId="3" type="noConversion"/>
  </si>
  <si>
    <t>화순읍</t>
    <phoneticPr fontId="3" type="noConversion"/>
  </si>
  <si>
    <t>장흥군</t>
    <phoneticPr fontId="3" type="noConversion"/>
  </si>
  <si>
    <t>탐진강</t>
    <phoneticPr fontId="3" type="noConversion"/>
  </si>
  <si>
    <t>강진군</t>
    <phoneticPr fontId="3" type="noConversion"/>
  </si>
  <si>
    <t>강진만</t>
    <phoneticPr fontId="3" type="noConversion"/>
  </si>
  <si>
    <t>신전</t>
    <phoneticPr fontId="3" type="noConversion"/>
  </si>
  <si>
    <t>옴천</t>
    <phoneticPr fontId="3" type="noConversion"/>
  </si>
  <si>
    <t>해남군</t>
    <phoneticPr fontId="3" type="noConversion"/>
  </si>
  <si>
    <t>서남해</t>
    <phoneticPr fontId="3" type="noConversion"/>
  </si>
  <si>
    <t>영암군</t>
    <phoneticPr fontId="3" type="noConversion"/>
  </si>
  <si>
    <t>무안군</t>
    <phoneticPr fontId="3" type="noConversion"/>
  </si>
  <si>
    <t>무안천</t>
    <phoneticPr fontId="3" type="noConversion"/>
  </si>
  <si>
    <t>덕돈천</t>
    <phoneticPr fontId="3" type="noConversion"/>
  </si>
  <si>
    <t>함평군</t>
    <phoneticPr fontId="3" type="noConversion"/>
  </si>
  <si>
    <t>함평천</t>
    <phoneticPr fontId="3" type="noConversion"/>
  </si>
  <si>
    <t>고막원천</t>
    <phoneticPr fontId="3" type="noConversion"/>
  </si>
  <si>
    <t>영광군</t>
    <phoneticPr fontId="3" type="noConversion"/>
  </si>
  <si>
    <t>장성군</t>
    <phoneticPr fontId="3" type="noConversion"/>
  </si>
  <si>
    <t>황룡강</t>
    <phoneticPr fontId="3" type="noConversion"/>
  </si>
  <si>
    <t>풍영정천</t>
    <phoneticPr fontId="3" type="noConversion"/>
  </si>
  <si>
    <t>동화천</t>
    <phoneticPr fontId="3" type="noConversion"/>
  </si>
  <si>
    <t>평림천</t>
    <phoneticPr fontId="3" type="noConversion"/>
  </si>
  <si>
    <t>개천천</t>
    <phoneticPr fontId="3" type="noConversion"/>
  </si>
  <si>
    <t>북하천</t>
    <phoneticPr fontId="3" type="noConversion"/>
  </si>
  <si>
    <t>완도군</t>
    <phoneticPr fontId="3" type="noConversion"/>
  </si>
  <si>
    <t>진도군</t>
    <phoneticPr fontId="3" type="noConversion"/>
  </si>
  <si>
    <t>진도읍</t>
    <phoneticPr fontId="3" type="noConversion"/>
  </si>
  <si>
    <t>신안군</t>
    <phoneticPr fontId="3" type="noConversion"/>
  </si>
  <si>
    <t>경상북도</t>
    <phoneticPr fontId="3" type="noConversion"/>
  </si>
  <si>
    <t>포항시</t>
    <phoneticPr fontId="3" type="noConversion"/>
  </si>
  <si>
    <t>경주시</t>
  </si>
  <si>
    <t>김천시</t>
  </si>
  <si>
    <t>안동시</t>
  </si>
  <si>
    <t>구미시</t>
  </si>
  <si>
    <t>영주시</t>
  </si>
  <si>
    <t>영천시</t>
  </si>
  <si>
    <t>상주시</t>
  </si>
  <si>
    <t>문경시</t>
  </si>
  <si>
    <t>경산시</t>
  </si>
  <si>
    <t>군위군</t>
  </si>
  <si>
    <t>의성군</t>
  </si>
  <si>
    <t>청송군</t>
  </si>
  <si>
    <t>영양군</t>
  </si>
  <si>
    <t>영덕군</t>
  </si>
  <si>
    <t>청도군</t>
  </si>
  <si>
    <t>고령군</t>
  </si>
  <si>
    <t>성주군</t>
  </si>
  <si>
    <t>칠곡군</t>
  </si>
  <si>
    <t>예천군</t>
  </si>
  <si>
    <t>봉화군</t>
  </si>
  <si>
    <t>울진군</t>
  </si>
  <si>
    <t>울릉군</t>
  </si>
  <si>
    <t>낙동강</t>
  </si>
  <si>
    <t xml:space="preserve"> </t>
  </si>
  <si>
    <t>백천</t>
  </si>
  <si>
    <t>남해</t>
    <phoneticPr fontId="3" type="noConversion"/>
  </si>
  <si>
    <t>양산시</t>
    <phoneticPr fontId="3" type="noConversion"/>
  </si>
  <si>
    <t>양산천</t>
    <phoneticPr fontId="3" type="noConversion"/>
  </si>
  <si>
    <t>원동천</t>
    <phoneticPr fontId="3" type="noConversion"/>
  </si>
  <si>
    <t>의령군</t>
    <phoneticPr fontId="3" type="noConversion"/>
  </si>
  <si>
    <t>함안군</t>
    <phoneticPr fontId="3" type="noConversion"/>
  </si>
  <si>
    <t>함안천</t>
    <phoneticPr fontId="3" type="noConversion"/>
  </si>
  <si>
    <t>광려천</t>
    <phoneticPr fontId="3" type="noConversion"/>
  </si>
  <si>
    <t>창녕군</t>
    <phoneticPr fontId="3" type="noConversion"/>
  </si>
  <si>
    <t>창녕천</t>
    <phoneticPr fontId="3" type="noConversion"/>
  </si>
  <si>
    <t>계성천</t>
    <phoneticPr fontId="3" type="noConversion"/>
  </si>
  <si>
    <t>온정천</t>
    <phoneticPr fontId="3" type="noConversion"/>
  </si>
  <si>
    <t>고성군</t>
  </si>
  <si>
    <t>연안</t>
  </si>
  <si>
    <t>남해</t>
  </si>
  <si>
    <t>부산광역시</t>
    <phoneticPr fontId="3" type="noConversion"/>
  </si>
  <si>
    <t>금호강</t>
    <phoneticPr fontId="3" type="noConversion"/>
  </si>
  <si>
    <t>신천</t>
    <phoneticPr fontId="3" type="noConversion"/>
  </si>
  <si>
    <t>수성구</t>
    <phoneticPr fontId="3" type="noConversion"/>
  </si>
  <si>
    <t>달서구</t>
    <phoneticPr fontId="3" type="noConversion"/>
  </si>
  <si>
    <t>달성군</t>
    <phoneticPr fontId="3" type="noConversion"/>
  </si>
  <si>
    <t>인천광역시</t>
    <phoneticPr fontId="3" type="noConversion"/>
  </si>
  <si>
    <t>연수구</t>
    <phoneticPr fontId="3" type="noConversion"/>
  </si>
  <si>
    <t>남동구</t>
    <phoneticPr fontId="3" type="noConversion"/>
  </si>
  <si>
    <t>부평구</t>
    <phoneticPr fontId="3" type="noConversion"/>
  </si>
  <si>
    <t>계양구</t>
    <phoneticPr fontId="3" type="noConversion"/>
  </si>
  <si>
    <t>강화군</t>
    <phoneticPr fontId="3" type="noConversion"/>
  </si>
  <si>
    <t>옹진군</t>
    <phoneticPr fontId="3" type="noConversion"/>
  </si>
  <si>
    <t>광주광역시</t>
    <phoneticPr fontId="3" type="noConversion"/>
  </si>
  <si>
    <t>동구</t>
    <phoneticPr fontId="3" type="noConversion"/>
  </si>
  <si>
    <t>서구</t>
    <phoneticPr fontId="3" type="noConversion"/>
  </si>
  <si>
    <t>남구</t>
    <phoneticPr fontId="3" type="noConversion"/>
  </si>
  <si>
    <t>북구</t>
    <phoneticPr fontId="3" type="noConversion"/>
  </si>
  <si>
    <t>광산구</t>
    <phoneticPr fontId="3" type="noConversion"/>
  </si>
  <si>
    <t>대전천</t>
    <phoneticPr fontId="3" type="noConversion"/>
  </si>
  <si>
    <t>유성구</t>
    <phoneticPr fontId="3" type="noConversion"/>
  </si>
  <si>
    <t>대덕구</t>
    <phoneticPr fontId="3" type="noConversion"/>
  </si>
  <si>
    <t>중구</t>
    <phoneticPr fontId="3" type="noConversion"/>
  </si>
  <si>
    <t>경기도</t>
    <phoneticPr fontId="3" type="noConversion"/>
  </si>
  <si>
    <t>수원시</t>
    <phoneticPr fontId="3" type="noConversion"/>
  </si>
  <si>
    <t>성남시</t>
    <phoneticPr fontId="3" type="noConversion"/>
  </si>
  <si>
    <t>탄천</t>
    <phoneticPr fontId="3" type="noConversion"/>
  </si>
  <si>
    <t>부천시</t>
    <phoneticPr fontId="3" type="noConversion"/>
  </si>
  <si>
    <t>안양시</t>
    <phoneticPr fontId="3" type="noConversion"/>
  </si>
  <si>
    <t>안산시</t>
    <phoneticPr fontId="3" type="noConversion"/>
  </si>
  <si>
    <t>용인시</t>
    <phoneticPr fontId="3" type="noConversion"/>
  </si>
  <si>
    <t>경안천</t>
    <phoneticPr fontId="3" type="noConversion"/>
  </si>
  <si>
    <t>의정부시</t>
    <phoneticPr fontId="3" type="noConversion"/>
  </si>
  <si>
    <t>남양주시</t>
    <phoneticPr fontId="3" type="noConversion"/>
  </si>
  <si>
    <t>평택시</t>
    <phoneticPr fontId="3" type="noConversion"/>
  </si>
  <si>
    <t>안성천</t>
    <phoneticPr fontId="3" type="noConversion"/>
  </si>
  <si>
    <t>황구지천</t>
    <phoneticPr fontId="3" type="noConversion"/>
  </si>
  <si>
    <t>광명시</t>
    <phoneticPr fontId="3" type="noConversion"/>
  </si>
  <si>
    <t>시흥시</t>
    <phoneticPr fontId="3" type="noConversion"/>
  </si>
  <si>
    <t>군포시</t>
    <phoneticPr fontId="3" type="noConversion"/>
  </si>
  <si>
    <t>화성시</t>
    <phoneticPr fontId="3" type="noConversion"/>
  </si>
  <si>
    <t>파주시</t>
    <phoneticPr fontId="3" type="noConversion"/>
  </si>
  <si>
    <t>문산천</t>
    <phoneticPr fontId="3" type="noConversion"/>
  </si>
  <si>
    <t>사천</t>
    <phoneticPr fontId="3" type="noConversion"/>
  </si>
  <si>
    <t>이천시</t>
    <phoneticPr fontId="3" type="noConversion"/>
  </si>
  <si>
    <t>복하천</t>
    <phoneticPr fontId="3" type="noConversion"/>
  </si>
  <si>
    <t>장호원</t>
    <phoneticPr fontId="3" type="noConversion"/>
  </si>
  <si>
    <t>구리시</t>
    <phoneticPr fontId="3" type="noConversion"/>
  </si>
  <si>
    <t>김포시</t>
    <phoneticPr fontId="3" type="noConversion"/>
  </si>
  <si>
    <t>포천시</t>
    <phoneticPr fontId="3" type="noConversion"/>
  </si>
  <si>
    <t>광주시</t>
    <phoneticPr fontId="3" type="noConversion"/>
  </si>
  <si>
    <t>팔당호</t>
    <phoneticPr fontId="3" type="noConversion"/>
  </si>
  <si>
    <t>안성시</t>
    <phoneticPr fontId="3" type="noConversion"/>
  </si>
  <si>
    <t>대덕면</t>
    <phoneticPr fontId="3" type="noConversion"/>
  </si>
  <si>
    <t>하남시</t>
    <phoneticPr fontId="3" type="noConversion"/>
  </si>
  <si>
    <t>의왕시</t>
    <phoneticPr fontId="3" type="noConversion"/>
  </si>
  <si>
    <t>양주시</t>
    <phoneticPr fontId="3" type="noConversion"/>
  </si>
  <si>
    <t>오산시</t>
    <phoneticPr fontId="3" type="noConversion"/>
  </si>
  <si>
    <t>여주군</t>
    <phoneticPr fontId="3" type="noConversion"/>
  </si>
  <si>
    <t>양평군</t>
    <phoneticPr fontId="3" type="noConversion"/>
  </si>
  <si>
    <t>동두천</t>
    <phoneticPr fontId="3" type="noConversion"/>
  </si>
  <si>
    <t>과천시</t>
    <phoneticPr fontId="3" type="noConversion"/>
  </si>
  <si>
    <t>가평군</t>
    <phoneticPr fontId="3" type="noConversion"/>
  </si>
  <si>
    <t>연천군</t>
    <phoneticPr fontId="3" type="noConversion"/>
  </si>
  <si>
    <t>강원도</t>
    <phoneticPr fontId="3" type="noConversion"/>
  </si>
  <si>
    <t>춘천시</t>
    <phoneticPr fontId="3" type="noConversion"/>
  </si>
  <si>
    <t>원주시</t>
    <phoneticPr fontId="3" type="noConversion"/>
  </si>
  <si>
    <t>강릉시</t>
    <phoneticPr fontId="3" type="noConversion"/>
  </si>
  <si>
    <t>동해시</t>
    <phoneticPr fontId="3" type="noConversion"/>
  </si>
  <si>
    <t>태백시</t>
    <phoneticPr fontId="3" type="noConversion"/>
  </si>
  <si>
    <t>속초시</t>
    <phoneticPr fontId="3" type="noConversion"/>
  </si>
  <si>
    <t>홍천군</t>
    <phoneticPr fontId="3" type="noConversion"/>
  </si>
  <si>
    <t>횡성군</t>
    <phoneticPr fontId="3" type="noConversion"/>
  </si>
  <si>
    <t>유동천</t>
    <phoneticPr fontId="3" type="noConversion"/>
  </si>
  <si>
    <t>금계천</t>
    <phoneticPr fontId="3" type="noConversion"/>
  </si>
  <si>
    <t>영월군</t>
    <phoneticPr fontId="3" type="noConversion"/>
  </si>
  <si>
    <t>평창군</t>
    <phoneticPr fontId="3" type="noConversion"/>
  </si>
  <si>
    <t>"</t>
    <phoneticPr fontId="3" type="noConversion"/>
  </si>
  <si>
    <t>정선군</t>
    <phoneticPr fontId="3" type="noConversion"/>
  </si>
  <si>
    <t>철원군</t>
    <phoneticPr fontId="3" type="noConversion"/>
  </si>
  <si>
    <t>옥녀동천</t>
    <phoneticPr fontId="3" type="noConversion"/>
  </si>
  <si>
    <t>순창군</t>
    <phoneticPr fontId="3" type="noConversion"/>
  </si>
  <si>
    <t>경천</t>
    <phoneticPr fontId="3" type="noConversion"/>
  </si>
  <si>
    <t>양지천</t>
    <phoneticPr fontId="3" type="noConversion"/>
  </si>
  <si>
    <t>추령천</t>
    <phoneticPr fontId="3" type="noConversion"/>
  </si>
  <si>
    <t>고창군</t>
    <phoneticPr fontId="3" type="noConversion"/>
  </si>
  <si>
    <t>부안군</t>
    <phoneticPr fontId="3" type="noConversion"/>
  </si>
  <si>
    <t>전라남도</t>
    <phoneticPr fontId="3" type="noConversion"/>
  </si>
  <si>
    <t>목포시</t>
    <phoneticPr fontId="3" type="noConversion"/>
  </si>
  <si>
    <t>여수시</t>
    <phoneticPr fontId="3" type="noConversion"/>
  </si>
  <si>
    <t>순천시</t>
    <phoneticPr fontId="3" type="noConversion"/>
  </si>
  <si>
    <t>낙안</t>
    <phoneticPr fontId="3" type="noConversion"/>
  </si>
  <si>
    <t>승주</t>
    <phoneticPr fontId="3" type="noConversion"/>
  </si>
  <si>
    <t>주암</t>
    <phoneticPr fontId="3" type="noConversion"/>
  </si>
  <si>
    <t>나주시</t>
    <phoneticPr fontId="3" type="noConversion"/>
  </si>
  <si>
    <t>지석천</t>
    <phoneticPr fontId="3" type="noConversion"/>
  </si>
  <si>
    <t>만봉천</t>
    <phoneticPr fontId="3" type="noConversion"/>
  </si>
  <si>
    <t>덕산천</t>
    <phoneticPr fontId="3" type="noConversion"/>
  </si>
  <si>
    <t>삼포천</t>
    <phoneticPr fontId="3" type="noConversion"/>
  </si>
  <si>
    <t>공산</t>
    <phoneticPr fontId="3" type="noConversion"/>
  </si>
  <si>
    <t>장성천</t>
    <phoneticPr fontId="3" type="noConversion"/>
  </si>
  <si>
    <t>산포</t>
    <phoneticPr fontId="3" type="noConversion"/>
  </si>
  <si>
    <t>영강</t>
    <phoneticPr fontId="3" type="noConversion"/>
  </si>
  <si>
    <t>영산</t>
    <phoneticPr fontId="3" type="noConversion"/>
  </si>
  <si>
    <t>광양시</t>
    <phoneticPr fontId="3" type="noConversion"/>
  </si>
  <si>
    <t>담양군</t>
    <phoneticPr fontId="3" type="noConversion"/>
  </si>
  <si>
    <t>곡성군</t>
    <phoneticPr fontId="3" type="noConversion"/>
  </si>
  <si>
    <t>곡성천</t>
    <phoneticPr fontId="3" type="noConversion"/>
  </si>
  <si>
    <t>석곡천</t>
    <phoneticPr fontId="3" type="noConversion"/>
  </si>
  <si>
    <t>경주시</t>
    <phoneticPr fontId="3" type="noConversion"/>
  </si>
  <si>
    <t>형산강</t>
    <phoneticPr fontId="3" type="noConversion"/>
  </si>
  <si>
    <t>태화강</t>
    <phoneticPr fontId="3" type="noConversion"/>
  </si>
  <si>
    <t>동창천</t>
    <phoneticPr fontId="3" type="noConversion"/>
  </si>
  <si>
    <t>김천시</t>
    <phoneticPr fontId="3" type="noConversion"/>
  </si>
  <si>
    <t>감천</t>
    <phoneticPr fontId="3" type="noConversion"/>
  </si>
  <si>
    <t>아포읍</t>
    <phoneticPr fontId="3" type="noConversion"/>
  </si>
  <si>
    <t>영천시</t>
    <phoneticPr fontId="3" type="noConversion"/>
  </si>
  <si>
    <t>상주시</t>
    <phoneticPr fontId="3" type="noConversion"/>
  </si>
  <si>
    <t>병성천</t>
    <phoneticPr fontId="3" type="noConversion"/>
  </si>
  <si>
    <t>북천</t>
    <phoneticPr fontId="3" type="noConversion"/>
  </si>
  <si>
    <t>외서천</t>
    <phoneticPr fontId="3" type="noConversion"/>
  </si>
  <si>
    <t>동천</t>
    <phoneticPr fontId="3" type="noConversion"/>
  </si>
  <si>
    <t>경산시</t>
    <phoneticPr fontId="3" type="noConversion"/>
  </si>
  <si>
    <t>군위군</t>
    <phoneticPr fontId="3" type="noConversion"/>
  </si>
  <si>
    <t>의성군</t>
    <phoneticPr fontId="3" type="noConversion"/>
  </si>
  <si>
    <t>쌍계천</t>
    <phoneticPr fontId="3" type="noConversion"/>
  </si>
  <si>
    <t>신평천</t>
    <phoneticPr fontId="3" type="noConversion"/>
  </si>
  <si>
    <t>청송군</t>
    <phoneticPr fontId="3" type="noConversion"/>
  </si>
  <si>
    <t>영양군</t>
    <phoneticPr fontId="3" type="noConversion"/>
  </si>
  <si>
    <t>반변천</t>
    <phoneticPr fontId="3" type="noConversion"/>
  </si>
  <si>
    <t>동해</t>
    <phoneticPr fontId="3" type="noConversion"/>
  </si>
  <si>
    <t>왕피천</t>
    <phoneticPr fontId="3" type="noConversion"/>
  </si>
  <si>
    <t>영덕군</t>
    <phoneticPr fontId="3" type="noConversion"/>
  </si>
  <si>
    <t>청도군</t>
    <phoneticPr fontId="3" type="noConversion"/>
  </si>
  <si>
    <t>고령군</t>
    <phoneticPr fontId="3" type="noConversion"/>
  </si>
  <si>
    <t>회천</t>
    <phoneticPr fontId="3" type="noConversion"/>
  </si>
  <si>
    <t>성주군</t>
    <phoneticPr fontId="3" type="noConversion"/>
  </si>
  <si>
    <t>칠곡군</t>
    <phoneticPr fontId="3" type="noConversion"/>
  </si>
  <si>
    <t>예천군</t>
    <phoneticPr fontId="3" type="noConversion"/>
  </si>
  <si>
    <t>내성천</t>
    <phoneticPr fontId="3" type="noConversion"/>
  </si>
  <si>
    <t>감천면</t>
    <phoneticPr fontId="3" type="noConversion"/>
  </si>
  <si>
    <t>봉화군</t>
    <phoneticPr fontId="3" type="noConversion"/>
  </si>
  <si>
    <t>운곡천</t>
    <phoneticPr fontId="3" type="noConversion"/>
  </si>
  <si>
    <t>울진군</t>
    <phoneticPr fontId="3" type="noConversion"/>
  </si>
  <si>
    <t>매화천</t>
    <phoneticPr fontId="3" type="noConversion"/>
  </si>
  <si>
    <t>마산시</t>
    <phoneticPr fontId="3" type="noConversion"/>
  </si>
  <si>
    <t>진주시</t>
    <phoneticPr fontId="3" type="noConversion"/>
  </si>
  <si>
    <t>남강</t>
    <phoneticPr fontId="3" type="noConversion"/>
  </si>
  <si>
    <t>진해시</t>
    <phoneticPr fontId="3" type="noConversion"/>
  </si>
  <si>
    <t>연안(남해)</t>
    <phoneticPr fontId="3" type="noConversion"/>
  </si>
  <si>
    <t>없음</t>
    <phoneticPr fontId="3" type="noConversion"/>
  </si>
  <si>
    <t>통영시</t>
    <phoneticPr fontId="3" type="noConversion"/>
  </si>
  <si>
    <t>사천시</t>
    <phoneticPr fontId="3" type="noConversion"/>
  </si>
  <si>
    <t>사천읍</t>
    <phoneticPr fontId="3" type="noConversion"/>
  </si>
  <si>
    <t>김해시</t>
    <phoneticPr fontId="3" type="noConversion"/>
  </si>
  <si>
    <t>조만강</t>
    <phoneticPr fontId="3" type="noConversion"/>
  </si>
  <si>
    <t>밀양시</t>
    <phoneticPr fontId="3" type="noConversion"/>
  </si>
  <si>
    <t>밀양강</t>
    <phoneticPr fontId="3" type="noConversion"/>
  </si>
  <si>
    <t>거제시</t>
    <phoneticPr fontId="3" type="noConversion"/>
  </si>
  <si>
    <t>거제면</t>
    <phoneticPr fontId="3" type="noConversion"/>
  </si>
  <si>
    <t>남해군</t>
    <phoneticPr fontId="3" type="noConversion"/>
  </si>
  <si>
    <t>남해읍</t>
    <phoneticPr fontId="3" type="noConversion"/>
  </si>
  <si>
    <t>상주면</t>
    <phoneticPr fontId="3" type="noConversion"/>
  </si>
  <si>
    <t>하동군</t>
    <phoneticPr fontId="3" type="noConversion"/>
  </si>
  <si>
    <t>화개천</t>
    <phoneticPr fontId="3" type="noConversion"/>
  </si>
  <si>
    <t>악양천</t>
    <phoneticPr fontId="3" type="noConversion"/>
  </si>
  <si>
    <t>횡천강</t>
    <phoneticPr fontId="3" type="noConversion"/>
  </si>
  <si>
    <t>진교천</t>
    <phoneticPr fontId="3" type="noConversion"/>
  </si>
  <si>
    <t>주교천</t>
    <phoneticPr fontId="3" type="noConversion"/>
  </si>
  <si>
    <t>곤양천</t>
    <phoneticPr fontId="3" type="noConversion"/>
  </si>
  <si>
    <t>옥종천</t>
    <phoneticPr fontId="3" type="noConversion"/>
  </si>
  <si>
    <t>산청군</t>
    <phoneticPr fontId="3" type="noConversion"/>
  </si>
  <si>
    <t>함양군</t>
    <phoneticPr fontId="3" type="noConversion"/>
  </si>
  <si>
    <t>거창군</t>
    <phoneticPr fontId="3" type="noConversion"/>
  </si>
  <si>
    <t>황강</t>
    <phoneticPr fontId="3" type="noConversion"/>
  </si>
  <si>
    <t>합천군</t>
    <phoneticPr fontId="3" type="noConversion"/>
  </si>
  <si>
    <t>농소면</t>
    <phoneticPr fontId="3" type="noConversion"/>
  </si>
  <si>
    <t>개령면</t>
    <phoneticPr fontId="3" type="noConversion"/>
  </si>
  <si>
    <t>감문면</t>
    <phoneticPr fontId="3" type="noConversion"/>
  </si>
  <si>
    <t>어모면</t>
    <phoneticPr fontId="3" type="noConversion"/>
  </si>
  <si>
    <t>조마면</t>
    <phoneticPr fontId="3" type="noConversion"/>
  </si>
  <si>
    <t>증산면</t>
    <phoneticPr fontId="3" type="noConversion"/>
  </si>
  <si>
    <t>대가천</t>
    <phoneticPr fontId="3" type="noConversion"/>
  </si>
  <si>
    <t>안동시</t>
    <phoneticPr fontId="3" type="noConversion"/>
  </si>
  <si>
    <t>구미시</t>
    <phoneticPr fontId="3" type="noConversion"/>
  </si>
  <si>
    <t>대천</t>
    <phoneticPr fontId="3" type="noConversion"/>
  </si>
  <si>
    <t>대구광역시</t>
    <phoneticPr fontId="3" type="noConversion"/>
  </si>
  <si>
    <t>대전광역시</t>
    <phoneticPr fontId="3" type="noConversion"/>
  </si>
  <si>
    <t>울산광역시</t>
    <phoneticPr fontId="3" type="noConversion"/>
  </si>
  <si>
    <t>임실군</t>
  </si>
  <si>
    <t>동두천시</t>
    <phoneticPr fontId="3" type="noConversion"/>
  </si>
  <si>
    <t>삼척시</t>
    <phoneticPr fontId="3" type="noConversion"/>
  </si>
  <si>
    <t>충청북도</t>
    <phoneticPr fontId="3" type="noConversion"/>
  </si>
  <si>
    <t>경상남도</t>
    <phoneticPr fontId="3" type="noConversion"/>
  </si>
  <si>
    <t>지역
(시·군·구)</t>
    <phoneticPr fontId="3" type="noConversion"/>
  </si>
  <si>
    <t>하수 발생량</t>
    <phoneticPr fontId="3" type="noConversion"/>
  </si>
  <si>
    <t>분뇨</t>
    <phoneticPr fontId="3" type="noConversion"/>
  </si>
  <si>
    <t>계</t>
    <phoneticPr fontId="3" type="noConversion"/>
  </si>
  <si>
    <t>하수처리
구역 내</t>
    <phoneticPr fontId="3" type="noConversion"/>
  </si>
  <si>
    <t>하수처리
구역 외</t>
    <phoneticPr fontId="3" type="noConversion"/>
  </si>
  <si>
    <t>용산</t>
    <phoneticPr fontId="3" type="noConversion"/>
  </si>
  <si>
    <t>중랑</t>
    <phoneticPr fontId="3" type="noConversion"/>
  </si>
  <si>
    <t>강동</t>
    <phoneticPr fontId="3" type="noConversion"/>
  </si>
  <si>
    <t>고양시</t>
    <phoneticPr fontId="3" type="noConversion"/>
  </si>
  <si>
    <t>제주도</t>
    <phoneticPr fontId="3" type="noConversion"/>
  </si>
  <si>
    <t>서귀포시</t>
    <phoneticPr fontId="3" type="noConversion"/>
  </si>
  <si>
    <t>-</t>
  </si>
  <si>
    <t>제주시</t>
    <phoneticPr fontId="3" type="noConversion"/>
  </si>
  <si>
    <t>중랑물재생센터</t>
    <phoneticPr fontId="3" type="noConversion"/>
  </si>
  <si>
    <t>탄천물재생센터</t>
    <phoneticPr fontId="3" type="noConversion"/>
  </si>
  <si>
    <t>서남물재생센터</t>
    <phoneticPr fontId="3" type="noConversion"/>
  </si>
  <si>
    <t>난지물재생센터</t>
    <phoneticPr fontId="3" type="noConversion"/>
  </si>
  <si>
    <t>연안(서해)</t>
    <phoneticPr fontId="3" type="noConversion"/>
  </si>
  <si>
    <t>주문진</t>
    <phoneticPr fontId="3" type="noConversion"/>
  </si>
  <si>
    <t>북한강</t>
    <phoneticPr fontId="3" type="noConversion"/>
  </si>
  <si>
    <t>수안보</t>
    <phoneticPr fontId="3" type="noConversion"/>
  </si>
  <si>
    <t>연산</t>
    <phoneticPr fontId="3" type="noConversion"/>
  </si>
  <si>
    <t>삽교호</t>
    <phoneticPr fontId="3" type="noConversion"/>
  </si>
  <si>
    <t>임실읍</t>
    <phoneticPr fontId="3" type="noConversion"/>
  </si>
  <si>
    <t>오수면</t>
    <phoneticPr fontId="3" type="noConversion"/>
  </si>
  <si>
    <t>어모</t>
    <phoneticPr fontId="3" type="noConversion"/>
  </si>
  <si>
    <t>구성</t>
    <phoneticPr fontId="3" type="noConversion"/>
  </si>
  <si>
    <t>낙동</t>
    <phoneticPr fontId="3" type="noConversion"/>
  </si>
  <si>
    <t>영주시</t>
    <phoneticPr fontId="3" type="noConversion"/>
  </si>
  <si>
    <t>문경시</t>
    <phoneticPr fontId="3" type="noConversion"/>
  </si>
  <si>
    <t>강진읍</t>
    <phoneticPr fontId="3" type="noConversion"/>
  </si>
  <si>
    <t>함양읍</t>
    <phoneticPr fontId="3" type="noConversion"/>
  </si>
  <si>
    <t>연안(제주)</t>
    <phoneticPr fontId="3" type="noConversion"/>
  </si>
  <si>
    <t>송정</t>
    <phoneticPr fontId="3" type="noConversion"/>
  </si>
  <si>
    <t>봉성</t>
    <phoneticPr fontId="3" type="noConversion"/>
  </si>
  <si>
    <t>경안</t>
    <phoneticPr fontId="3" type="noConversion"/>
  </si>
  <si>
    <t>여주</t>
  </si>
  <si>
    <t>동촌</t>
    <phoneticPr fontId="3" type="noConversion"/>
  </si>
  <si>
    <t>방촌</t>
    <phoneticPr fontId="3" type="noConversion"/>
  </si>
  <si>
    <t>성남</t>
    <phoneticPr fontId="3" type="noConversion"/>
  </si>
  <si>
    <t>신정</t>
    <phoneticPr fontId="3" type="noConversion"/>
  </si>
  <si>
    <t>통복</t>
    <phoneticPr fontId="3" type="noConversion"/>
  </si>
  <si>
    <t>포승</t>
    <phoneticPr fontId="3" type="noConversion"/>
  </si>
  <si>
    <t>태안</t>
    <phoneticPr fontId="3" type="noConversion"/>
  </si>
  <si>
    <t>남양</t>
    <phoneticPr fontId="3" type="noConversion"/>
  </si>
  <si>
    <t>00.11</t>
    <phoneticPr fontId="3" type="noConversion"/>
  </si>
  <si>
    <t>95.12</t>
    <phoneticPr fontId="3" type="noConversion"/>
  </si>
  <si>
    <t>00.12</t>
    <phoneticPr fontId="3" type="noConversion"/>
  </si>
  <si>
    <t>02.10</t>
    <phoneticPr fontId="3" type="noConversion"/>
  </si>
  <si>
    <t>가평</t>
    <phoneticPr fontId="3" type="noConversion"/>
  </si>
  <si>
    <t>청평</t>
    <phoneticPr fontId="3" type="noConversion"/>
  </si>
  <si>
    <t>양양</t>
    <phoneticPr fontId="3" type="noConversion"/>
  </si>
  <si>
    <t>송곡</t>
    <phoneticPr fontId="3" type="noConversion"/>
  </si>
  <si>
    <t>지산</t>
    <phoneticPr fontId="3" type="noConversion"/>
  </si>
  <si>
    <t>북항</t>
    <phoneticPr fontId="3" type="noConversion"/>
  </si>
  <si>
    <t>여수</t>
    <phoneticPr fontId="3" type="noConversion"/>
  </si>
  <si>
    <t>구암</t>
    <phoneticPr fontId="3" type="noConversion"/>
  </si>
  <si>
    <t>대흥</t>
    <phoneticPr fontId="3" type="noConversion"/>
  </si>
  <si>
    <t>남부</t>
    <phoneticPr fontId="3" type="noConversion"/>
  </si>
  <si>
    <t>평산</t>
    <phoneticPr fontId="3" type="noConversion"/>
  </si>
  <si>
    <t>장성</t>
    <phoneticPr fontId="3" type="noConversion"/>
  </si>
  <si>
    <t>영덕</t>
    <phoneticPr fontId="3" type="noConversion"/>
  </si>
  <si>
    <t>오포</t>
    <phoneticPr fontId="3" type="noConversion"/>
  </si>
  <si>
    <t>월평</t>
    <phoneticPr fontId="3" type="noConversion"/>
  </si>
  <si>
    <t>교동</t>
    <phoneticPr fontId="3" type="noConversion"/>
  </si>
  <si>
    <t>신기</t>
    <phoneticPr fontId="3" type="noConversion"/>
  </si>
  <si>
    <t>석탄</t>
    <phoneticPr fontId="3" type="noConversion"/>
  </si>
  <si>
    <t>'96.10</t>
    <phoneticPr fontId="3" type="noConversion"/>
  </si>
  <si>
    <t>남평</t>
    <phoneticPr fontId="3" type="noConversion"/>
  </si>
  <si>
    <t>덕천</t>
    <phoneticPr fontId="3" type="noConversion"/>
  </si>
  <si>
    <t>박달</t>
    <phoneticPr fontId="3" type="noConversion"/>
  </si>
  <si>
    <t>도양</t>
    <phoneticPr fontId="3" type="noConversion"/>
  </si>
  <si>
    <t>합천</t>
    <phoneticPr fontId="3" type="noConversion"/>
  </si>
  <si>
    <t>06.1.1</t>
    <phoneticPr fontId="3" type="noConversion"/>
  </si>
  <si>
    <t>중동</t>
    <phoneticPr fontId="3" type="noConversion"/>
  </si>
  <si>
    <t>'01.12.30</t>
  </si>
  <si>
    <t>지도읍 읍내리</t>
    <phoneticPr fontId="3" type="noConversion"/>
  </si>
  <si>
    <t>흑산면 진리</t>
    <phoneticPr fontId="3" type="noConversion"/>
  </si>
  <si>
    <t>흑산면 예리</t>
    <phoneticPr fontId="3" type="noConversion"/>
  </si>
  <si>
    <t>구룡포</t>
    <phoneticPr fontId="3" type="noConversion"/>
  </si>
  <si>
    <t>대신</t>
    <phoneticPr fontId="3" type="noConversion"/>
  </si>
  <si>
    <t>흥해</t>
    <phoneticPr fontId="3" type="noConversion"/>
  </si>
  <si>
    <t>03. 3.17</t>
    <phoneticPr fontId="3" type="noConversion"/>
  </si>
  <si>
    <t>천북면 신당리 1362-2</t>
    <phoneticPr fontId="3" type="noConversion"/>
  </si>
  <si>
    <t>02.11.21</t>
    <phoneticPr fontId="3" type="noConversion"/>
  </si>
  <si>
    <t>안강</t>
    <phoneticPr fontId="3" type="noConversion"/>
  </si>
  <si>
    <t>05. 3.31</t>
    <phoneticPr fontId="3" type="noConversion"/>
  </si>
  <si>
    <t>옥산</t>
    <phoneticPr fontId="3" type="noConversion"/>
  </si>
  <si>
    <t>덕곡</t>
    <phoneticPr fontId="3" type="noConversion"/>
  </si>
  <si>
    <t>'99.4.1</t>
    <phoneticPr fontId="3" type="noConversion"/>
  </si>
  <si>
    <t>신평</t>
    <phoneticPr fontId="3" type="noConversion"/>
  </si>
  <si>
    <t>옥계</t>
    <phoneticPr fontId="3" type="noConversion"/>
  </si>
  <si>
    <t>`04.12</t>
    <phoneticPr fontId="3" type="noConversion"/>
  </si>
  <si>
    <t>가장</t>
    <phoneticPr fontId="3" type="noConversion"/>
  </si>
  <si>
    <t>02.12</t>
    <phoneticPr fontId="3" type="noConversion"/>
  </si>
  <si>
    <t>04.3.31</t>
    <phoneticPr fontId="3" type="noConversion"/>
  </si>
  <si>
    <t>남정</t>
    <phoneticPr fontId="3" type="noConversion"/>
  </si>
  <si>
    <t>03.05.01</t>
    <phoneticPr fontId="3" type="noConversion"/>
  </si>
  <si>
    <t>남천</t>
    <phoneticPr fontId="3" type="noConversion"/>
  </si>
  <si>
    <t>05.12.31</t>
    <phoneticPr fontId="3" type="noConversion"/>
  </si>
  <si>
    <t>05.12.27</t>
    <phoneticPr fontId="3" type="noConversion"/>
  </si>
  <si>
    <t>북부하수처리장</t>
    <phoneticPr fontId="3" type="noConversion"/>
  </si>
  <si>
    <t>서부하수처리장</t>
    <phoneticPr fontId="3" type="noConversion"/>
  </si>
  <si>
    <t>신천하수처리장</t>
    <phoneticPr fontId="3" type="noConversion"/>
  </si>
  <si>
    <t>97.12.16</t>
    <phoneticPr fontId="3" type="noConversion"/>
  </si>
  <si>
    <t>만수</t>
    <phoneticPr fontId="3" type="noConversion"/>
  </si>
  <si>
    <t>운북</t>
    <phoneticPr fontId="3" type="noConversion"/>
  </si>
  <si>
    <t>창리</t>
    <phoneticPr fontId="3" type="noConversion"/>
  </si>
  <si>
    <t>96.4.4</t>
    <phoneticPr fontId="3" type="noConversion"/>
  </si>
  <si>
    <t>용연</t>
    <phoneticPr fontId="3" type="noConversion"/>
  </si>
  <si>
    <t>01.11</t>
    <phoneticPr fontId="3" type="noConversion"/>
  </si>
  <si>
    <t>온산</t>
    <phoneticPr fontId="3" type="noConversion"/>
  </si>
  <si>
    <t>02.7.29</t>
    <phoneticPr fontId="3" type="noConversion"/>
  </si>
  <si>
    <t>02.12.24</t>
    <phoneticPr fontId="3" type="noConversion"/>
  </si>
  <si>
    <t>언양</t>
    <phoneticPr fontId="3" type="noConversion"/>
  </si>
  <si>
    <t>대리</t>
    <phoneticPr fontId="3" type="noConversion"/>
  </si>
  <si>
    <t>하동</t>
    <phoneticPr fontId="3" type="noConversion"/>
  </si>
  <si>
    <t>호계</t>
    <phoneticPr fontId="3" type="noConversion"/>
  </si>
  <si>
    <t>03.7.1</t>
    <phoneticPr fontId="3" type="noConversion"/>
  </si>
  <si>
    <t>방어진</t>
    <phoneticPr fontId="3" type="noConversion"/>
  </si>
  <si>
    <t>05. 9. 1</t>
    <phoneticPr fontId="3" type="noConversion"/>
  </si>
  <si>
    <t>04.10.16</t>
    <phoneticPr fontId="3" type="noConversion"/>
  </si>
  <si>
    <t>00.5.30</t>
    <phoneticPr fontId="3" type="noConversion"/>
  </si>
  <si>
    <t>대부북동712</t>
    <phoneticPr fontId="3" type="noConversion"/>
  </si>
  <si>
    <t>98.12.31</t>
    <phoneticPr fontId="3" type="noConversion"/>
  </si>
  <si>
    <t>월산</t>
    <phoneticPr fontId="3" type="noConversion"/>
  </si>
  <si>
    <t>봉담읍 수영리</t>
    <phoneticPr fontId="3" type="noConversion"/>
  </si>
  <si>
    <t>수영</t>
    <phoneticPr fontId="3" type="noConversion"/>
  </si>
  <si>
    <t>우정읍 화산리</t>
    <phoneticPr fontId="3" type="noConversion"/>
  </si>
  <si>
    <t>상신</t>
    <phoneticPr fontId="3" type="noConversion"/>
  </si>
  <si>
    <t>01.12.20</t>
    <phoneticPr fontId="3" type="noConversion"/>
  </si>
  <si>
    <t>92.11.16</t>
    <phoneticPr fontId="3" type="noConversion"/>
  </si>
  <si>
    <t>00.01.31</t>
    <phoneticPr fontId="3" type="noConversion"/>
  </si>
  <si>
    <t>02.02.22</t>
    <phoneticPr fontId="3" type="noConversion"/>
  </si>
  <si>
    <t>06.11.28</t>
    <phoneticPr fontId="3" type="noConversion"/>
  </si>
  <si>
    <t>하남</t>
    <phoneticPr fontId="3" type="noConversion"/>
  </si>
  <si>
    <t>신촌</t>
    <phoneticPr fontId="3" type="noConversion"/>
  </si>
  <si>
    <t>백안</t>
    <phoneticPr fontId="3" type="noConversion"/>
  </si>
  <si>
    <t>06.11</t>
    <phoneticPr fontId="3" type="noConversion"/>
  </si>
  <si>
    <t>강촌</t>
    <phoneticPr fontId="3" type="noConversion"/>
  </si>
  <si>
    <t>`06.06.05</t>
    <phoneticPr fontId="3" type="noConversion"/>
  </si>
  <si>
    <t>98.06.30</t>
    <phoneticPr fontId="3" type="noConversion"/>
  </si>
  <si>
    <t>1999.7.15</t>
    <phoneticPr fontId="3" type="noConversion"/>
  </si>
  <si>
    <t>03.11.04</t>
    <phoneticPr fontId="3" type="noConversion"/>
  </si>
  <si>
    <t>안면읍 승언리</t>
    <phoneticPr fontId="3" type="noConversion"/>
  </si>
  <si>
    <t>남산</t>
    <phoneticPr fontId="3" type="noConversion"/>
  </si>
  <si>
    <t>석곡</t>
    <phoneticPr fontId="3" type="noConversion"/>
  </si>
  <si>
    <t>봉전</t>
    <phoneticPr fontId="3" type="noConversion"/>
  </si>
  <si>
    <t>05.1</t>
    <phoneticPr fontId="3" type="noConversion"/>
  </si>
  <si>
    <t>01.11.1</t>
    <phoneticPr fontId="3" type="noConversion"/>
  </si>
  <si>
    <t>02.09</t>
    <phoneticPr fontId="3" type="noConversion"/>
  </si>
  <si>
    <t>곤양</t>
    <phoneticPr fontId="3" type="noConversion"/>
  </si>
  <si>
    <t>2006.12.20</t>
    <phoneticPr fontId="3" type="noConversion"/>
  </si>
  <si>
    <t>상정</t>
    <phoneticPr fontId="3" type="noConversion"/>
  </si>
  <si>
    <t>수동</t>
    <phoneticPr fontId="3" type="noConversion"/>
  </si>
  <si>
    <t>석문</t>
    <phoneticPr fontId="3" type="noConversion"/>
  </si>
  <si>
    <t>2006.10.4</t>
    <phoneticPr fontId="3" type="noConversion"/>
  </si>
  <si>
    <t>00.4</t>
    <phoneticPr fontId="3" type="noConversion"/>
  </si>
  <si>
    <t>99.4.21</t>
    <phoneticPr fontId="3" type="noConversion"/>
  </si>
  <si>
    <t>내송</t>
    <phoneticPr fontId="3" type="noConversion"/>
  </si>
  <si>
    <t>수산</t>
    <phoneticPr fontId="3" type="noConversion"/>
  </si>
  <si>
    <t>하남읍수산리</t>
    <phoneticPr fontId="3" type="noConversion"/>
  </si>
  <si>
    <t>00.5.10</t>
    <phoneticPr fontId="3" type="noConversion"/>
  </si>
  <si>
    <t>대평</t>
    <phoneticPr fontId="3" type="noConversion"/>
  </si>
  <si>
    <t>상남면기산리</t>
    <phoneticPr fontId="3" type="noConversion"/>
  </si>
  <si>
    <t>백산</t>
    <phoneticPr fontId="3" type="noConversion"/>
  </si>
  <si>
    <t>중앙</t>
    <phoneticPr fontId="3" type="noConversion"/>
  </si>
  <si>
    <t>04.02.29</t>
    <phoneticPr fontId="3" type="noConversion"/>
  </si>
  <si>
    <t>아랫고점</t>
    <phoneticPr fontId="3" type="noConversion"/>
  </si>
  <si>
    <t>선리</t>
    <phoneticPr fontId="3" type="noConversion"/>
  </si>
  <si>
    <t>대리동1</t>
    <phoneticPr fontId="3" type="noConversion"/>
  </si>
  <si>
    <t>98.5.19</t>
    <phoneticPr fontId="3" type="noConversion"/>
  </si>
  <si>
    <t>06.11.30</t>
    <phoneticPr fontId="3" type="noConversion"/>
  </si>
  <si>
    <t>2005.1.15</t>
    <phoneticPr fontId="3" type="noConversion"/>
  </si>
  <si>
    <t>대대</t>
    <phoneticPr fontId="3" type="noConversion"/>
  </si>
  <si>
    <t>01.12.30</t>
    <phoneticPr fontId="3" type="noConversion"/>
  </si>
  <si>
    <t>03.11.30</t>
    <phoneticPr fontId="3" type="noConversion"/>
  </si>
  <si>
    <t>황금</t>
    <phoneticPr fontId="3" type="noConversion"/>
  </si>
  <si>
    <t>02.12.30</t>
    <phoneticPr fontId="3" type="noConversion"/>
  </si>
  <si>
    <t>04.12.10</t>
    <phoneticPr fontId="3" type="noConversion"/>
  </si>
  <si>
    <t>보성</t>
    <phoneticPr fontId="3" type="noConversion"/>
  </si>
  <si>
    <t>복내</t>
    <phoneticPr fontId="3" type="noConversion"/>
  </si>
  <si>
    <t>05.01.02</t>
    <phoneticPr fontId="3" type="noConversion"/>
  </si>
  <si>
    <t>1999.7.14</t>
    <phoneticPr fontId="3" type="noConversion"/>
  </si>
  <si>
    <t>동산</t>
    <phoneticPr fontId="3" type="noConversion"/>
  </si>
  <si>
    <t>00.10.01</t>
    <phoneticPr fontId="3" type="noConversion"/>
  </si>
  <si>
    <t>중촌</t>
    <phoneticPr fontId="3" type="noConversion"/>
  </si>
  <si>
    <t>상주</t>
    <phoneticPr fontId="3" type="noConversion"/>
  </si>
  <si>
    <t>두곡</t>
    <phoneticPr fontId="3" type="noConversion"/>
  </si>
  <si>
    <t>덕촌</t>
    <phoneticPr fontId="3" type="noConversion"/>
  </si>
  <si>
    <t>03.12.10</t>
    <phoneticPr fontId="3" type="noConversion"/>
  </si>
  <si>
    <t>가조면 대초리</t>
    <phoneticPr fontId="3" type="noConversion"/>
  </si>
  <si>
    <t>05.12.29</t>
    <phoneticPr fontId="3" type="noConversion"/>
  </si>
  <si>
    <t>서산</t>
    <phoneticPr fontId="3" type="noConversion"/>
  </si>
  <si>
    <t>99.12.30</t>
    <phoneticPr fontId="3" type="noConversion"/>
  </si>
  <si>
    <t>94.3.1</t>
    <phoneticPr fontId="3" type="noConversion"/>
  </si>
  <si>
    <t>06.11.01</t>
    <phoneticPr fontId="3" type="noConversion"/>
  </si>
  <si>
    <t>06.11.06</t>
    <phoneticPr fontId="3" type="noConversion"/>
  </si>
  <si>
    <t>2006.6.</t>
    <phoneticPr fontId="3" type="noConversion"/>
  </si>
  <si>
    <t>인구</t>
    <phoneticPr fontId="3" type="noConversion"/>
  </si>
  <si>
    <t>동이</t>
    <phoneticPr fontId="3" type="noConversion"/>
  </si>
  <si>
    <t>생극</t>
    <phoneticPr fontId="3" type="noConversion"/>
  </si>
  <si>
    <t>94.5.1</t>
    <phoneticPr fontId="3" type="noConversion"/>
  </si>
  <si>
    <t>용담</t>
    <phoneticPr fontId="3" type="noConversion"/>
  </si>
  <si>
    <t>봉천</t>
    <phoneticPr fontId="3" type="noConversion"/>
  </si>
  <si>
    <t>신엄</t>
    <phoneticPr fontId="3" type="noConversion"/>
  </si>
  <si>
    <t>동동</t>
    <phoneticPr fontId="3" type="noConversion"/>
  </si>
  <si>
    <t>상동</t>
    <phoneticPr fontId="3" type="noConversion"/>
  </si>
  <si>
    <t>수원</t>
    <phoneticPr fontId="3" type="noConversion"/>
  </si>
  <si>
    <t>하도</t>
    <phoneticPr fontId="3" type="noConversion"/>
  </si>
  <si>
    <t>송당</t>
    <phoneticPr fontId="3" type="noConversion"/>
  </si>
  <si>
    <t>98.11.17</t>
    <phoneticPr fontId="3" type="noConversion"/>
  </si>
  <si>
    <t>물리적</t>
    <phoneticPr fontId="3" type="noConversion"/>
  </si>
  <si>
    <t>자체</t>
    <phoneticPr fontId="3" type="noConversion"/>
  </si>
  <si>
    <t>강서구 마곡동 91</t>
    <phoneticPr fontId="3" type="noConversion"/>
  </si>
  <si>
    <t>달서천</t>
    <phoneticPr fontId="3" type="noConversion"/>
  </si>
  <si>
    <t>대명천</t>
    <phoneticPr fontId="3" type="noConversion"/>
  </si>
  <si>
    <t>B3공법</t>
    <phoneticPr fontId="3" type="noConversion"/>
  </si>
  <si>
    <t>표준활성
슬러지</t>
    <phoneticPr fontId="3" type="noConversion"/>
  </si>
  <si>
    <t>민간위탁</t>
    <phoneticPr fontId="3" type="noConversion"/>
  </si>
  <si>
    <t>지자체</t>
    <phoneticPr fontId="3" type="noConversion"/>
  </si>
  <si>
    <t>하수</t>
    <phoneticPr fontId="3" type="noConversion"/>
  </si>
  <si>
    <t>일산</t>
    <phoneticPr fontId="3" type="noConversion"/>
  </si>
  <si>
    <t>법곳동 740</t>
    <phoneticPr fontId="3" type="noConversion"/>
  </si>
  <si>
    <t>678-4855</t>
    <phoneticPr fontId="3" type="noConversion"/>
  </si>
  <si>
    <t>469-2235</t>
    <phoneticPr fontId="3" type="noConversion"/>
  </si>
  <si>
    <t>석수</t>
    <phoneticPr fontId="3" type="noConversion"/>
  </si>
  <si>
    <t>389-5174</t>
    <phoneticPr fontId="3" type="noConversion"/>
  </si>
  <si>
    <t>안산</t>
    <phoneticPr fontId="3" type="noConversion"/>
  </si>
  <si>
    <t>안산하수처리장</t>
    <phoneticPr fontId="3" type="noConversion"/>
  </si>
  <si>
    <t>용인</t>
    <phoneticPr fontId="3" type="noConversion"/>
  </si>
  <si>
    <t>HBR-2</t>
    <phoneticPr fontId="3" type="noConversion"/>
  </si>
  <si>
    <t>기흥</t>
    <phoneticPr fontId="3" type="noConversion"/>
  </si>
  <si>
    <t>의정부</t>
    <phoneticPr fontId="3" type="noConversion"/>
  </si>
  <si>
    <t>화도</t>
    <phoneticPr fontId="3" type="noConversion"/>
  </si>
  <si>
    <t>05.12.28</t>
    <phoneticPr fontId="3" type="noConversion"/>
  </si>
  <si>
    <t>진건</t>
    <phoneticPr fontId="3" type="noConversion"/>
  </si>
  <si>
    <t>진건하수처리장</t>
    <phoneticPr fontId="3" type="noConversion"/>
  </si>
  <si>
    <t>654-1035</t>
    <phoneticPr fontId="3" type="noConversion"/>
  </si>
  <si>
    <t>정왕동 2163</t>
    <phoneticPr fontId="3" type="noConversion"/>
  </si>
  <si>
    <t>06.12.20</t>
    <phoneticPr fontId="3" type="noConversion"/>
  </si>
  <si>
    <t>이천</t>
    <phoneticPr fontId="3" type="noConversion"/>
  </si>
  <si>
    <t>633-9013</t>
    <phoneticPr fontId="3" type="noConversion"/>
  </si>
  <si>
    <t>구리</t>
    <phoneticPr fontId="3" type="noConversion"/>
  </si>
  <si>
    <t>구리하수처리장</t>
    <phoneticPr fontId="3" type="noConversion"/>
  </si>
  <si>
    <t>550-2584</t>
    <phoneticPr fontId="3" type="noConversion"/>
  </si>
  <si>
    <t>김포</t>
    <phoneticPr fontId="3" type="noConversion"/>
  </si>
  <si>
    <t>531-7929</t>
    <phoneticPr fontId="3" type="noConversion"/>
  </si>
  <si>
    <t>영평천</t>
    <phoneticPr fontId="3" type="noConversion"/>
  </si>
  <si>
    <t>영중</t>
    <phoneticPr fontId="3" type="noConversion"/>
  </si>
  <si>
    <t>531-7478</t>
    <phoneticPr fontId="3" type="noConversion"/>
  </si>
  <si>
    <t>02.03.01</t>
    <phoneticPr fontId="3" type="noConversion"/>
  </si>
  <si>
    <t>영북</t>
    <phoneticPr fontId="3" type="noConversion"/>
  </si>
  <si>
    <t>532-9007</t>
    <phoneticPr fontId="3" type="noConversion"/>
  </si>
  <si>
    <t>04.12.01</t>
    <phoneticPr fontId="3" type="noConversion"/>
  </si>
  <si>
    <t>광주하수처리장</t>
    <phoneticPr fontId="3" type="noConversion"/>
  </si>
  <si>
    <t>곤지암하수처리장</t>
    <phoneticPr fontId="3" type="noConversion"/>
  </si>
  <si>
    <t>안성</t>
    <phoneticPr fontId="3" type="noConversion"/>
  </si>
  <si>
    <t>04.6.30</t>
    <phoneticPr fontId="3" type="noConversion"/>
  </si>
  <si>
    <t>하수</t>
  </si>
  <si>
    <t>오산</t>
    <phoneticPr fontId="3" type="noConversion"/>
  </si>
  <si>
    <t>B3</t>
  </si>
  <si>
    <t>370-3593</t>
    <phoneticPr fontId="3" type="noConversion"/>
  </si>
  <si>
    <t>직영</t>
  </si>
  <si>
    <t>민간위탁</t>
  </si>
  <si>
    <t>환경사업소</t>
    <phoneticPr fontId="3" type="noConversion"/>
  </si>
  <si>
    <t>과천시</t>
  </si>
  <si>
    <t>자체</t>
  </si>
  <si>
    <t>연천</t>
  </si>
  <si>
    <t>240-2371</t>
    <phoneticPr fontId="3" type="noConversion"/>
  </si>
  <si>
    <t>서부</t>
    <phoneticPr fontId="3" type="noConversion"/>
  </si>
  <si>
    <t>양평</t>
    <phoneticPr fontId="3" type="noConversion"/>
  </si>
  <si>
    <t>과천</t>
    <phoneticPr fontId="3" type="noConversion"/>
  </si>
  <si>
    <t>250-3808</t>
    <phoneticPr fontId="3" type="noConversion"/>
  </si>
  <si>
    <t>741-2577</t>
    <phoneticPr fontId="3" type="noConversion"/>
  </si>
  <si>
    <t>HBR</t>
    <phoneticPr fontId="3" type="noConversion"/>
  </si>
  <si>
    <t>650-5200</t>
    <phoneticPr fontId="3" type="noConversion"/>
  </si>
  <si>
    <t>635-4095</t>
    <phoneticPr fontId="3" type="noConversion"/>
  </si>
  <si>
    <t>435-5411</t>
    <phoneticPr fontId="3" type="noConversion"/>
  </si>
  <si>
    <t>평창강</t>
    <phoneticPr fontId="3" type="noConversion"/>
  </si>
  <si>
    <t>99.1.1</t>
    <phoneticPr fontId="3" type="noConversion"/>
  </si>
  <si>
    <t>동강</t>
    <phoneticPr fontId="3" type="noConversion"/>
  </si>
  <si>
    <t>B3 공법</t>
    <phoneticPr fontId="3" type="noConversion"/>
  </si>
  <si>
    <t>한탄강</t>
    <phoneticPr fontId="3" type="noConversion"/>
  </si>
  <si>
    <t>파로호</t>
    <phoneticPr fontId="3" type="noConversion"/>
  </si>
  <si>
    <t>소양강</t>
    <phoneticPr fontId="3" type="noConversion"/>
  </si>
  <si>
    <t>670-2383</t>
    <phoneticPr fontId="3" type="noConversion"/>
  </si>
  <si>
    <t>269-1334</t>
    <phoneticPr fontId="3" type="noConversion"/>
  </si>
  <si>
    <t>544-1274</t>
    <phoneticPr fontId="3" type="noConversion"/>
  </si>
  <si>
    <t>영동하수처리장</t>
    <phoneticPr fontId="3" type="noConversion"/>
  </si>
  <si>
    <t>증평하수종말처리장</t>
    <phoneticPr fontId="3" type="noConversion"/>
  </si>
  <si>
    <t>835-3971</t>
    <phoneticPr fontId="3" type="noConversion"/>
  </si>
  <si>
    <t>532-7900</t>
    <phoneticPr fontId="3" type="noConversion"/>
  </si>
  <si>
    <t>괴산읍 대덕리 14번지</t>
    <phoneticPr fontId="3" type="noConversion"/>
  </si>
  <si>
    <t>괴산하수종말처리장</t>
    <phoneticPr fontId="3" type="noConversion"/>
  </si>
  <si>
    <t>832-8770</t>
    <phoneticPr fontId="3" type="noConversion"/>
  </si>
  <si>
    <t>위탁</t>
    <phoneticPr fontId="3" type="noConversion"/>
  </si>
  <si>
    <t>873-7900</t>
    <phoneticPr fontId="3" type="noConversion"/>
  </si>
  <si>
    <t>883-7900</t>
    <phoneticPr fontId="3" type="noConversion"/>
  </si>
  <si>
    <t>매포</t>
    <phoneticPr fontId="3" type="noConversion"/>
  </si>
  <si>
    <t>천안</t>
    <phoneticPr fontId="3" type="noConversion"/>
  </si>
  <si>
    <t>97.5.23</t>
    <phoneticPr fontId="3" type="noConversion"/>
  </si>
  <si>
    <t>봉정동 122</t>
    <phoneticPr fontId="3" type="noConversion"/>
  </si>
  <si>
    <t>공주하수처리장</t>
    <phoneticPr fontId="3" type="noConversion"/>
  </si>
  <si>
    <t>생물학적</t>
    <phoneticPr fontId="3" type="noConversion"/>
  </si>
  <si>
    <t>고도처리공법</t>
    <phoneticPr fontId="3" type="noConversion"/>
  </si>
  <si>
    <t>금강서해</t>
    <phoneticPr fontId="3" type="noConversion"/>
  </si>
  <si>
    <t>충남 연기군 조치원읍 죽림리 296</t>
    <phoneticPr fontId="3" type="noConversion"/>
  </si>
  <si>
    <t>충남 연기군 전의면 동교리 3-2</t>
    <phoneticPr fontId="3" type="noConversion"/>
  </si>
  <si>
    <t>03.4.1</t>
    <phoneticPr fontId="3" type="noConversion"/>
  </si>
  <si>
    <t>송내천</t>
    <phoneticPr fontId="3" type="noConversion"/>
  </si>
  <si>
    <t>청양하수처리장</t>
    <phoneticPr fontId="3" type="noConversion"/>
  </si>
  <si>
    <t>홍성하수종말처리장</t>
    <phoneticPr fontId="3" type="noConversion"/>
  </si>
  <si>
    <t>예산하수처리장</t>
    <phoneticPr fontId="3" type="noConversion"/>
  </si>
  <si>
    <t>연안
(서해)</t>
    <phoneticPr fontId="3" type="noConversion"/>
  </si>
  <si>
    <t>안면하수종말처리장</t>
    <phoneticPr fontId="3" type="noConversion"/>
  </si>
  <si>
    <t>670-2470</t>
    <phoneticPr fontId="3" type="noConversion"/>
  </si>
  <si>
    <t>연계처리</t>
    <phoneticPr fontId="3" type="noConversion"/>
  </si>
  <si>
    <t>전주하수종말처리장</t>
    <phoneticPr fontId="3" type="noConversion"/>
  </si>
  <si>
    <t>468-9320</t>
    <phoneticPr fontId="3" type="noConversion"/>
  </si>
  <si>
    <t>838-5805</t>
    <phoneticPr fontId="3" type="noConversion"/>
  </si>
  <si>
    <t>535-8732</t>
    <phoneticPr fontId="3" type="noConversion"/>
  </si>
  <si>
    <t>정읍천</t>
    <phoneticPr fontId="3" type="noConversion"/>
  </si>
  <si>
    <t>B3</t>
    <phoneticPr fontId="3" type="noConversion"/>
  </si>
  <si>
    <t>620-6852</t>
    <phoneticPr fontId="3" type="noConversion"/>
  </si>
  <si>
    <t>무주하수종말처리장</t>
    <phoneticPr fontId="3" type="noConversion"/>
  </si>
  <si>
    <t>320-2579</t>
    <phoneticPr fontId="3" type="noConversion"/>
  </si>
  <si>
    <t>640-2361</t>
    <phoneticPr fontId="3" type="noConversion"/>
  </si>
  <si>
    <t>순창하수종말처리장</t>
    <phoneticPr fontId="3" type="noConversion"/>
  </si>
  <si>
    <t>652-0931</t>
    <phoneticPr fontId="3" type="noConversion"/>
  </si>
  <si>
    <t>주진천</t>
    <phoneticPr fontId="3" type="noConversion"/>
  </si>
  <si>
    <t>부안</t>
    <phoneticPr fontId="3" type="noConversion"/>
  </si>
  <si>
    <t>하수종말처리장</t>
    <phoneticPr fontId="3" type="noConversion"/>
  </si>
  <si>
    <t>담양</t>
    <phoneticPr fontId="3" type="noConversion"/>
  </si>
  <si>
    <t>380-3339</t>
    <phoneticPr fontId="3" type="noConversion"/>
  </si>
  <si>
    <t>곡성하수처리장</t>
    <phoneticPr fontId="3" type="noConversion"/>
  </si>
  <si>
    <t>구례하수처리장</t>
    <phoneticPr fontId="3" type="noConversion"/>
  </si>
  <si>
    <t>430-3752</t>
    <phoneticPr fontId="3" type="noConversion"/>
  </si>
  <si>
    <t>연안
(남해)</t>
    <phoneticPr fontId="3" type="noConversion"/>
  </si>
  <si>
    <t>SBR-KIDIA</t>
    <phoneticPr fontId="3" type="noConversion"/>
  </si>
  <si>
    <t>해남 하수종말처리장</t>
    <phoneticPr fontId="3" type="noConversion"/>
  </si>
  <si>
    <t>530-5524</t>
    <phoneticPr fontId="3" type="noConversion"/>
  </si>
  <si>
    <t>영암</t>
    <phoneticPr fontId="3" type="noConversion"/>
  </si>
  <si>
    <t>대불하수처리장</t>
    <phoneticPr fontId="3" type="noConversion"/>
  </si>
  <si>
    <t>김천</t>
    <phoneticPr fontId="3" type="noConversion"/>
  </si>
  <si>
    <t>안동</t>
    <phoneticPr fontId="3" type="noConversion"/>
  </si>
  <si>
    <t>구미</t>
    <phoneticPr fontId="3" type="noConversion"/>
  </si>
  <si>
    <t>칠곡군 석적읍 중리 412</t>
    <phoneticPr fontId="3" type="noConversion"/>
  </si>
  <si>
    <t>영주</t>
    <phoneticPr fontId="3" type="noConversion"/>
  </si>
  <si>
    <t>영천</t>
    <phoneticPr fontId="3" type="noConversion"/>
  </si>
  <si>
    <t>전처리후연계처리</t>
    <phoneticPr fontId="3" type="noConversion"/>
  </si>
  <si>
    <t>99.12.15</t>
    <phoneticPr fontId="3" type="noConversion"/>
  </si>
  <si>
    <t>점촌</t>
    <phoneticPr fontId="3" type="noConversion"/>
  </si>
  <si>
    <t>경산</t>
    <phoneticPr fontId="3" type="noConversion"/>
  </si>
  <si>
    <t>의성</t>
    <phoneticPr fontId="3" type="noConversion"/>
  </si>
  <si>
    <t>용전천</t>
    <phoneticPr fontId="3" type="noConversion"/>
  </si>
  <si>
    <t>임하댐</t>
    <phoneticPr fontId="3" type="noConversion"/>
  </si>
  <si>
    <t>영해</t>
    <phoneticPr fontId="3" type="noConversion"/>
  </si>
  <si>
    <t>청도</t>
    <phoneticPr fontId="3" type="noConversion"/>
  </si>
  <si>
    <t>청도읍 거연리 224</t>
    <phoneticPr fontId="3" type="noConversion"/>
  </si>
  <si>
    <t>370-6195</t>
    <phoneticPr fontId="3" type="noConversion"/>
  </si>
  <si>
    <t>고령</t>
    <phoneticPr fontId="3" type="noConversion"/>
  </si>
  <si>
    <t>성주</t>
    <phoneticPr fontId="3" type="noConversion"/>
  </si>
  <si>
    <t>예천</t>
    <phoneticPr fontId="3" type="noConversion"/>
  </si>
  <si>
    <t>예천읍 상리 57-3</t>
    <phoneticPr fontId="3" type="noConversion"/>
  </si>
  <si>
    <t>울진</t>
    <phoneticPr fontId="3" type="noConversion"/>
  </si>
  <si>
    <t>마산/창원</t>
    <phoneticPr fontId="3" type="noConversion"/>
  </si>
  <si>
    <t>사남면 방지리 200</t>
    <phoneticPr fontId="3" type="noConversion"/>
  </si>
  <si>
    <t>2000.3.31</t>
    <phoneticPr fontId="3" type="noConversion"/>
  </si>
  <si>
    <t>밀양</t>
    <phoneticPr fontId="3" type="noConversion"/>
  </si>
  <si>
    <t>양산</t>
    <phoneticPr fontId="3" type="noConversion"/>
  </si>
  <si>
    <t>동면 금산리 656</t>
    <phoneticPr fontId="3" type="noConversion"/>
  </si>
  <si>
    <t>양산하수처리장</t>
    <phoneticPr fontId="3" type="noConversion"/>
  </si>
  <si>
    <t>388-4131</t>
    <phoneticPr fontId="3" type="noConversion"/>
  </si>
  <si>
    <t>의령</t>
    <phoneticPr fontId="3" type="noConversion"/>
  </si>
  <si>
    <t>의령읍 무전리 78</t>
    <phoneticPr fontId="3" type="noConversion"/>
  </si>
  <si>
    <t>573-0225</t>
    <phoneticPr fontId="3" type="noConversion"/>
  </si>
  <si>
    <t>고성군하수처리시설</t>
    <phoneticPr fontId="3" type="noConversion"/>
  </si>
  <si>
    <t>하동읍 신기리</t>
    <phoneticPr fontId="3" type="noConversion"/>
  </si>
  <si>
    <t>하동하수종말처리장</t>
    <phoneticPr fontId="3" type="noConversion"/>
  </si>
  <si>
    <t>01.01.01</t>
    <phoneticPr fontId="3" type="noConversion"/>
  </si>
  <si>
    <t>위탁관리</t>
    <phoneticPr fontId="3" type="noConversion"/>
  </si>
  <si>
    <t>00.12.18</t>
    <phoneticPr fontId="3" type="noConversion"/>
  </si>
  <si>
    <t>위탁운영</t>
    <phoneticPr fontId="3" type="noConversion"/>
  </si>
  <si>
    <t>거창하수처리장</t>
    <phoneticPr fontId="3" type="noConversion"/>
  </si>
  <si>
    <t>940-3546</t>
    <phoneticPr fontId="3" type="noConversion"/>
  </si>
  <si>
    <t>제주</t>
    <phoneticPr fontId="3" type="noConversion"/>
  </si>
  <si>
    <t>97.12</t>
    <phoneticPr fontId="3" type="noConversion"/>
  </si>
  <si>
    <t>99.12</t>
    <phoneticPr fontId="3" type="noConversion"/>
  </si>
  <si>
    <t>320-3338</t>
    <phoneticPr fontId="3" type="noConversion"/>
  </si>
  <si>
    <t>영광</t>
    <phoneticPr fontId="3" type="noConversion"/>
  </si>
  <si>
    <t>활성슬러지</t>
    <phoneticPr fontId="3" type="noConversion"/>
  </si>
  <si>
    <t>자연정화법</t>
    <phoneticPr fontId="3" type="noConversion"/>
  </si>
  <si>
    <t>포항</t>
    <phoneticPr fontId="3" type="noConversion"/>
  </si>
  <si>
    <t>경주</t>
    <phoneticPr fontId="3" type="noConversion"/>
  </si>
  <si>
    <t>달서구 대천동 770</t>
    <phoneticPr fontId="3" type="noConversion"/>
  </si>
  <si>
    <t>가좌</t>
    <phoneticPr fontId="3" type="noConversion"/>
  </si>
  <si>
    <t>강화</t>
    <phoneticPr fontId="3" type="noConversion"/>
  </si>
  <si>
    <t>광주</t>
    <phoneticPr fontId="3" type="noConversion"/>
  </si>
  <si>
    <t>대전</t>
    <phoneticPr fontId="3" type="noConversion"/>
  </si>
  <si>
    <t>난지</t>
    <phoneticPr fontId="3" type="noConversion"/>
  </si>
  <si>
    <t>서남</t>
    <phoneticPr fontId="3" type="noConversion"/>
  </si>
  <si>
    <t>대전하수처리장</t>
    <phoneticPr fontId="3" type="noConversion"/>
  </si>
  <si>
    <t>조종천</t>
    <phoneticPr fontId="3" type="noConversion"/>
  </si>
  <si>
    <t>춘천</t>
    <phoneticPr fontId="3" type="noConversion"/>
  </si>
  <si>
    <t>원주</t>
    <phoneticPr fontId="3" type="noConversion"/>
  </si>
  <si>
    <t>강릉</t>
    <phoneticPr fontId="3" type="noConversion"/>
  </si>
  <si>
    <t>태백</t>
    <phoneticPr fontId="3" type="noConversion"/>
  </si>
  <si>
    <t>속초</t>
    <phoneticPr fontId="3" type="noConversion"/>
  </si>
  <si>
    <t>삼척</t>
    <phoneticPr fontId="3" type="noConversion"/>
  </si>
  <si>
    <t>홍천</t>
    <phoneticPr fontId="3" type="noConversion"/>
  </si>
  <si>
    <t>인제</t>
    <phoneticPr fontId="3" type="noConversion"/>
  </si>
  <si>
    <t>고성</t>
    <phoneticPr fontId="3" type="noConversion"/>
  </si>
  <si>
    <t>청주</t>
    <phoneticPr fontId="3" type="noConversion"/>
  </si>
  <si>
    <t>충주</t>
    <phoneticPr fontId="3" type="noConversion"/>
  </si>
  <si>
    <t>제천</t>
    <phoneticPr fontId="3" type="noConversion"/>
  </si>
  <si>
    <t>보은</t>
    <phoneticPr fontId="3" type="noConversion"/>
  </si>
  <si>
    <t>옥천</t>
    <phoneticPr fontId="3" type="noConversion"/>
  </si>
  <si>
    <t>영동</t>
    <phoneticPr fontId="3" type="noConversion"/>
  </si>
  <si>
    <t>증평</t>
    <phoneticPr fontId="3" type="noConversion"/>
  </si>
  <si>
    <t>진천</t>
    <phoneticPr fontId="3" type="noConversion"/>
  </si>
  <si>
    <t>괴산</t>
    <phoneticPr fontId="3" type="noConversion"/>
  </si>
  <si>
    <t>음성</t>
    <phoneticPr fontId="3" type="noConversion"/>
  </si>
  <si>
    <t>금왕</t>
    <phoneticPr fontId="3" type="noConversion"/>
  </si>
  <si>
    <t>단양</t>
    <phoneticPr fontId="3" type="noConversion"/>
  </si>
  <si>
    <t>공주</t>
    <phoneticPr fontId="3" type="noConversion"/>
  </si>
  <si>
    <t>보령</t>
    <phoneticPr fontId="3" type="noConversion"/>
  </si>
  <si>
    <t>아산</t>
    <phoneticPr fontId="3" type="noConversion"/>
  </si>
  <si>
    <t>논산</t>
    <phoneticPr fontId="3" type="noConversion"/>
  </si>
  <si>
    <t>금산</t>
    <phoneticPr fontId="3" type="noConversion"/>
  </si>
  <si>
    <t>전의</t>
    <phoneticPr fontId="3" type="noConversion"/>
  </si>
  <si>
    <t>부여</t>
    <phoneticPr fontId="3" type="noConversion"/>
  </si>
  <si>
    <t>청양</t>
    <phoneticPr fontId="3" type="noConversion"/>
  </si>
  <si>
    <t>홍성</t>
    <phoneticPr fontId="3" type="noConversion"/>
  </si>
  <si>
    <t>예산</t>
    <phoneticPr fontId="3" type="noConversion"/>
  </si>
  <si>
    <t>안면</t>
    <phoneticPr fontId="3" type="noConversion"/>
  </si>
  <si>
    <t>당진</t>
    <phoneticPr fontId="3" type="noConversion"/>
  </si>
  <si>
    <t>전주</t>
    <phoneticPr fontId="3" type="noConversion"/>
  </si>
  <si>
    <t>군산</t>
    <phoneticPr fontId="3" type="noConversion"/>
  </si>
  <si>
    <t>정읍</t>
    <phoneticPr fontId="3" type="noConversion"/>
  </si>
  <si>
    <t>남원</t>
    <phoneticPr fontId="3" type="noConversion"/>
  </si>
  <si>
    <t>김제</t>
    <phoneticPr fontId="3" type="noConversion"/>
  </si>
  <si>
    <t>완주</t>
    <phoneticPr fontId="3" type="noConversion"/>
  </si>
  <si>
    <t>진안</t>
    <phoneticPr fontId="3" type="noConversion"/>
  </si>
  <si>
    <t>무주</t>
    <phoneticPr fontId="3" type="noConversion"/>
  </si>
  <si>
    <t>장수</t>
    <phoneticPr fontId="3" type="noConversion"/>
  </si>
  <si>
    <t>임실</t>
    <phoneticPr fontId="3" type="noConversion"/>
  </si>
  <si>
    <t>순창</t>
    <phoneticPr fontId="3" type="noConversion"/>
  </si>
  <si>
    <t>고창</t>
    <phoneticPr fontId="3" type="noConversion"/>
  </si>
  <si>
    <t>순천</t>
    <phoneticPr fontId="3" type="noConversion"/>
  </si>
  <si>
    <t>나주</t>
    <phoneticPr fontId="3" type="noConversion"/>
  </si>
  <si>
    <t>곡성</t>
    <phoneticPr fontId="3" type="noConversion"/>
  </si>
  <si>
    <t>구례</t>
    <phoneticPr fontId="3" type="noConversion"/>
  </si>
  <si>
    <t>고흥</t>
    <phoneticPr fontId="3" type="noConversion"/>
  </si>
  <si>
    <t>해남</t>
    <phoneticPr fontId="3" type="noConversion"/>
  </si>
  <si>
    <t>무안</t>
    <phoneticPr fontId="3" type="noConversion"/>
  </si>
  <si>
    <t>함평</t>
    <phoneticPr fontId="3" type="noConversion"/>
  </si>
  <si>
    <t>신안</t>
    <phoneticPr fontId="3" type="noConversion"/>
  </si>
  <si>
    <t>흑산</t>
    <phoneticPr fontId="3" type="noConversion"/>
  </si>
  <si>
    <t>진해</t>
    <phoneticPr fontId="3" type="noConversion"/>
  </si>
  <si>
    <t>통영</t>
    <phoneticPr fontId="3" type="noConversion"/>
  </si>
  <si>
    <t>삼천</t>
    <phoneticPr fontId="3" type="noConversion"/>
  </si>
  <si>
    <t>남지</t>
    <phoneticPr fontId="3" type="noConversion"/>
  </si>
  <si>
    <t>산청</t>
    <phoneticPr fontId="3" type="noConversion"/>
  </si>
  <si>
    <t>함양</t>
    <phoneticPr fontId="3" type="noConversion"/>
  </si>
  <si>
    <t>거창</t>
    <phoneticPr fontId="3" type="noConversion"/>
  </si>
  <si>
    <t>부천북부(굴포)</t>
    <phoneticPr fontId="3" type="noConversion"/>
  </si>
  <si>
    <t>864-4394</t>
    <phoneticPr fontId="3" type="noConversion"/>
  </si>
  <si>
    <t>943-9381</t>
    <phoneticPr fontId="3" type="noConversion"/>
  </si>
  <si>
    <t>357-4141</t>
    <phoneticPr fontId="3" type="noConversion"/>
  </si>
  <si>
    <t>270-5263</t>
    <phoneticPr fontId="3" type="noConversion"/>
  </si>
  <si>
    <t>270-5274</t>
    <phoneticPr fontId="3" type="noConversion"/>
  </si>
  <si>
    <t>779-6719</t>
    <phoneticPr fontId="3" type="noConversion"/>
  </si>
  <si>
    <t>433-5652</t>
    <phoneticPr fontId="3" type="noConversion"/>
  </si>
  <si>
    <t>859-6960</t>
    <phoneticPr fontId="3" type="noConversion"/>
  </si>
  <si>
    <t>472-6640</t>
    <phoneticPr fontId="3" type="noConversion"/>
  </si>
  <si>
    <t>536-8166</t>
    <phoneticPr fontId="3" type="noConversion"/>
  </si>
  <si>
    <t>832-6230</t>
    <phoneticPr fontId="3" type="noConversion"/>
  </si>
  <si>
    <t>733-3367</t>
    <phoneticPr fontId="3" type="noConversion"/>
  </si>
  <si>
    <t>954-0015</t>
    <phoneticPr fontId="3" type="noConversion"/>
  </si>
  <si>
    <t>650-6442</t>
    <phoneticPr fontId="3" type="noConversion"/>
  </si>
  <si>
    <t>749-2479</t>
    <phoneticPr fontId="3" type="noConversion"/>
  </si>
  <si>
    <t>831-5550</t>
    <phoneticPr fontId="3" type="noConversion"/>
  </si>
  <si>
    <t>831-5533</t>
    <phoneticPr fontId="3" type="noConversion"/>
  </si>
  <si>
    <t>329-6051</t>
    <phoneticPr fontId="3" type="noConversion"/>
  </si>
  <si>
    <t>526-0262</t>
    <phoneticPr fontId="3" type="noConversion"/>
  </si>
  <si>
    <t>670-2810</t>
    <phoneticPr fontId="3" type="noConversion"/>
  </si>
  <si>
    <t>860-3547</t>
    <phoneticPr fontId="3" type="noConversion"/>
  </si>
  <si>
    <t>해운대</t>
    <phoneticPr fontId="3" type="noConversion"/>
  </si>
  <si>
    <r>
      <t xml:space="preserve">지  역
</t>
    </r>
    <r>
      <rPr>
        <sz val="9"/>
        <color indexed="8"/>
        <rFont val="굴림체"/>
        <family val="3"/>
        <charset val="129"/>
      </rPr>
      <t>(시·군·구)</t>
    </r>
    <phoneticPr fontId="3" type="noConversion"/>
  </si>
  <si>
    <t>수질보전과</t>
    <phoneticPr fontId="3" type="noConversion"/>
  </si>
  <si>
    <t>서울특별시</t>
    <phoneticPr fontId="3" type="noConversion"/>
  </si>
  <si>
    <t>부산광역시</t>
    <phoneticPr fontId="3" type="noConversion"/>
  </si>
  <si>
    <t>인천광역시</t>
    <phoneticPr fontId="3" type="noConversion"/>
  </si>
  <si>
    <t>울산광역시</t>
    <phoneticPr fontId="3" type="noConversion"/>
  </si>
  <si>
    <t>시 흥 시</t>
    <phoneticPr fontId="3" type="noConversion"/>
  </si>
  <si>
    <t>강원도</t>
    <phoneticPr fontId="3" type="noConversion"/>
  </si>
  <si>
    <t>춘천시</t>
    <phoneticPr fontId="3" type="noConversion"/>
  </si>
  <si>
    <t>원주시</t>
    <phoneticPr fontId="3" type="noConversion"/>
  </si>
  <si>
    <t>강릉시</t>
    <phoneticPr fontId="3" type="noConversion"/>
  </si>
  <si>
    <t>보절면괴양리823-1</t>
    <phoneticPr fontId="3" type="noConversion"/>
  </si>
  <si>
    <t>03.01.14</t>
    <phoneticPr fontId="3" type="noConversion"/>
  </si>
  <si>
    <t>장평간이오수</t>
    <phoneticPr fontId="3" type="noConversion"/>
  </si>
  <si>
    <t>인월면성산리176-76</t>
    <phoneticPr fontId="3" type="noConversion"/>
  </si>
  <si>
    <t>03.01.09</t>
    <phoneticPr fontId="3" type="noConversion"/>
  </si>
  <si>
    <t>용은간이오수</t>
    <phoneticPr fontId="3" type="noConversion"/>
  </si>
  <si>
    <t>운봉읍공안리939-16</t>
    <phoneticPr fontId="3" type="noConversion"/>
  </si>
  <si>
    <t>02.10.28</t>
    <phoneticPr fontId="3" type="noConversion"/>
  </si>
  <si>
    <t>안계간이오수</t>
    <phoneticPr fontId="3" type="noConversion"/>
  </si>
  <si>
    <t>송동면흑송리353-4</t>
    <phoneticPr fontId="3" type="noConversion"/>
  </si>
  <si>
    <t>송동면신평리 1946</t>
    <phoneticPr fontId="3" type="noConversion"/>
  </si>
  <si>
    <t>중절간이오수</t>
    <phoneticPr fontId="3" type="noConversion"/>
  </si>
  <si>
    <t>산동면부절리 991</t>
    <phoneticPr fontId="3" type="noConversion"/>
  </si>
  <si>
    <t>부운오수</t>
    <phoneticPr fontId="3" type="noConversion"/>
  </si>
  <si>
    <t>산내면 부운리</t>
    <phoneticPr fontId="3" type="noConversion"/>
  </si>
  <si>
    <t>GBM PLUS</t>
    <phoneticPr fontId="3" type="noConversion"/>
  </si>
  <si>
    <t>05.12.12</t>
    <phoneticPr fontId="3" type="noConversion"/>
  </si>
  <si>
    <t>북죽동 442-1</t>
    <phoneticPr fontId="3" type="noConversion"/>
  </si>
  <si>
    <t>545-4090</t>
    <phoneticPr fontId="3" type="noConversion"/>
  </si>
  <si>
    <t>부량 제월</t>
    <phoneticPr fontId="3" type="noConversion"/>
  </si>
  <si>
    <t>월승리 366-3</t>
    <phoneticPr fontId="3" type="noConversion"/>
  </si>
  <si>
    <t>질소.인제거장치</t>
    <phoneticPr fontId="3" type="noConversion"/>
  </si>
  <si>
    <t>540-3472</t>
    <phoneticPr fontId="3" type="noConversion"/>
  </si>
  <si>
    <t>공덕 남당</t>
    <phoneticPr fontId="3" type="noConversion"/>
  </si>
  <si>
    <t>공덕리 117-5</t>
    <phoneticPr fontId="3" type="noConversion"/>
  </si>
  <si>
    <t>고농도유기오폐수처리</t>
    <phoneticPr fontId="3" type="noConversion"/>
  </si>
  <si>
    <t>청하 척산</t>
    <phoneticPr fontId="3" type="noConversion"/>
  </si>
  <si>
    <t>동지산리 410-4</t>
    <phoneticPr fontId="3" type="noConversion"/>
  </si>
  <si>
    <t>진봉 심포</t>
    <phoneticPr fontId="3" type="noConversion"/>
  </si>
  <si>
    <t>심포리 247-15</t>
    <phoneticPr fontId="3" type="noConversion"/>
  </si>
  <si>
    <t>금산 용반</t>
    <phoneticPr fontId="3" type="noConversion"/>
  </si>
  <si>
    <t>용산리  518-4</t>
    <phoneticPr fontId="3" type="noConversion"/>
  </si>
  <si>
    <t>두월천</t>
    <phoneticPr fontId="3" type="noConversion"/>
  </si>
  <si>
    <t>동지강</t>
    <phoneticPr fontId="3" type="noConversion"/>
  </si>
  <si>
    <t>금산 기룡</t>
    <phoneticPr fontId="3" type="noConversion"/>
  </si>
  <si>
    <t>용산리 276-2</t>
    <phoneticPr fontId="3" type="noConversion"/>
  </si>
  <si>
    <t>금산 반곡</t>
    <phoneticPr fontId="3" type="noConversion"/>
  </si>
  <si>
    <t>삼봉리 706</t>
    <phoneticPr fontId="3" type="noConversion"/>
  </si>
  <si>
    <t>금산 거야</t>
    <phoneticPr fontId="3" type="noConversion"/>
  </si>
  <si>
    <t>삼봉리 824-1</t>
    <phoneticPr fontId="3" type="noConversion"/>
  </si>
  <si>
    <t>원평천</t>
    <phoneticPr fontId="3" type="noConversion"/>
  </si>
  <si>
    <t>만경 문화</t>
    <phoneticPr fontId="3" type="noConversion"/>
  </si>
  <si>
    <t>몽산리 537-1</t>
    <phoneticPr fontId="3" type="noConversion"/>
  </si>
  <si>
    <t>접촉산부방식</t>
    <phoneticPr fontId="3" type="noConversion"/>
  </si>
  <si>
    <t>만경 주행산(A)</t>
    <phoneticPr fontId="3" type="noConversion"/>
  </si>
  <si>
    <t>화포리 220-3</t>
    <phoneticPr fontId="3" type="noConversion"/>
  </si>
  <si>
    <t>고효율합병정화</t>
    <phoneticPr fontId="3" type="noConversion"/>
  </si>
  <si>
    <t>98.3.31</t>
    <phoneticPr fontId="3" type="noConversion"/>
  </si>
  <si>
    <t>만경 주행산(B)</t>
    <phoneticPr fontId="3" type="noConversion"/>
  </si>
  <si>
    <t xml:space="preserve">화포리 464 </t>
  </si>
  <si>
    <t>만경 몽산</t>
    <phoneticPr fontId="3" type="noConversion"/>
  </si>
  <si>
    <t>몽산리 531-13</t>
  </si>
  <si>
    <t>00.12.22</t>
    <phoneticPr fontId="3" type="noConversion"/>
  </si>
  <si>
    <t>죽산 자고석산</t>
    <phoneticPr fontId="3" type="noConversion"/>
  </si>
  <si>
    <t>죽산리 1119-1</t>
    <phoneticPr fontId="3" type="noConversion"/>
  </si>
  <si>
    <t>분뇨및농도유기공법</t>
    <phoneticPr fontId="3" type="noConversion"/>
  </si>
  <si>
    <t>07.3</t>
    <phoneticPr fontId="3" type="noConversion"/>
  </si>
  <si>
    <t>백산 대산(A)</t>
    <phoneticPr fontId="3" type="noConversion"/>
  </si>
  <si>
    <t>조종리 279</t>
    <phoneticPr fontId="3" type="noConversion"/>
  </si>
  <si>
    <t>바투바이오휠터를이용한오수처리</t>
    <phoneticPr fontId="3" type="noConversion"/>
  </si>
  <si>
    <t>04.5</t>
    <phoneticPr fontId="3" type="noConversion"/>
  </si>
  <si>
    <t>백산 대산(B)</t>
    <phoneticPr fontId="3" type="noConversion"/>
  </si>
  <si>
    <t>청하 월현 188</t>
    <phoneticPr fontId="3" type="noConversion"/>
  </si>
  <si>
    <t>96.11.19</t>
    <phoneticPr fontId="3" type="noConversion"/>
  </si>
  <si>
    <t>백산 부신(A)</t>
    <phoneticPr fontId="3" type="noConversion"/>
  </si>
  <si>
    <t>부거리 687-5</t>
  </si>
  <si>
    <t>97.12.10</t>
    <phoneticPr fontId="3" type="noConversion"/>
  </si>
  <si>
    <t>백산 부신(B)</t>
    <phoneticPr fontId="3" type="noConversion"/>
  </si>
  <si>
    <t>부거리 631-3</t>
  </si>
  <si>
    <t>백산 원부</t>
    <phoneticPr fontId="3" type="noConversion"/>
  </si>
  <si>
    <t>부거리 448-3</t>
  </si>
  <si>
    <t>백산 돌제</t>
    <phoneticPr fontId="3" type="noConversion"/>
  </si>
  <si>
    <t>하정리 948-1</t>
  </si>
  <si>
    <t xml:space="preserve">고효율합병정화조  </t>
    <phoneticPr fontId="3" type="noConversion"/>
  </si>
  <si>
    <t>00.1.2</t>
    <phoneticPr fontId="3" type="noConversion"/>
  </si>
  <si>
    <t>백산 원조</t>
    <phoneticPr fontId="3" type="noConversion"/>
  </si>
  <si>
    <t>조종리 765-1</t>
  </si>
  <si>
    <t>05.04.29</t>
    <phoneticPr fontId="3" type="noConversion"/>
  </si>
  <si>
    <t>용지 신흥</t>
    <phoneticPr fontId="3" type="noConversion"/>
  </si>
  <si>
    <t>용수리 669-2</t>
    <phoneticPr fontId="3" type="noConversion"/>
  </si>
  <si>
    <t>바이오메카하수
및 오수처리</t>
    <phoneticPr fontId="3" type="noConversion"/>
  </si>
  <si>
    <t>03.12.20</t>
    <phoneticPr fontId="3" type="noConversion"/>
  </si>
  <si>
    <t>용지 비룡</t>
    <phoneticPr fontId="3" type="noConversion"/>
  </si>
  <si>
    <t>용수리 566</t>
  </si>
  <si>
    <t>자연순환형고도처리</t>
  </si>
  <si>
    <t>96.9.6</t>
    <phoneticPr fontId="3" type="noConversion"/>
  </si>
  <si>
    <t>용지 서정</t>
    <phoneticPr fontId="3" type="noConversion"/>
  </si>
  <si>
    <t>신정리 125</t>
    <phoneticPr fontId="3" type="noConversion"/>
  </si>
  <si>
    <t>04.05.03</t>
    <phoneticPr fontId="3" type="noConversion"/>
  </si>
  <si>
    <t>백구 샛터</t>
    <phoneticPr fontId="3" type="noConversion"/>
  </si>
  <si>
    <t>영상리 202</t>
  </si>
  <si>
    <t>00. 2</t>
    <phoneticPr fontId="3" type="noConversion"/>
  </si>
  <si>
    <t>백구 동반월</t>
    <phoneticPr fontId="3" type="noConversion"/>
  </si>
  <si>
    <t>반월리 170-8</t>
    <phoneticPr fontId="3" type="noConversion"/>
  </si>
  <si>
    <t>바이오메카하수및오수처리</t>
    <phoneticPr fontId="3" type="noConversion"/>
  </si>
  <si>
    <t>05.9</t>
    <phoneticPr fontId="3" type="noConversion"/>
  </si>
  <si>
    <t>백구 성좌동</t>
    <phoneticPr fontId="3" type="noConversion"/>
  </si>
  <si>
    <t>월봉리 115-2,3</t>
  </si>
  <si>
    <t>98.12.10</t>
    <phoneticPr fontId="3" type="noConversion"/>
  </si>
  <si>
    <t>백구 난산</t>
    <phoneticPr fontId="3" type="noConversion"/>
  </si>
  <si>
    <t>마산리 224-25</t>
    <phoneticPr fontId="3" type="noConversion"/>
  </si>
  <si>
    <t>바투바이오휠터와황석회를 이용한마을하수고도처리</t>
    <phoneticPr fontId="3" type="noConversion"/>
  </si>
  <si>
    <t>06.5.16</t>
    <phoneticPr fontId="3" type="noConversion"/>
  </si>
  <si>
    <t>공덕 저성</t>
    <phoneticPr fontId="3" type="noConversion"/>
  </si>
  <si>
    <t>저산리 131-3</t>
  </si>
  <si>
    <t>하수의질소인제거</t>
    <phoneticPr fontId="3" type="noConversion"/>
  </si>
  <si>
    <t>공덕 존걸</t>
    <phoneticPr fontId="3" type="noConversion"/>
  </si>
  <si>
    <t>공덕리 844-6</t>
    <phoneticPr fontId="3" type="noConversion"/>
  </si>
  <si>
    <t>04.11</t>
    <phoneticPr fontId="3" type="noConversion"/>
  </si>
  <si>
    <t>성덕 후리</t>
    <phoneticPr fontId="3" type="noConversion"/>
  </si>
  <si>
    <t>묘라리 262-25</t>
    <phoneticPr fontId="3" type="noConversion"/>
  </si>
  <si>
    <t>막일체형하폐수고도처리</t>
    <phoneticPr fontId="3" type="noConversion"/>
  </si>
  <si>
    <t>진봉 갈전</t>
    <phoneticPr fontId="3" type="noConversion"/>
  </si>
  <si>
    <t>정당리 1017-10</t>
  </si>
  <si>
    <t>분뇨및농도유기공법</t>
  </si>
  <si>
    <t>02.11.5</t>
    <phoneticPr fontId="3" type="noConversion"/>
  </si>
  <si>
    <t>진봉 거전</t>
    <phoneticPr fontId="3" type="noConversion"/>
  </si>
  <si>
    <t>광활 창제 1057- 21</t>
    <phoneticPr fontId="3" type="noConversion"/>
  </si>
  <si>
    <t>완전침지형회전매체를이용한 하수고도처리</t>
    <phoneticPr fontId="3" type="noConversion"/>
  </si>
  <si>
    <t>금구 당월(A)</t>
    <phoneticPr fontId="3" type="noConversion"/>
  </si>
  <si>
    <t>월전리 601-22</t>
    <phoneticPr fontId="3" type="noConversion"/>
  </si>
  <si>
    <t>모관침윤윤트랜치</t>
  </si>
  <si>
    <t>97.12.4</t>
    <phoneticPr fontId="3" type="noConversion"/>
  </si>
  <si>
    <t>금구 당월(B)</t>
    <phoneticPr fontId="3" type="noConversion"/>
  </si>
  <si>
    <t>월전리 601-34</t>
  </si>
  <si>
    <t>98.3.30</t>
    <phoneticPr fontId="3" type="noConversion"/>
  </si>
  <si>
    <t>금구 어전</t>
    <phoneticPr fontId="3" type="noConversion"/>
  </si>
  <si>
    <t>월전리 428-14</t>
  </si>
  <si>
    <t>02. 04</t>
    <phoneticPr fontId="3" type="noConversion"/>
  </si>
  <si>
    <t>금구 양석</t>
    <phoneticPr fontId="3" type="noConversion"/>
  </si>
  <si>
    <t>오봉리 614-75</t>
  </si>
  <si>
    <t>04. 4. 7</t>
    <phoneticPr fontId="3" type="noConversion"/>
  </si>
  <si>
    <t>황산 종명</t>
    <phoneticPr fontId="3" type="noConversion"/>
  </si>
  <si>
    <t>봉월리 698-7</t>
  </si>
  <si>
    <t>토양피복자연여과</t>
    <phoneticPr fontId="3" type="noConversion"/>
  </si>
  <si>
    <t>01.11.25</t>
    <phoneticPr fontId="3" type="noConversion"/>
  </si>
  <si>
    <t>황산 신흥</t>
    <phoneticPr fontId="3" type="noConversion"/>
  </si>
  <si>
    <t>홍정리 171-1</t>
  </si>
  <si>
    <t>98.2.20</t>
    <phoneticPr fontId="3" type="noConversion"/>
  </si>
  <si>
    <t>황산 마산</t>
    <phoneticPr fontId="3" type="noConversion"/>
  </si>
  <si>
    <t>봉월리 121-4</t>
  </si>
  <si>
    <t>황산 의곡</t>
    <phoneticPr fontId="3" type="noConversion"/>
  </si>
  <si>
    <t>봉월리 642-1</t>
  </si>
  <si>
    <t>황산 진천</t>
    <phoneticPr fontId="3" type="noConversion"/>
  </si>
  <si>
    <t>진흥리 784-1</t>
  </si>
  <si>
    <t>황산 하송</t>
    <phoneticPr fontId="3" type="noConversion"/>
  </si>
  <si>
    <t>남산리 991-1</t>
  </si>
  <si>
    <t>혐기호기병합고도처리</t>
  </si>
  <si>
    <t>03. 8. 1</t>
    <phoneticPr fontId="3" type="noConversion"/>
  </si>
  <si>
    <t>황산 남양1,2</t>
    <phoneticPr fontId="3" type="noConversion"/>
  </si>
  <si>
    <t>진흥리 19-14</t>
    <phoneticPr fontId="3" type="noConversion"/>
  </si>
  <si>
    <t>자연통풍형호기/습지조를 이용한하수고도처리</t>
    <phoneticPr fontId="3" type="noConversion"/>
  </si>
  <si>
    <t>금산 용화</t>
    <phoneticPr fontId="3" type="noConversion"/>
  </si>
  <si>
    <t>금산리 203</t>
  </si>
  <si>
    <t>01. 12.</t>
    <phoneticPr fontId="3" type="noConversion"/>
  </si>
  <si>
    <t>금산 월평</t>
    <phoneticPr fontId="3" type="noConversion"/>
  </si>
  <si>
    <t>쌍용리 93-4</t>
  </si>
  <si>
    <t>금산 회평(A)</t>
    <phoneticPr fontId="3" type="noConversion"/>
  </si>
  <si>
    <t>쌍용리 336</t>
  </si>
  <si>
    <t>고도처리합병정화</t>
    <phoneticPr fontId="3" type="noConversion"/>
  </si>
  <si>
    <t>98.6.13</t>
    <phoneticPr fontId="3" type="noConversion"/>
  </si>
  <si>
    <t>금산 회평(B)</t>
    <phoneticPr fontId="3" type="noConversion"/>
  </si>
  <si>
    <t>쌍용리 546-13</t>
  </si>
  <si>
    <t>금산 구미</t>
    <phoneticPr fontId="3" type="noConversion"/>
  </si>
  <si>
    <t>용호리 618-1</t>
    <phoneticPr fontId="3" type="noConversion"/>
  </si>
  <si>
    <t>금산 율리</t>
    <phoneticPr fontId="3" type="noConversion"/>
  </si>
  <si>
    <t>용산리 582-1</t>
  </si>
  <si>
    <t>02.6.19</t>
    <phoneticPr fontId="3" type="noConversion"/>
  </si>
  <si>
    <t>금산 아직산수</t>
    <phoneticPr fontId="3" type="noConversion"/>
  </si>
  <si>
    <t>선동리 237-5</t>
  </si>
  <si>
    <t>04. 7</t>
    <phoneticPr fontId="3" type="noConversion"/>
  </si>
  <si>
    <t>요촌 승반</t>
    <phoneticPr fontId="3" type="noConversion"/>
  </si>
  <si>
    <t>흥사동 98-2</t>
  </si>
  <si>
    <t>00.11.28</t>
    <phoneticPr fontId="3" type="noConversion"/>
  </si>
  <si>
    <t>신풍 성서</t>
    <phoneticPr fontId="3" type="noConversion"/>
  </si>
  <si>
    <t>월성동 293-17</t>
  </si>
  <si>
    <t>자연순환형고도처리</t>
    <phoneticPr fontId="3" type="noConversion"/>
  </si>
  <si>
    <t>03. 9.20</t>
    <phoneticPr fontId="3" type="noConversion"/>
  </si>
  <si>
    <t>검산 부동</t>
    <phoneticPr fontId="3" type="noConversion"/>
  </si>
  <si>
    <t>상동동 384-1</t>
  </si>
  <si>
    <t>토양피복형오수정화</t>
  </si>
  <si>
    <t>03. 7.25</t>
    <phoneticPr fontId="3" type="noConversion"/>
  </si>
  <si>
    <t>삼례읍해전리1-7</t>
    <phoneticPr fontId="3" type="noConversion"/>
  </si>
  <si>
    <t>291-4655</t>
    <phoneticPr fontId="3" type="noConversion"/>
  </si>
  <si>
    <t>2000년 10월</t>
    <phoneticPr fontId="3" type="noConversion"/>
  </si>
  <si>
    <t>송광1</t>
    <phoneticPr fontId="3" type="noConversion"/>
  </si>
  <si>
    <t>소양면 대흥리673-2</t>
    <phoneticPr fontId="3" type="noConversion"/>
  </si>
  <si>
    <t>02.05.07</t>
    <phoneticPr fontId="3" type="noConversion"/>
  </si>
  <si>
    <t>송광2</t>
    <phoneticPr fontId="3" type="noConversion"/>
  </si>
  <si>
    <t>소양면 대흥리 산19</t>
    <phoneticPr fontId="3" type="noConversion"/>
  </si>
  <si>
    <t>GMB 공법</t>
    <phoneticPr fontId="3" type="noConversion"/>
  </si>
  <si>
    <t>02.12.27</t>
    <phoneticPr fontId="3" type="noConversion"/>
  </si>
  <si>
    <t>소양면 대흥리1109</t>
    <phoneticPr fontId="3" type="noConversion"/>
  </si>
  <si>
    <t>지동</t>
    <phoneticPr fontId="3" type="noConversion"/>
  </si>
  <si>
    <t>용진면신지리1158-1</t>
    <phoneticPr fontId="3" type="noConversion"/>
  </si>
  <si>
    <t>고효율오수처리공법</t>
    <phoneticPr fontId="3" type="noConversion"/>
  </si>
  <si>
    <t>04.07.09</t>
    <phoneticPr fontId="3" type="noConversion"/>
  </si>
  <si>
    <t>용암</t>
    <phoneticPr fontId="3" type="noConversion"/>
  </si>
  <si>
    <t>용진면 상삼리645-5</t>
    <phoneticPr fontId="3" type="noConversion"/>
  </si>
  <si>
    <t>02.05.28</t>
    <phoneticPr fontId="3" type="noConversion"/>
  </si>
  <si>
    <t>신기서계</t>
    <phoneticPr fontId="3" type="noConversion"/>
  </si>
  <si>
    <t>용진면 상운리597-4</t>
    <phoneticPr fontId="3" type="noConversion"/>
  </si>
  <si>
    <t>01.05.26</t>
    <phoneticPr fontId="3" type="noConversion"/>
  </si>
  <si>
    <t>종암</t>
    <phoneticPr fontId="3" type="noConversion"/>
  </si>
  <si>
    <t>고산면 삼기리421</t>
    <phoneticPr fontId="3" type="noConversion"/>
  </si>
  <si>
    <t>고산면 성재리364-4</t>
    <phoneticPr fontId="3" type="noConversion"/>
  </si>
  <si>
    <t>02.05.21</t>
    <phoneticPr fontId="3" type="noConversion"/>
  </si>
  <si>
    <t>용신</t>
    <phoneticPr fontId="3" type="noConversion"/>
  </si>
  <si>
    <t>상관면 마치리370-3</t>
    <phoneticPr fontId="3" type="noConversion"/>
  </si>
  <si>
    <t>02.1.10</t>
    <phoneticPr fontId="3" type="noConversion"/>
  </si>
  <si>
    <t>원왕창</t>
    <phoneticPr fontId="3" type="noConversion"/>
  </si>
  <si>
    <t>운주면 완창리371</t>
    <phoneticPr fontId="3" type="noConversion"/>
  </si>
  <si>
    <t>97.11.14</t>
    <phoneticPr fontId="3" type="noConversion"/>
  </si>
  <si>
    <t>하용동</t>
    <phoneticPr fontId="3" type="noConversion"/>
  </si>
  <si>
    <t>화산면 종리366-1</t>
    <phoneticPr fontId="3" type="noConversion"/>
  </si>
  <si>
    <t>고도미생물활성오수</t>
    <phoneticPr fontId="3" type="noConversion"/>
  </si>
  <si>
    <t>99.06.08</t>
    <phoneticPr fontId="3" type="noConversion"/>
  </si>
  <si>
    <t>마안</t>
    <phoneticPr fontId="3" type="noConversion"/>
  </si>
  <si>
    <t>화산면 종리165</t>
    <phoneticPr fontId="3" type="noConversion"/>
  </si>
  <si>
    <t>용복</t>
    <phoneticPr fontId="3" type="noConversion"/>
  </si>
  <si>
    <t>용진면 신지리544-2</t>
    <phoneticPr fontId="3" type="noConversion"/>
  </si>
  <si>
    <t>04.3.1</t>
    <phoneticPr fontId="3" type="noConversion"/>
  </si>
  <si>
    <t>고산면 오산리559-2</t>
    <phoneticPr fontId="3" type="noConversion"/>
  </si>
  <si>
    <t>03.04.03</t>
    <phoneticPr fontId="3" type="noConversion"/>
  </si>
  <si>
    <t>신마산</t>
    <phoneticPr fontId="3" type="noConversion"/>
  </si>
  <si>
    <t>이서면 상개리547-4</t>
    <phoneticPr fontId="3" type="noConversion"/>
  </si>
  <si>
    <t>98.03.26</t>
    <phoneticPr fontId="3" type="noConversion"/>
  </si>
  <si>
    <t>원간중</t>
    <phoneticPr fontId="3" type="noConversion"/>
  </si>
  <si>
    <t>용진면 간중리586-1</t>
    <phoneticPr fontId="3" type="noConversion"/>
  </si>
  <si>
    <t>03.12.1</t>
    <phoneticPr fontId="3" type="noConversion"/>
  </si>
  <si>
    <t>구이면 더천리527-5</t>
    <phoneticPr fontId="3" type="noConversion"/>
  </si>
  <si>
    <t>지암</t>
    <phoneticPr fontId="3" type="noConversion"/>
  </si>
  <si>
    <t>용진면 운곡리746-1</t>
    <phoneticPr fontId="3" type="noConversion"/>
  </si>
  <si>
    <t>신덕</t>
    <phoneticPr fontId="3" type="noConversion"/>
  </si>
  <si>
    <t>고산면 어우리737-2</t>
    <phoneticPr fontId="3" type="noConversion"/>
  </si>
  <si>
    <t>98.06.05</t>
    <phoneticPr fontId="3" type="noConversion"/>
  </si>
  <si>
    <t>진안읍 군상리</t>
    <phoneticPr fontId="3" type="noConversion"/>
  </si>
  <si>
    <t>430-7504</t>
    <phoneticPr fontId="3" type="noConversion"/>
  </si>
  <si>
    <t>진안천</t>
    <phoneticPr fontId="3" type="noConversion"/>
  </si>
  <si>
    <t>언건</t>
    <phoneticPr fontId="3" type="noConversion"/>
  </si>
  <si>
    <t>진안읍 운산리</t>
    <phoneticPr fontId="3" type="noConversion"/>
  </si>
  <si>
    <t>GBMplus</t>
    <phoneticPr fontId="3" type="noConversion"/>
  </si>
  <si>
    <t>진안3(상전)</t>
    <phoneticPr fontId="3" type="noConversion"/>
  </si>
  <si>
    <t>진안읍 물곡리</t>
    <phoneticPr fontId="3" type="noConversion"/>
  </si>
  <si>
    <t>내오천</t>
    <phoneticPr fontId="3" type="noConversion"/>
  </si>
  <si>
    <t>와정</t>
    <phoneticPr fontId="3" type="noConversion"/>
  </si>
  <si>
    <t>용담면 월계리</t>
    <phoneticPr fontId="3" type="noConversion"/>
  </si>
  <si>
    <t>삼단접촉폭기</t>
    <phoneticPr fontId="3" type="noConversion"/>
  </si>
  <si>
    <t>430-2529</t>
    <phoneticPr fontId="3" type="noConversion"/>
  </si>
  <si>
    <t>주자천</t>
    <phoneticPr fontId="3" type="noConversion"/>
  </si>
  <si>
    <t>용담면 송풍리</t>
    <phoneticPr fontId="3" type="noConversion"/>
  </si>
  <si>
    <t>고휴율합병정화</t>
    <phoneticPr fontId="3" type="noConversion"/>
  </si>
  <si>
    <t>방화천</t>
    <phoneticPr fontId="3" type="noConversion"/>
  </si>
  <si>
    <t>보한골</t>
    <phoneticPr fontId="3" type="noConversion"/>
  </si>
  <si>
    <t>안천면 노성리</t>
    <phoneticPr fontId="3" type="noConversion"/>
  </si>
  <si>
    <t>하보천</t>
    <phoneticPr fontId="3" type="noConversion"/>
  </si>
  <si>
    <t>안터</t>
    <phoneticPr fontId="3" type="noConversion"/>
  </si>
  <si>
    <t>안천</t>
    <phoneticPr fontId="3" type="noConversion"/>
  </si>
  <si>
    <t>안천면 백화리</t>
    <phoneticPr fontId="3" type="noConversion"/>
  </si>
  <si>
    <t>화성천</t>
    <phoneticPr fontId="3" type="noConversion"/>
  </si>
  <si>
    <t>동향</t>
    <phoneticPr fontId="3" type="noConversion"/>
  </si>
  <si>
    <t>동향면 대량리</t>
    <phoneticPr fontId="3" type="noConversion"/>
  </si>
  <si>
    <t>SBR BCS공법</t>
    <phoneticPr fontId="3" type="noConversion"/>
  </si>
  <si>
    <t>상노천</t>
    <phoneticPr fontId="3" type="noConversion"/>
  </si>
  <si>
    <t>회사</t>
    <phoneticPr fontId="3" type="noConversion"/>
  </si>
  <si>
    <t>상전면 주평리</t>
    <phoneticPr fontId="3" type="noConversion"/>
  </si>
  <si>
    <t>협기성다단계</t>
    <phoneticPr fontId="3" type="noConversion"/>
  </si>
  <si>
    <t>신전천</t>
    <phoneticPr fontId="3" type="noConversion"/>
  </si>
  <si>
    <t>기백이</t>
    <phoneticPr fontId="3" type="noConversion"/>
  </si>
  <si>
    <t>상전면 수동리</t>
    <phoneticPr fontId="3" type="noConversion"/>
  </si>
  <si>
    <t>담체처리</t>
    <phoneticPr fontId="3" type="noConversion"/>
  </si>
  <si>
    <t>구량천</t>
    <phoneticPr fontId="3" type="noConversion"/>
  </si>
  <si>
    <t>상전면 월포리</t>
    <phoneticPr fontId="3" type="noConversion"/>
  </si>
  <si>
    <t>상전</t>
    <phoneticPr fontId="3" type="noConversion"/>
  </si>
  <si>
    <t>대유</t>
    <phoneticPr fontId="3" type="noConversion"/>
  </si>
  <si>
    <t>백운면 신암리</t>
    <phoneticPr fontId="3" type="noConversion"/>
  </si>
  <si>
    <t>원좌산</t>
    <phoneticPr fontId="3" type="noConversion"/>
  </si>
  <si>
    <t>성수면 좌산리</t>
    <phoneticPr fontId="3" type="noConversion"/>
  </si>
  <si>
    <t>구신천</t>
    <phoneticPr fontId="3" type="noConversion"/>
  </si>
  <si>
    <t>성수면 좌포리</t>
    <phoneticPr fontId="3" type="noConversion"/>
  </si>
  <si>
    <t>고농도오페수처리</t>
    <phoneticPr fontId="3" type="noConversion"/>
  </si>
  <si>
    <t>좌산</t>
    <phoneticPr fontId="3" type="noConversion"/>
  </si>
  <si>
    <t>바이오메트공법</t>
    <phoneticPr fontId="3" type="noConversion"/>
  </si>
  <si>
    <t>오동</t>
    <phoneticPr fontId="3" type="noConversion"/>
  </si>
  <si>
    <t>마령면 오동리</t>
    <phoneticPr fontId="3" type="noConversion"/>
  </si>
  <si>
    <t>분뇨및고농도유기오폐수처리</t>
    <phoneticPr fontId="3" type="noConversion"/>
  </si>
  <si>
    <t>소태정</t>
    <phoneticPr fontId="3" type="noConversion"/>
  </si>
  <si>
    <t>부귀면 봉암리</t>
    <phoneticPr fontId="3" type="noConversion"/>
  </si>
  <si>
    <t>정자천</t>
    <phoneticPr fontId="3" type="noConversion"/>
  </si>
  <si>
    <t>원봉암</t>
    <phoneticPr fontId="3" type="noConversion"/>
  </si>
  <si>
    <t>KHBNR</t>
    <phoneticPr fontId="3" type="noConversion"/>
  </si>
  <si>
    <t>부귀</t>
    <phoneticPr fontId="3" type="noConversion"/>
  </si>
  <si>
    <t>부귀면 거석리</t>
    <phoneticPr fontId="3" type="noConversion"/>
  </si>
  <si>
    <t>대동</t>
    <phoneticPr fontId="3" type="noConversion"/>
  </si>
  <si>
    <t>부귀면 수항리</t>
    <phoneticPr fontId="3" type="noConversion"/>
  </si>
  <si>
    <t>하초</t>
    <phoneticPr fontId="3" type="noConversion"/>
  </si>
  <si>
    <t>정천면 월평리</t>
    <phoneticPr fontId="3" type="noConversion"/>
  </si>
  <si>
    <t>침지식막분리공법</t>
    <phoneticPr fontId="3" type="noConversion"/>
  </si>
  <si>
    <t>무거</t>
    <phoneticPr fontId="3" type="noConversion"/>
  </si>
  <si>
    <t>정천면 갈용리</t>
    <phoneticPr fontId="3" type="noConversion"/>
  </si>
  <si>
    <t>GBM공법</t>
    <phoneticPr fontId="3" type="noConversion"/>
  </si>
  <si>
    <t>내동천</t>
    <phoneticPr fontId="3" type="noConversion"/>
  </si>
  <si>
    <t>원월평</t>
    <phoneticPr fontId="3" type="noConversion"/>
  </si>
  <si>
    <t>마조학동</t>
    <phoneticPr fontId="3" type="noConversion"/>
  </si>
  <si>
    <t>정천면 봉학리</t>
    <phoneticPr fontId="3" type="noConversion"/>
  </si>
  <si>
    <t>마조천</t>
    <phoneticPr fontId="3" type="noConversion"/>
  </si>
  <si>
    <t>정천</t>
    <phoneticPr fontId="3" type="noConversion"/>
  </si>
  <si>
    <t>회분식
활성
슬러지</t>
    <phoneticPr fontId="3" type="noConversion"/>
  </si>
  <si>
    <t>광석</t>
    <phoneticPr fontId="3" type="noConversion"/>
  </si>
  <si>
    <t>주천면 신양리</t>
    <phoneticPr fontId="3" type="noConversion"/>
  </si>
  <si>
    <t>주천면 운봉리</t>
    <phoneticPr fontId="3" type="noConversion"/>
  </si>
  <si>
    <t>양명천</t>
    <phoneticPr fontId="3" type="noConversion"/>
  </si>
  <si>
    <t>용덕</t>
    <phoneticPr fontId="3" type="noConversion"/>
  </si>
  <si>
    <t>주천면 용덕리</t>
    <phoneticPr fontId="3" type="noConversion"/>
  </si>
  <si>
    <t>용덕천</t>
    <phoneticPr fontId="3" type="noConversion"/>
  </si>
  <si>
    <t>주천</t>
    <phoneticPr fontId="3" type="noConversion"/>
  </si>
  <si>
    <t>어자</t>
    <phoneticPr fontId="3" type="noConversion"/>
  </si>
  <si>
    <t>주천면 무릉리</t>
    <phoneticPr fontId="3" type="noConversion"/>
  </si>
  <si>
    <t>무릉천</t>
    <phoneticPr fontId="3" type="noConversion"/>
  </si>
  <si>
    <t>당산리 1643-10</t>
    <phoneticPr fontId="3" type="noConversion"/>
  </si>
  <si>
    <t>표면포기식</t>
    <phoneticPr fontId="3" type="noConversion"/>
  </si>
  <si>
    <t>02.7.1</t>
    <phoneticPr fontId="3" type="noConversion"/>
  </si>
  <si>
    <t>왕정</t>
    <phoneticPr fontId="3" type="noConversion"/>
  </si>
  <si>
    <t>오산리 왕정</t>
    <phoneticPr fontId="3" type="noConversion"/>
  </si>
  <si>
    <t>막분리정화</t>
    <phoneticPr fontId="3" type="noConversion"/>
  </si>
  <si>
    <t>액체염소</t>
    <phoneticPr fontId="3" type="noConversion"/>
  </si>
  <si>
    <t>오산리 오산</t>
    <phoneticPr fontId="3" type="noConversion"/>
  </si>
  <si>
    <t>03.7.2</t>
    <phoneticPr fontId="3" type="noConversion"/>
  </si>
  <si>
    <t>하장백</t>
    <phoneticPr fontId="3" type="noConversion"/>
  </si>
  <si>
    <t>장백리 하장백</t>
    <phoneticPr fontId="3" type="noConversion"/>
  </si>
  <si>
    <t>하두</t>
    <phoneticPr fontId="3" type="noConversion"/>
  </si>
  <si>
    <t>두길리 하두</t>
    <phoneticPr fontId="3" type="noConversion"/>
  </si>
  <si>
    <t>고도미생물활성오니</t>
    <phoneticPr fontId="3" type="noConversion"/>
  </si>
  <si>
    <t>99.10.15</t>
    <phoneticPr fontId="3" type="noConversion"/>
  </si>
  <si>
    <t>덕산리 덕곡</t>
    <phoneticPr fontId="3" type="noConversion"/>
  </si>
  <si>
    <t>01.9.9</t>
    <phoneticPr fontId="3" type="noConversion"/>
  </si>
  <si>
    <t>수락</t>
    <phoneticPr fontId="3" type="noConversion"/>
  </si>
  <si>
    <t>덕산리 수락</t>
    <phoneticPr fontId="3" type="noConversion"/>
  </si>
  <si>
    <t>방이리 이동</t>
    <phoneticPr fontId="3" type="noConversion"/>
  </si>
  <si>
    <t>B3SYSTEM</t>
    <phoneticPr fontId="3" type="noConversion"/>
  </si>
  <si>
    <t>02.5.9</t>
    <phoneticPr fontId="3" type="noConversion"/>
  </si>
  <si>
    <t>삼유천</t>
    <phoneticPr fontId="3" type="noConversion"/>
  </si>
  <si>
    <t>원기곡</t>
    <phoneticPr fontId="3" type="noConversion"/>
  </si>
  <si>
    <t>기곡리 기곡</t>
    <phoneticPr fontId="3" type="noConversion"/>
  </si>
  <si>
    <t>유속</t>
    <phoneticPr fontId="3" type="noConversion"/>
  </si>
  <si>
    <t>당산리 유속</t>
    <phoneticPr fontId="3" type="noConversion"/>
  </si>
  <si>
    <t>04.2.1</t>
    <phoneticPr fontId="3" type="noConversion"/>
  </si>
  <si>
    <t>상길산</t>
    <phoneticPr fontId="3" type="noConversion"/>
  </si>
  <si>
    <t>길산리 상길산</t>
    <phoneticPr fontId="3" type="noConversion"/>
  </si>
  <si>
    <t>원심곡</t>
    <phoneticPr fontId="3" type="noConversion"/>
  </si>
  <si>
    <t>심곡리 원심곡</t>
    <phoneticPr fontId="3" type="noConversion"/>
  </si>
  <si>
    <t>미생물선부착메디아</t>
    <phoneticPr fontId="3" type="noConversion"/>
  </si>
  <si>
    <t>04.5.25</t>
    <phoneticPr fontId="3" type="noConversion"/>
  </si>
  <si>
    <t>치목</t>
    <phoneticPr fontId="3" type="noConversion"/>
  </si>
  <si>
    <t>괴목리 치목</t>
    <phoneticPr fontId="3" type="noConversion"/>
  </si>
  <si>
    <t>06.1.10</t>
    <phoneticPr fontId="3" type="noConversion"/>
  </si>
  <si>
    <t>상곡천</t>
    <phoneticPr fontId="3" type="noConversion"/>
  </si>
  <si>
    <t>사천리 신대</t>
    <phoneticPr fontId="3" type="noConversion"/>
  </si>
  <si>
    <t>적상천</t>
    <phoneticPr fontId="3" type="noConversion"/>
  </si>
  <si>
    <t>하길산</t>
    <phoneticPr fontId="3" type="noConversion"/>
  </si>
  <si>
    <t>길산리 하길산</t>
    <phoneticPr fontId="3" type="noConversion"/>
  </si>
  <si>
    <t>선창리 935</t>
    <phoneticPr fontId="3" type="noConversion"/>
  </si>
  <si>
    <t>351-4222</t>
    <phoneticPr fontId="3" type="noConversion"/>
  </si>
  <si>
    <t>03.6.29</t>
    <phoneticPr fontId="3" type="noConversion"/>
  </si>
  <si>
    <t>장계</t>
    <phoneticPr fontId="3" type="noConversion"/>
  </si>
  <si>
    <t>무농리709-41</t>
    <phoneticPr fontId="3" type="noConversion"/>
  </si>
  <si>
    <t>351-0435</t>
    <phoneticPr fontId="3" type="noConversion"/>
  </si>
  <si>
    <t>04.6.8</t>
    <phoneticPr fontId="3" type="noConversion"/>
  </si>
  <si>
    <t>구락</t>
    <phoneticPr fontId="3" type="noConversion"/>
  </si>
  <si>
    <t>송천리 2056-1</t>
    <phoneticPr fontId="3" type="noConversion"/>
  </si>
  <si>
    <t>RC막분리</t>
    <phoneticPr fontId="3" type="noConversion"/>
  </si>
  <si>
    <t>안양</t>
    <phoneticPr fontId="3" type="noConversion"/>
  </si>
  <si>
    <t>용계리 2056-2</t>
    <phoneticPr fontId="3" type="noConversion"/>
  </si>
  <si>
    <t>고효율오수합병</t>
    <phoneticPr fontId="3" type="noConversion"/>
  </si>
  <si>
    <t>하평</t>
    <phoneticPr fontId="3" type="noConversion"/>
  </si>
  <si>
    <t>송천리 2118-1</t>
    <phoneticPr fontId="3" type="noConversion"/>
  </si>
  <si>
    <t>351-4222</t>
  </si>
  <si>
    <t>덕산리54-1</t>
    <phoneticPr fontId="3" type="noConversion"/>
  </si>
  <si>
    <t>용림천</t>
    <phoneticPr fontId="3" type="noConversion"/>
  </si>
  <si>
    <t>광대동</t>
    <phoneticPr fontId="3" type="noConversion"/>
  </si>
  <si>
    <t>지지리 1165-6</t>
    <phoneticPr fontId="3" type="noConversion"/>
  </si>
  <si>
    <t>백운천</t>
    <phoneticPr fontId="3" type="noConversion"/>
  </si>
  <si>
    <t>죽림</t>
    <phoneticPr fontId="3" type="noConversion"/>
  </si>
  <si>
    <t>죽림리 162</t>
    <phoneticPr fontId="3" type="noConversion"/>
  </si>
  <si>
    <t>동화리560-1</t>
    <phoneticPr fontId="3" type="noConversion"/>
  </si>
  <si>
    <t>분뇨및고농도유기</t>
    <phoneticPr fontId="3" type="noConversion"/>
  </si>
  <si>
    <t>03.10</t>
    <phoneticPr fontId="3" type="noConversion"/>
  </si>
  <si>
    <t>국포리1138-1</t>
    <phoneticPr fontId="3" type="noConversion"/>
  </si>
  <si>
    <t>03.01</t>
    <phoneticPr fontId="3" type="noConversion"/>
  </si>
  <si>
    <t>교동천</t>
    <phoneticPr fontId="3" type="noConversion"/>
  </si>
  <si>
    <t>원명덕</t>
    <phoneticPr fontId="3" type="noConversion"/>
  </si>
  <si>
    <t>명덕리1317</t>
    <phoneticPr fontId="3" type="noConversion"/>
  </si>
  <si>
    <t>장척</t>
    <phoneticPr fontId="3" type="noConversion"/>
  </si>
  <si>
    <t>장판리 384-7</t>
    <phoneticPr fontId="3" type="noConversion"/>
  </si>
  <si>
    <t>흡수성바이오휠터</t>
    <phoneticPr fontId="3" type="noConversion"/>
  </si>
  <si>
    <t>01.10</t>
    <phoneticPr fontId="3" type="noConversion"/>
  </si>
  <si>
    <t>월곡리 564-1</t>
    <phoneticPr fontId="3" type="noConversion"/>
  </si>
  <si>
    <t>한거</t>
    <phoneticPr fontId="3" type="noConversion"/>
  </si>
  <si>
    <t>화음리1286-1</t>
    <phoneticPr fontId="3" type="noConversion"/>
  </si>
  <si>
    <t>고정</t>
    <phoneticPr fontId="3" type="noConversion"/>
  </si>
  <si>
    <t>화음리726-4</t>
    <phoneticPr fontId="3" type="noConversion"/>
  </si>
  <si>
    <t>호기성처리</t>
    <phoneticPr fontId="3" type="noConversion"/>
  </si>
  <si>
    <t>01.08</t>
    <phoneticPr fontId="3" type="noConversion"/>
  </si>
  <si>
    <t>문성</t>
    <phoneticPr fontId="3" type="noConversion"/>
  </si>
  <si>
    <t>어전리 813-1</t>
    <phoneticPr fontId="3" type="noConversion"/>
  </si>
  <si>
    <t>농소</t>
    <phoneticPr fontId="3" type="noConversion"/>
  </si>
  <si>
    <t>매계리 323</t>
    <phoneticPr fontId="3" type="noConversion"/>
  </si>
  <si>
    <t>양악</t>
    <phoneticPr fontId="3" type="noConversion"/>
  </si>
  <si>
    <t>양악리 877</t>
    <phoneticPr fontId="3" type="noConversion"/>
  </si>
  <si>
    <t>03.11</t>
    <phoneticPr fontId="3" type="noConversion"/>
  </si>
  <si>
    <t>외림</t>
    <phoneticPr fontId="3" type="noConversion"/>
  </si>
  <si>
    <t>원촌리2210</t>
    <phoneticPr fontId="3" type="noConversion"/>
  </si>
  <si>
    <t>GBM정화법</t>
    <phoneticPr fontId="3" type="noConversion"/>
  </si>
  <si>
    <t>두곡리 310-2</t>
  </si>
  <si>
    <t>선회와류식 SBR공법</t>
  </si>
  <si>
    <t>640-2363</t>
    <phoneticPr fontId="3" type="noConversion"/>
  </si>
  <si>
    <t>임실천</t>
  </si>
  <si>
    <t>섬진강</t>
  </si>
  <si>
    <t>용정리 312-1</t>
    <phoneticPr fontId="3" type="noConversion"/>
  </si>
  <si>
    <t>개량 산화구법</t>
  </si>
  <si>
    <t>SYMBIO 공법</t>
  </si>
  <si>
    <t>오원천</t>
  </si>
  <si>
    <t>현곡</t>
    <phoneticPr fontId="3" type="noConversion"/>
  </si>
  <si>
    <t>임실읍 현곡리</t>
    <phoneticPr fontId="3" type="noConversion"/>
  </si>
  <si>
    <t>농도유기오폐수처리</t>
    <phoneticPr fontId="3" type="noConversion"/>
  </si>
  <si>
    <t>01.9.</t>
    <phoneticPr fontId="3" type="noConversion"/>
  </si>
  <si>
    <t>조원천</t>
    <phoneticPr fontId="3" type="noConversion"/>
  </si>
  <si>
    <t>염재</t>
    <phoneticPr fontId="3" type="noConversion"/>
  </si>
  <si>
    <t>운암면 염재리</t>
    <phoneticPr fontId="3" type="noConversion"/>
  </si>
  <si>
    <t>01.9</t>
    <phoneticPr fontId="3" type="noConversion"/>
  </si>
  <si>
    <t>선거</t>
    <phoneticPr fontId="3" type="noConversion"/>
  </si>
  <si>
    <t>운암면 선거리</t>
    <phoneticPr fontId="3" type="noConversion"/>
  </si>
  <si>
    <t>점촌천</t>
    <phoneticPr fontId="3" type="noConversion"/>
  </si>
  <si>
    <t>사양</t>
    <phoneticPr fontId="3" type="noConversion"/>
  </si>
  <si>
    <t>운암면 사양리</t>
    <phoneticPr fontId="3" type="noConversion"/>
  </si>
  <si>
    <t>내은천</t>
    <phoneticPr fontId="3" type="noConversion"/>
  </si>
  <si>
    <t>덕치</t>
    <phoneticPr fontId="3" type="noConversion"/>
  </si>
  <si>
    <t>성수면 덕치리</t>
    <phoneticPr fontId="3" type="noConversion"/>
  </si>
  <si>
    <t>삼성담체공법</t>
    <phoneticPr fontId="3" type="noConversion"/>
  </si>
  <si>
    <t>02.11</t>
    <phoneticPr fontId="3" type="noConversion"/>
  </si>
  <si>
    <t>덕재천</t>
    <phoneticPr fontId="3" type="noConversion"/>
  </si>
  <si>
    <t>피암</t>
    <phoneticPr fontId="3" type="noConversion"/>
  </si>
  <si>
    <t>신평면 피암리</t>
    <phoneticPr fontId="3" type="noConversion"/>
  </si>
  <si>
    <t>03.9</t>
    <phoneticPr fontId="3" type="noConversion"/>
  </si>
  <si>
    <t>제목천</t>
    <phoneticPr fontId="3" type="noConversion"/>
  </si>
  <si>
    <t>상천</t>
    <phoneticPr fontId="3" type="noConversion"/>
  </si>
  <si>
    <t>신평면 상천리</t>
    <phoneticPr fontId="3" type="noConversion"/>
  </si>
  <si>
    <t>05.6</t>
    <phoneticPr fontId="3" type="noConversion"/>
  </si>
  <si>
    <t>상하가</t>
    <phoneticPr fontId="3" type="noConversion"/>
  </si>
  <si>
    <t>신평면 상하리</t>
    <phoneticPr fontId="3" type="noConversion"/>
  </si>
  <si>
    <t>옥정</t>
    <phoneticPr fontId="3" type="noConversion"/>
  </si>
  <si>
    <t>강진면 옥정리</t>
    <phoneticPr fontId="3" type="noConversion"/>
  </si>
  <si>
    <t>수초이용고도처리</t>
    <phoneticPr fontId="3" type="noConversion"/>
  </si>
  <si>
    <t>수방</t>
    <phoneticPr fontId="3" type="noConversion"/>
  </si>
  <si>
    <t>강진면 수방리</t>
    <phoneticPr fontId="3" type="noConversion"/>
  </si>
  <si>
    <t>RAC공법</t>
    <phoneticPr fontId="3" type="noConversion"/>
  </si>
  <si>
    <t>뒷골천</t>
    <phoneticPr fontId="3" type="noConversion"/>
  </si>
  <si>
    <t>내량</t>
    <phoneticPr fontId="3" type="noConversion"/>
  </si>
  <si>
    <t>신덕면 내량리</t>
    <phoneticPr fontId="3" type="noConversion"/>
  </si>
  <si>
    <t>04.6</t>
    <phoneticPr fontId="3" type="noConversion"/>
  </si>
  <si>
    <t>외량</t>
    <phoneticPr fontId="3" type="noConversion"/>
  </si>
  <si>
    <t>신덕면 외량리</t>
    <phoneticPr fontId="3" type="noConversion"/>
  </si>
  <si>
    <t>조월</t>
    <phoneticPr fontId="3" type="noConversion"/>
  </si>
  <si>
    <t>신덕면 조월리</t>
    <phoneticPr fontId="3" type="noConversion"/>
  </si>
  <si>
    <t>미생물이용하수고도처리</t>
    <phoneticPr fontId="3" type="noConversion"/>
  </si>
  <si>
    <t>05.5</t>
    <phoneticPr fontId="3" type="noConversion"/>
  </si>
  <si>
    <t>지장</t>
    <phoneticPr fontId="3" type="noConversion"/>
  </si>
  <si>
    <t>신덕면 지장리</t>
    <phoneticPr fontId="3" type="noConversion"/>
  </si>
  <si>
    <t>05.11</t>
    <phoneticPr fontId="3" type="noConversion"/>
  </si>
  <si>
    <t>학암</t>
    <phoneticPr fontId="3" type="noConversion"/>
  </si>
  <si>
    <t>운암면 학암리 905</t>
    <phoneticPr fontId="3" type="noConversion"/>
  </si>
  <si>
    <t>분뇨및고농도유기오폐수고도처리공법</t>
    <phoneticPr fontId="3" type="noConversion"/>
  </si>
  <si>
    <t>640-2473</t>
    <phoneticPr fontId="3" type="noConversion"/>
  </si>
  <si>
    <t>유등면 창신리 843</t>
    <phoneticPr fontId="3" type="noConversion"/>
  </si>
  <si>
    <t>생물여과</t>
    <phoneticPr fontId="3" type="noConversion"/>
  </si>
  <si>
    <t>04.9.5</t>
    <phoneticPr fontId="3" type="noConversion"/>
  </si>
  <si>
    <t>순창 백산리 415</t>
    <phoneticPr fontId="3" type="noConversion"/>
  </si>
  <si>
    <t>오폐수처리용펄라이트</t>
    <phoneticPr fontId="3" type="noConversion"/>
  </si>
  <si>
    <t>650-1494</t>
    <phoneticPr fontId="3" type="noConversion"/>
  </si>
  <si>
    <t>06.6.</t>
    <phoneticPr fontId="3" type="noConversion"/>
  </si>
  <si>
    <t>인계면 갑동리</t>
    <phoneticPr fontId="3" type="noConversion"/>
  </si>
  <si>
    <t>BC-PLUS막분리</t>
    <phoneticPr fontId="3" type="noConversion"/>
  </si>
  <si>
    <t>02.6.</t>
    <phoneticPr fontId="3" type="noConversion"/>
  </si>
  <si>
    <t>인계면 도룡리</t>
    <phoneticPr fontId="3" type="noConversion"/>
  </si>
  <si>
    <t>3단접촉포기</t>
    <phoneticPr fontId="3" type="noConversion"/>
  </si>
  <si>
    <t>현포</t>
    <phoneticPr fontId="3" type="noConversion"/>
  </si>
  <si>
    <t>동계면 현포리 625</t>
    <phoneticPr fontId="3" type="noConversion"/>
  </si>
  <si>
    <t>KSBNR</t>
    <phoneticPr fontId="3" type="noConversion"/>
  </si>
  <si>
    <t>동계면 이동리</t>
    <phoneticPr fontId="3" type="noConversion"/>
  </si>
  <si>
    <t>02.7.</t>
    <phoneticPr fontId="3" type="noConversion"/>
  </si>
  <si>
    <t>평남</t>
    <phoneticPr fontId="3" type="noConversion"/>
  </si>
  <si>
    <t>적성면 평남리</t>
    <phoneticPr fontId="3" type="noConversion"/>
  </si>
  <si>
    <t>외이</t>
    <phoneticPr fontId="3" type="noConversion"/>
  </si>
  <si>
    <t>유등면 외이리1072</t>
    <phoneticPr fontId="3" type="noConversion"/>
  </si>
  <si>
    <t>우곡천</t>
    <phoneticPr fontId="3" type="noConversion"/>
  </si>
  <si>
    <t>월탄</t>
    <phoneticPr fontId="3" type="noConversion"/>
  </si>
  <si>
    <t>유등면 무수리</t>
    <phoneticPr fontId="3" type="noConversion"/>
  </si>
  <si>
    <t>02.4.</t>
    <phoneticPr fontId="3" type="noConversion"/>
  </si>
  <si>
    <t>대가</t>
    <phoneticPr fontId="3" type="noConversion"/>
  </si>
  <si>
    <t>풍산면 대가리 1089</t>
    <phoneticPr fontId="3" type="noConversion"/>
  </si>
  <si>
    <t>하죽</t>
    <phoneticPr fontId="3" type="noConversion"/>
  </si>
  <si>
    <t>풍산면 하죽리</t>
    <phoneticPr fontId="3" type="noConversion"/>
  </si>
  <si>
    <t>06.4.</t>
    <phoneticPr fontId="3" type="noConversion"/>
  </si>
  <si>
    <t>호치</t>
    <phoneticPr fontId="3" type="noConversion"/>
  </si>
  <si>
    <t>금과면 남계리</t>
    <phoneticPr fontId="3" type="noConversion"/>
  </si>
  <si>
    <t>월곡</t>
    <phoneticPr fontId="3" type="noConversion"/>
  </si>
  <si>
    <t>팔덕면 월곡리 1256</t>
    <phoneticPr fontId="3" type="noConversion"/>
  </si>
  <si>
    <t>다단계접속산화</t>
    <phoneticPr fontId="3" type="noConversion"/>
  </si>
  <si>
    <t>강천</t>
    <phoneticPr fontId="3" type="noConversion"/>
  </si>
  <si>
    <t>팔덕면 청계리 958</t>
    <phoneticPr fontId="3" type="noConversion"/>
  </si>
  <si>
    <t>03.3.</t>
    <phoneticPr fontId="3" type="noConversion"/>
  </si>
  <si>
    <t>팔덕면 용산리 374</t>
    <phoneticPr fontId="3" type="noConversion"/>
  </si>
  <si>
    <t>02.3.</t>
    <phoneticPr fontId="3" type="noConversion"/>
  </si>
  <si>
    <t>장안</t>
    <phoneticPr fontId="3" type="noConversion"/>
  </si>
  <si>
    <t>팔덕면 장안리</t>
    <phoneticPr fontId="3" type="noConversion"/>
  </si>
  <si>
    <t>농암</t>
    <phoneticPr fontId="3" type="noConversion"/>
  </si>
  <si>
    <t>복흥면 농암리</t>
    <phoneticPr fontId="3" type="noConversion"/>
  </si>
  <si>
    <t>시산</t>
    <phoneticPr fontId="3" type="noConversion"/>
  </si>
  <si>
    <t>쌍치면 시산리 397</t>
    <phoneticPr fontId="3" type="noConversion"/>
  </si>
  <si>
    <t>01.5.</t>
    <phoneticPr fontId="3" type="noConversion"/>
  </si>
  <si>
    <t>오정</t>
    <phoneticPr fontId="3" type="noConversion"/>
  </si>
  <si>
    <t>구림면 오정리</t>
    <phoneticPr fontId="3" type="noConversion"/>
  </si>
  <si>
    <t>하수고도처리기술</t>
    <phoneticPr fontId="3" type="noConversion"/>
  </si>
  <si>
    <t>06.5.</t>
    <phoneticPr fontId="3" type="noConversion"/>
  </si>
  <si>
    <t>구림천</t>
    <phoneticPr fontId="3" type="noConversion"/>
  </si>
  <si>
    <t>방화</t>
    <phoneticPr fontId="3" type="noConversion"/>
  </si>
  <si>
    <t>구림면 방화리</t>
    <phoneticPr fontId="3" type="noConversion"/>
  </si>
  <si>
    <t>RAC</t>
    <phoneticPr fontId="3" type="noConversion"/>
  </si>
  <si>
    <t>02.5.</t>
    <phoneticPr fontId="3" type="noConversion"/>
  </si>
  <si>
    <t>고창읍 죽림리</t>
    <phoneticPr fontId="3" type="noConversion"/>
  </si>
  <si>
    <t>560-2787</t>
    <phoneticPr fontId="3" type="noConversion"/>
  </si>
  <si>
    <t xml:space="preserve"> '99.10.30.</t>
    <phoneticPr fontId="3" type="noConversion"/>
  </si>
  <si>
    <t>고창천</t>
    <phoneticPr fontId="3" type="noConversion"/>
  </si>
  <si>
    <t>아산면 삼인리</t>
    <phoneticPr fontId="3" type="noConversion"/>
  </si>
  <si>
    <t>HANT공법</t>
    <phoneticPr fontId="3" type="noConversion"/>
  </si>
  <si>
    <t>06.01</t>
    <phoneticPr fontId="3" type="noConversion"/>
  </si>
  <si>
    <t>중공사막</t>
    <phoneticPr fontId="3" type="noConversion"/>
  </si>
  <si>
    <t>선운천</t>
    <phoneticPr fontId="3" type="noConversion"/>
  </si>
  <si>
    <t>흥덕문화</t>
    <phoneticPr fontId="3" type="noConversion"/>
  </si>
  <si>
    <t>흥덕면 동사리</t>
    <phoneticPr fontId="3" type="noConversion"/>
  </si>
  <si>
    <t>98.8.2</t>
    <phoneticPr fontId="3" type="noConversion"/>
  </si>
  <si>
    <t>고수월계</t>
    <phoneticPr fontId="3" type="noConversion"/>
  </si>
  <si>
    <t>고수면 장두리</t>
    <phoneticPr fontId="3" type="noConversion"/>
  </si>
  <si>
    <t>평지천</t>
    <phoneticPr fontId="3" type="noConversion"/>
  </si>
  <si>
    <t>신림송촌</t>
    <phoneticPr fontId="3" type="noConversion"/>
  </si>
  <si>
    <t>신림면 송용리</t>
    <phoneticPr fontId="3" type="noConversion"/>
  </si>
  <si>
    <t>부안용산</t>
    <phoneticPr fontId="3" type="noConversion"/>
  </si>
  <si>
    <t>부안면 용산리</t>
    <phoneticPr fontId="3" type="noConversion"/>
  </si>
  <si>
    <t>용산천</t>
    <phoneticPr fontId="3" type="noConversion"/>
  </si>
  <si>
    <t>흥덕복룡</t>
    <phoneticPr fontId="3" type="noConversion"/>
  </si>
  <si>
    <t>흥덕면 치룡리</t>
    <phoneticPr fontId="3" type="noConversion"/>
  </si>
  <si>
    <t>성내낙산</t>
    <phoneticPr fontId="3" type="noConversion"/>
  </si>
  <si>
    <t>성내면 낙산리</t>
    <phoneticPr fontId="3" type="noConversion"/>
  </si>
  <si>
    <t>용교천</t>
    <phoneticPr fontId="3" type="noConversion"/>
  </si>
  <si>
    <t>아산반암</t>
    <phoneticPr fontId="3" type="noConversion"/>
  </si>
  <si>
    <t>아산면 반암리</t>
    <phoneticPr fontId="3" type="noConversion"/>
  </si>
  <si>
    <t>변형회분식활성슬러</t>
    <phoneticPr fontId="3" type="noConversion"/>
  </si>
  <si>
    <t>아산마명</t>
    <phoneticPr fontId="3" type="noConversion"/>
  </si>
  <si>
    <t>아산남촌</t>
    <phoneticPr fontId="3" type="noConversion"/>
  </si>
  <si>
    <t>아산면 목동리</t>
    <phoneticPr fontId="3" type="noConversion"/>
  </si>
  <si>
    <t>아산상갑</t>
    <phoneticPr fontId="3" type="noConversion"/>
  </si>
  <si>
    <t>아산면 상갑리</t>
    <phoneticPr fontId="3" type="noConversion"/>
  </si>
  <si>
    <t>상하동촌</t>
    <phoneticPr fontId="3" type="noConversion"/>
  </si>
  <si>
    <t>상하면 용정리</t>
    <phoneticPr fontId="3" type="noConversion"/>
  </si>
  <si>
    <t>장호천</t>
    <phoneticPr fontId="3" type="noConversion"/>
  </si>
  <si>
    <t>상하석남</t>
    <phoneticPr fontId="3" type="noConversion"/>
  </si>
  <si>
    <t>상하면 석남리</t>
    <phoneticPr fontId="3" type="noConversion"/>
  </si>
  <si>
    <t>생활오수다단계정화</t>
    <phoneticPr fontId="3" type="noConversion"/>
  </si>
  <si>
    <t>05.10</t>
    <phoneticPr fontId="3" type="noConversion"/>
  </si>
  <si>
    <t>장산천</t>
    <phoneticPr fontId="3" type="noConversion"/>
  </si>
  <si>
    <t>무장덕산</t>
    <phoneticPr fontId="3" type="noConversion"/>
  </si>
  <si>
    <t>무장면 강남리</t>
    <phoneticPr fontId="3" type="noConversion"/>
  </si>
  <si>
    <t>03.02</t>
    <phoneticPr fontId="3" type="noConversion"/>
  </si>
  <si>
    <t>고라천</t>
    <phoneticPr fontId="3" type="noConversion"/>
  </si>
  <si>
    <t>대산상금</t>
    <phoneticPr fontId="3" type="noConversion"/>
  </si>
  <si>
    <t>대산면 상금리</t>
    <phoneticPr fontId="3" type="noConversion"/>
  </si>
  <si>
    <t>01.05</t>
    <phoneticPr fontId="3" type="noConversion"/>
  </si>
  <si>
    <t>석현천</t>
    <phoneticPr fontId="3" type="noConversion"/>
  </si>
  <si>
    <t>성송암치</t>
    <phoneticPr fontId="3" type="noConversion"/>
  </si>
  <si>
    <t>성송면 암치리</t>
    <phoneticPr fontId="3" type="noConversion"/>
  </si>
  <si>
    <t>암치천</t>
    <phoneticPr fontId="3" type="noConversion"/>
  </si>
  <si>
    <t>해리칠곡</t>
    <phoneticPr fontId="3" type="noConversion"/>
  </si>
  <si>
    <t>해리면 고성리</t>
    <phoneticPr fontId="3" type="noConversion"/>
  </si>
  <si>
    <t>해리천</t>
    <phoneticPr fontId="3" type="noConversion"/>
  </si>
  <si>
    <t>공음마래</t>
    <phoneticPr fontId="3" type="noConversion"/>
  </si>
  <si>
    <t>공음면 구암리</t>
    <phoneticPr fontId="3" type="noConversion"/>
  </si>
  <si>
    <t>98.09</t>
    <phoneticPr fontId="3" type="noConversion"/>
  </si>
  <si>
    <t>구암천</t>
    <phoneticPr fontId="3" type="noConversion"/>
  </si>
  <si>
    <t>심원사등</t>
    <phoneticPr fontId="3" type="noConversion"/>
  </si>
  <si>
    <t>심원면 월산리</t>
    <phoneticPr fontId="3" type="noConversion"/>
  </si>
  <si>
    <t>월산천</t>
    <phoneticPr fontId="3" type="noConversion"/>
  </si>
  <si>
    <t>심원두어</t>
    <phoneticPr fontId="3" type="noConversion"/>
  </si>
  <si>
    <t>심원면 두어리</t>
    <phoneticPr fontId="3" type="noConversion"/>
  </si>
  <si>
    <t>두어천</t>
    <phoneticPr fontId="3" type="noConversion"/>
  </si>
  <si>
    <t>심원월산</t>
    <phoneticPr fontId="3" type="noConversion"/>
  </si>
  <si>
    <t>부안상포</t>
    <phoneticPr fontId="3" type="noConversion"/>
  </si>
  <si>
    <t>부안면 상암리</t>
    <phoneticPr fontId="3" type="noConversion"/>
  </si>
  <si>
    <t>원당천</t>
    <phoneticPr fontId="3" type="noConversion"/>
  </si>
  <si>
    <t>부안읍 신운리 488</t>
    <phoneticPr fontId="3" type="noConversion"/>
  </si>
  <si>
    <t>FluidyneSBR</t>
    <phoneticPr fontId="3" type="noConversion"/>
  </si>
  <si>
    <t>581-4789</t>
    <phoneticPr fontId="3" type="noConversion"/>
  </si>
  <si>
    <t>04.12.17</t>
    <phoneticPr fontId="3" type="noConversion"/>
  </si>
  <si>
    <t>부안읍 봉덕리 669-34</t>
    <phoneticPr fontId="3" type="noConversion"/>
  </si>
  <si>
    <t>고효율합병정화처리방법</t>
    <phoneticPr fontId="3" type="noConversion"/>
  </si>
  <si>
    <t>580-4267</t>
    <phoneticPr fontId="3" type="noConversion"/>
  </si>
  <si>
    <t>98. 7. 9</t>
    <phoneticPr fontId="3" type="noConversion"/>
  </si>
  <si>
    <t>동진(장등)</t>
    <phoneticPr fontId="3" type="noConversion"/>
  </si>
  <si>
    <t>동진면 장등리 1433</t>
    <phoneticPr fontId="3" type="noConversion"/>
  </si>
  <si>
    <t>580-4437</t>
    <phoneticPr fontId="3" type="noConversion"/>
  </si>
  <si>
    <t>00. 7.10</t>
    <phoneticPr fontId="3" type="noConversion"/>
  </si>
  <si>
    <t>옥여</t>
    <phoneticPr fontId="3" type="noConversion"/>
  </si>
  <si>
    <t>행안면 역리 437-1</t>
    <phoneticPr fontId="3" type="noConversion"/>
  </si>
  <si>
    <t>99.12. 8</t>
    <phoneticPr fontId="3" type="noConversion"/>
  </si>
  <si>
    <t>계화(조포)</t>
    <phoneticPr fontId="3" type="noConversion"/>
  </si>
  <si>
    <t>계화면 양산리 1052-5</t>
    <phoneticPr fontId="3" type="noConversion"/>
  </si>
  <si>
    <t>고효율오수합병정화공법</t>
    <phoneticPr fontId="3" type="noConversion"/>
  </si>
  <si>
    <t>02. 8. 1</t>
    <phoneticPr fontId="3" type="noConversion"/>
  </si>
  <si>
    <t>유유</t>
    <phoneticPr fontId="3" type="noConversion"/>
  </si>
  <si>
    <t>변산면 마포리 60-7 외 2필</t>
    <phoneticPr fontId="3" type="noConversion"/>
  </si>
  <si>
    <t>자연정화형</t>
    <phoneticPr fontId="3" type="noConversion"/>
  </si>
  <si>
    <t>580-4328</t>
    <phoneticPr fontId="3" type="noConversion"/>
  </si>
  <si>
    <t>06. 9.29</t>
    <phoneticPr fontId="3" type="noConversion"/>
  </si>
  <si>
    <t>언포</t>
    <phoneticPr fontId="3" type="noConversion"/>
  </si>
  <si>
    <t>진서면 운호리 산30-31</t>
    <phoneticPr fontId="3" type="noConversion"/>
  </si>
  <si>
    <t>자연순환형고도처리공법</t>
    <phoneticPr fontId="3" type="noConversion"/>
  </si>
  <si>
    <t>04. 6.21</t>
    <phoneticPr fontId="3" type="noConversion"/>
  </si>
  <si>
    <t>운호</t>
    <phoneticPr fontId="3" type="noConversion"/>
  </si>
  <si>
    <t>06.10.18</t>
    <phoneticPr fontId="3" type="noConversion"/>
  </si>
  <si>
    <t>청림·노적</t>
    <phoneticPr fontId="3" type="noConversion"/>
  </si>
  <si>
    <t>상서면 청림리 531-4</t>
    <phoneticPr fontId="3" type="noConversion"/>
  </si>
  <si>
    <t>03.12. 1</t>
    <phoneticPr fontId="3" type="noConversion"/>
  </si>
  <si>
    <t>상서면 청림리 906</t>
    <phoneticPr fontId="3" type="noConversion"/>
  </si>
  <si>
    <t>용해동971</t>
    <phoneticPr fontId="3" type="noConversion"/>
  </si>
  <si>
    <t>생물화학적처리</t>
    <phoneticPr fontId="3" type="noConversion"/>
  </si>
  <si>
    <t>270-8491</t>
    <phoneticPr fontId="3" type="noConversion"/>
  </si>
  <si>
    <t>염소주입</t>
    <phoneticPr fontId="3" type="noConversion"/>
  </si>
  <si>
    <t>연산동1230-1</t>
    <phoneticPr fontId="3" type="noConversion"/>
  </si>
  <si>
    <t>270-8365</t>
    <phoneticPr fontId="3" type="noConversion"/>
  </si>
  <si>
    <t>2004.3.30.</t>
    <phoneticPr fontId="3" type="noConversion"/>
  </si>
  <si>
    <t>웅천동 1558-2</t>
    <phoneticPr fontId="3" type="noConversion"/>
  </si>
  <si>
    <t>MSBR공법</t>
    <phoneticPr fontId="3" type="noConversion"/>
  </si>
  <si>
    <t>690-7271</t>
    <phoneticPr fontId="3" type="noConversion"/>
  </si>
  <si>
    <t>돌산읍 서덕리 1065-2</t>
    <phoneticPr fontId="3" type="noConversion"/>
  </si>
  <si>
    <t>―</t>
    <phoneticPr fontId="3" type="noConversion"/>
  </si>
  <si>
    <t>협기.호기접촉
포기법</t>
    <phoneticPr fontId="3" type="noConversion"/>
  </si>
  <si>
    <t>690-7237</t>
    <phoneticPr fontId="3" type="noConversion"/>
  </si>
  <si>
    <t>1998.1.10</t>
    <phoneticPr fontId="3" type="noConversion"/>
  </si>
  <si>
    <t>대복</t>
    <phoneticPr fontId="3" type="noConversion"/>
  </si>
  <si>
    <t>돌산읍 신복리 466-1</t>
    <phoneticPr fontId="3" type="noConversion"/>
  </si>
  <si>
    <t>침지식공증사막모듈</t>
    <phoneticPr fontId="3" type="noConversion"/>
  </si>
  <si>
    <t>1999.7.1</t>
    <phoneticPr fontId="3" type="noConversion"/>
  </si>
  <si>
    <t>임포</t>
    <phoneticPr fontId="3" type="noConversion"/>
  </si>
  <si>
    <t>돌산읍 율림리 27-1</t>
    <phoneticPr fontId="3" type="noConversion"/>
  </si>
  <si>
    <t>토양피복형접촉산화</t>
    <phoneticPr fontId="3" type="noConversion"/>
  </si>
  <si>
    <t>1999.8.15</t>
    <phoneticPr fontId="3" type="noConversion"/>
  </si>
  <si>
    <t>봉림</t>
    <phoneticPr fontId="3" type="noConversion"/>
  </si>
  <si>
    <t>돌산읍 죽포리 354-2</t>
    <phoneticPr fontId="3" type="noConversion"/>
  </si>
  <si>
    <t>1997.12.18</t>
    <phoneticPr fontId="3" type="noConversion"/>
  </si>
  <si>
    <t>소율</t>
    <phoneticPr fontId="3" type="noConversion"/>
  </si>
  <si>
    <t>돌산읍 율림리 188</t>
    <phoneticPr fontId="3" type="noConversion"/>
  </si>
  <si>
    <t>2001.4.31</t>
    <phoneticPr fontId="3" type="noConversion"/>
  </si>
  <si>
    <t>방죽</t>
    <phoneticPr fontId="3" type="noConversion"/>
  </si>
  <si>
    <t>돌산읍 죽포리 1821</t>
    <phoneticPr fontId="3" type="noConversion"/>
  </si>
  <si>
    <t>2003.1.11</t>
    <phoneticPr fontId="3" type="noConversion"/>
  </si>
  <si>
    <t>대율</t>
    <phoneticPr fontId="3" type="noConversion"/>
  </si>
  <si>
    <t>돌산읍 율림리 488-2</t>
    <phoneticPr fontId="3" type="noConversion"/>
  </si>
  <si>
    <t>무산소호기 공존접촉산화</t>
    <phoneticPr fontId="3" type="noConversion"/>
  </si>
  <si>
    <t>2003.9.26</t>
    <phoneticPr fontId="3" type="noConversion"/>
  </si>
  <si>
    <t>궁항</t>
    <phoneticPr fontId="3" type="noConversion"/>
  </si>
  <si>
    <t>소라면 사곡리 1259-2</t>
    <phoneticPr fontId="3" type="noConversion"/>
  </si>
  <si>
    <t>유동상담체을이용한 질소제거</t>
    <phoneticPr fontId="3" type="noConversion"/>
  </si>
  <si>
    <t>2001.4.20</t>
    <phoneticPr fontId="3" type="noConversion"/>
  </si>
  <si>
    <t>봉두</t>
    <phoneticPr fontId="3" type="noConversion"/>
  </si>
  <si>
    <t>소라면 봉두리 1254-4</t>
    <phoneticPr fontId="3" type="noConversion"/>
  </si>
  <si>
    <t>DBS공정을이용한인질소제거</t>
    <phoneticPr fontId="3" type="noConversion"/>
  </si>
  <si>
    <t>2003.12.29</t>
    <phoneticPr fontId="3" type="noConversion"/>
  </si>
  <si>
    <t>기세곡천</t>
    <phoneticPr fontId="3" type="noConversion"/>
  </si>
  <si>
    <t>서구 가좌동 598</t>
    <phoneticPr fontId="3" type="noConversion"/>
  </si>
  <si>
    <t xml:space="preserve"> '92.2.1</t>
    <phoneticPr fontId="3" type="noConversion"/>
  </si>
  <si>
    <t>서구 경서동 542-1</t>
    <phoneticPr fontId="3" type="noConversion"/>
  </si>
  <si>
    <t xml:space="preserve"> '99.7.15</t>
    <phoneticPr fontId="3" type="noConversion"/>
  </si>
  <si>
    <t>자외선</t>
    <phoneticPr fontId="3" type="noConversion"/>
  </si>
  <si>
    <t>중구 운북동 933-7</t>
    <phoneticPr fontId="3" type="noConversion"/>
  </si>
  <si>
    <t>A20</t>
    <phoneticPr fontId="3" type="noConversion"/>
  </si>
  <si>
    <t>00.8.15</t>
    <phoneticPr fontId="3" type="noConversion"/>
  </si>
  <si>
    <t>연수구 동춘동947</t>
    <phoneticPr fontId="3" type="noConversion"/>
  </si>
  <si>
    <t>95.1.15</t>
    <phoneticPr fontId="3" type="noConversion"/>
  </si>
  <si>
    <t>연수구 송도동13-8</t>
    <phoneticPr fontId="3" type="noConversion"/>
  </si>
  <si>
    <t>Biostyr</t>
    <phoneticPr fontId="3" type="noConversion"/>
  </si>
  <si>
    <t>05.4.4</t>
    <phoneticPr fontId="3" type="noConversion"/>
  </si>
  <si>
    <t>남동구 서창동 502-10</t>
    <phoneticPr fontId="3" type="noConversion"/>
  </si>
  <si>
    <t>Azenit-p</t>
    <phoneticPr fontId="3" type="noConversion"/>
  </si>
  <si>
    <t>강화군 선원면 신청리 29</t>
    <phoneticPr fontId="3" type="noConversion"/>
  </si>
  <si>
    <t>산화구법</t>
    <phoneticPr fontId="3" type="noConversion"/>
  </si>
  <si>
    <t>03.3.29</t>
    <phoneticPr fontId="3" type="noConversion"/>
  </si>
  <si>
    <t>옹진군 대청면 대청리 산280</t>
    <phoneticPr fontId="3" type="noConversion"/>
  </si>
  <si>
    <t>CNR공법</t>
    <phoneticPr fontId="3" type="noConversion"/>
  </si>
  <si>
    <t>환경부</t>
    <phoneticPr fontId="3" type="noConversion"/>
  </si>
  <si>
    <t>04.12.8</t>
    <phoneticPr fontId="3" type="noConversion"/>
  </si>
  <si>
    <t>옹진군 덕적면 서포리 569-20</t>
    <phoneticPr fontId="3" type="noConversion"/>
  </si>
  <si>
    <t>BCS-SBR</t>
    <phoneticPr fontId="3" type="noConversion"/>
  </si>
  <si>
    <t>06.5.6</t>
    <phoneticPr fontId="3" type="noConversion"/>
  </si>
  <si>
    <t>광주제1</t>
    <phoneticPr fontId="3" type="noConversion"/>
  </si>
  <si>
    <t>서구 치평동 753-1</t>
    <phoneticPr fontId="3" type="noConversion"/>
  </si>
  <si>
    <t>603-5267</t>
    <phoneticPr fontId="3" type="noConversion"/>
  </si>
  <si>
    <t>차아염소산
나트륨소독</t>
    <phoneticPr fontId="3" type="noConversion"/>
  </si>
  <si>
    <t>광주제2</t>
    <phoneticPr fontId="3" type="noConversion"/>
  </si>
  <si>
    <t>광산구 본덕동 771</t>
    <phoneticPr fontId="3" type="noConversion"/>
  </si>
  <si>
    <t>표준활성슬러지법
활성슬러지순환변법
(MLE공정)</t>
    <phoneticPr fontId="3" type="noConversion"/>
  </si>
  <si>
    <t>603-5261</t>
  </si>
  <si>
    <t>간이고체
염소소독</t>
    <phoneticPr fontId="3" type="noConversion"/>
  </si>
  <si>
    <t>금곡</t>
    <phoneticPr fontId="3" type="noConversion"/>
  </si>
  <si>
    <t>북구 금곡동 22</t>
    <phoneticPr fontId="3" type="noConversion"/>
  </si>
  <si>
    <t>현수 다단 고도처리방식</t>
    <phoneticPr fontId="3" type="noConversion"/>
  </si>
  <si>
    <t>510-1454</t>
    <phoneticPr fontId="3" type="noConversion"/>
  </si>
  <si>
    <t>자외선살균기</t>
    <phoneticPr fontId="3" type="noConversion"/>
  </si>
  <si>
    <t>풍암천</t>
    <phoneticPr fontId="3" type="noConversion"/>
  </si>
  <si>
    <t>주룡</t>
    <phoneticPr fontId="3" type="noConversion"/>
  </si>
  <si>
    <t>북구 장운동 241</t>
    <phoneticPr fontId="3" type="noConversion"/>
  </si>
  <si>
    <t>호기성미생물이용오폐수정화</t>
    <phoneticPr fontId="3" type="noConversion"/>
  </si>
  <si>
    <t>510-1333</t>
    <phoneticPr fontId="3" type="noConversion"/>
  </si>
  <si>
    <t>화암</t>
    <phoneticPr fontId="3" type="noConversion"/>
  </si>
  <si>
    <t>북구 화암동 427-1</t>
    <phoneticPr fontId="3" type="noConversion"/>
  </si>
  <si>
    <t>유성구 원촌동 23</t>
    <phoneticPr fontId="3" type="noConversion"/>
  </si>
  <si>
    <t xml:space="preserve"> '90.1</t>
    <phoneticPr fontId="3" type="noConversion"/>
  </si>
  <si>
    <t>민간
위탁</t>
    <phoneticPr fontId="3" type="noConversion"/>
  </si>
  <si>
    <t>갑천</t>
    <phoneticPr fontId="3" type="noConversion"/>
  </si>
  <si>
    <t>서구 흑석동 437-5</t>
    <phoneticPr fontId="3" type="noConversion"/>
  </si>
  <si>
    <t>PSBR</t>
    <phoneticPr fontId="3" type="noConversion"/>
  </si>
  <si>
    <t xml:space="preserve"> '05.11</t>
    <phoneticPr fontId="3" type="noConversion"/>
  </si>
  <si>
    <t>남구 황성동 600-4</t>
    <phoneticPr fontId="3" type="noConversion"/>
  </si>
  <si>
    <t xml:space="preserve"> -</t>
    <phoneticPr fontId="3" type="noConversion"/>
  </si>
  <si>
    <t>온산읍 당월리 229-1</t>
    <phoneticPr fontId="3" type="noConversion"/>
  </si>
  <si>
    <t>1997.9.1</t>
    <phoneticPr fontId="3" type="noConversion"/>
  </si>
  <si>
    <t>구수리 산 248-4</t>
    <phoneticPr fontId="3" type="noConversion"/>
  </si>
  <si>
    <t>DNR</t>
    <phoneticPr fontId="3" type="noConversion"/>
  </si>
  <si>
    <t>04.9.1</t>
    <phoneticPr fontId="3" type="noConversion"/>
  </si>
  <si>
    <t>웅촌면 대대리 808</t>
    <phoneticPr fontId="3" type="noConversion"/>
  </si>
  <si>
    <t>90.11.30</t>
    <phoneticPr fontId="3" type="noConversion"/>
  </si>
  <si>
    <t>회야강</t>
    <phoneticPr fontId="3" type="noConversion"/>
  </si>
  <si>
    <t>북구 호계동 38 B/L</t>
    <phoneticPr fontId="3" type="noConversion"/>
  </si>
  <si>
    <t>접촉산화법</t>
    <phoneticPr fontId="3" type="noConversion"/>
  </si>
  <si>
    <t>02.4.30</t>
    <phoneticPr fontId="3" type="noConversion"/>
  </si>
  <si>
    <t>동구 미포동 산15-7</t>
    <phoneticPr fontId="3" type="noConversion"/>
  </si>
  <si>
    <t>미설치</t>
    <phoneticPr fontId="3" type="noConversion"/>
  </si>
  <si>
    <t>북구 당사동 527-3</t>
    <phoneticPr fontId="3" type="noConversion"/>
  </si>
  <si>
    <t>YM메디아</t>
    <phoneticPr fontId="3" type="noConversion"/>
  </si>
  <si>
    <t>05.5.1</t>
    <phoneticPr fontId="3" type="noConversion"/>
  </si>
  <si>
    <t>신리</t>
    <phoneticPr fontId="3" type="noConversion"/>
  </si>
  <si>
    <t>울주군 서생면 신암리739-4</t>
    <phoneticPr fontId="3" type="noConversion"/>
  </si>
  <si>
    <t>ksbnr</t>
    <phoneticPr fontId="3" type="noConversion"/>
  </si>
  <si>
    <t>04.7.1</t>
    <phoneticPr fontId="3" type="noConversion"/>
  </si>
  <si>
    <t>염소</t>
    <phoneticPr fontId="3" type="noConversion"/>
  </si>
  <si>
    <t>신암</t>
    <phoneticPr fontId="3" type="noConversion"/>
  </si>
  <si>
    <t>울주군 서생면 신암리501</t>
    <phoneticPr fontId="3" type="noConversion"/>
  </si>
  <si>
    <t>229-7762</t>
    <phoneticPr fontId="3" type="noConversion"/>
  </si>
  <si>
    <t>06, 04</t>
    <phoneticPr fontId="3" type="noConversion"/>
  </si>
  <si>
    <t>나사이주</t>
    <phoneticPr fontId="3" type="noConversion"/>
  </si>
  <si>
    <t>울주군 서생면 나사리459</t>
    <phoneticPr fontId="3" type="noConversion"/>
  </si>
  <si>
    <t>04, 8</t>
    <phoneticPr fontId="3" type="noConversion"/>
  </si>
  <si>
    <t>나사</t>
    <phoneticPr fontId="3" type="noConversion"/>
  </si>
  <si>
    <t>울주군 서생면 나사리72</t>
    <phoneticPr fontId="3" type="noConversion"/>
  </si>
  <si>
    <t>05, 09</t>
    <phoneticPr fontId="3" type="noConversion"/>
  </si>
  <si>
    <t>수원
(1단계)</t>
    <phoneticPr fontId="3" type="noConversion"/>
  </si>
  <si>
    <t>1단계</t>
    <phoneticPr fontId="3" type="noConversion"/>
  </si>
  <si>
    <t>TEC-
BNR공법</t>
    <phoneticPr fontId="3" type="noConversion"/>
  </si>
  <si>
    <t>95.06.30</t>
    <phoneticPr fontId="3" type="noConversion"/>
  </si>
  <si>
    <t>황구지</t>
    <phoneticPr fontId="3" type="noConversion"/>
  </si>
  <si>
    <t>(2단계)</t>
    <phoneticPr fontId="3" type="noConversion"/>
  </si>
  <si>
    <t>표준4STAGE
 BNR</t>
    <phoneticPr fontId="3" type="noConversion"/>
  </si>
  <si>
    <t>02.11.1</t>
    <phoneticPr fontId="3" type="noConversion"/>
  </si>
  <si>
    <t>수정구 복정동294</t>
    <phoneticPr fontId="3" type="noConversion"/>
  </si>
  <si>
    <t>표준활성 슬러지법</t>
    <phoneticPr fontId="3" type="noConversion"/>
  </si>
  <si>
    <t>729-4182</t>
    <phoneticPr fontId="3" type="noConversion"/>
  </si>
  <si>
    <t>94.06.01</t>
    <phoneticPr fontId="3" type="noConversion"/>
  </si>
  <si>
    <t>차아
염소산</t>
    <phoneticPr fontId="3" type="noConversion"/>
  </si>
  <si>
    <t>929-4122</t>
    <phoneticPr fontId="3" type="noConversion"/>
  </si>
  <si>
    <t>93.4.30</t>
    <phoneticPr fontId="3" type="noConversion"/>
  </si>
  <si>
    <t>지영동 809</t>
    <phoneticPr fontId="3" type="noConversion"/>
  </si>
  <si>
    <t>CSBR</t>
    <phoneticPr fontId="3" type="noConversion"/>
  </si>
  <si>
    <t>2004.10.11</t>
    <phoneticPr fontId="3" type="noConversion"/>
  </si>
  <si>
    <t>부천북부
(굴포)</t>
    <phoneticPr fontId="3" type="noConversion"/>
  </si>
  <si>
    <t>오정구 대장동434</t>
    <phoneticPr fontId="3" type="noConversion"/>
  </si>
  <si>
    <t>표준활성
+고도</t>
    <phoneticPr fontId="3" type="noConversion"/>
  </si>
  <si>
    <t>4Stage-BNR</t>
    <phoneticPr fontId="3" type="noConversion"/>
  </si>
  <si>
    <t>1단계
97.05</t>
    <phoneticPr fontId="3" type="noConversion"/>
  </si>
  <si>
    <t>부천남부
(역곡)</t>
    <phoneticPr fontId="3" type="noConversion"/>
  </si>
  <si>
    <t>소사구 옥길동454-1</t>
    <phoneticPr fontId="3" type="noConversion"/>
  </si>
  <si>
    <t>고도처리</t>
    <phoneticPr fontId="3" type="noConversion"/>
  </si>
  <si>
    <t>06.08.25</t>
    <phoneticPr fontId="3" type="noConversion"/>
  </si>
  <si>
    <t>역곡천</t>
    <phoneticPr fontId="3" type="noConversion"/>
  </si>
  <si>
    <t>박달동655</t>
    <phoneticPr fontId="3" type="noConversion"/>
  </si>
  <si>
    <t>92.04.01</t>
    <phoneticPr fontId="3" type="noConversion"/>
  </si>
  <si>
    <t>석수동산140</t>
    <phoneticPr fontId="3" type="noConversion"/>
  </si>
  <si>
    <t>CNR</t>
    <phoneticPr fontId="3" type="noConversion"/>
  </si>
  <si>
    <t>02.04.01</t>
    <phoneticPr fontId="3" type="noConversion"/>
  </si>
  <si>
    <t>성곡동621</t>
    <phoneticPr fontId="3" type="noConversion"/>
  </si>
  <si>
    <t>491-9616</t>
    <phoneticPr fontId="3" type="noConversion"/>
  </si>
  <si>
    <t>단원구 성곡동 681-5</t>
    <phoneticPr fontId="3" type="noConversion"/>
  </si>
  <si>
    <t>BNR-C법</t>
    <phoneticPr fontId="3" type="noConversion"/>
  </si>
  <si>
    <t>491-9613</t>
    <phoneticPr fontId="3" type="noConversion"/>
  </si>
  <si>
    <t>06.12.15</t>
    <phoneticPr fontId="3" type="noConversion"/>
  </si>
  <si>
    <t>SBR공법</t>
    <phoneticPr fontId="3" type="noConversion"/>
  </si>
  <si>
    <t>06.08.01</t>
    <phoneticPr fontId="3" type="noConversion"/>
  </si>
  <si>
    <t>뻐꾹천</t>
    <phoneticPr fontId="3" type="noConversion"/>
  </si>
  <si>
    <t>하갈동 127</t>
    <phoneticPr fontId="3" type="noConversion"/>
  </si>
  <si>
    <t>환경
신기술</t>
    <phoneticPr fontId="3" type="noConversion"/>
  </si>
  <si>
    <t>282-1783</t>
    <phoneticPr fontId="3" type="noConversion"/>
  </si>
  <si>
    <t>05.07.31</t>
    <phoneticPr fontId="3" type="noConversion"/>
  </si>
  <si>
    <t>uv소독</t>
    <phoneticPr fontId="3" type="noConversion"/>
  </si>
  <si>
    <t>구갈동 33</t>
    <phoneticPr fontId="3" type="noConversion"/>
  </si>
  <si>
    <t>건설-95호</t>
    <phoneticPr fontId="3" type="noConversion"/>
  </si>
  <si>
    <t>283-7885</t>
    <phoneticPr fontId="3" type="noConversion"/>
  </si>
  <si>
    <t>포곡읍 유운리 5-3</t>
    <phoneticPr fontId="3" type="noConversion"/>
  </si>
  <si>
    <t>324-4391</t>
    <phoneticPr fontId="3" type="noConversion"/>
  </si>
  <si>
    <t>92.09.01</t>
    <phoneticPr fontId="3" type="noConversion"/>
  </si>
  <si>
    <t>새말</t>
    <phoneticPr fontId="3" type="noConversion"/>
  </si>
  <si>
    <t>남사면 봉명리 660-33</t>
    <phoneticPr fontId="3" type="noConversion"/>
  </si>
  <si>
    <t>고효율오수처리</t>
    <phoneticPr fontId="3" type="noConversion"/>
  </si>
  <si>
    <t>96.12.26</t>
    <phoneticPr fontId="3" type="noConversion"/>
  </si>
  <si>
    <t>통삼천</t>
    <phoneticPr fontId="3" type="noConversion"/>
  </si>
  <si>
    <t>진위천</t>
    <phoneticPr fontId="3" type="noConversion"/>
  </si>
  <si>
    <t>화곡</t>
    <phoneticPr fontId="3" type="noConversion"/>
  </si>
  <si>
    <t>남사면 창리 274-1</t>
    <phoneticPr fontId="3" type="noConversion"/>
  </si>
  <si>
    <t>00.02.11</t>
    <phoneticPr fontId="3" type="noConversion"/>
  </si>
  <si>
    <t>완장천</t>
    <phoneticPr fontId="3" type="noConversion"/>
  </si>
  <si>
    <t>당하</t>
    <phoneticPr fontId="3" type="noConversion"/>
  </si>
  <si>
    <t>남사면 북리 181</t>
    <phoneticPr fontId="3" type="noConversion"/>
  </si>
  <si>
    <t>95.01.04</t>
    <phoneticPr fontId="3" type="noConversion"/>
  </si>
  <si>
    <t>당하천</t>
    <phoneticPr fontId="3" type="noConversion"/>
  </si>
  <si>
    <t>이동</t>
    <phoneticPr fontId="3" type="noConversion"/>
  </si>
  <si>
    <t>이동면 시미리 461</t>
    <phoneticPr fontId="3" type="noConversion"/>
  </si>
  <si>
    <t>01.12.04</t>
    <phoneticPr fontId="3" type="noConversion"/>
  </si>
  <si>
    <t>시미곡천</t>
    <phoneticPr fontId="3" type="noConversion"/>
  </si>
  <si>
    <t>주북</t>
    <phoneticPr fontId="3" type="noConversion"/>
  </si>
  <si>
    <t>양지면 주북리 1040-11</t>
    <phoneticPr fontId="3" type="noConversion"/>
  </si>
  <si>
    <t>분뇨및고도고도</t>
    <phoneticPr fontId="3" type="noConversion"/>
  </si>
  <si>
    <t>02.08.09</t>
    <phoneticPr fontId="3" type="noConversion"/>
  </si>
  <si>
    <t>주북천</t>
    <phoneticPr fontId="3" type="noConversion"/>
  </si>
  <si>
    <t>양지면 대대리 402-8</t>
    <phoneticPr fontId="3" type="noConversion"/>
  </si>
  <si>
    <t>변형회분식활성</t>
    <phoneticPr fontId="3" type="noConversion"/>
  </si>
  <si>
    <t>03.01.21</t>
    <phoneticPr fontId="3" type="noConversion"/>
  </si>
  <si>
    <t>대대천</t>
    <phoneticPr fontId="3" type="noConversion"/>
  </si>
  <si>
    <t>1처리장</t>
    <phoneticPr fontId="3" type="noConversion"/>
  </si>
  <si>
    <t>장암동76</t>
    <phoneticPr fontId="3" type="noConversion"/>
  </si>
  <si>
    <t>828-4592</t>
    <phoneticPr fontId="3" type="noConversion"/>
  </si>
  <si>
    <t>87.12.23</t>
    <phoneticPr fontId="3" type="noConversion"/>
  </si>
  <si>
    <t>자외선
소독</t>
    <phoneticPr fontId="3" type="noConversion"/>
  </si>
  <si>
    <t>2처리장</t>
  </si>
  <si>
    <t>95.06.01</t>
    <phoneticPr fontId="3" type="noConversion"/>
  </si>
  <si>
    <t>3처리장</t>
  </si>
  <si>
    <t>03.12.30</t>
    <phoneticPr fontId="3" type="noConversion"/>
  </si>
  <si>
    <t>화도읍 금남리612</t>
    <phoneticPr fontId="3" type="noConversion"/>
  </si>
  <si>
    <t>DNR법</t>
    <phoneticPr fontId="3" type="noConversion"/>
  </si>
  <si>
    <t>590-4654</t>
    <phoneticPr fontId="3" type="noConversion"/>
  </si>
  <si>
    <t>시 운영</t>
    <phoneticPr fontId="3" type="noConversion"/>
  </si>
  <si>
    <t>UV</t>
    <phoneticPr fontId="3" type="noConversion"/>
  </si>
  <si>
    <t>묵현천</t>
    <phoneticPr fontId="3" type="noConversion"/>
  </si>
  <si>
    <t>화도읍 금남리584</t>
    <phoneticPr fontId="3" type="noConversion"/>
  </si>
  <si>
    <t>590-4655</t>
  </si>
  <si>
    <t>05.6.27</t>
    <phoneticPr fontId="3" type="noConversion"/>
  </si>
  <si>
    <t>소안면 능내리 444-1</t>
    <phoneticPr fontId="3" type="noConversion"/>
  </si>
  <si>
    <t>MBBR</t>
    <phoneticPr fontId="3" type="noConversion"/>
  </si>
  <si>
    <t>590-2591</t>
    <phoneticPr fontId="3" type="noConversion"/>
  </si>
  <si>
    <t>93.01.14</t>
    <phoneticPr fontId="3" type="noConversion"/>
  </si>
  <si>
    <t>조안면 송촌리 739-1</t>
    <phoneticPr fontId="3" type="noConversion"/>
  </si>
  <si>
    <t>조안면 조안리 720-1</t>
    <phoneticPr fontId="3" type="noConversion"/>
  </si>
  <si>
    <t>SBR</t>
    <phoneticPr fontId="3" type="noConversion"/>
  </si>
  <si>
    <t>01.06.13</t>
    <phoneticPr fontId="3" type="noConversion"/>
  </si>
  <si>
    <t>조안천</t>
    <phoneticPr fontId="3" type="noConversion"/>
  </si>
  <si>
    <t>조안면 능내리 228-1</t>
    <phoneticPr fontId="3" type="noConversion"/>
  </si>
  <si>
    <t>03.12.19</t>
    <phoneticPr fontId="3" type="noConversion"/>
  </si>
  <si>
    <t>조안면 시우리 149</t>
    <phoneticPr fontId="3" type="noConversion"/>
  </si>
  <si>
    <t>04.09.11</t>
    <phoneticPr fontId="3" type="noConversion"/>
  </si>
  <si>
    <t>시우천</t>
    <phoneticPr fontId="3" type="noConversion"/>
  </si>
  <si>
    <t>조안면 송촌리 35-3</t>
    <phoneticPr fontId="3" type="noConversion"/>
  </si>
  <si>
    <t>03.08.28</t>
    <phoneticPr fontId="3" type="noConversion"/>
  </si>
  <si>
    <t>조안면 솜봉리 534-4</t>
    <phoneticPr fontId="3" type="noConversion"/>
  </si>
  <si>
    <t>03.09.30</t>
    <phoneticPr fontId="3" type="noConversion"/>
  </si>
  <si>
    <t>진건읍 배양리 919</t>
    <phoneticPr fontId="3" type="noConversion"/>
  </si>
  <si>
    <t>529-0382</t>
    <phoneticPr fontId="3" type="noConversion"/>
  </si>
  <si>
    <t>왕숙천</t>
    <phoneticPr fontId="3" type="noConversion"/>
  </si>
  <si>
    <t>통복동 197-1</t>
    <phoneticPr fontId="3" type="noConversion"/>
  </si>
  <si>
    <t>S_BC</t>
  </si>
  <si>
    <t>98.07.01</t>
    <phoneticPr fontId="3" type="noConversion"/>
  </si>
  <si>
    <t>통복천</t>
  </si>
  <si>
    <t>안성천</t>
  </si>
  <si>
    <t>서
해</t>
    <phoneticPr fontId="3" type="noConversion"/>
  </si>
  <si>
    <t>장당동 505번지</t>
    <phoneticPr fontId="3" type="noConversion"/>
  </si>
  <si>
    <t>611-1460</t>
    <phoneticPr fontId="3" type="noConversion"/>
  </si>
  <si>
    <t>차아염
소독</t>
    <phoneticPr fontId="3" type="noConversion"/>
  </si>
  <si>
    <t>서정천</t>
  </si>
  <si>
    <t>고덕마을</t>
    <phoneticPr fontId="3" type="noConversion"/>
  </si>
  <si>
    <t>고덕면 해창리 977번지</t>
    <phoneticPr fontId="3" type="noConversion"/>
  </si>
  <si>
    <t>접촉
산화법</t>
    <phoneticPr fontId="3" type="noConversion"/>
  </si>
  <si>
    <t>01.05.01</t>
    <phoneticPr fontId="3" type="noConversion"/>
  </si>
  <si>
    <t>간이
소독</t>
    <phoneticPr fontId="3" type="noConversion"/>
  </si>
  <si>
    <t xml:space="preserve">진위천  </t>
    <phoneticPr fontId="3" type="noConversion"/>
  </si>
  <si>
    <t>팽성읍 원정리 1172</t>
    <phoneticPr fontId="3" type="noConversion"/>
  </si>
  <si>
    <t>682-2594</t>
    <phoneticPr fontId="3" type="noConversion"/>
  </si>
  <si>
    <t>00.11.10</t>
    <phoneticPr fontId="3" type="noConversion"/>
  </si>
  <si>
    <t>팽성읍송화1리 451-1</t>
    <phoneticPr fontId="3" type="noConversion"/>
  </si>
  <si>
    <t>691-9770</t>
    <phoneticPr fontId="3" type="noConversion"/>
  </si>
  <si>
    <t>03.06.01</t>
    <phoneticPr fontId="3" type="noConversion"/>
  </si>
  <si>
    <t>둔포천</t>
  </si>
  <si>
    <t>488-4012</t>
    <phoneticPr fontId="3" type="noConversion"/>
  </si>
  <si>
    <t>02.12.4</t>
    <phoneticPr fontId="3" type="noConversion"/>
  </si>
  <si>
    <t>향남읍 상신리</t>
    <phoneticPr fontId="3" type="noConversion"/>
  </si>
  <si>
    <t>HDF</t>
    <phoneticPr fontId="3" type="noConversion"/>
  </si>
  <si>
    <t>06.07.14</t>
    <phoneticPr fontId="3" type="noConversion"/>
  </si>
  <si>
    <t>UV
소독</t>
    <phoneticPr fontId="3" type="noConversion"/>
  </si>
  <si>
    <t>발안천</t>
    <phoneticPr fontId="3" type="noConversion"/>
  </si>
  <si>
    <t>남양호</t>
    <phoneticPr fontId="3" type="noConversion"/>
  </si>
  <si>
    <t>시화호</t>
    <phoneticPr fontId="3" type="noConversion"/>
  </si>
  <si>
    <t>어은천</t>
    <phoneticPr fontId="3" type="noConversion"/>
  </si>
  <si>
    <t>화성호</t>
    <phoneticPr fontId="3" type="noConversion"/>
  </si>
  <si>
    <t>금촌동 714</t>
    <phoneticPr fontId="3" type="noConversion"/>
  </si>
  <si>
    <t>945-2339</t>
    <phoneticPr fontId="3" type="noConversion"/>
  </si>
  <si>
    <t>05.03.06</t>
    <phoneticPr fontId="3" type="noConversion"/>
  </si>
  <si>
    <t>UV소독</t>
    <phoneticPr fontId="3" type="noConversion"/>
  </si>
  <si>
    <t>적성면 가월리 193</t>
    <phoneticPr fontId="3" type="noConversion"/>
  </si>
  <si>
    <t>선회와류식-SBR</t>
    <phoneticPr fontId="3" type="noConversion"/>
  </si>
  <si>
    <t>959-2620</t>
    <phoneticPr fontId="3" type="noConversion"/>
  </si>
  <si>
    <t>03.09.10</t>
    <phoneticPr fontId="3" type="noConversion"/>
  </si>
  <si>
    <t>탄현면 법흥리 1298</t>
    <phoneticPr fontId="3" type="noConversion"/>
  </si>
  <si>
    <t>데니포공법</t>
    <phoneticPr fontId="3" type="noConversion"/>
  </si>
  <si>
    <t>940-2620</t>
    <phoneticPr fontId="3" type="noConversion"/>
  </si>
  <si>
    <t>06.07.15</t>
    <phoneticPr fontId="3" type="noConversion"/>
  </si>
  <si>
    <t>문산읍 운천리 53-118</t>
    <phoneticPr fontId="3" type="noConversion"/>
  </si>
  <si>
    <t>NPR</t>
    <phoneticPr fontId="3" type="noConversion"/>
  </si>
  <si>
    <t>02.03</t>
    <phoneticPr fontId="3" type="noConversion"/>
  </si>
  <si>
    <t>문산읍 임진리 8-36</t>
    <phoneticPr fontId="3" type="noConversion"/>
  </si>
  <si>
    <t>IC-SBR</t>
    <phoneticPr fontId="3" type="noConversion"/>
  </si>
  <si>
    <t>97.08</t>
    <phoneticPr fontId="3" type="noConversion"/>
  </si>
  <si>
    <t>파주읍 향양리 390</t>
    <phoneticPr fontId="3" type="noConversion"/>
  </si>
  <si>
    <t>PF-MBR</t>
    <phoneticPr fontId="3" type="noConversion"/>
  </si>
  <si>
    <t>98.10</t>
    <phoneticPr fontId="3" type="noConversion"/>
  </si>
  <si>
    <t>교하읍 연다산리 100</t>
    <phoneticPr fontId="3" type="noConversion"/>
  </si>
  <si>
    <t>탄현면 대동리 242</t>
    <phoneticPr fontId="3" type="noConversion"/>
  </si>
  <si>
    <t>OAM</t>
    <phoneticPr fontId="3" type="noConversion"/>
  </si>
  <si>
    <t>04.12</t>
    <phoneticPr fontId="3" type="noConversion"/>
  </si>
  <si>
    <t>진동면 동파리 1763</t>
    <phoneticPr fontId="3" type="noConversion"/>
  </si>
  <si>
    <t>02.05</t>
    <phoneticPr fontId="3" type="noConversion"/>
  </si>
  <si>
    <t>갈산동 720</t>
    <phoneticPr fontId="3" type="noConversion"/>
  </si>
  <si>
    <t>98.08.31 04.12.06</t>
    <phoneticPr fontId="3" type="noConversion"/>
  </si>
  <si>
    <t>장호원읍 노탑리 427</t>
    <phoneticPr fontId="3" type="noConversion"/>
  </si>
  <si>
    <t>642-1859</t>
    <phoneticPr fontId="3" type="noConversion"/>
  </si>
  <si>
    <t>단월동 274-4</t>
    <phoneticPr fontId="3" type="noConversion"/>
  </si>
  <si>
    <t>간헐식장기포기법</t>
    <phoneticPr fontId="3" type="noConversion"/>
  </si>
  <si>
    <t>631-7204</t>
    <phoneticPr fontId="3" type="noConversion"/>
  </si>
  <si>
    <t>04.6.22.</t>
    <phoneticPr fontId="3" type="noConversion"/>
  </si>
  <si>
    <t>민간투자</t>
    <phoneticPr fontId="3" type="noConversion"/>
  </si>
  <si>
    <t>오천리</t>
    <phoneticPr fontId="3" type="noConversion"/>
  </si>
  <si>
    <t>마장면 오천리 98</t>
    <phoneticPr fontId="3" type="noConversion"/>
  </si>
  <si>
    <t>장기포기법</t>
    <phoneticPr fontId="3" type="noConversion"/>
  </si>
  <si>
    <t>633-7303</t>
    <phoneticPr fontId="3" type="noConversion"/>
  </si>
  <si>
    <t>91.12.20</t>
    <phoneticPr fontId="3" type="noConversion"/>
  </si>
  <si>
    <t>설성</t>
    <phoneticPr fontId="3" type="noConversion"/>
  </si>
  <si>
    <t>설성면 장천리 269</t>
    <phoneticPr fontId="3" type="noConversion"/>
  </si>
  <si>
    <t>접촉산화공법</t>
    <phoneticPr fontId="3" type="noConversion"/>
  </si>
  <si>
    <t>97.12.20</t>
    <phoneticPr fontId="3" type="noConversion"/>
  </si>
  <si>
    <t>내촌리</t>
    <phoneticPr fontId="3" type="noConversion"/>
  </si>
  <si>
    <t>백사면 내촌리 144</t>
    <phoneticPr fontId="3" type="noConversion"/>
  </si>
  <si>
    <t>고농도오폐수공법</t>
    <phoneticPr fontId="3" type="noConversion"/>
  </si>
  <si>
    <t>00.09.30</t>
    <phoneticPr fontId="3" type="noConversion"/>
  </si>
  <si>
    <t>현방리</t>
    <phoneticPr fontId="3" type="noConversion"/>
  </si>
  <si>
    <t>백사면 현방리 187</t>
    <phoneticPr fontId="3" type="noConversion"/>
  </si>
  <si>
    <t>CBT공법</t>
    <phoneticPr fontId="3" type="noConversion"/>
  </si>
  <si>
    <t>99.06.23   04.09.06</t>
    <phoneticPr fontId="3" type="noConversion"/>
  </si>
  <si>
    <t>도립리</t>
    <phoneticPr fontId="3" type="noConversion"/>
  </si>
  <si>
    <t>백사면 도립리 336</t>
    <phoneticPr fontId="3" type="noConversion"/>
  </si>
  <si>
    <t>OAM공법</t>
    <phoneticPr fontId="3" type="noConversion"/>
  </si>
  <si>
    <t>99.12.31 04.08.31</t>
    <phoneticPr fontId="3" type="noConversion"/>
  </si>
  <si>
    <t>지석리</t>
    <phoneticPr fontId="3" type="noConversion"/>
  </si>
  <si>
    <t>신둔면 지석리 418</t>
    <phoneticPr fontId="3" type="noConversion"/>
  </si>
  <si>
    <t>IC/SBR</t>
    <phoneticPr fontId="3" type="noConversion"/>
  </si>
  <si>
    <t>98.06.20
06.9.30</t>
    <phoneticPr fontId="3" type="noConversion"/>
  </si>
  <si>
    <t>덕평리</t>
    <phoneticPr fontId="3" type="noConversion"/>
  </si>
  <si>
    <t>마장면 덕평리 163</t>
    <phoneticPr fontId="3" type="noConversion"/>
  </si>
  <si>
    <t>98.06.20 04.08.25</t>
    <phoneticPr fontId="3" type="noConversion"/>
  </si>
  <si>
    <t>수택동 89</t>
    <phoneticPr fontId="3" type="noConversion"/>
  </si>
  <si>
    <t>섬모상생물막법</t>
    <phoneticPr fontId="3" type="noConversion"/>
  </si>
  <si>
    <t>89.12.30
(고도04.8)</t>
    <phoneticPr fontId="3" type="noConversion"/>
  </si>
  <si>
    <t>오존소독</t>
    <phoneticPr fontId="3" type="noConversion"/>
  </si>
  <si>
    <t>우미네</t>
    <phoneticPr fontId="3" type="noConversion"/>
  </si>
  <si>
    <t>아천동 390-3</t>
    <phoneticPr fontId="3" type="noConversion"/>
  </si>
  <si>
    <t>05.06.01</t>
    <phoneticPr fontId="3" type="noConversion"/>
  </si>
  <si>
    <t>걸포동 2-79</t>
    <phoneticPr fontId="3" type="noConversion"/>
  </si>
  <si>
    <t>간헐포기식활성</t>
    <phoneticPr fontId="3" type="noConversion"/>
  </si>
  <si>
    <t>980-5426</t>
    <phoneticPr fontId="3" type="noConversion"/>
  </si>
  <si>
    <t>02.09.27</t>
    <phoneticPr fontId="3" type="noConversion"/>
  </si>
  <si>
    <t>사현</t>
    <phoneticPr fontId="3" type="noConversion"/>
  </si>
  <si>
    <t>가현4리681-1</t>
    <phoneticPr fontId="3" type="noConversion"/>
  </si>
  <si>
    <t>980-5427</t>
    <phoneticPr fontId="3" type="noConversion"/>
  </si>
  <si>
    <t>1997.11</t>
    <phoneticPr fontId="3" type="noConversion"/>
  </si>
  <si>
    <t>삼도</t>
    <phoneticPr fontId="3" type="noConversion"/>
  </si>
  <si>
    <t>학운5리448-313</t>
    <phoneticPr fontId="3" type="noConversion"/>
  </si>
  <si>
    <t>고효율활성오니법</t>
    <phoneticPr fontId="3" type="noConversion"/>
  </si>
  <si>
    <t>1998.6</t>
    <phoneticPr fontId="3" type="noConversion"/>
  </si>
  <si>
    <t>고음달</t>
    <phoneticPr fontId="3" type="noConversion"/>
  </si>
  <si>
    <t>학운1리113-7</t>
    <phoneticPr fontId="3" type="noConversion"/>
  </si>
  <si>
    <t>2000.6</t>
    <phoneticPr fontId="3" type="noConversion"/>
  </si>
  <si>
    <t>내촌</t>
    <phoneticPr fontId="3" type="noConversion"/>
  </si>
  <si>
    <t>전류리114-5</t>
    <phoneticPr fontId="3" type="noConversion"/>
  </si>
  <si>
    <t>2000.8</t>
    <phoneticPr fontId="3" type="noConversion"/>
  </si>
  <si>
    <t>고정2리429-32</t>
    <phoneticPr fontId="3" type="noConversion"/>
  </si>
  <si>
    <t>토양식정화</t>
    <phoneticPr fontId="3" type="noConversion"/>
  </si>
  <si>
    <t>봉성리230-1</t>
    <phoneticPr fontId="3" type="noConversion"/>
  </si>
  <si>
    <t>2002.6</t>
    <phoneticPr fontId="3" type="noConversion"/>
  </si>
  <si>
    <t>신북면 신평리 647-1</t>
    <phoneticPr fontId="3" type="noConversion"/>
  </si>
  <si>
    <t>DeNiPho</t>
    <phoneticPr fontId="3" type="noConversion"/>
  </si>
  <si>
    <t>99.03.01</t>
    <phoneticPr fontId="3" type="noConversion"/>
  </si>
  <si>
    <t>포천천</t>
    <phoneticPr fontId="3" type="noConversion"/>
  </si>
  <si>
    <t>영중면 영송리 712</t>
    <phoneticPr fontId="3" type="noConversion"/>
  </si>
  <si>
    <t>BCS</t>
    <phoneticPr fontId="3" type="noConversion"/>
  </si>
  <si>
    <t>영북면 문암리 276</t>
    <phoneticPr fontId="3" type="noConversion"/>
  </si>
  <si>
    <t>부소천</t>
    <phoneticPr fontId="3" type="noConversion"/>
  </si>
  <si>
    <t>소흘읍 이가팔리 262-3</t>
    <phoneticPr fontId="3" type="noConversion"/>
  </si>
  <si>
    <t>542-3281</t>
    <phoneticPr fontId="3" type="noConversion"/>
  </si>
  <si>
    <t>05.09.20</t>
    <phoneticPr fontId="3" type="noConversion"/>
  </si>
  <si>
    <t>소흘읍 직동리 55-4</t>
    <phoneticPr fontId="3" type="noConversion"/>
  </si>
  <si>
    <t>BCS2</t>
    <phoneticPr fontId="3" type="noConversion"/>
  </si>
  <si>
    <t>542-0254</t>
    <phoneticPr fontId="3" type="noConversion"/>
  </si>
  <si>
    <t>평촌을</t>
    <phoneticPr fontId="3" type="noConversion"/>
  </si>
  <si>
    <t>화현면 지현2리 299-75</t>
    <phoneticPr fontId="3" type="noConversion"/>
  </si>
  <si>
    <t>접촉산화활성</t>
    <phoneticPr fontId="3" type="noConversion"/>
  </si>
  <si>
    <t>00.04.20</t>
    <phoneticPr fontId="3" type="noConversion"/>
  </si>
  <si>
    <t>간이소독</t>
    <phoneticPr fontId="3" type="noConversion"/>
  </si>
  <si>
    <t>우물목</t>
    <phoneticPr fontId="3" type="noConversion"/>
  </si>
  <si>
    <t>영북면 산정리 720-1</t>
    <phoneticPr fontId="3" type="noConversion"/>
  </si>
  <si>
    <t>03.11.24</t>
    <phoneticPr fontId="3" type="noConversion"/>
  </si>
  <si>
    <t>장자</t>
    <phoneticPr fontId="3" type="noConversion"/>
  </si>
  <si>
    <t>신북면 신평3리 237-25</t>
    <phoneticPr fontId="3" type="noConversion"/>
  </si>
  <si>
    <t>군자</t>
    <phoneticPr fontId="3" type="noConversion"/>
  </si>
  <si>
    <t>창수면 주원리 825</t>
    <phoneticPr fontId="3" type="noConversion"/>
  </si>
  <si>
    <t>98.05.02</t>
    <phoneticPr fontId="3" type="noConversion"/>
  </si>
  <si>
    <t>관인면 중리 120</t>
    <phoneticPr fontId="3" type="noConversion"/>
  </si>
  <si>
    <t>모관침윤트렌치</t>
    <phoneticPr fontId="3" type="noConversion"/>
  </si>
  <si>
    <t>95.12.11</t>
    <phoneticPr fontId="3" type="noConversion"/>
  </si>
  <si>
    <t>하번천리 18-6</t>
    <phoneticPr fontId="3" type="noConversion"/>
  </si>
  <si>
    <t>PID공법</t>
    <phoneticPr fontId="3" type="noConversion"/>
  </si>
  <si>
    <t>769-5252</t>
    <phoneticPr fontId="3" type="noConversion"/>
  </si>
  <si>
    <t>지월리 729-23</t>
    <phoneticPr fontId="3" type="noConversion"/>
  </si>
  <si>
    <t>표준활성오니법</t>
    <phoneticPr fontId="3" type="noConversion"/>
  </si>
  <si>
    <t>760-2567</t>
    <phoneticPr fontId="3" type="noConversion"/>
  </si>
  <si>
    <t>최초:'93.12.27     
1차:'97.12.21       
 2차:'99.5.10</t>
    <phoneticPr fontId="3" type="noConversion"/>
  </si>
  <si>
    <t>도평리 17-1</t>
    <phoneticPr fontId="3" type="noConversion"/>
  </si>
  <si>
    <t>산화구법+SBF</t>
    <phoneticPr fontId="3" type="noConversion"/>
  </si>
  <si>
    <t>생물막
여과</t>
    <phoneticPr fontId="3" type="noConversion"/>
  </si>
  <si>
    <t>760-2598</t>
    <phoneticPr fontId="3" type="noConversion"/>
  </si>
  <si>
    <t xml:space="preserve">98.03.24   
</t>
    <phoneticPr fontId="3" type="noConversion"/>
  </si>
  <si>
    <t>매산</t>
    <phoneticPr fontId="3" type="noConversion"/>
  </si>
  <si>
    <t>매산리 678-2</t>
    <phoneticPr fontId="3" type="noConversion"/>
  </si>
  <si>
    <t>장기폭기법</t>
    <phoneticPr fontId="3" type="noConversion"/>
  </si>
  <si>
    <t>750-2585</t>
    <phoneticPr fontId="3" type="noConversion"/>
  </si>
  <si>
    <t>광동</t>
    <phoneticPr fontId="3" type="noConversion"/>
  </si>
  <si>
    <t>광동리 666-2</t>
    <phoneticPr fontId="3" type="noConversion"/>
  </si>
  <si>
    <t>장기폭기법+SBR</t>
    <phoneticPr fontId="3" type="noConversion"/>
  </si>
  <si>
    <t>KIDEA</t>
    <phoneticPr fontId="3" type="noConversion"/>
  </si>
  <si>
    <t>760-2586</t>
    <phoneticPr fontId="3" type="noConversion"/>
  </si>
  <si>
    <t>우산천</t>
    <phoneticPr fontId="3" type="noConversion"/>
  </si>
  <si>
    <t>분원</t>
    <phoneticPr fontId="3" type="noConversion"/>
  </si>
  <si>
    <t>분원리 225</t>
    <phoneticPr fontId="3" type="noConversion"/>
  </si>
  <si>
    <t>760-2588</t>
    <phoneticPr fontId="3" type="noConversion"/>
  </si>
  <si>
    <t>귀여</t>
    <phoneticPr fontId="3" type="noConversion"/>
  </si>
  <si>
    <t>귀여리 313-1</t>
    <phoneticPr fontId="3" type="noConversion"/>
  </si>
  <si>
    <t>장기폭기</t>
    <phoneticPr fontId="3" type="noConversion"/>
  </si>
  <si>
    <t>남한산성</t>
    <phoneticPr fontId="3" type="noConversion"/>
  </si>
  <si>
    <t>산성리 44-6</t>
    <phoneticPr fontId="3" type="noConversion"/>
  </si>
  <si>
    <t>749-4785</t>
    <phoneticPr fontId="3" type="noConversion"/>
  </si>
  <si>
    <t>99.1.11</t>
    <phoneticPr fontId="3" type="noConversion"/>
  </si>
  <si>
    <t>번천천</t>
    <phoneticPr fontId="3" type="noConversion"/>
  </si>
  <si>
    <t>도척</t>
    <phoneticPr fontId="3" type="noConversion"/>
  </si>
  <si>
    <t>궁평리 2-11</t>
    <phoneticPr fontId="3" type="noConversion"/>
  </si>
  <si>
    <t xml:space="preserve">산화구법 </t>
    <phoneticPr fontId="3" type="noConversion"/>
  </si>
  <si>
    <t>760-2587</t>
    <phoneticPr fontId="3" type="noConversion"/>
  </si>
  <si>
    <t>99.7.16</t>
    <phoneticPr fontId="3" type="noConversion"/>
  </si>
  <si>
    <t>삼성</t>
    <phoneticPr fontId="3" type="noConversion"/>
  </si>
  <si>
    <t>삼성리 241-5</t>
    <phoneticPr fontId="3" type="noConversion"/>
  </si>
  <si>
    <t>HBR공법</t>
    <phoneticPr fontId="3" type="noConversion"/>
  </si>
  <si>
    <t>문형리 332</t>
    <phoneticPr fontId="3" type="noConversion"/>
  </si>
  <si>
    <t>766-1518</t>
    <phoneticPr fontId="3" type="noConversion"/>
  </si>
  <si>
    <t>00.12.20</t>
    <phoneticPr fontId="3" type="noConversion"/>
  </si>
  <si>
    <t>장심리</t>
    <phoneticPr fontId="3" type="noConversion"/>
  </si>
  <si>
    <t>장심리 268</t>
    <phoneticPr fontId="3" type="noConversion"/>
  </si>
  <si>
    <t>96.05.20</t>
    <phoneticPr fontId="3" type="noConversion"/>
  </si>
  <si>
    <t>간이염소소독</t>
    <phoneticPr fontId="3" type="noConversion"/>
  </si>
  <si>
    <t>학동리</t>
    <phoneticPr fontId="3" type="noConversion"/>
  </si>
  <si>
    <t>학동리 275</t>
    <phoneticPr fontId="3" type="noConversion"/>
  </si>
  <si>
    <t>혐기성산화</t>
    <phoneticPr fontId="3" type="noConversion"/>
  </si>
  <si>
    <t>96.12.29</t>
    <phoneticPr fontId="3" type="noConversion"/>
  </si>
  <si>
    <t>추자리</t>
    <phoneticPr fontId="3" type="noConversion"/>
  </si>
  <si>
    <t>추자리 산30-1</t>
    <phoneticPr fontId="3" type="noConversion"/>
  </si>
  <si>
    <t>99.7.26</t>
    <phoneticPr fontId="3" type="noConversion"/>
  </si>
  <si>
    <t>대덕면 죽리 681-5</t>
  </si>
  <si>
    <t>678-3173</t>
    <phoneticPr fontId="3" type="noConversion"/>
  </si>
  <si>
    <t>03.07.15</t>
    <phoneticPr fontId="3" type="noConversion"/>
  </si>
  <si>
    <t>화곡리</t>
    <phoneticPr fontId="3" type="noConversion"/>
  </si>
  <si>
    <t>일죽면 화곡리 495</t>
  </si>
  <si>
    <t>고효율
오수처리</t>
    <phoneticPr fontId="3" type="noConversion"/>
  </si>
  <si>
    <t>97.06.09</t>
    <phoneticPr fontId="3" type="noConversion"/>
  </si>
  <si>
    <t>청미천</t>
  </si>
  <si>
    <t>당촌리</t>
    <phoneticPr fontId="3" type="noConversion"/>
  </si>
  <si>
    <t>일죽면 당촌리 522</t>
    <phoneticPr fontId="3" type="noConversion"/>
  </si>
  <si>
    <t>접촉포기</t>
    <phoneticPr fontId="3" type="noConversion"/>
  </si>
  <si>
    <t>접촉
포기</t>
    <phoneticPr fontId="3" type="noConversion"/>
  </si>
  <si>
    <t>94.11.05</t>
    <phoneticPr fontId="3" type="noConversion"/>
  </si>
  <si>
    <t>명당리</t>
    <phoneticPr fontId="3" type="noConversion"/>
  </si>
  <si>
    <t>대덕면 명당리 24-1</t>
  </si>
  <si>
    <t>95.12.28</t>
    <phoneticPr fontId="3" type="noConversion"/>
  </si>
  <si>
    <t>보체리</t>
    <phoneticPr fontId="3" type="noConversion"/>
  </si>
  <si>
    <t>미양면 보체리 350</t>
    <phoneticPr fontId="3" type="noConversion"/>
  </si>
  <si>
    <t>AOSB</t>
    <phoneticPr fontId="3" type="noConversion"/>
  </si>
  <si>
    <t>월암동 568</t>
    <phoneticPr fontId="3" type="noConversion"/>
  </si>
  <si>
    <t>고도+
표준활성</t>
    <phoneticPr fontId="3" type="noConversion"/>
  </si>
  <si>
    <t>DNR공법</t>
    <phoneticPr fontId="3" type="noConversion"/>
  </si>
  <si>
    <t>462-0909</t>
    <phoneticPr fontId="3" type="noConversion"/>
  </si>
  <si>
    <t>99.11.01</t>
    <phoneticPr fontId="3" type="noConversion"/>
  </si>
  <si>
    <t>왕송저수지</t>
    <phoneticPr fontId="3" type="noConversion"/>
  </si>
  <si>
    <t>남면 입암리 211</t>
    <phoneticPr fontId="3" type="noConversion"/>
  </si>
  <si>
    <t>회전협접촉산화법+응집침전법</t>
    <phoneticPr fontId="3" type="noConversion"/>
  </si>
  <si>
    <t>861-1322</t>
    <phoneticPr fontId="3" type="noConversion"/>
  </si>
  <si>
    <t>2002.9.1</t>
    <phoneticPr fontId="3" type="noConversion"/>
  </si>
  <si>
    <t>오리골</t>
    <phoneticPr fontId="3" type="noConversion"/>
  </si>
  <si>
    <t>옥정동108-1</t>
    <phoneticPr fontId="3" type="noConversion"/>
  </si>
  <si>
    <t>산화침윤토양식
+모관침윤트렌치</t>
    <phoneticPr fontId="3" type="noConversion"/>
  </si>
  <si>
    <t>03.05</t>
    <phoneticPr fontId="3" type="noConversion"/>
  </si>
  <si>
    <t>돌모루</t>
    <phoneticPr fontId="3" type="noConversion"/>
  </si>
  <si>
    <t>광적면 석우리 산2-2</t>
    <phoneticPr fontId="3" type="noConversion"/>
  </si>
  <si>
    <t>상가업</t>
    <phoneticPr fontId="3" type="noConversion"/>
  </si>
  <si>
    <t>백석읍 가업리 산71</t>
    <phoneticPr fontId="3" type="noConversion"/>
  </si>
  <si>
    <t>혐기성.호기성
생물학적 처리</t>
    <phoneticPr fontId="3" type="noConversion"/>
  </si>
  <si>
    <t>절골</t>
    <phoneticPr fontId="3" type="noConversion"/>
  </si>
  <si>
    <t>남면 구암리 86</t>
    <phoneticPr fontId="3" type="noConversion"/>
  </si>
  <si>
    <t>접촉폭기
+산화필터</t>
    <phoneticPr fontId="3" type="noConversion"/>
  </si>
  <si>
    <t>00.03</t>
    <phoneticPr fontId="3" type="noConversion"/>
  </si>
  <si>
    <t>원당</t>
    <phoneticPr fontId="3" type="noConversion"/>
  </si>
  <si>
    <t>남면 황방리 380-3</t>
    <phoneticPr fontId="3" type="noConversion"/>
  </si>
  <si>
    <t>BSTS-2, 산화필터</t>
    <phoneticPr fontId="3" type="noConversion"/>
  </si>
  <si>
    <t>06.5.15</t>
    <phoneticPr fontId="3" type="noConversion"/>
  </si>
  <si>
    <t>오산</t>
  </si>
  <si>
    <t>오산동 750</t>
    <phoneticPr fontId="3" type="noConversion"/>
  </si>
  <si>
    <t>01.06.21</t>
    <phoneticPr fontId="3" type="noConversion"/>
  </si>
  <si>
    <t>오산천</t>
  </si>
  <si>
    <t>평택호</t>
  </si>
  <si>
    <t>상봉암동173</t>
    <phoneticPr fontId="3" type="noConversion"/>
  </si>
  <si>
    <t>HBR-2</t>
  </si>
  <si>
    <t>860-2584</t>
    <phoneticPr fontId="3" type="noConversion"/>
  </si>
  <si>
    <t>95.4.15</t>
    <phoneticPr fontId="3" type="noConversion"/>
  </si>
  <si>
    <t>과천동249</t>
  </si>
  <si>
    <t>02-3677-2598~9</t>
  </si>
  <si>
    <t>86.11.1</t>
  </si>
  <si>
    <t>이산화염소</t>
  </si>
  <si>
    <t>양재천</t>
  </si>
  <si>
    <t>서해</t>
  </si>
  <si>
    <t>여주읍 하리 15-2</t>
  </si>
  <si>
    <t>DENIPHO</t>
  </si>
  <si>
    <t>884-4500</t>
  </si>
  <si>
    <t>97.09.07</t>
    <phoneticPr fontId="3" type="noConversion"/>
  </si>
  <si>
    <t>소양천</t>
  </si>
  <si>
    <t>남한강</t>
  </si>
  <si>
    <t>대신</t>
  </si>
  <si>
    <t>대신면 보통리 636-6</t>
  </si>
  <si>
    <t>HANT</t>
  </si>
  <si>
    <t>98.10.24</t>
    <phoneticPr fontId="3" type="noConversion"/>
  </si>
  <si>
    <t>곡수천</t>
  </si>
  <si>
    <t>흥천</t>
  </si>
  <si>
    <t>흥천면 귀백리 286-1</t>
  </si>
  <si>
    <t>HBR-II</t>
  </si>
  <si>
    <t>복하천</t>
  </si>
  <si>
    <t>가남면 신해리 98</t>
  </si>
  <si>
    <t>SBR</t>
  </si>
  <si>
    <t>06.06.23</t>
    <phoneticPr fontId="3" type="noConversion"/>
  </si>
  <si>
    <t>대신천</t>
  </si>
  <si>
    <t>금사면 금사리 586-1</t>
  </si>
  <si>
    <t>선회와류식 SBR</t>
    <phoneticPr fontId="3" type="noConversion"/>
  </si>
  <si>
    <t>06.03.31</t>
    <phoneticPr fontId="3" type="noConversion"/>
  </si>
  <si>
    <t>산북면 용담리 81</t>
  </si>
  <si>
    <t>06.05.19</t>
    <phoneticPr fontId="3" type="noConversion"/>
  </si>
  <si>
    <t>용담천</t>
  </si>
  <si>
    <t>능서</t>
    <phoneticPr fontId="3" type="noConversion"/>
  </si>
  <si>
    <t>능서면 번도리 861-7</t>
  </si>
  <si>
    <t>91.12.31</t>
    <phoneticPr fontId="3" type="noConversion"/>
  </si>
  <si>
    <t>양화천</t>
  </si>
  <si>
    <t>외사</t>
    <phoneticPr fontId="3" type="noConversion"/>
  </si>
  <si>
    <t>흥천면 외사리 465-1</t>
  </si>
  <si>
    <t>KS-BNR</t>
  </si>
  <si>
    <t>96.11.11</t>
    <phoneticPr fontId="3" type="noConversion"/>
  </si>
  <si>
    <t>외사천</t>
  </si>
  <si>
    <t>멱곡</t>
    <phoneticPr fontId="3" type="noConversion"/>
  </si>
  <si>
    <t>여주읍 멱곡리 42-2</t>
  </si>
  <si>
    <t>97.07.04</t>
    <phoneticPr fontId="3" type="noConversion"/>
  </si>
  <si>
    <t>연양천</t>
  </si>
  <si>
    <t>성신</t>
    <phoneticPr fontId="3" type="noConversion"/>
  </si>
  <si>
    <t>점동면 성신리 233-2</t>
  </si>
  <si>
    <t>BCS-SBR</t>
  </si>
  <si>
    <t>91.12.08</t>
    <phoneticPr fontId="3" type="noConversion"/>
  </si>
  <si>
    <t>백자</t>
    <phoneticPr fontId="3" type="noConversion"/>
  </si>
  <si>
    <t>산북면 백자리 207-6</t>
  </si>
  <si>
    <t>모관침윤</t>
  </si>
  <si>
    <t>93.03.20</t>
    <phoneticPr fontId="3" type="noConversion"/>
  </si>
  <si>
    <t>양촌</t>
    <phoneticPr fontId="3" type="noConversion"/>
  </si>
  <si>
    <t>대신면 양촌리 150-4</t>
  </si>
  <si>
    <t>94.12.27</t>
    <phoneticPr fontId="3" type="noConversion"/>
  </si>
  <si>
    <t>신접</t>
    <phoneticPr fontId="3" type="noConversion"/>
  </si>
  <si>
    <t>북내면 신접리 128-6</t>
  </si>
  <si>
    <t>96.10.10</t>
    <phoneticPr fontId="3" type="noConversion"/>
  </si>
  <si>
    <t>당남</t>
    <phoneticPr fontId="3" type="noConversion"/>
  </si>
  <si>
    <t>대신면 당남리 258</t>
  </si>
  <si>
    <t>가야</t>
    <phoneticPr fontId="3" type="noConversion"/>
  </si>
  <si>
    <t>강천면 가야리 729-3</t>
  </si>
  <si>
    <t>05.12.19</t>
    <phoneticPr fontId="3" type="noConversion"/>
  </si>
  <si>
    <t>전북</t>
    <phoneticPr fontId="3" type="noConversion"/>
  </si>
  <si>
    <t>금사면 전북리 500</t>
  </si>
  <si>
    <t>KH-BNR</t>
  </si>
  <si>
    <t>06.03.27</t>
    <phoneticPr fontId="3" type="noConversion"/>
  </si>
  <si>
    <t>옥천면 옥천리 903-15</t>
    <phoneticPr fontId="3" type="noConversion"/>
  </si>
  <si>
    <t>5-Stage BNR</t>
    <phoneticPr fontId="3" type="noConversion"/>
  </si>
  <si>
    <t>770-3660</t>
    <phoneticPr fontId="3" type="noConversion"/>
  </si>
  <si>
    <t>94.01.30</t>
    <phoneticPr fontId="3" type="noConversion"/>
  </si>
  <si>
    <t>양서면 양서리 814-1번지</t>
    <phoneticPr fontId="3" type="noConversion"/>
  </si>
  <si>
    <t>ICEAS SBR</t>
    <phoneticPr fontId="3" type="noConversion"/>
  </si>
  <si>
    <t>770-3658</t>
    <phoneticPr fontId="3" type="noConversion"/>
  </si>
  <si>
    <t>91.12.</t>
    <phoneticPr fontId="3" type="noConversion"/>
  </si>
  <si>
    <t>용문면 다문리 834-1</t>
    <phoneticPr fontId="3" type="noConversion"/>
  </si>
  <si>
    <t>P/L-Ⅱ</t>
    <phoneticPr fontId="3" type="noConversion"/>
  </si>
  <si>
    <t>771-5363</t>
    <phoneticPr fontId="3" type="noConversion"/>
  </si>
  <si>
    <t>93.07.06</t>
    <phoneticPr fontId="3" type="noConversion"/>
  </si>
  <si>
    <t>흑천</t>
    <phoneticPr fontId="3" type="noConversion"/>
  </si>
  <si>
    <t>개군면 하자포리 365</t>
    <phoneticPr fontId="3" type="noConversion"/>
  </si>
  <si>
    <t>770-5366</t>
    <phoneticPr fontId="3" type="noConversion"/>
  </si>
  <si>
    <t>93.07.12</t>
    <phoneticPr fontId="3" type="noConversion"/>
  </si>
  <si>
    <t>향리천</t>
    <phoneticPr fontId="3" type="noConversion"/>
  </si>
  <si>
    <t>강하면 운심2리 261</t>
    <phoneticPr fontId="3" type="noConversion"/>
  </si>
  <si>
    <t>산화구</t>
    <phoneticPr fontId="3" type="noConversion"/>
  </si>
  <si>
    <t>771-5367</t>
    <phoneticPr fontId="3" type="noConversion"/>
  </si>
  <si>
    <t>98.04.29</t>
    <phoneticPr fontId="3" type="noConversion"/>
  </si>
  <si>
    <t>서종면 문호리 952-6</t>
    <phoneticPr fontId="3" type="noConversion"/>
  </si>
  <si>
    <t>KNR</t>
    <phoneticPr fontId="3" type="noConversion"/>
  </si>
  <si>
    <t>774-3668</t>
    <phoneticPr fontId="3" type="noConversion"/>
  </si>
  <si>
    <t>지평면 월산리 1312</t>
    <phoneticPr fontId="3" type="noConversion"/>
  </si>
  <si>
    <t>771-5365</t>
    <phoneticPr fontId="3" type="noConversion"/>
  </si>
  <si>
    <t>04.10.25</t>
    <phoneticPr fontId="3" type="noConversion"/>
  </si>
  <si>
    <t>창대</t>
    <phoneticPr fontId="3" type="noConversion"/>
  </si>
  <si>
    <t>양평읍 창대리 363</t>
    <phoneticPr fontId="3" type="noConversion"/>
  </si>
  <si>
    <t>BAT</t>
    <phoneticPr fontId="3" type="noConversion"/>
  </si>
  <si>
    <t>771-5366</t>
    <phoneticPr fontId="3" type="noConversion"/>
  </si>
  <si>
    <t>92.12.09</t>
    <phoneticPr fontId="3" type="noConversion"/>
  </si>
  <si>
    <t>도곡천</t>
    <phoneticPr fontId="3" type="noConversion"/>
  </si>
  <si>
    <t>석장</t>
    <phoneticPr fontId="3" type="noConversion"/>
  </si>
  <si>
    <t>개군면 석장리 693</t>
    <phoneticPr fontId="3" type="noConversion"/>
  </si>
  <si>
    <t>세월</t>
    <phoneticPr fontId="3" type="noConversion"/>
  </si>
  <si>
    <t>강상면 세월리 614-7</t>
    <phoneticPr fontId="3" type="noConversion"/>
  </si>
  <si>
    <t>세심천</t>
    <phoneticPr fontId="3" type="noConversion"/>
  </si>
  <si>
    <t>상자포</t>
    <phoneticPr fontId="3" type="noConversion"/>
  </si>
  <si>
    <t>개군면 상자포리614</t>
    <phoneticPr fontId="3" type="noConversion"/>
  </si>
  <si>
    <t>고도접촉산화</t>
    <phoneticPr fontId="3" type="noConversion"/>
  </si>
  <si>
    <t>양평읍백안리742-20</t>
    <phoneticPr fontId="3" type="noConversion"/>
  </si>
  <si>
    <t>93.12.03</t>
    <phoneticPr fontId="3" type="noConversion"/>
  </si>
  <si>
    <t>공흥천</t>
    <phoneticPr fontId="3" type="noConversion"/>
  </si>
  <si>
    <t>무왕
(초왕골)</t>
    <phoneticPr fontId="3" type="noConversion"/>
  </si>
  <si>
    <t>지제면무왕1리725-1</t>
    <phoneticPr fontId="3" type="noConversion"/>
  </si>
  <si>
    <t>접촉산화</t>
    <phoneticPr fontId="3" type="noConversion"/>
  </si>
  <si>
    <t>금당천</t>
    <phoneticPr fontId="3" type="noConversion"/>
  </si>
  <si>
    <t>무왕
(거치리)</t>
    <phoneticPr fontId="3" type="noConversion"/>
  </si>
  <si>
    <t>지제면무왕2리1200</t>
    <phoneticPr fontId="3" type="noConversion"/>
  </si>
  <si>
    <t>95.11.30</t>
    <phoneticPr fontId="3" type="noConversion"/>
  </si>
  <si>
    <t>신애</t>
    <phoneticPr fontId="3" type="noConversion"/>
  </si>
  <si>
    <t>양평읍신애리491-8</t>
    <phoneticPr fontId="3" type="noConversion"/>
  </si>
  <si>
    <t>오빈천</t>
    <phoneticPr fontId="3" type="noConversion"/>
  </si>
  <si>
    <t>망미</t>
    <phoneticPr fontId="3" type="noConversion"/>
  </si>
  <si>
    <t>지제면망미리431-4</t>
    <phoneticPr fontId="3" type="noConversion"/>
  </si>
  <si>
    <t>흡수성바이오필터</t>
    <phoneticPr fontId="3" type="noConversion"/>
  </si>
  <si>
    <t>96.12.20</t>
    <phoneticPr fontId="3" type="noConversion"/>
  </si>
  <si>
    <t>지평천</t>
    <phoneticPr fontId="3" type="noConversion"/>
  </si>
  <si>
    <t>쌍학</t>
    <phoneticPr fontId="3" type="noConversion"/>
  </si>
  <si>
    <t>양동명쌍학리167-4</t>
    <phoneticPr fontId="3" type="noConversion"/>
  </si>
  <si>
    <t>고효율오수정화</t>
    <phoneticPr fontId="3" type="noConversion"/>
  </si>
  <si>
    <t>97.03.25</t>
    <phoneticPr fontId="3" type="noConversion"/>
  </si>
  <si>
    <t>삼산천</t>
    <phoneticPr fontId="3" type="noConversion"/>
  </si>
  <si>
    <t>보룡</t>
    <phoneticPr fontId="3" type="noConversion"/>
  </si>
  <si>
    <t>단월면보룡리431-2</t>
    <phoneticPr fontId="3" type="noConversion"/>
  </si>
  <si>
    <t>97.07.01</t>
    <phoneticPr fontId="3" type="noConversion"/>
  </si>
  <si>
    <t>지제면대평리394-1</t>
    <phoneticPr fontId="3" type="noConversion"/>
  </si>
  <si>
    <t>98.12.20</t>
    <phoneticPr fontId="3" type="noConversion"/>
  </si>
  <si>
    <t>곡수천</t>
    <phoneticPr fontId="3" type="noConversion"/>
  </si>
  <si>
    <t>무왕
(초내)</t>
    <phoneticPr fontId="3" type="noConversion"/>
  </si>
  <si>
    <t>지제면 무왕리 547-1</t>
    <phoneticPr fontId="3" type="noConversion"/>
  </si>
  <si>
    <t>02.02.14</t>
    <phoneticPr fontId="3" type="noConversion"/>
  </si>
  <si>
    <t>옥천면 옥천리 339</t>
    <phoneticPr fontId="3" type="noConversion"/>
  </si>
  <si>
    <t>00.04.06</t>
    <phoneticPr fontId="3" type="noConversion"/>
  </si>
  <si>
    <t>사탄천</t>
    <phoneticPr fontId="3" type="noConversion"/>
  </si>
  <si>
    <t>매월</t>
    <phoneticPr fontId="3" type="noConversion"/>
  </si>
  <si>
    <t>양동면매월리 970-1</t>
    <phoneticPr fontId="3" type="noConversion"/>
  </si>
  <si>
    <t>고효율
오수정화</t>
    <phoneticPr fontId="3" type="noConversion"/>
  </si>
  <si>
    <t>99.11.09</t>
    <phoneticPr fontId="3" type="noConversion"/>
  </si>
  <si>
    <t>워터벌천</t>
    <phoneticPr fontId="3" type="noConversion"/>
  </si>
  <si>
    <t>전수</t>
    <phoneticPr fontId="3" type="noConversion"/>
  </si>
  <si>
    <t>강하면 전수리산 103-1</t>
    <phoneticPr fontId="3" type="noConversion"/>
  </si>
  <si>
    <t>00.05.12</t>
    <phoneticPr fontId="3" type="noConversion"/>
  </si>
  <si>
    <t>수입</t>
    <phoneticPr fontId="3" type="noConversion"/>
  </si>
  <si>
    <t>서종면 수입리 752-1</t>
    <phoneticPr fontId="3" type="noConversion"/>
  </si>
  <si>
    <t>03.05.14</t>
    <phoneticPr fontId="3" type="noConversion"/>
  </si>
  <si>
    <t>앙덕</t>
    <phoneticPr fontId="3" type="noConversion"/>
  </si>
  <si>
    <t>개군면 앙덕리 25-2</t>
    <phoneticPr fontId="3" type="noConversion"/>
  </si>
  <si>
    <t>03.08.02</t>
    <phoneticPr fontId="3" type="noConversion"/>
  </si>
  <si>
    <t>용문면 덕촌리 산144</t>
    <phoneticPr fontId="3" type="noConversion"/>
  </si>
  <si>
    <t>04.01.16</t>
    <phoneticPr fontId="3" type="noConversion"/>
  </si>
  <si>
    <t>부리</t>
    <phoneticPr fontId="3" type="noConversion"/>
  </si>
  <si>
    <t>개군면부리 산22</t>
    <phoneticPr fontId="3" type="noConversion"/>
  </si>
  <si>
    <t>00.12.23</t>
    <phoneticPr fontId="3" type="noConversion"/>
  </si>
  <si>
    <t>항금</t>
    <phoneticPr fontId="3" type="noConversion"/>
  </si>
  <si>
    <t>강하면 항금리 607</t>
    <phoneticPr fontId="3" type="noConversion"/>
  </si>
  <si>
    <t>04.11.08</t>
    <phoneticPr fontId="3" type="noConversion"/>
  </si>
  <si>
    <t>항금천</t>
    <phoneticPr fontId="3" type="noConversion"/>
  </si>
  <si>
    <t>개군면상자포리 422-1</t>
    <phoneticPr fontId="3" type="noConversion"/>
  </si>
  <si>
    <t>산음</t>
    <phoneticPr fontId="3" type="noConversion"/>
  </si>
  <si>
    <t>단월면산음리</t>
    <phoneticPr fontId="3" type="noConversion"/>
  </si>
  <si>
    <t>SWPP</t>
    <phoneticPr fontId="3" type="noConversion"/>
  </si>
  <si>
    <t>06.02.13</t>
    <phoneticPr fontId="3" type="noConversion"/>
  </si>
  <si>
    <t>산음천</t>
    <phoneticPr fontId="3" type="noConversion"/>
  </si>
  <si>
    <t>양평읍대흥리</t>
    <phoneticPr fontId="3" type="noConversion"/>
  </si>
  <si>
    <t>06.07.09</t>
    <phoneticPr fontId="3" type="noConversion"/>
  </si>
  <si>
    <t>가평읍 달전리 364</t>
    <phoneticPr fontId="3" type="noConversion"/>
  </si>
  <si>
    <t>581-5840</t>
    <phoneticPr fontId="3" type="noConversion"/>
  </si>
  <si>
    <t>98.12.01</t>
    <phoneticPr fontId="3" type="noConversion"/>
  </si>
  <si>
    <t>가평천</t>
    <phoneticPr fontId="3" type="noConversion"/>
  </si>
  <si>
    <t>청평면 대성리 15-1</t>
    <phoneticPr fontId="3" type="noConversion"/>
  </si>
  <si>
    <t>585-8520</t>
    <phoneticPr fontId="3" type="noConversion"/>
  </si>
  <si>
    <t>북면 이곡리 586-2</t>
    <phoneticPr fontId="3" type="noConversion"/>
  </si>
  <si>
    <t>장기
폭기법</t>
    <phoneticPr fontId="3" type="noConversion"/>
  </si>
  <si>
    <t>582-8542</t>
    <phoneticPr fontId="3" type="noConversion"/>
  </si>
  <si>
    <t>00.06.12</t>
    <phoneticPr fontId="3" type="noConversion"/>
  </si>
  <si>
    <t>상면 항사리 149</t>
    <phoneticPr fontId="3" type="noConversion"/>
  </si>
  <si>
    <t>584-2308</t>
    <phoneticPr fontId="3" type="noConversion"/>
  </si>
  <si>
    <t>04.09.01</t>
    <phoneticPr fontId="3" type="noConversion"/>
  </si>
  <si>
    <t>청평면 삼회리 475-1</t>
    <phoneticPr fontId="3" type="noConversion"/>
  </si>
  <si>
    <t>584-8534</t>
    <phoneticPr fontId="3" type="noConversion"/>
  </si>
  <si>
    <t>06.10.30</t>
    <phoneticPr fontId="3" type="noConversion"/>
  </si>
  <si>
    <t>신천리</t>
    <phoneticPr fontId="3" type="noConversion"/>
  </si>
  <si>
    <t>설악면 신천리 798-1</t>
    <phoneticPr fontId="3" type="noConversion"/>
  </si>
  <si>
    <t>585-8523</t>
    <phoneticPr fontId="3" type="noConversion"/>
  </si>
  <si>
    <t>93.01.03</t>
    <phoneticPr fontId="3" type="noConversion"/>
  </si>
  <si>
    <t>미원천</t>
    <phoneticPr fontId="3" type="noConversion"/>
  </si>
  <si>
    <t>가일리</t>
    <phoneticPr fontId="3" type="noConversion"/>
  </si>
  <si>
    <t>설악면 가일리 350-2</t>
    <phoneticPr fontId="3" type="noConversion"/>
  </si>
  <si>
    <t>98.08.03</t>
    <phoneticPr fontId="3" type="noConversion"/>
  </si>
  <si>
    <t>벽계천</t>
    <phoneticPr fontId="3" type="noConversion"/>
  </si>
  <si>
    <t>군남면 남계리</t>
  </si>
  <si>
    <t>835-6064</t>
  </si>
  <si>
    <t>98.06.20</t>
    <phoneticPr fontId="3" type="noConversion"/>
  </si>
  <si>
    <t>민간
위탁</t>
  </si>
  <si>
    <t>차탄천</t>
  </si>
  <si>
    <t>신서</t>
  </si>
  <si>
    <t>신서면 도신리</t>
  </si>
  <si>
    <t>02.05.30</t>
    <phoneticPr fontId="3" type="noConversion"/>
  </si>
  <si>
    <t>고체염소</t>
    <phoneticPr fontId="3" type="noConversion"/>
  </si>
  <si>
    <t>마을</t>
  </si>
  <si>
    <t xml:space="preserve">대전리 </t>
  </si>
  <si>
    <t>청산면 대전리</t>
  </si>
  <si>
    <t>98.12.17</t>
    <phoneticPr fontId="3" type="noConversion"/>
  </si>
  <si>
    <t>무등리</t>
  </si>
  <si>
    <t>왕징면 무등리</t>
  </si>
  <si>
    <t>97.12.29</t>
    <phoneticPr fontId="3" type="noConversion"/>
  </si>
  <si>
    <t>임진강</t>
  </si>
  <si>
    <t>동중리</t>
  </si>
  <si>
    <t>왕징면 동중리</t>
  </si>
  <si>
    <t>98.12.16</t>
    <phoneticPr fontId="3" type="noConversion"/>
  </si>
  <si>
    <t>황공천</t>
    <phoneticPr fontId="3" type="noConversion"/>
  </si>
  <si>
    <t>우정리</t>
  </si>
  <si>
    <t>미산면 우정리</t>
  </si>
  <si>
    <t>두일리</t>
  </si>
  <si>
    <t>백학면 두일리</t>
  </si>
  <si>
    <t>01.07.23</t>
    <phoneticPr fontId="3" type="noConversion"/>
  </si>
  <si>
    <t>석장천</t>
    <phoneticPr fontId="3" type="noConversion"/>
  </si>
  <si>
    <t>노곡리</t>
  </si>
  <si>
    <t>백학면 노곡리</t>
  </si>
  <si>
    <t>01.12.15</t>
    <phoneticPr fontId="3" type="noConversion"/>
  </si>
  <si>
    <t>근화동 499-1</t>
    <phoneticPr fontId="3" type="noConversion"/>
  </si>
  <si>
    <t>250-3538</t>
    <phoneticPr fontId="3" type="noConversion"/>
  </si>
  <si>
    <t>91.01.11</t>
    <phoneticPr fontId="3" type="noConversion"/>
  </si>
  <si>
    <t>의암호</t>
    <phoneticPr fontId="3" type="noConversion"/>
  </si>
  <si>
    <t>4 -stage
BNR</t>
    <phoneticPr fontId="3" type="noConversion"/>
  </si>
  <si>
    <t>04.03.01</t>
    <phoneticPr fontId="3" type="noConversion"/>
  </si>
  <si>
    <t xml:space="preserve"> 남산면 방곡리 산65-1</t>
    <phoneticPr fontId="3" type="noConversion"/>
  </si>
  <si>
    <t>간헐방류식
장기  포기
공법(KIDEA)</t>
    <phoneticPr fontId="3" type="noConversion"/>
  </si>
  <si>
    <t>서면 금산리 405-1</t>
    <phoneticPr fontId="3" type="noConversion"/>
  </si>
  <si>
    <t>고도처리공정(PSRB)</t>
    <phoneticPr fontId="3" type="noConversion"/>
  </si>
  <si>
    <t>`06.12.01</t>
    <phoneticPr fontId="3" type="noConversion"/>
  </si>
  <si>
    <t>북
한
강</t>
    <phoneticPr fontId="3" type="noConversion"/>
  </si>
  <si>
    <t>팔미리</t>
    <phoneticPr fontId="3" type="noConversion"/>
  </si>
  <si>
    <t>신동면 팔미리 861-182</t>
    <phoneticPr fontId="3" type="noConversion"/>
  </si>
  <si>
    <t>고효율오수정화법</t>
    <phoneticPr fontId="3" type="noConversion"/>
  </si>
  <si>
    <t>99.09.23</t>
  </si>
  <si>
    <t>의암호</t>
  </si>
  <si>
    <t>갈둔지</t>
    <phoneticPr fontId="3" type="noConversion"/>
  </si>
  <si>
    <t>서면 금산리 1126-7</t>
    <phoneticPr fontId="3" type="noConversion"/>
  </si>
  <si>
    <t>토양식 모관유공관식</t>
    <phoneticPr fontId="3" type="noConversion"/>
  </si>
  <si>
    <t>250-3808</t>
  </si>
  <si>
    <t>99.07.09</t>
  </si>
  <si>
    <t>원아리</t>
    <phoneticPr fontId="3" type="noConversion"/>
  </si>
  <si>
    <t>신북읍 천전리 1259-1</t>
    <phoneticPr fontId="3" type="noConversion"/>
  </si>
  <si>
    <t>원판회전법</t>
    <phoneticPr fontId="3" type="noConversion"/>
  </si>
  <si>
    <t>01.12.31</t>
  </si>
  <si>
    <t>장  본</t>
    <phoneticPr fontId="3" type="noConversion"/>
  </si>
  <si>
    <t>신북읍 발산리 447-2</t>
    <phoneticPr fontId="3" type="noConversion"/>
  </si>
  <si>
    <t>토양식 모관유공관법</t>
    <phoneticPr fontId="3" type="noConversion"/>
  </si>
  <si>
    <t>97.06.29</t>
  </si>
  <si>
    <t>방아골</t>
    <phoneticPr fontId="3" type="noConversion"/>
  </si>
  <si>
    <t>동내면 거두리 177-1</t>
    <phoneticPr fontId="3" type="noConversion"/>
  </si>
  <si>
    <t>96.05.06</t>
  </si>
  <si>
    <t>율문1지</t>
    <phoneticPr fontId="3" type="noConversion"/>
  </si>
  <si>
    <t>신북읍 율문리 541-4</t>
    <phoneticPr fontId="3" type="noConversion"/>
  </si>
  <si>
    <t>고도접촉산화법</t>
    <phoneticPr fontId="3" type="noConversion"/>
  </si>
  <si>
    <t>90.12.05</t>
  </si>
  <si>
    <t>율문2지</t>
    <phoneticPr fontId="3" type="noConversion"/>
  </si>
  <si>
    <t>신북읍 율문리 541-2</t>
    <phoneticPr fontId="3" type="noConversion"/>
  </si>
  <si>
    <t>93.06.25</t>
  </si>
  <si>
    <t>암실</t>
    <phoneticPr fontId="3" type="noConversion"/>
  </si>
  <si>
    <t>동내면 사암리 1293-104</t>
    <phoneticPr fontId="3" type="noConversion"/>
  </si>
  <si>
    <t>토양피복형 산화접촉공법</t>
    <phoneticPr fontId="3" type="noConversion"/>
  </si>
  <si>
    <t>96.05.04</t>
  </si>
  <si>
    <t>바깥</t>
    <phoneticPr fontId="3" type="noConversion"/>
  </si>
  <si>
    <t>남면 한덕리 426-2</t>
    <phoneticPr fontId="3" type="noConversion"/>
  </si>
  <si>
    <t>96.06.22</t>
  </si>
  <si>
    <t>뒤뜰</t>
    <phoneticPr fontId="3" type="noConversion"/>
  </si>
  <si>
    <t>서면 금산리 1126-8</t>
    <phoneticPr fontId="3" type="noConversion"/>
  </si>
  <si>
    <t>96.05.31</t>
  </si>
  <si>
    <t>아래문정</t>
    <phoneticPr fontId="3" type="noConversion"/>
  </si>
  <si>
    <t>신북읍 율문리 205-6,8,10</t>
    <phoneticPr fontId="3" type="noConversion"/>
  </si>
  <si>
    <t>96.08.08</t>
  </si>
  <si>
    <t>샘두럭</t>
    <phoneticPr fontId="3" type="noConversion"/>
  </si>
  <si>
    <t>신북읍 산천리 954-1</t>
    <phoneticPr fontId="3" type="noConversion"/>
  </si>
  <si>
    <t>오월리</t>
    <phoneticPr fontId="3" type="noConversion"/>
  </si>
  <si>
    <t>서면 오월리 96-4,6</t>
    <phoneticPr fontId="3" type="noConversion"/>
  </si>
  <si>
    <t>94.12.20</t>
  </si>
  <si>
    <t>다릿골</t>
    <phoneticPr fontId="3" type="noConversion"/>
  </si>
  <si>
    <t>남산면 서천리 697-2</t>
    <phoneticPr fontId="3" type="noConversion"/>
  </si>
  <si>
    <t>96.05.07</t>
  </si>
  <si>
    <t>와룡</t>
    <phoneticPr fontId="3" type="noConversion"/>
  </si>
  <si>
    <t>남산면 수동리 599-1</t>
    <phoneticPr fontId="3" type="noConversion"/>
  </si>
  <si>
    <t>지암리</t>
    <phoneticPr fontId="3" type="noConversion"/>
  </si>
  <si>
    <t>사북면 지암리 265-4</t>
    <phoneticPr fontId="3" type="noConversion"/>
  </si>
  <si>
    <t>97.12.23</t>
  </si>
  <si>
    <t>바리미</t>
    <phoneticPr fontId="3" type="noConversion"/>
  </si>
  <si>
    <t>신북읍 발산리 480</t>
    <phoneticPr fontId="3" type="noConversion"/>
  </si>
  <si>
    <t>변형회분식 활성슬러지법</t>
    <phoneticPr fontId="3" type="noConversion"/>
  </si>
  <si>
    <t>04.12.29</t>
  </si>
  <si>
    <t>안반지</t>
    <phoneticPr fontId="3" type="noConversion"/>
  </si>
  <si>
    <t>서면 당림리 산90-2</t>
    <phoneticPr fontId="3" type="noConversion"/>
  </si>
  <si>
    <t>가현동 156</t>
    <phoneticPr fontId="3" type="noConversion"/>
  </si>
  <si>
    <t>원주천
/섬강</t>
    <phoneticPr fontId="3" type="noConversion"/>
  </si>
  <si>
    <t>한강
서해</t>
    <phoneticPr fontId="3" type="noConversion"/>
  </si>
  <si>
    <t>호저문화</t>
    <phoneticPr fontId="3" type="noConversion"/>
  </si>
  <si>
    <t>원주시 호저면 주산리 1426</t>
    <phoneticPr fontId="3" type="noConversion"/>
  </si>
  <si>
    <t>2000.07</t>
  </si>
  <si>
    <t>고체염소소독</t>
    <phoneticPr fontId="3" type="noConversion"/>
  </si>
  <si>
    <t>막골천</t>
  </si>
  <si>
    <t>섬강</t>
  </si>
  <si>
    <t>지정문화</t>
    <phoneticPr fontId="3" type="noConversion"/>
  </si>
  <si>
    <t>원주시 지정면 신평리 1043</t>
    <phoneticPr fontId="3" type="noConversion"/>
  </si>
  <si>
    <t>1999.12</t>
  </si>
  <si>
    <t>만종천</t>
  </si>
  <si>
    <t>문막 반계리</t>
    <phoneticPr fontId="3" type="noConversion"/>
  </si>
  <si>
    <t>원주시 문막읍 반계리 710</t>
    <phoneticPr fontId="3" type="noConversion"/>
  </si>
  <si>
    <t>1998.08</t>
  </si>
  <si>
    <t>부론 법천리</t>
    <phoneticPr fontId="3" type="noConversion"/>
  </si>
  <si>
    <t xml:space="preserve">원주시 부론면 법천리 1580-1 </t>
    <phoneticPr fontId="3" type="noConversion"/>
  </si>
  <si>
    <t>HANT 공법</t>
    <phoneticPr fontId="3" type="noConversion"/>
  </si>
  <si>
    <t>무산소/혐기/호기/탈기조와 침지식분리막을 이용한 하수고도처리기술(HANT)</t>
  </si>
  <si>
    <t>1996.01</t>
  </si>
  <si>
    <t>귀래 운남리(판교)</t>
    <phoneticPr fontId="3" type="noConversion"/>
  </si>
  <si>
    <t>원주시 귀래면 운남리 946-1</t>
    <phoneticPr fontId="3" type="noConversion"/>
  </si>
  <si>
    <t>1999.05</t>
  </si>
  <si>
    <t>운계천</t>
  </si>
  <si>
    <t>소초 장양리</t>
    <phoneticPr fontId="3" type="noConversion"/>
  </si>
  <si>
    <t>원주시 소초면 장양리 794-5</t>
    <phoneticPr fontId="3" type="noConversion"/>
  </si>
  <si>
    <t>1993.09</t>
  </si>
  <si>
    <t>장양천</t>
  </si>
  <si>
    <t>소초 평장리</t>
    <phoneticPr fontId="3" type="noConversion"/>
  </si>
  <si>
    <t>원주시 소초면 평장리 1338</t>
    <phoneticPr fontId="3" type="noConversion"/>
  </si>
  <si>
    <t>살수여상법(목편발효칩)</t>
    <phoneticPr fontId="3" type="noConversion"/>
  </si>
  <si>
    <t>2000.06</t>
  </si>
  <si>
    <t>장평천</t>
  </si>
  <si>
    <t>지정 간현리</t>
    <phoneticPr fontId="3" type="noConversion"/>
  </si>
  <si>
    <t>원주시 지정면 간현리 1031-12</t>
    <phoneticPr fontId="3" type="noConversion"/>
  </si>
  <si>
    <t>1991.12</t>
  </si>
  <si>
    <t>흥업 매지리</t>
    <phoneticPr fontId="3" type="noConversion"/>
  </si>
  <si>
    <t>원주시 흥업면 매지리 1923</t>
    <phoneticPr fontId="3" type="noConversion"/>
  </si>
  <si>
    <t>1995.09</t>
  </si>
  <si>
    <t>매지천</t>
  </si>
  <si>
    <t>문막 문막리(안골)</t>
    <phoneticPr fontId="3" type="noConversion"/>
  </si>
  <si>
    <t>원주시 문막읍 문막2리 202</t>
    <phoneticPr fontId="3" type="noConversion"/>
  </si>
  <si>
    <t>1996.08</t>
  </si>
  <si>
    <t>천마천</t>
  </si>
  <si>
    <t>문막 반계1리</t>
    <phoneticPr fontId="3" type="noConversion"/>
  </si>
  <si>
    <t>원주시 문막읍 반계1리 1670-1</t>
    <phoneticPr fontId="3" type="noConversion"/>
  </si>
  <si>
    <t>안말천</t>
  </si>
  <si>
    <t>문막 반계3리(밤산골)</t>
    <phoneticPr fontId="3" type="noConversion"/>
  </si>
  <si>
    <t>원주시 문막읍 반계3리 1561-6</t>
    <phoneticPr fontId="3" type="noConversion"/>
  </si>
  <si>
    <t>HBR-2 공법</t>
    <phoneticPr fontId="3" type="noConversion"/>
  </si>
  <si>
    <t>혐기/간헐포기/배양조를 이용한 하수고도처리기술(HBR-Ⅱ)</t>
  </si>
  <si>
    <t>1998.03</t>
  </si>
  <si>
    <t>원심천</t>
  </si>
  <si>
    <t>문막 후용리(고창동)</t>
    <phoneticPr fontId="3" type="noConversion"/>
  </si>
  <si>
    <t>원주시 문막읍 후용2리 416</t>
    <phoneticPr fontId="3" type="noConversion"/>
  </si>
  <si>
    <t>1997.05</t>
  </si>
  <si>
    <t>양지천</t>
  </si>
  <si>
    <t>지정 간현리(작동)</t>
    <phoneticPr fontId="3" type="noConversion"/>
  </si>
  <si>
    <t>원주시 지정면 간현2리 221-4</t>
    <phoneticPr fontId="3" type="noConversion"/>
  </si>
  <si>
    <t>1997.09</t>
  </si>
  <si>
    <t>작동천</t>
  </si>
  <si>
    <t>지정 월송1리(월호)</t>
    <phoneticPr fontId="3" type="noConversion"/>
  </si>
  <si>
    <t>원주시 지정면 월송1리 644-9</t>
    <phoneticPr fontId="3" type="noConversion"/>
  </si>
  <si>
    <t>A2O+SOD공법</t>
    <phoneticPr fontId="3" type="noConversion"/>
  </si>
  <si>
    <t>1999.07</t>
  </si>
  <si>
    <t>지정 월송2리(송호)</t>
    <phoneticPr fontId="3" type="noConversion"/>
  </si>
  <si>
    <t>원주시 지정면 월송2리 1179</t>
    <phoneticPr fontId="3" type="noConversion"/>
  </si>
  <si>
    <t>KM-SBR 공법</t>
    <phoneticPr fontId="3" type="noConversion"/>
  </si>
  <si>
    <t>유량변동형 회분식 생물반응조(KM-SBR)를 이용한 마을하수 고도처리기술</t>
  </si>
  <si>
    <t>송호천</t>
  </si>
  <si>
    <t>지정 판대리(장지동)</t>
    <phoneticPr fontId="3" type="noConversion"/>
  </si>
  <si>
    <t>원주시 지정면 판대1리 643</t>
    <phoneticPr fontId="3" type="noConversion"/>
  </si>
  <si>
    <t>2000.09</t>
  </si>
  <si>
    <t>삼산천</t>
  </si>
  <si>
    <t>소초 교향리(백배미)</t>
    <phoneticPr fontId="3" type="noConversion"/>
  </si>
  <si>
    <t>원주시 소초면 교향2리 42-1</t>
    <phoneticPr fontId="3" type="noConversion"/>
  </si>
  <si>
    <t>DS메디아 공법</t>
    <phoneticPr fontId="3" type="noConversion"/>
  </si>
  <si>
    <t>1996.09</t>
  </si>
  <si>
    <t>사전골천</t>
  </si>
  <si>
    <t>소초 평장리(부채고개)</t>
    <phoneticPr fontId="3" type="noConversion"/>
  </si>
  <si>
    <t>원주시 소초면 평장2리 690-1</t>
    <phoneticPr fontId="3" type="noConversion"/>
  </si>
  <si>
    <t>살수여상법(바이오휠타)</t>
    <phoneticPr fontId="3" type="noConversion"/>
  </si>
  <si>
    <t>귀래 운남리(용암말)</t>
    <phoneticPr fontId="3" type="noConversion"/>
  </si>
  <si>
    <t>원주시 귀래면 운남1리 1083-1</t>
    <phoneticPr fontId="3" type="noConversion"/>
  </si>
  <si>
    <t>A2EBC 공법</t>
    <phoneticPr fontId="3" type="noConversion"/>
  </si>
  <si>
    <t>1996.06</t>
  </si>
  <si>
    <t>운남천</t>
  </si>
  <si>
    <t xml:space="preserve">흥업 흥업리 </t>
    <phoneticPr fontId="3" type="noConversion"/>
  </si>
  <si>
    <t>원주시 흥업면 흥업3리 1570-2</t>
    <phoneticPr fontId="3" type="noConversion"/>
  </si>
  <si>
    <t>모관침윤법</t>
    <phoneticPr fontId="3" type="noConversion"/>
  </si>
  <si>
    <t>흥업 대안3리(대송)</t>
    <phoneticPr fontId="3" type="noConversion"/>
  </si>
  <si>
    <t>원주시 흥업면 대안3리 1856-3</t>
    <phoneticPr fontId="3" type="noConversion"/>
  </si>
  <si>
    <t>접촉산화+바이오휠타</t>
    <phoneticPr fontId="3" type="noConversion"/>
  </si>
  <si>
    <t>노주재천</t>
  </si>
  <si>
    <t>흥업 사제1리(봉미)</t>
    <phoneticPr fontId="3" type="noConversion"/>
  </si>
  <si>
    <t>원주시 흥업면 사제1리 326-7</t>
    <phoneticPr fontId="3" type="noConversion"/>
  </si>
  <si>
    <t>서곡천</t>
  </si>
  <si>
    <t>판부 서곡리(용수골)</t>
    <phoneticPr fontId="3" type="noConversion"/>
  </si>
  <si>
    <t>원주시 판부면 서곡4리 1386-12</t>
    <phoneticPr fontId="3" type="noConversion"/>
  </si>
  <si>
    <t>병산동 228-1번지</t>
    <phoneticPr fontId="3" type="noConversion"/>
  </si>
  <si>
    <t>연곡면 영진리 367-14번지</t>
    <phoneticPr fontId="3" type="noConversion"/>
  </si>
  <si>
    <t>HBR-Ⅰ</t>
    <phoneticPr fontId="3" type="noConversion"/>
  </si>
  <si>
    <t>06.06.01</t>
    <phoneticPr fontId="3" type="noConversion"/>
  </si>
  <si>
    <t>자외선소독</t>
    <phoneticPr fontId="3" type="noConversion"/>
  </si>
  <si>
    <t>구정문화</t>
    <phoneticPr fontId="3" type="noConversion"/>
  </si>
  <si>
    <t>구정면 여찬리 883-1번지</t>
    <phoneticPr fontId="3" type="noConversion"/>
  </si>
  <si>
    <t>현수미생물접촉법</t>
    <phoneticPr fontId="3" type="noConversion"/>
  </si>
  <si>
    <t>98.07.24</t>
    <phoneticPr fontId="3" type="noConversion"/>
  </si>
  <si>
    <t>동헤</t>
    <phoneticPr fontId="3" type="noConversion"/>
  </si>
  <si>
    <t>동녁</t>
    <phoneticPr fontId="3" type="noConversion"/>
  </si>
  <si>
    <t>옥계면 주수리 158-1번지</t>
    <phoneticPr fontId="3" type="noConversion"/>
  </si>
  <si>
    <t>06.3.20</t>
    <phoneticPr fontId="3" type="noConversion"/>
  </si>
  <si>
    <t>뒷섬</t>
    <phoneticPr fontId="3" type="noConversion"/>
  </si>
  <si>
    <t>사천면 사천진리 266-1번지</t>
    <phoneticPr fontId="3" type="noConversion"/>
  </si>
  <si>
    <t>현수다단계공법</t>
    <phoneticPr fontId="3" type="noConversion"/>
  </si>
  <si>
    <t>안개</t>
    <phoneticPr fontId="3" type="noConversion"/>
  </si>
  <si>
    <t>강동면 안인진리 230-1번지</t>
    <phoneticPr fontId="3" type="noConversion"/>
  </si>
  <si>
    <t>금융</t>
    <phoneticPr fontId="3" type="noConversion"/>
  </si>
  <si>
    <t>주문진읍 교항2리 695번지</t>
    <phoneticPr fontId="3" type="noConversion"/>
  </si>
  <si>
    <t>신리천</t>
    <phoneticPr fontId="3" type="noConversion"/>
  </si>
  <si>
    <t>동해    (연안)</t>
  </si>
  <si>
    <t>동점동 241</t>
    <phoneticPr fontId="3" type="noConversion"/>
  </si>
  <si>
    <t>97.10.20</t>
    <phoneticPr fontId="3" type="noConversion"/>
  </si>
  <si>
    <t>황지천</t>
    <phoneticPr fontId="3" type="noConversion"/>
  </si>
  <si>
    <t>대포동 552</t>
    <phoneticPr fontId="3" type="noConversion"/>
  </si>
  <si>
    <t>2006.6.20</t>
    <phoneticPr fontId="3" type="noConversion"/>
  </si>
  <si>
    <t>삼척</t>
  </si>
  <si>
    <t>오분동 246</t>
    <phoneticPr fontId="3" type="noConversion"/>
  </si>
  <si>
    <t>표준활성</t>
  </si>
  <si>
    <t>576-0167</t>
  </si>
  <si>
    <t>99.12.1</t>
  </si>
  <si>
    <t>도계읍 늑구리173</t>
  </si>
  <si>
    <t>541-5355</t>
  </si>
  <si>
    <t>03.6.21</t>
  </si>
  <si>
    <t>부남지구</t>
    <phoneticPr fontId="3" type="noConversion"/>
  </si>
  <si>
    <t>근덕면 부남리378-1</t>
  </si>
  <si>
    <t>살수여상식
바이오휠타</t>
  </si>
  <si>
    <t>574-9777</t>
  </si>
  <si>
    <t>광태지구</t>
    <phoneticPr fontId="3" type="noConversion"/>
  </si>
  <si>
    <t>근덕면 광태리39</t>
  </si>
  <si>
    <t>교가지구</t>
    <phoneticPr fontId="3" type="noConversion"/>
  </si>
  <si>
    <t>근덕면 교가리1271</t>
  </si>
  <si>
    <t>접촉산화법</t>
  </si>
  <si>
    <t>연봉지구</t>
    <phoneticPr fontId="3" type="noConversion"/>
  </si>
  <si>
    <t>근덕면 하맹방리 산19-1</t>
  </si>
  <si>
    <t>덕산지구</t>
    <phoneticPr fontId="3" type="noConversion"/>
  </si>
  <si>
    <t>근덕면 덕산리산100</t>
  </si>
  <si>
    <t>원평지구</t>
    <phoneticPr fontId="3" type="noConversion"/>
  </si>
  <si>
    <t>근덕면 매원리741</t>
  </si>
  <si>
    <t>변형회분식
활성슬러지</t>
  </si>
  <si>
    <t>미로지구</t>
    <phoneticPr fontId="3" type="noConversion"/>
  </si>
  <si>
    <t>미로면 하거노리 714-29</t>
  </si>
  <si>
    <t>골말지구</t>
    <phoneticPr fontId="3" type="noConversion"/>
  </si>
  <si>
    <t>미로면 하거노리 285-1</t>
  </si>
  <si>
    <t>고사지구</t>
    <phoneticPr fontId="3" type="noConversion"/>
  </si>
  <si>
    <t>도계읍 고사리662-2</t>
  </si>
  <si>
    <t>월천지구</t>
    <phoneticPr fontId="3" type="noConversion"/>
  </si>
  <si>
    <t>원덕읍 월천1리 779-1</t>
    <phoneticPr fontId="3" type="noConversion"/>
  </si>
  <si>
    <t>SBF공법</t>
  </si>
  <si>
    <t>증산지구</t>
    <phoneticPr fontId="3" type="noConversion"/>
  </si>
  <si>
    <t>교동8통 167</t>
  </si>
  <si>
    <t>청평지구</t>
    <phoneticPr fontId="3" type="noConversion"/>
  </si>
  <si>
    <t>가곡면 오저1리 629</t>
    <phoneticPr fontId="3" type="noConversion"/>
  </si>
  <si>
    <t>MH자연정화법</t>
  </si>
  <si>
    <t>풍곡지구</t>
    <phoneticPr fontId="3" type="noConversion"/>
  </si>
  <si>
    <t>가곡면 풍곡리579-16</t>
  </si>
  <si>
    <t>장호지구</t>
    <phoneticPr fontId="3" type="noConversion"/>
  </si>
  <si>
    <t>근덕면장호리3-28</t>
    <phoneticPr fontId="3" type="noConversion"/>
  </si>
  <si>
    <t>준공</t>
  </si>
  <si>
    <t>침지형분리막법</t>
    <phoneticPr fontId="3" type="noConversion"/>
  </si>
  <si>
    <t>북방면 소매곡리 361</t>
  </si>
  <si>
    <t>NAP</t>
  </si>
  <si>
    <t>홍천강</t>
  </si>
  <si>
    <t>성산리</t>
  </si>
  <si>
    <t>화촌면 성사리 914</t>
  </si>
  <si>
    <t>접촉산화</t>
  </si>
  <si>
    <t>'91.12.23</t>
  </si>
  <si>
    <t>굴운리</t>
  </si>
  <si>
    <t>화촌면 굴운리 530</t>
  </si>
  <si>
    <t>'96.07.05</t>
  </si>
  <si>
    <t>도관리</t>
  </si>
  <si>
    <t>내촌면 도관리 460-1</t>
  </si>
  <si>
    <t>물걸리</t>
  </si>
  <si>
    <t>내촌면 물걸리 1826</t>
  </si>
  <si>
    <t>'05.05.20</t>
  </si>
  <si>
    <t>풍암리</t>
  </si>
  <si>
    <t>서석면 풍암리 460-2</t>
  </si>
  <si>
    <t>'94.11.11</t>
  </si>
  <si>
    <t>속초리</t>
  </si>
  <si>
    <t>동면 속초리 897-5</t>
  </si>
  <si>
    <t>'97.08.11</t>
  </si>
  <si>
    <t>덕고개</t>
  </si>
  <si>
    <t>동면 속초리 1053-4</t>
  </si>
  <si>
    <t>'96.05.17</t>
  </si>
  <si>
    <t>성수리</t>
  </si>
  <si>
    <t>동면 성구리 47-1</t>
  </si>
  <si>
    <t>99.07.20</t>
  </si>
  <si>
    <t>덕치리</t>
  </si>
  <si>
    <t>동면 덕치리 35-5</t>
  </si>
  <si>
    <t>발효칩</t>
  </si>
  <si>
    <t>04.05.26</t>
  </si>
  <si>
    <t>노천리</t>
  </si>
  <si>
    <t>동면 노천리 2146-1</t>
  </si>
  <si>
    <t>'04.08.26</t>
  </si>
  <si>
    <t>양덕원</t>
  </si>
  <si>
    <t>남면 양덕원리 344-12</t>
  </si>
  <si>
    <t>'95.08.16</t>
  </si>
  <si>
    <t>시동리</t>
  </si>
  <si>
    <t>남면 시동리 870-3</t>
  </si>
  <si>
    <t>93.04.15</t>
  </si>
  <si>
    <t>도룡골</t>
  </si>
  <si>
    <t>서면 팔봉리 125</t>
  </si>
  <si>
    <t>'93.11.03</t>
  </si>
  <si>
    <t>창촌리</t>
  </si>
  <si>
    <t>내면 창촌리 1555</t>
  </si>
  <si>
    <t>97.07.01</t>
  </si>
  <si>
    <t>내린천</t>
  </si>
  <si>
    <t>횡성 읍하리 233-5</t>
    <phoneticPr fontId="3" type="noConversion"/>
  </si>
  <si>
    <t>342-3971</t>
    <phoneticPr fontId="3" type="noConversion"/>
  </si>
  <si>
    <t>02.11.12</t>
    <phoneticPr fontId="3" type="noConversion"/>
  </si>
  <si>
    <t>둔내 자포곡리 456-6</t>
    <phoneticPr fontId="3" type="noConversion"/>
  </si>
  <si>
    <t>우천 두곡리 571-4</t>
    <phoneticPr fontId="3" type="noConversion"/>
  </si>
  <si>
    <t>ACIA</t>
    <phoneticPr fontId="3" type="noConversion"/>
  </si>
  <si>
    <t>340-2524</t>
    <phoneticPr fontId="3" type="noConversion"/>
  </si>
  <si>
    <t>하수남천</t>
    <phoneticPr fontId="3" type="noConversion"/>
  </si>
  <si>
    <t>우항</t>
    <phoneticPr fontId="3" type="noConversion"/>
  </si>
  <si>
    <t>우천 우항리 658-3</t>
    <phoneticPr fontId="3" type="noConversion"/>
  </si>
  <si>
    <t>07.12.예정</t>
    <phoneticPr fontId="3" type="noConversion"/>
  </si>
  <si>
    <t>대미원천</t>
    <phoneticPr fontId="3" type="noConversion"/>
  </si>
  <si>
    <t>덕가래</t>
    <phoneticPr fontId="3" type="noConversion"/>
  </si>
  <si>
    <t>우천 오원1리 908</t>
    <phoneticPr fontId="3" type="noConversion"/>
  </si>
  <si>
    <t>전재</t>
    <phoneticPr fontId="3" type="noConversion"/>
  </si>
  <si>
    <t>우천 오원3리 332</t>
    <phoneticPr fontId="3" type="noConversion"/>
  </si>
  <si>
    <t>모관유공트렌치</t>
    <phoneticPr fontId="3" type="noConversion"/>
  </si>
  <si>
    <t>97.8.1</t>
    <phoneticPr fontId="3" type="noConversion"/>
  </si>
  <si>
    <t>안흥</t>
    <phoneticPr fontId="3" type="noConversion"/>
  </si>
  <si>
    <t>안흥 안흥리 284-2</t>
    <phoneticPr fontId="3" type="noConversion"/>
  </si>
  <si>
    <t>95.7.15</t>
    <phoneticPr fontId="3" type="noConversion"/>
  </si>
  <si>
    <t>구방</t>
    <phoneticPr fontId="3" type="noConversion"/>
  </si>
  <si>
    <t>갑천 구방리 521</t>
    <phoneticPr fontId="3" type="noConversion"/>
  </si>
  <si>
    <t>유동</t>
    <phoneticPr fontId="3" type="noConversion"/>
  </si>
  <si>
    <t>청일 유동2리 881-24</t>
    <phoneticPr fontId="3" type="noConversion"/>
  </si>
  <si>
    <t>학담</t>
    <phoneticPr fontId="3" type="noConversion"/>
  </si>
  <si>
    <t>공근 학담리</t>
    <phoneticPr fontId="3" type="noConversion"/>
  </si>
  <si>
    <t>01.4.26</t>
    <phoneticPr fontId="3" type="noConversion"/>
  </si>
  <si>
    <t>삼원수</t>
    <phoneticPr fontId="3" type="noConversion"/>
  </si>
  <si>
    <t>공근 상동리 574-1</t>
    <phoneticPr fontId="3" type="noConversion"/>
  </si>
  <si>
    <t>현경면 양학리 1097-19</t>
    <phoneticPr fontId="3" type="noConversion"/>
  </si>
  <si>
    <t>현경면 평산리 590</t>
    <phoneticPr fontId="3" type="noConversion"/>
  </si>
  <si>
    <t>2005.11.1</t>
    <phoneticPr fontId="3" type="noConversion"/>
  </si>
  <si>
    <t>현경면 마산리 144-1</t>
    <phoneticPr fontId="3" type="noConversion"/>
  </si>
  <si>
    <t>Twin cell PCR공법</t>
    <phoneticPr fontId="3" type="noConversion"/>
  </si>
  <si>
    <t>2001.5.1</t>
    <phoneticPr fontId="3" type="noConversion"/>
  </si>
  <si>
    <t>간이염소독</t>
    <phoneticPr fontId="3" type="noConversion"/>
  </si>
  <si>
    <t>해제면 광산리 710-4</t>
    <phoneticPr fontId="3" type="noConversion"/>
  </si>
  <si>
    <t>침지식분리막공법</t>
    <phoneticPr fontId="3" type="noConversion"/>
  </si>
  <si>
    <t>1996.2.</t>
    <phoneticPr fontId="3" type="noConversion"/>
  </si>
  <si>
    <t>창산</t>
    <phoneticPr fontId="3" type="noConversion"/>
  </si>
  <si>
    <t>해제면 창매리 616-1</t>
    <phoneticPr fontId="3" type="noConversion"/>
  </si>
  <si>
    <t>1997.3.</t>
    <phoneticPr fontId="3" type="noConversion"/>
  </si>
  <si>
    <t>구등</t>
    <phoneticPr fontId="3" type="noConversion"/>
  </si>
  <si>
    <t>해제면 산길리 237-2</t>
    <phoneticPr fontId="3" type="noConversion"/>
  </si>
  <si>
    <t>둔전</t>
    <phoneticPr fontId="3" type="noConversion"/>
  </si>
  <si>
    <t>운남면 하묘리 1090-9</t>
    <phoneticPr fontId="3" type="noConversion"/>
  </si>
  <si>
    <t>1998.3.</t>
    <phoneticPr fontId="3" type="noConversion"/>
  </si>
  <si>
    <t>영해촌</t>
    <phoneticPr fontId="3" type="noConversion"/>
  </si>
  <si>
    <t>운남면 동암리 1075-1</t>
    <phoneticPr fontId="3" type="noConversion"/>
  </si>
  <si>
    <t>함평 엄다 학야 322-1</t>
    <phoneticPr fontId="3" type="noConversion"/>
  </si>
  <si>
    <t>00.02.18</t>
    <phoneticPr fontId="3" type="noConversion"/>
  </si>
  <si>
    <t>영산강서해</t>
    <phoneticPr fontId="3" type="noConversion"/>
  </si>
  <si>
    <t>월야순천</t>
    <phoneticPr fontId="3" type="noConversion"/>
  </si>
  <si>
    <t>함평 월야 월야 127</t>
    <phoneticPr fontId="3" type="noConversion"/>
  </si>
  <si>
    <t>유상담체이용</t>
    <phoneticPr fontId="3" type="noConversion"/>
  </si>
  <si>
    <t>97.01.21</t>
    <phoneticPr fontId="3" type="noConversion"/>
  </si>
  <si>
    <t>간이염소
소독</t>
    <phoneticPr fontId="3" type="noConversion"/>
  </si>
  <si>
    <t>나산용수</t>
    <phoneticPr fontId="3" type="noConversion"/>
  </si>
  <si>
    <t>함평 나산 용두 988</t>
    <phoneticPr fontId="3" type="noConversion"/>
  </si>
  <si>
    <t>호기성미생물</t>
    <phoneticPr fontId="3" type="noConversion"/>
  </si>
  <si>
    <t>00.05.01</t>
    <phoneticPr fontId="3" type="noConversion"/>
  </si>
  <si>
    <t>나산문화</t>
    <phoneticPr fontId="3" type="noConversion"/>
  </si>
  <si>
    <t>함평 나산 삼축1209-1</t>
    <phoneticPr fontId="3" type="noConversion"/>
  </si>
  <si>
    <t>토양피복식접속산화</t>
    <phoneticPr fontId="3" type="noConversion"/>
  </si>
  <si>
    <t>96.05.01</t>
    <phoneticPr fontId="3" type="noConversion"/>
  </si>
  <si>
    <t>대동고산</t>
    <phoneticPr fontId="3" type="noConversion"/>
  </si>
  <si>
    <t>함평 대동 덕산 177</t>
    <phoneticPr fontId="3" type="noConversion"/>
  </si>
  <si>
    <t>폐비닐여재이용오수</t>
    <phoneticPr fontId="3" type="noConversion"/>
  </si>
  <si>
    <t>대동내덕</t>
    <phoneticPr fontId="3" type="noConversion"/>
  </si>
  <si>
    <t>함평 대동 덕산 273</t>
    <phoneticPr fontId="3" type="noConversion"/>
  </si>
  <si>
    <t>3단접촉포기공법</t>
    <phoneticPr fontId="3" type="noConversion"/>
  </si>
  <si>
    <t>01.08.01</t>
    <phoneticPr fontId="3" type="noConversion"/>
  </si>
  <si>
    <t>대동아차</t>
    <phoneticPr fontId="3" type="noConversion"/>
  </si>
  <si>
    <t>함평 대동 덕산 612-1</t>
    <phoneticPr fontId="3" type="noConversion"/>
  </si>
  <si>
    <t>특수미생물</t>
    <phoneticPr fontId="3" type="noConversion"/>
  </si>
  <si>
    <t>02.01.01</t>
    <phoneticPr fontId="3" type="noConversion"/>
  </si>
  <si>
    <t>대동외덕</t>
    <phoneticPr fontId="3" type="noConversion"/>
  </si>
  <si>
    <t>함평 대동 덕산 393-1</t>
    <phoneticPr fontId="3" type="noConversion"/>
  </si>
  <si>
    <t>대동용연</t>
    <phoneticPr fontId="3" type="noConversion"/>
  </si>
  <si>
    <t>함평 대동 용성1045-1</t>
    <phoneticPr fontId="3" type="noConversion"/>
  </si>
  <si>
    <t>태양광이용토양식</t>
    <phoneticPr fontId="3" type="noConversion"/>
  </si>
  <si>
    <t>02.12.01</t>
    <phoneticPr fontId="3" type="noConversion"/>
  </si>
  <si>
    <t>대동괴정</t>
    <phoneticPr fontId="3" type="noConversion"/>
  </si>
  <si>
    <t>함평 대동 용성 743-1</t>
    <phoneticPr fontId="3" type="noConversion"/>
  </si>
  <si>
    <t>바이오세라믹</t>
    <phoneticPr fontId="3" type="noConversion"/>
  </si>
  <si>
    <t>03.07.01</t>
    <phoneticPr fontId="3" type="noConversion"/>
  </si>
  <si>
    <t>대동금성</t>
    <phoneticPr fontId="3" type="noConversion"/>
  </si>
  <si>
    <t>함평 대동 용성 155-3</t>
    <phoneticPr fontId="3" type="noConversion"/>
  </si>
  <si>
    <t>바투바이오필터</t>
    <phoneticPr fontId="3" type="noConversion"/>
  </si>
  <si>
    <t>04.11.01</t>
    <phoneticPr fontId="3" type="noConversion"/>
  </si>
  <si>
    <t>대동구룡</t>
    <phoneticPr fontId="3" type="noConversion"/>
  </si>
  <si>
    <t>함평 대동 용성 698</t>
    <phoneticPr fontId="3" type="noConversion"/>
  </si>
  <si>
    <t>무산소호기영역접촉</t>
    <phoneticPr fontId="3" type="noConversion"/>
  </si>
  <si>
    <t>04.01.01</t>
    <phoneticPr fontId="3" type="noConversion"/>
  </si>
  <si>
    <t>대동정창</t>
    <phoneticPr fontId="3" type="noConversion"/>
  </si>
  <si>
    <t>함평 대동 용성 271-1</t>
    <phoneticPr fontId="3" type="noConversion"/>
  </si>
  <si>
    <t>대동호정</t>
    <phoneticPr fontId="3" type="noConversion"/>
  </si>
  <si>
    <t>함평 대동 서호 413-3</t>
    <phoneticPr fontId="3" type="noConversion"/>
  </si>
  <si>
    <t>함평석두</t>
    <phoneticPr fontId="3" type="noConversion"/>
  </si>
  <si>
    <t>함평 함평 석성 393-40</t>
    <phoneticPr fontId="3" type="noConversion"/>
  </si>
  <si>
    <t>05.06.28</t>
    <phoneticPr fontId="3" type="noConversion"/>
  </si>
  <si>
    <t>월야문화</t>
    <phoneticPr fontId="3" type="noConversion"/>
  </si>
  <si>
    <t>함평 월야 월야 344-1</t>
    <phoneticPr fontId="3" type="noConversion"/>
  </si>
  <si>
    <t>03.12.01</t>
    <phoneticPr fontId="3" type="noConversion"/>
  </si>
  <si>
    <t>신광사천</t>
    <phoneticPr fontId="3" type="noConversion"/>
  </si>
  <si>
    <t>함평 신광 계천 153-3</t>
    <phoneticPr fontId="3" type="noConversion"/>
  </si>
  <si>
    <t>자연친화형무동력</t>
    <phoneticPr fontId="3" type="noConversion"/>
  </si>
  <si>
    <t>05.12.26</t>
    <phoneticPr fontId="3" type="noConversion"/>
  </si>
  <si>
    <t>신광연천</t>
    <phoneticPr fontId="3" type="noConversion"/>
  </si>
  <si>
    <t>함평 신광 월암 477-1</t>
    <phoneticPr fontId="3" type="noConversion"/>
  </si>
  <si>
    <t>다공성소결체여재</t>
    <phoneticPr fontId="3" type="noConversion"/>
  </si>
  <si>
    <t>신광가덕</t>
    <phoneticPr fontId="3" type="noConversion"/>
  </si>
  <si>
    <t>함평 신광 가덕 707-2</t>
    <phoneticPr fontId="3" type="noConversion"/>
  </si>
  <si>
    <t>현수다단계고도처리(BRC)</t>
    <phoneticPr fontId="3" type="noConversion"/>
  </si>
  <si>
    <t>06.12.12</t>
    <phoneticPr fontId="3" type="noConversion"/>
  </si>
  <si>
    <t>해보산내</t>
    <phoneticPr fontId="3" type="noConversion"/>
  </si>
  <si>
    <t>함평 해보 대각 695-13</t>
    <phoneticPr fontId="3" type="noConversion"/>
  </si>
  <si>
    <t>유동성담체를이용한유기질및질소제거공법</t>
    <phoneticPr fontId="3" type="noConversion"/>
  </si>
  <si>
    <t>영광 양평 산43-1</t>
    <phoneticPr fontId="3" type="noConversion"/>
  </si>
  <si>
    <t>03.12.4</t>
    <phoneticPr fontId="3" type="noConversion"/>
  </si>
  <si>
    <t>도사</t>
    <phoneticPr fontId="3" type="noConversion"/>
  </si>
  <si>
    <t>염산 신성 120-1</t>
    <phoneticPr fontId="3" type="noConversion"/>
  </si>
  <si>
    <t>남계</t>
    <phoneticPr fontId="3" type="noConversion"/>
  </si>
  <si>
    <t>염산 상계 311</t>
    <phoneticPr fontId="3" type="noConversion"/>
  </si>
  <si>
    <t>97.4.16</t>
    <phoneticPr fontId="3" type="noConversion"/>
  </si>
  <si>
    <t>염산 두우 754-3</t>
    <phoneticPr fontId="3" type="noConversion"/>
  </si>
  <si>
    <t>접촉폭기식</t>
    <phoneticPr fontId="3" type="noConversion"/>
  </si>
  <si>
    <t>97.5.12</t>
    <phoneticPr fontId="3" type="noConversion"/>
  </si>
  <si>
    <t>염산 오동 240-5</t>
    <phoneticPr fontId="3" type="noConversion"/>
  </si>
  <si>
    <t>98.2.24</t>
    <phoneticPr fontId="3" type="noConversion"/>
  </si>
  <si>
    <t>염산 상계 1147</t>
    <phoneticPr fontId="3" type="noConversion"/>
  </si>
  <si>
    <t>99.3.2</t>
    <phoneticPr fontId="3" type="noConversion"/>
  </si>
  <si>
    <t>염산 축동 1173-11</t>
    <phoneticPr fontId="3" type="noConversion"/>
  </si>
  <si>
    <t>담체이용고효율오폐수처리공법</t>
    <phoneticPr fontId="3" type="noConversion"/>
  </si>
  <si>
    <t>00.11.18</t>
    <phoneticPr fontId="3" type="noConversion"/>
  </si>
  <si>
    <t>축장</t>
    <phoneticPr fontId="3" type="noConversion"/>
  </si>
  <si>
    <t>염산 축동 169-9</t>
    <phoneticPr fontId="3" type="noConversion"/>
  </si>
  <si>
    <t>유동성담체를이용한유기물및영양염류처리기술</t>
    <phoneticPr fontId="3" type="noConversion"/>
  </si>
  <si>
    <t>영광 계송 894-3</t>
    <phoneticPr fontId="3" type="noConversion"/>
  </si>
  <si>
    <t>토양피복형혐기.호기접촉포기방식</t>
    <phoneticPr fontId="3" type="noConversion"/>
  </si>
  <si>
    <t>99.10.4</t>
    <phoneticPr fontId="3" type="noConversion"/>
  </si>
  <si>
    <t>장보</t>
    <phoneticPr fontId="3" type="noConversion"/>
  </si>
  <si>
    <t>영광 우평 14-6</t>
    <phoneticPr fontId="3" type="noConversion"/>
  </si>
  <si>
    <t>03.6.28</t>
    <phoneticPr fontId="3" type="noConversion"/>
  </si>
  <si>
    <t>법성 월산 686-2</t>
    <phoneticPr fontId="3" type="noConversion"/>
  </si>
  <si>
    <t>미생물조정조를이용한고효율정화법</t>
    <phoneticPr fontId="3" type="noConversion"/>
  </si>
  <si>
    <t>99.8.30</t>
    <phoneticPr fontId="3" type="noConversion"/>
  </si>
  <si>
    <t>사산</t>
    <phoneticPr fontId="3" type="noConversion"/>
  </si>
  <si>
    <t>불갑 모악 466-9</t>
    <phoneticPr fontId="3" type="noConversion"/>
  </si>
  <si>
    <t>B-C오니방공법</t>
    <phoneticPr fontId="3" type="noConversion"/>
  </si>
  <si>
    <t>01.12.1</t>
    <phoneticPr fontId="3" type="noConversion"/>
  </si>
  <si>
    <t>인산</t>
    <phoneticPr fontId="3" type="noConversion"/>
  </si>
  <si>
    <t>불갑 녹산 614-9</t>
    <phoneticPr fontId="3" type="noConversion"/>
  </si>
  <si>
    <t>오폐수고도처리공법</t>
    <phoneticPr fontId="3" type="noConversion"/>
  </si>
  <si>
    <t>03.7.10</t>
    <phoneticPr fontId="3" type="noConversion"/>
  </si>
  <si>
    <t>송이도</t>
    <phoneticPr fontId="3" type="noConversion"/>
  </si>
  <si>
    <t>낙월 송이 산435</t>
    <phoneticPr fontId="3" type="noConversion"/>
  </si>
  <si>
    <t>안마도</t>
    <phoneticPr fontId="3" type="noConversion"/>
  </si>
  <si>
    <t>낙월 신기 산559-7</t>
    <phoneticPr fontId="3" type="noConversion"/>
  </si>
  <si>
    <t>효동</t>
    <phoneticPr fontId="3" type="noConversion"/>
  </si>
  <si>
    <t>묘량 삼효 1109-1</t>
    <phoneticPr fontId="3" type="noConversion"/>
  </si>
  <si>
    <t>홍농 월암 1071-11</t>
    <phoneticPr fontId="3" type="noConversion"/>
  </si>
  <si>
    <t>04.6.23</t>
    <phoneticPr fontId="3" type="noConversion"/>
  </si>
  <si>
    <t>안수</t>
    <phoneticPr fontId="3" type="noConversion"/>
  </si>
  <si>
    <t>군남 반안 567-1</t>
    <phoneticPr fontId="3" type="noConversion"/>
  </si>
  <si>
    <t>혐기및호기접촉포기방식</t>
    <phoneticPr fontId="3" type="noConversion"/>
  </si>
  <si>
    <t>04.4.13</t>
    <phoneticPr fontId="3" type="noConversion"/>
  </si>
  <si>
    <t>장혈</t>
    <phoneticPr fontId="3" type="noConversion"/>
  </si>
  <si>
    <t>군남 양덕 951</t>
    <phoneticPr fontId="3" type="noConversion"/>
  </si>
  <si>
    <t>다공성소결체를이용한식생정화여상</t>
    <phoneticPr fontId="3" type="noConversion"/>
  </si>
  <si>
    <t>05.12.30</t>
    <phoneticPr fontId="3" type="noConversion"/>
  </si>
  <si>
    <t>하사</t>
    <phoneticPr fontId="3" type="noConversion"/>
  </si>
  <si>
    <t>백수 하사 2707-1</t>
    <phoneticPr fontId="3" type="noConversion"/>
  </si>
  <si>
    <t>특수미생물을이용한오수고도처리</t>
    <phoneticPr fontId="3" type="noConversion"/>
  </si>
  <si>
    <t>06.2.24</t>
    <phoneticPr fontId="3" type="noConversion"/>
  </si>
  <si>
    <t>황룡면 와룡리 399-2</t>
    <phoneticPr fontId="3" type="noConversion"/>
  </si>
  <si>
    <t>98.12.5</t>
    <phoneticPr fontId="3" type="noConversion"/>
  </si>
  <si>
    <t>서동</t>
    <phoneticPr fontId="3" type="noConversion"/>
  </si>
  <si>
    <t>장성읍유탕리1782-1</t>
    <phoneticPr fontId="3" type="noConversion"/>
  </si>
  <si>
    <t>02.1.14</t>
    <phoneticPr fontId="3" type="noConversion"/>
  </si>
  <si>
    <t>유탕천</t>
    <phoneticPr fontId="3" type="noConversion"/>
  </si>
  <si>
    <t>우지</t>
    <phoneticPr fontId="3" type="noConversion"/>
  </si>
  <si>
    <t>장성읍 상오리 375</t>
    <phoneticPr fontId="3" type="noConversion"/>
  </si>
  <si>
    <t>이창(L.C)정화공업</t>
    <phoneticPr fontId="3" type="noConversion"/>
  </si>
  <si>
    <t>99.5.1</t>
    <phoneticPr fontId="3" type="noConversion"/>
  </si>
  <si>
    <t>양유</t>
    <phoneticPr fontId="3" type="noConversion"/>
  </si>
  <si>
    <t>진원면상림리580</t>
    <phoneticPr fontId="3" type="noConversion"/>
  </si>
  <si>
    <t>02.2.3</t>
    <phoneticPr fontId="3" type="noConversion"/>
  </si>
  <si>
    <t>초동</t>
    <phoneticPr fontId="3" type="noConversion"/>
  </si>
  <si>
    <t>진원면 용산리 828-8</t>
    <phoneticPr fontId="3" type="noConversion"/>
  </si>
  <si>
    <t>우드칩 공법</t>
    <phoneticPr fontId="3" type="noConversion"/>
  </si>
  <si>
    <t>96.9.13</t>
    <phoneticPr fontId="3" type="noConversion"/>
  </si>
  <si>
    <t>월정</t>
    <phoneticPr fontId="3" type="noConversion"/>
  </si>
  <si>
    <t>진원면 학림리 828-3</t>
    <phoneticPr fontId="3" type="noConversion"/>
  </si>
  <si>
    <t>우드칩공법</t>
    <phoneticPr fontId="3" type="noConversion"/>
  </si>
  <si>
    <t>두월</t>
    <phoneticPr fontId="3" type="noConversion"/>
  </si>
  <si>
    <t>진원면 용산리 418-1</t>
    <phoneticPr fontId="3" type="noConversion"/>
  </si>
  <si>
    <t>분뇨및고농도유기 오폐수처리</t>
    <phoneticPr fontId="3" type="noConversion"/>
  </si>
  <si>
    <t>98.4.11</t>
    <phoneticPr fontId="3" type="noConversion"/>
  </si>
  <si>
    <t>산정지구</t>
    <phoneticPr fontId="3" type="noConversion"/>
  </si>
  <si>
    <t>남면 월곡리 535-4</t>
    <phoneticPr fontId="3" type="noConversion"/>
  </si>
  <si>
    <t>유동상담체공법</t>
    <phoneticPr fontId="3" type="noConversion"/>
  </si>
  <si>
    <t>06.10.26</t>
    <phoneticPr fontId="3" type="noConversion"/>
  </si>
  <si>
    <t>산정천</t>
    <phoneticPr fontId="3" type="noConversion"/>
  </si>
  <si>
    <t>회신</t>
    <phoneticPr fontId="3" type="noConversion"/>
  </si>
  <si>
    <t>남면 덕성리 92-1</t>
    <phoneticPr fontId="3" type="noConversion"/>
  </si>
  <si>
    <t>현수미생물접촉폭기공법</t>
    <phoneticPr fontId="3" type="noConversion"/>
  </si>
  <si>
    <t>99.6.4</t>
    <phoneticPr fontId="3" type="noConversion"/>
  </si>
  <si>
    <t>남면 월정리828-3</t>
    <phoneticPr fontId="3" type="noConversion"/>
  </si>
  <si>
    <t>분뇨및고농도유기 오.폐수 처리</t>
    <phoneticPr fontId="3" type="noConversion"/>
  </si>
  <si>
    <t>02.10.26</t>
    <phoneticPr fontId="3" type="noConversion"/>
  </si>
  <si>
    <t>남면 평산리270-12</t>
    <phoneticPr fontId="3" type="noConversion"/>
  </si>
  <si>
    <t xml:space="preserve">04.1.5 </t>
    <phoneticPr fontId="3" type="noConversion"/>
  </si>
  <si>
    <t>마산·신흥</t>
    <phoneticPr fontId="3" type="noConversion"/>
  </si>
  <si>
    <t>남면 녹진리 177-5</t>
    <phoneticPr fontId="3" type="noConversion"/>
  </si>
  <si>
    <t>06.8.25</t>
    <phoneticPr fontId="3" type="noConversion"/>
  </si>
  <si>
    <t>동화면 남산리182-2</t>
    <phoneticPr fontId="3" type="noConversion"/>
  </si>
  <si>
    <t>02.3.30</t>
    <phoneticPr fontId="3" type="noConversion"/>
  </si>
  <si>
    <t>동산·황산</t>
    <phoneticPr fontId="3" type="noConversion"/>
  </si>
  <si>
    <t>동화면 남산리162-11</t>
    <phoneticPr fontId="3" type="noConversion"/>
  </si>
  <si>
    <t>동화면 구림리 610-1</t>
    <phoneticPr fontId="3" type="noConversion"/>
  </si>
  <si>
    <t>유동상담체 공법</t>
    <phoneticPr fontId="3" type="noConversion"/>
  </si>
  <si>
    <t>연동·남동</t>
    <phoneticPr fontId="3" type="noConversion"/>
  </si>
  <si>
    <t>동화면 동호리 288-9</t>
    <phoneticPr fontId="3" type="noConversion"/>
  </si>
  <si>
    <t>06.10.2</t>
    <phoneticPr fontId="3" type="noConversion"/>
  </si>
  <si>
    <t>구적</t>
    <phoneticPr fontId="3" type="noConversion"/>
  </si>
  <si>
    <t>삼서면대곡리178-2</t>
    <phoneticPr fontId="3" type="noConversion"/>
  </si>
  <si>
    <t>호기성미생물이용공법</t>
    <phoneticPr fontId="3" type="noConversion"/>
  </si>
  <si>
    <t>02.1.3</t>
    <phoneticPr fontId="3" type="noConversion"/>
  </si>
  <si>
    <t>죽탄</t>
    <phoneticPr fontId="3" type="noConversion"/>
  </si>
  <si>
    <t>삼계면상도리750-6</t>
    <phoneticPr fontId="3" type="noConversion"/>
  </si>
  <si>
    <t>고농도유기처리공법</t>
    <phoneticPr fontId="3" type="noConversion"/>
  </si>
  <si>
    <t>생촌</t>
    <phoneticPr fontId="3" type="noConversion"/>
  </si>
  <si>
    <t>삼계면생촌리172-2</t>
    <phoneticPr fontId="3" type="noConversion"/>
  </si>
  <si>
    <t>북이면달성리432-1</t>
    <phoneticPr fontId="3" type="noConversion"/>
  </si>
  <si>
    <t>북이면 모현리 210</t>
    <phoneticPr fontId="3" type="noConversion"/>
  </si>
  <si>
    <t>99.6.12</t>
    <phoneticPr fontId="3" type="noConversion"/>
  </si>
  <si>
    <t>신평·거마</t>
    <phoneticPr fontId="3" type="noConversion"/>
  </si>
  <si>
    <t>북이면 신평리 480-5</t>
    <phoneticPr fontId="3" type="noConversion"/>
  </si>
  <si>
    <t>분뇨및고농도유기오폐수처리방법</t>
    <phoneticPr fontId="3" type="noConversion"/>
  </si>
  <si>
    <t>04.9.6</t>
    <phoneticPr fontId="3" type="noConversion"/>
  </si>
  <si>
    <t>원덕</t>
    <phoneticPr fontId="3" type="noConversion"/>
  </si>
  <si>
    <t>북이면 원덕리1099-161</t>
    <phoneticPr fontId="3" type="noConversion"/>
  </si>
  <si>
    <t>05.11.16</t>
    <phoneticPr fontId="3" type="noConversion"/>
  </si>
  <si>
    <t>성암</t>
    <phoneticPr fontId="3" type="noConversion"/>
  </si>
  <si>
    <t>북하면성람리764-8</t>
    <phoneticPr fontId="3" type="noConversion"/>
  </si>
  <si>
    <t>가인</t>
    <phoneticPr fontId="3" type="noConversion"/>
  </si>
  <si>
    <t>북하면 약수리 274</t>
    <phoneticPr fontId="3" type="noConversion"/>
  </si>
  <si>
    <t>가인천</t>
    <phoneticPr fontId="3" type="noConversion"/>
  </si>
  <si>
    <t>단전</t>
    <phoneticPr fontId="3" type="noConversion"/>
  </si>
  <si>
    <t>북하면 단전리     533</t>
    <phoneticPr fontId="3" type="noConversion"/>
  </si>
  <si>
    <t>유동상담체를이용한유기물질소제거</t>
    <phoneticPr fontId="3" type="noConversion"/>
  </si>
  <si>
    <t>신성</t>
    <phoneticPr fontId="3" type="noConversion"/>
  </si>
  <si>
    <t>북하면 신성리150-5</t>
    <phoneticPr fontId="3" type="noConversion"/>
  </si>
  <si>
    <t>05.3.29</t>
    <phoneticPr fontId="3" type="noConversion"/>
  </si>
  <si>
    <t>막</t>
    <phoneticPr fontId="3" type="noConversion"/>
  </si>
  <si>
    <t xml:space="preserve">완도군 </t>
    <phoneticPr fontId="3" type="noConversion"/>
  </si>
  <si>
    <t>명사</t>
    <phoneticPr fontId="3" type="noConversion"/>
  </si>
  <si>
    <t>신지임촌</t>
    <phoneticPr fontId="3" type="noConversion"/>
  </si>
  <si>
    <t>04.08.06</t>
    <phoneticPr fontId="3" type="noConversion"/>
  </si>
  <si>
    <t>신지대곡</t>
    <phoneticPr fontId="3" type="noConversion"/>
  </si>
  <si>
    <t>고도처리합병정화시스템</t>
    <phoneticPr fontId="3" type="noConversion"/>
  </si>
  <si>
    <t>98.03.05</t>
    <phoneticPr fontId="3" type="noConversion"/>
  </si>
  <si>
    <t>양지</t>
    <phoneticPr fontId="3" type="noConversion"/>
  </si>
  <si>
    <t>신지월양</t>
    <phoneticPr fontId="3" type="noConversion"/>
  </si>
  <si>
    <t>울몰</t>
    <phoneticPr fontId="3" type="noConversion"/>
  </si>
  <si>
    <t>신지대평</t>
    <phoneticPr fontId="3" type="noConversion"/>
  </si>
  <si>
    <t>99.03.13</t>
    <phoneticPr fontId="3" type="noConversion"/>
  </si>
  <si>
    <t>신상</t>
    <phoneticPr fontId="3" type="noConversion"/>
  </si>
  <si>
    <t>신지신상</t>
    <phoneticPr fontId="3" type="noConversion"/>
  </si>
  <si>
    <t>유기물및 질소제거기술</t>
    <phoneticPr fontId="3" type="noConversion"/>
  </si>
  <si>
    <t>01.06.19</t>
    <phoneticPr fontId="3" type="noConversion"/>
  </si>
  <si>
    <t>신지송곡</t>
    <phoneticPr fontId="3" type="noConversion"/>
  </si>
  <si>
    <t>04.09.27</t>
    <phoneticPr fontId="3" type="noConversion"/>
  </si>
  <si>
    <t>신지금곡</t>
    <phoneticPr fontId="3" type="noConversion"/>
  </si>
  <si>
    <t>유기물및질소제거기술</t>
    <phoneticPr fontId="3" type="noConversion"/>
  </si>
  <si>
    <t>월송</t>
    <phoneticPr fontId="3" type="noConversion"/>
  </si>
  <si>
    <t>금일월송</t>
    <phoneticPr fontId="3" type="noConversion"/>
  </si>
  <si>
    <t>분뇨및 고농도유기공법</t>
    <phoneticPr fontId="3" type="noConversion"/>
  </si>
  <si>
    <t>98.04.03</t>
    <phoneticPr fontId="3" type="noConversion"/>
  </si>
  <si>
    <t>용항</t>
    <phoneticPr fontId="3" type="noConversion"/>
  </si>
  <si>
    <t>금일충동</t>
    <phoneticPr fontId="3" type="noConversion"/>
  </si>
  <si>
    <t>토양피복형 접촉산화</t>
    <phoneticPr fontId="3" type="noConversion"/>
  </si>
  <si>
    <t>99.02.25</t>
    <phoneticPr fontId="3" type="noConversion"/>
  </si>
  <si>
    <t>동송</t>
    <phoneticPr fontId="3" type="noConversion"/>
  </si>
  <si>
    <t>금일동송</t>
    <phoneticPr fontId="3" type="noConversion"/>
  </si>
  <si>
    <t>01.05.18</t>
    <phoneticPr fontId="3" type="noConversion"/>
  </si>
  <si>
    <t>도장</t>
    <phoneticPr fontId="3" type="noConversion"/>
  </si>
  <si>
    <t>금일장정</t>
    <phoneticPr fontId="3" type="noConversion"/>
  </si>
  <si>
    <t>침지식막 분리공법</t>
    <phoneticPr fontId="3" type="noConversion"/>
  </si>
  <si>
    <t>05.02.27</t>
    <phoneticPr fontId="3" type="noConversion"/>
  </si>
  <si>
    <t>노화당산</t>
    <phoneticPr fontId="3" type="noConversion"/>
  </si>
  <si>
    <t>토양식 오수정화장치</t>
    <phoneticPr fontId="3" type="noConversion"/>
  </si>
  <si>
    <t>00.02.10</t>
    <phoneticPr fontId="3" type="noConversion"/>
  </si>
  <si>
    <t>구석</t>
    <phoneticPr fontId="3" type="noConversion"/>
  </si>
  <si>
    <t>노화석중</t>
    <phoneticPr fontId="3" type="noConversion"/>
  </si>
  <si>
    <t>동고</t>
    <phoneticPr fontId="3" type="noConversion"/>
  </si>
  <si>
    <t>노화동고</t>
    <phoneticPr fontId="3" type="noConversion"/>
  </si>
  <si>
    <t>02.05.23</t>
    <phoneticPr fontId="3" type="noConversion"/>
  </si>
  <si>
    <t>노화방축</t>
    <phoneticPr fontId="3" type="noConversion"/>
  </si>
  <si>
    <t>03.10.14</t>
    <phoneticPr fontId="3" type="noConversion"/>
  </si>
  <si>
    <t>도청</t>
    <phoneticPr fontId="3" type="noConversion"/>
  </si>
  <si>
    <t>노화도청</t>
    <phoneticPr fontId="3" type="noConversion"/>
  </si>
  <si>
    <t>03.12.18</t>
    <phoneticPr fontId="3" type="noConversion"/>
  </si>
  <si>
    <t>통리</t>
    <phoneticPr fontId="3" type="noConversion"/>
  </si>
  <si>
    <t>보길중통</t>
    <phoneticPr fontId="3" type="noConversion"/>
  </si>
  <si>
    <t>99.12.21</t>
    <phoneticPr fontId="3" type="noConversion"/>
  </si>
  <si>
    <t>보길중리</t>
    <phoneticPr fontId="3" type="noConversion"/>
  </si>
  <si>
    <t>02.06.04</t>
    <phoneticPr fontId="3" type="noConversion"/>
  </si>
  <si>
    <t>여항</t>
    <phoneticPr fontId="3" type="noConversion"/>
  </si>
  <si>
    <t>보길여항</t>
    <phoneticPr fontId="3" type="noConversion"/>
  </si>
  <si>
    <t>예송</t>
    <phoneticPr fontId="3" type="noConversion"/>
  </si>
  <si>
    <t>보길예송</t>
    <phoneticPr fontId="3" type="noConversion"/>
  </si>
  <si>
    <t>03.11.01</t>
    <phoneticPr fontId="3" type="noConversion"/>
  </si>
  <si>
    <t>백도</t>
    <phoneticPr fontId="3" type="noConversion"/>
  </si>
  <si>
    <t>보길백도</t>
    <phoneticPr fontId="3" type="noConversion"/>
  </si>
  <si>
    <t>03.10.13</t>
    <phoneticPr fontId="3" type="noConversion"/>
  </si>
  <si>
    <t>울포</t>
    <phoneticPr fontId="3" type="noConversion"/>
  </si>
  <si>
    <t>금당차우</t>
    <phoneticPr fontId="3" type="noConversion"/>
  </si>
  <si>
    <t>가사</t>
    <phoneticPr fontId="3" type="noConversion"/>
  </si>
  <si>
    <t>약산해동</t>
    <phoneticPr fontId="3" type="noConversion"/>
  </si>
  <si>
    <t>04.11.10</t>
    <phoneticPr fontId="3" type="noConversion"/>
  </si>
  <si>
    <t>소안횡간</t>
    <phoneticPr fontId="3" type="noConversion"/>
  </si>
  <si>
    <t>06.09.25</t>
    <phoneticPr fontId="3" type="noConversion"/>
  </si>
  <si>
    <t>포산리 620</t>
    <phoneticPr fontId="3" type="noConversion"/>
  </si>
  <si>
    <t>'03.3</t>
    <phoneticPr fontId="3" type="noConversion"/>
  </si>
  <si>
    <t>진도천</t>
    <phoneticPr fontId="3" type="noConversion"/>
  </si>
  <si>
    <t>외동산</t>
    <phoneticPr fontId="3" type="noConversion"/>
  </si>
  <si>
    <t>분토리 678</t>
    <phoneticPr fontId="3" type="noConversion"/>
  </si>
  <si>
    <t>'96.4</t>
    <phoneticPr fontId="3" type="noConversion"/>
  </si>
  <si>
    <t>월가천</t>
    <phoneticPr fontId="3" type="noConversion"/>
  </si>
  <si>
    <t>송군</t>
    <phoneticPr fontId="3" type="noConversion"/>
  </si>
  <si>
    <t>송군리</t>
    <phoneticPr fontId="3" type="noConversion"/>
  </si>
  <si>
    <t>'96.5</t>
    <phoneticPr fontId="3" type="noConversion"/>
  </si>
  <si>
    <t>포산</t>
    <phoneticPr fontId="3" type="noConversion"/>
  </si>
  <si>
    <t>포산리 286</t>
    <phoneticPr fontId="3" type="noConversion"/>
  </si>
  <si>
    <t>토양피복형</t>
    <phoneticPr fontId="3" type="noConversion"/>
  </si>
  <si>
    <t>'04.4</t>
    <phoneticPr fontId="3" type="noConversion"/>
  </si>
  <si>
    <t>용장</t>
    <phoneticPr fontId="3" type="noConversion"/>
  </si>
  <si>
    <t>용장리309-1</t>
    <phoneticPr fontId="3" type="noConversion"/>
  </si>
  <si>
    <t>분뇨고농도</t>
    <phoneticPr fontId="3" type="noConversion"/>
  </si>
  <si>
    <t>'99.8</t>
    <phoneticPr fontId="3" type="noConversion"/>
  </si>
  <si>
    <t>용장천</t>
    <phoneticPr fontId="3" type="noConversion"/>
  </si>
  <si>
    <t>둔전리 1849-1</t>
    <phoneticPr fontId="3" type="noConversion"/>
  </si>
  <si>
    <t>흡수성바이오</t>
    <phoneticPr fontId="3" type="noConversion"/>
  </si>
  <si>
    <t>군내천</t>
    <phoneticPr fontId="3" type="noConversion"/>
  </si>
  <si>
    <t>금골</t>
    <phoneticPr fontId="3" type="noConversion"/>
  </si>
  <si>
    <t>둔전리 1844-17</t>
    <phoneticPr fontId="3" type="noConversion"/>
  </si>
  <si>
    <t>'00.8.</t>
    <phoneticPr fontId="3" type="noConversion"/>
  </si>
  <si>
    <t>월가</t>
    <phoneticPr fontId="3" type="noConversion"/>
  </si>
  <si>
    <t>월가리 647-21</t>
    <phoneticPr fontId="3" type="noConversion"/>
  </si>
  <si>
    <t>'01.5</t>
    <phoneticPr fontId="3" type="noConversion"/>
  </si>
  <si>
    <t>송산</t>
    <phoneticPr fontId="3" type="noConversion"/>
  </si>
  <si>
    <t>송산리 310-4</t>
    <phoneticPr fontId="3" type="noConversion"/>
  </si>
  <si>
    <t>'03.12</t>
    <phoneticPr fontId="3" type="noConversion"/>
  </si>
  <si>
    <t>대사</t>
    <phoneticPr fontId="3" type="noConversion"/>
  </si>
  <si>
    <t>녹진리 344-14</t>
    <phoneticPr fontId="3" type="noConversion"/>
  </si>
  <si>
    <t>'05.2.</t>
    <phoneticPr fontId="3" type="noConversion"/>
  </si>
  <si>
    <t>가계</t>
    <phoneticPr fontId="3" type="noConversion"/>
  </si>
  <si>
    <t>금계리</t>
    <phoneticPr fontId="3" type="noConversion"/>
  </si>
  <si>
    <t>혐기접촉포기</t>
    <phoneticPr fontId="3" type="noConversion"/>
  </si>
  <si>
    <t>'97.4</t>
    <phoneticPr fontId="3" type="noConversion"/>
  </si>
  <si>
    <t>96지수</t>
    <phoneticPr fontId="3" type="noConversion"/>
  </si>
  <si>
    <t>오산리 1029-5</t>
    <phoneticPr fontId="3" type="noConversion"/>
  </si>
  <si>
    <t>97지수</t>
    <phoneticPr fontId="3" type="noConversion"/>
  </si>
  <si>
    <t>오산리 1012-3</t>
    <phoneticPr fontId="3" type="noConversion"/>
  </si>
  <si>
    <t>'98.4</t>
    <phoneticPr fontId="3" type="noConversion"/>
  </si>
  <si>
    <t>'00.8</t>
    <phoneticPr fontId="3" type="noConversion"/>
  </si>
  <si>
    <t>귀성</t>
    <phoneticPr fontId="3" type="noConversion"/>
  </si>
  <si>
    <t>상만리</t>
    <phoneticPr fontId="3" type="noConversion"/>
  </si>
  <si>
    <t>'00.5</t>
    <phoneticPr fontId="3" type="noConversion"/>
  </si>
  <si>
    <t>신육리 1245</t>
    <phoneticPr fontId="3" type="noConversion"/>
  </si>
  <si>
    <t>'02.7</t>
    <phoneticPr fontId="3" type="noConversion"/>
  </si>
  <si>
    <t>창유</t>
    <phoneticPr fontId="3" type="noConversion"/>
  </si>
  <si>
    <t>창유리 826</t>
    <phoneticPr fontId="3" type="noConversion"/>
  </si>
  <si>
    <t>정화조배출수</t>
    <phoneticPr fontId="3" type="noConversion"/>
  </si>
  <si>
    <t>'03.1</t>
    <phoneticPr fontId="3" type="noConversion"/>
  </si>
  <si>
    <t>관매도</t>
    <phoneticPr fontId="3" type="noConversion"/>
  </si>
  <si>
    <t>관매도리 1033-2</t>
    <phoneticPr fontId="3" type="noConversion"/>
  </si>
  <si>
    <t>'03.8</t>
    <phoneticPr fontId="3" type="noConversion"/>
  </si>
  <si>
    <t>선회와류식</t>
    <phoneticPr fontId="3" type="noConversion"/>
  </si>
  <si>
    <t>240-8529</t>
    <phoneticPr fontId="3" type="noConversion"/>
  </si>
  <si>
    <t>05.03</t>
    <phoneticPr fontId="3" type="noConversion"/>
  </si>
  <si>
    <t>240-8527</t>
    <phoneticPr fontId="3" type="noConversion"/>
  </si>
  <si>
    <t>06.04</t>
    <phoneticPr fontId="3" type="noConversion"/>
  </si>
  <si>
    <t>임자대기</t>
    <phoneticPr fontId="3" type="noConversion"/>
  </si>
  <si>
    <t>임자면 대기리</t>
    <phoneticPr fontId="3" type="noConversion"/>
  </si>
  <si>
    <t>유동상담체</t>
    <phoneticPr fontId="3" type="noConversion"/>
  </si>
  <si>
    <t>240-8603</t>
    <phoneticPr fontId="3" type="noConversion"/>
  </si>
  <si>
    <t>95.01</t>
    <phoneticPr fontId="3" type="noConversion"/>
  </si>
  <si>
    <t>자은백길</t>
    <phoneticPr fontId="3" type="noConversion"/>
  </si>
  <si>
    <t>자은면 유각리</t>
    <phoneticPr fontId="3" type="noConversion"/>
  </si>
  <si>
    <t>240-8604</t>
    <phoneticPr fontId="3" type="noConversion"/>
  </si>
  <si>
    <t>99.01</t>
    <phoneticPr fontId="3" type="noConversion"/>
  </si>
  <si>
    <t>도초돈목</t>
    <phoneticPr fontId="3" type="noConversion"/>
  </si>
  <si>
    <t>도초면 우이도리</t>
    <phoneticPr fontId="3" type="noConversion"/>
  </si>
  <si>
    <t>생물학적질소인제거공법</t>
    <phoneticPr fontId="3" type="noConversion"/>
  </si>
  <si>
    <t>240-8606</t>
    <phoneticPr fontId="3" type="noConversion"/>
  </si>
  <si>
    <t>99.11</t>
    <phoneticPr fontId="3" type="noConversion"/>
  </si>
  <si>
    <t>소독약</t>
    <phoneticPr fontId="3" type="noConversion"/>
  </si>
  <si>
    <t>도초시목</t>
    <phoneticPr fontId="3" type="noConversion"/>
  </si>
  <si>
    <t>도초면 오류리</t>
    <phoneticPr fontId="3" type="noConversion"/>
  </si>
  <si>
    <t>06.02</t>
    <phoneticPr fontId="3" type="noConversion"/>
  </si>
  <si>
    <t>흑산심리</t>
    <phoneticPr fontId="3" type="noConversion"/>
  </si>
  <si>
    <t>흑산면 심리</t>
    <phoneticPr fontId="3" type="noConversion"/>
  </si>
  <si>
    <t>혐기성접촉포기</t>
    <phoneticPr fontId="3" type="noConversion"/>
  </si>
  <si>
    <t>240-8607</t>
    <phoneticPr fontId="3" type="noConversion"/>
  </si>
  <si>
    <t>98.02</t>
    <phoneticPr fontId="3" type="noConversion"/>
  </si>
  <si>
    <t>흑산진리</t>
    <phoneticPr fontId="3" type="noConversion"/>
  </si>
  <si>
    <t>흑산사리1</t>
    <phoneticPr fontId="3" type="noConversion"/>
  </si>
  <si>
    <t>흑산면 사리</t>
    <phoneticPr fontId="3" type="noConversion"/>
  </si>
  <si>
    <t>흑산사리2</t>
    <phoneticPr fontId="3" type="noConversion"/>
  </si>
  <si>
    <t>LC정화법</t>
    <phoneticPr fontId="3" type="noConversion"/>
  </si>
  <si>
    <t>01.03</t>
    <phoneticPr fontId="3" type="noConversion"/>
  </si>
  <si>
    <t>흑산다물1</t>
    <phoneticPr fontId="3" type="noConversion"/>
  </si>
  <si>
    <t>흑산면 다촌리</t>
    <phoneticPr fontId="3" type="noConversion"/>
  </si>
  <si>
    <t>98.11</t>
    <phoneticPr fontId="3" type="noConversion"/>
  </si>
  <si>
    <t>흑산다물2</t>
    <phoneticPr fontId="3" type="noConversion"/>
  </si>
  <si>
    <t>흑산수리</t>
    <phoneticPr fontId="3" type="noConversion"/>
  </si>
  <si>
    <t>흑산면 수리</t>
    <phoneticPr fontId="3" type="noConversion"/>
  </si>
  <si>
    <t>02.04</t>
    <phoneticPr fontId="3" type="noConversion"/>
  </si>
  <si>
    <t>흑산오리</t>
    <phoneticPr fontId="3" type="noConversion"/>
  </si>
  <si>
    <t>흑산면 오리</t>
    <phoneticPr fontId="3" type="noConversion"/>
  </si>
  <si>
    <t>흑산도목</t>
    <phoneticPr fontId="3" type="noConversion"/>
  </si>
  <si>
    <t>흑산면 도목리</t>
    <phoneticPr fontId="3" type="noConversion"/>
  </si>
  <si>
    <t>03.04</t>
    <phoneticPr fontId="3" type="noConversion"/>
  </si>
  <si>
    <t>흑산홍도1</t>
    <phoneticPr fontId="3" type="noConversion"/>
  </si>
  <si>
    <t>흑산면 홍도리</t>
    <phoneticPr fontId="3" type="noConversion"/>
  </si>
  <si>
    <t>97.10</t>
    <phoneticPr fontId="3" type="noConversion"/>
  </si>
  <si>
    <t>흑산홍도1A</t>
    <phoneticPr fontId="3" type="noConversion"/>
  </si>
  <si>
    <t>02.07</t>
    <phoneticPr fontId="3" type="noConversion"/>
  </si>
  <si>
    <t>흑산홍도1B</t>
    <phoneticPr fontId="3" type="noConversion"/>
  </si>
  <si>
    <t>흑산홍도2</t>
    <phoneticPr fontId="3" type="noConversion"/>
  </si>
  <si>
    <t>흑산가거도</t>
    <phoneticPr fontId="3" type="noConversion"/>
  </si>
  <si>
    <t>흑산면 가거도리</t>
    <phoneticPr fontId="3" type="noConversion"/>
  </si>
  <si>
    <t>05.08</t>
    <phoneticPr fontId="3" type="noConversion"/>
  </si>
  <si>
    <t>압해학교</t>
    <phoneticPr fontId="3" type="noConversion"/>
  </si>
  <si>
    <t>압해면 학교리</t>
    <phoneticPr fontId="3" type="noConversion"/>
  </si>
  <si>
    <t>240-8614</t>
    <phoneticPr fontId="3" type="noConversion"/>
  </si>
  <si>
    <t>97.02</t>
    <phoneticPr fontId="3" type="noConversion"/>
  </si>
  <si>
    <t>압해중촌</t>
    <phoneticPr fontId="3" type="noConversion"/>
  </si>
  <si>
    <t>압해면 복용리</t>
    <phoneticPr fontId="3" type="noConversion"/>
  </si>
  <si>
    <t>압해신용</t>
    <phoneticPr fontId="3" type="noConversion"/>
  </si>
  <si>
    <t>압해면 신용리</t>
    <phoneticPr fontId="3" type="noConversion"/>
  </si>
  <si>
    <t>하의곰실</t>
    <phoneticPr fontId="3" type="noConversion"/>
  </si>
  <si>
    <t>하의면 웅곡리</t>
    <phoneticPr fontId="3" type="noConversion"/>
  </si>
  <si>
    <t>호기성미생물법</t>
    <phoneticPr fontId="3" type="noConversion"/>
  </si>
  <si>
    <t>240-8608</t>
    <phoneticPr fontId="3" type="noConversion"/>
  </si>
  <si>
    <t>01.02</t>
    <phoneticPr fontId="3" type="noConversion"/>
  </si>
  <si>
    <t>하의종남</t>
    <phoneticPr fontId="3" type="noConversion"/>
  </si>
  <si>
    <t>하의면 후광리</t>
    <phoneticPr fontId="3" type="noConversion"/>
  </si>
  <si>
    <t>04.04</t>
    <phoneticPr fontId="3" type="noConversion"/>
  </si>
  <si>
    <t>하의대리</t>
    <phoneticPr fontId="3" type="noConversion"/>
  </si>
  <si>
    <t>하의면 대리</t>
    <phoneticPr fontId="3" type="noConversion"/>
  </si>
  <si>
    <t>03.03</t>
    <phoneticPr fontId="3" type="noConversion"/>
  </si>
  <si>
    <t>하의신도</t>
    <phoneticPr fontId="3" type="noConversion"/>
  </si>
  <si>
    <t>하의면 능산리</t>
    <phoneticPr fontId="3" type="noConversion"/>
  </si>
  <si>
    <t>00.01</t>
    <phoneticPr fontId="3" type="noConversion"/>
  </si>
  <si>
    <t>장산사창</t>
    <phoneticPr fontId="3" type="noConversion"/>
  </si>
  <si>
    <t>장산면 도창리</t>
    <phoneticPr fontId="3" type="noConversion"/>
  </si>
  <si>
    <t>240-8610</t>
    <phoneticPr fontId="3" type="noConversion"/>
  </si>
  <si>
    <t>비금덕산</t>
    <phoneticPr fontId="3" type="noConversion"/>
  </si>
  <si>
    <t>비금면 덕산리</t>
    <phoneticPr fontId="3" type="noConversion"/>
  </si>
  <si>
    <t>완전침지식회전매체와간헐포기하수처리</t>
    <phoneticPr fontId="3" type="noConversion"/>
  </si>
  <si>
    <t>240-8605</t>
    <phoneticPr fontId="3" type="noConversion"/>
  </si>
  <si>
    <t>04.06</t>
    <phoneticPr fontId="3" type="noConversion"/>
  </si>
  <si>
    <t>비금월포</t>
    <phoneticPr fontId="3" type="noConversion"/>
  </si>
  <si>
    <t>비금면 내월리</t>
    <phoneticPr fontId="3" type="noConversion"/>
  </si>
  <si>
    <t>포항시 남구 상도동</t>
    <phoneticPr fontId="3" type="noConversion"/>
  </si>
  <si>
    <t>99.3.20</t>
    <phoneticPr fontId="3" type="noConversion"/>
  </si>
  <si>
    <t>포항시 남구 구룡포읍후동리</t>
    <phoneticPr fontId="3" type="noConversion"/>
  </si>
  <si>
    <t>270-5270</t>
    <phoneticPr fontId="3" type="noConversion"/>
  </si>
  <si>
    <t xml:space="preserve"> 04.01.31</t>
    <phoneticPr fontId="3" type="noConversion"/>
  </si>
  <si>
    <t>포항시 북구 흥해읍 흥안리</t>
    <phoneticPr fontId="3" type="noConversion"/>
  </si>
  <si>
    <t>Bio-SAC  BNR</t>
    <phoneticPr fontId="3" type="noConversion"/>
  </si>
  <si>
    <t xml:space="preserve"> 04.2.1</t>
    <phoneticPr fontId="3" type="noConversion"/>
  </si>
  <si>
    <t>부조</t>
    <phoneticPr fontId="3" type="noConversion"/>
  </si>
  <si>
    <t>포항시 남구 연일읍 중명리</t>
    <phoneticPr fontId="3" type="noConversion"/>
  </si>
  <si>
    <t>연속회분식</t>
    <phoneticPr fontId="3" type="noConversion"/>
  </si>
  <si>
    <t>간이</t>
    <phoneticPr fontId="3" type="noConversion"/>
  </si>
  <si>
    <t>화대</t>
    <phoneticPr fontId="3" type="noConversion"/>
  </si>
  <si>
    <t>포항시 북구 기계면 화대리</t>
    <phoneticPr fontId="3" type="noConversion"/>
  </si>
  <si>
    <t>99.06</t>
    <phoneticPr fontId="3" type="noConversion"/>
  </si>
  <si>
    <t>협기호기법</t>
    <phoneticPr fontId="3" type="noConversion"/>
  </si>
  <si>
    <t>95. 8.28</t>
    <phoneticPr fontId="3" type="noConversion"/>
  </si>
  <si>
    <t>신당천</t>
    <phoneticPr fontId="3" type="noConversion"/>
  </si>
  <si>
    <t>강동면 호명리 473</t>
    <phoneticPr fontId="3" type="noConversion"/>
  </si>
  <si>
    <t>단계적격리식산화구법</t>
    <phoneticPr fontId="3" type="noConversion"/>
  </si>
  <si>
    <t>779-6739</t>
    <phoneticPr fontId="3" type="noConversion"/>
  </si>
  <si>
    <t>감포읍 전동리 50</t>
    <phoneticPr fontId="3" type="noConversion"/>
  </si>
  <si>
    <t>대우영양물질제거법</t>
    <phoneticPr fontId="3" type="noConversion"/>
  </si>
  <si>
    <t>741-0526</t>
    <phoneticPr fontId="3" type="noConversion"/>
  </si>
  <si>
    <t>세천</t>
    <phoneticPr fontId="3" type="noConversion"/>
  </si>
  <si>
    <t>산내면 의곡리 591-43</t>
    <phoneticPr fontId="3" type="noConversion"/>
  </si>
  <si>
    <t>간헐방류식장기호기법</t>
    <phoneticPr fontId="3" type="noConversion"/>
  </si>
  <si>
    <t>779-3443</t>
    <phoneticPr fontId="3" type="noConversion"/>
  </si>
  <si>
    <t>산내면 대현리 3127-5</t>
    <phoneticPr fontId="3" type="noConversion"/>
  </si>
  <si>
    <t>산내면 대현리 1985-1</t>
    <phoneticPr fontId="3" type="noConversion"/>
  </si>
  <si>
    <t>범곡천</t>
    <phoneticPr fontId="3" type="noConversion"/>
  </si>
  <si>
    <t>감포읍 오류리 128</t>
    <phoneticPr fontId="3" type="noConversion"/>
  </si>
  <si>
    <t>779-6721</t>
    <phoneticPr fontId="3" type="noConversion"/>
  </si>
  <si>
    <t xml:space="preserve">05. 2.        </t>
    <phoneticPr fontId="3" type="noConversion"/>
  </si>
  <si>
    <t>김천하수</t>
    <phoneticPr fontId="3" type="noConversion"/>
  </si>
  <si>
    <t>대광동</t>
    <phoneticPr fontId="3" type="noConversion"/>
  </si>
  <si>
    <t xml:space="preserve"> 낙동강</t>
    <phoneticPr fontId="3" type="noConversion"/>
  </si>
  <si>
    <t>이화</t>
    <phoneticPr fontId="3" type="noConversion"/>
  </si>
  <si>
    <t>knr</t>
    <phoneticPr fontId="3" type="noConversion"/>
  </si>
  <si>
    <t>420-6357</t>
    <phoneticPr fontId="3" type="noConversion"/>
  </si>
  <si>
    <t>'96.9</t>
    <phoneticPr fontId="3" type="noConversion"/>
  </si>
  <si>
    <t>가례</t>
    <phoneticPr fontId="3" type="noConversion"/>
  </si>
  <si>
    <t>호기침전</t>
    <phoneticPr fontId="3" type="noConversion"/>
  </si>
  <si>
    <t>YM공법</t>
    <phoneticPr fontId="3" type="noConversion"/>
  </si>
  <si>
    <t>'97.10</t>
    <phoneticPr fontId="3" type="noConversion"/>
  </si>
  <si>
    <t>빗내</t>
    <phoneticPr fontId="3" type="noConversion"/>
  </si>
  <si>
    <t>침전분리</t>
    <phoneticPr fontId="3" type="noConversion"/>
  </si>
  <si>
    <t>변형회분</t>
    <phoneticPr fontId="3" type="noConversion"/>
  </si>
  <si>
    <t>'98.5</t>
    <phoneticPr fontId="3" type="noConversion"/>
  </si>
  <si>
    <t>남밭</t>
    <phoneticPr fontId="3" type="noConversion"/>
  </si>
  <si>
    <t>미생물조정</t>
    <phoneticPr fontId="3" type="noConversion"/>
  </si>
  <si>
    <t>'99.9</t>
    <phoneticPr fontId="3" type="noConversion"/>
  </si>
  <si>
    <t>싸리미</t>
    <phoneticPr fontId="3" type="noConversion"/>
  </si>
  <si>
    <t>'99.6</t>
    <phoneticPr fontId="3" type="noConversion"/>
  </si>
  <si>
    <t>대방</t>
    <phoneticPr fontId="3" type="noConversion"/>
  </si>
  <si>
    <t>CBT</t>
    <phoneticPr fontId="3" type="noConversion"/>
  </si>
  <si>
    <t>'98.2</t>
    <phoneticPr fontId="3" type="noConversion"/>
  </si>
  <si>
    <t>전동</t>
    <phoneticPr fontId="3" type="noConversion"/>
  </si>
  <si>
    <t>순환접촉</t>
    <phoneticPr fontId="3" type="noConversion"/>
  </si>
  <si>
    <t>'00.6</t>
    <phoneticPr fontId="3" type="noConversion"/>
  </si>
  <si>
    <t>강평</t>
    <phoneticPr fontId="3" type="noConversion"/>
  </si>
  <si>
    <t>배시내</t>
    <phoneticPr fontId="3" type="noConversion"/>
  </si>
  <si>
    <t>'04.12</t>
    <phoneticPr fontId="3" type="noConversion"/>
  </si>
  <si>
    <t>431-0513</t>
    <phoneticPr fontId="3" type="noConversion"/>
  </si>
  <si>
    <t>`99. 2. 21</t>
    <phoneticPr fontId="3" type="noConversion"/>
  </si>
  <si>
    <t>와룡문화</t>
    <phoneticPr fontId="3" type="noConversion"/>
  </si>
  <si>
    <t>안동시와룡면가구리719-2번지</t>
    <phoneticPr fontId="3" type="noConversion"/>
  </si>
  <si>
    <t>859-6960</t>
  </si>
  <si>
    <t>`97. 12</t>
    <phoneticPr fontId="3" type="noConversion"/>
  </si>
  <si>
    <t>가구천</t>
    <phoneticPr fontId="3" type="noConversion"/>
  </si>
  <si>
    <t>단천</t>
    <phoneticPr fontId="3" type="noConversion"/>
  </si>
  <si>
    <t>안동시도산면단천리357-2번지</t>
    <phoneticPr fontId="3" type="noConversion"/>
  </si>
  <si>
    <t>`99. 4</t>
    <phoneticPr fontId="3" type="noConversion"/>
  </si>
  <si>
    <t xml:space="preserve"> '87.7</t>
    <phoneticPr fontId="3" type="noConversion"/>
  </si>
  <si>
    <t>광암천</t>
    <phoneticPr fontId="3" type="noConversion"/>
  </si>
  <si>
    <t>구미시 도개면 도개리 1007-54</t>
    <phoneticPr fontId="3" type="noConversion"/>
  </si>
  <si>
    <t xml:space="preserve"> '00.12</t>
    <phoneticPr fontId="3" type="noConversion"/>
  </si>
  <si>
    <t>제4단지</t>
    <phoneticPr fontId="3" type="noConversion"/>
  </si>
  <si>
    <t>구미시 양포동 4공단 26블럭</t>
    <phoneticPr fontId="3" type="noConversion"/>
  </si>
  <si>
    <t xml:space="preserve"> '06.01</t>
    <phoneticPr fontId="3" type="noConversion"/>
  </si>
  <si>
    <t>한천</t>
    <phoneticPr fontId="3" type="noConversion"/>
  </si>
  <si>
    <t>구미시 선산읍 화조리 365</t>
    <phoneticPr fontId="3" type="noConversion"/>
  </si>
  <si>
    <t>BCF(생물막여과)공법</t>
    <phoneticPr fontId="3" type="noConversion"/>
  </si>
  <si>
    <t>BCF(생물막여과)</t>
    <phoneticPr fontId="3" type="noConversion"/>
  </si>
  <si>
    <t xml:space="preserve"> '06.07</t>
    <phoneticPr fontId="3" type="noConversion"/>
  </si>
  <si>
    <t>새터</t>
    <phoneticPr fontId="3" type="noConversion"/>
  </si>
  <si>
    <t>구미시 산동면 임천리 800-1</t>
    <phoneticPr fontId="3" type="noConversion"/>
  </si>
  <si>
    <t xml:space="preserve"> '99.11</t>
    <phoneticPr fontId="3" type="noConversion"/>
  </si>
  <si>
    <t>양말</t>
    <phoneticPr fontId="3" type="noConversion"/>
  </si>
  <si>
    <t>구미시 양호동 451-3</t>
    <phoneticPr fontId="3" type="noConversion"/>
  </si>
  <si>
    <t xml:space="preserve"> '01.03</t>
    <phoneticPr fontId="3" type="noConversion"/>
  </si>
  <si>
    <t>구거</t>
    <phoneticPr fontId="3" type="noConversion"/>
  </si>
  <si>
    <t>대지미</t>
    <phoneticPr fontId="3" type="noConversion"/>
  </si>
  <si>
    <t>구미시 선산읍 신기리 153-4</t>
    <phoneticPr fontId="3" type="noConversion"/>
  </si>
  <si>
    <t xml:space="preserve"> '05.10</t>
    <phoneticPr fontId="3" type="noConversion"/>
  </si>
  <si>
    <t>구미시 무을면 송삼리 174-5</t>
    <phoneticPr fontId="3" type="noConversion"/>
  </si>
  <si>
    <t xml:space="preserve"> '95.06</t>
    <phoneticPr fontId="3" type="noConversion"/>
  </si>
  <si>
    <t>물목</t>
    <phoneticPr fontId="3" type="noConversion"/>
  </si>
  <si>
    <t>구미시 고아읍 황산리 664</t>
    <phoneticPr fontId="3" type="noConversion"/>
  </si>
  <si>
    <t xml:space="preserve"> '02.07</t>
    <phoneticPr fontId="3" type="noConversion"/>
  </si>
  <si>
    <t>일선리</t>
    <phoneticPr fontId="3" type="noConversion"/>
  </si>
  <si>
    <t>구미시 해평면 일선리 1-114</t>
    <phoneticPr fontId="3" type="noConversion"/>
  </si>
  <si>
    <t xml:space="preserve"> '05.12</t>
    <phoneticPr fontId="3" type="noConversion"/>
  </si>
  <si>
    <t>삼학</t>
    <phoneticPr fontId="3" type="noConversion"/>
  </si>
  <si>
    <t>구미시 장천면 신장리 554-1</t>
    <phoneticPr fontId="3" type="noConversion"/>
  </si>
  <si>
    <t xml:space="preserve"> '02.08</t>
    <phoneticPr fontId="3" type="noConversion"/>
  </si>
  <si>
    <t>내고리</t>
    <phoneticPr fontId="3" type="noConversion"/>
  </si>
  <si>
    <t>구미시 선산읍 내고리 261</t>
    <phoneticPr fontId="3" type="noConversion"/>
  </si>
  <si>
    <t xml:space="preserve"> '04.11</t>
    <phoneticPr fontId="3" type="noConversion"/>
  </si>
  <si>
    <t>외예</t>
    <phoneticPr fontId="3" type="noConversion"/>
  </si>
  <si>
    <t>구미시 고아읍 외예리 493-2</t>
    <phoneticPr fontId="3" type="noConversion"/>
  </si>
  <si>
    <t>웅곡</t>
    <phoneticPr fontId="3" type="noConversion"/>
  </si>
  <si>
    <t>구미시 무을면 웅고리 207-1</t>
    <phoneticPr fontId="3" type="noConversion"/>
  </si>
  <si>
    <t>SMMIAR PROCESS</t>
    <phoneticPr fontId="3" type="noConversion"/>
  </si>
  <si>
    <t xml:space="preserve"> '05.01</t>
    <phoneticPr fontId="3" type="noConversion"/>
  </si>
  <si>
    <t>습례</t>
    <phoneticPr fontId="3" type="noConversion"/>
  </si>
  <si>
    <t>구미시 선산읍 습례리 117-1</t>
    <phoneticPr fontId="3" type="noConversion"/>
  </si>
  <si>
    <t xml:space="preserve"> '05.04</t>
    <phoneticPr fontId="3" type="noConversion"/>
  </si>
  <si>
    <t>주아</t>
    <phoneticPr fontId="3" type="noConversion"/>
  </si>
  <si>
    <t>구미시 옥성면 농소리 1034-222</t>
    <phoneticPr fontId="3" type="noConversion"/>
  </si>
  <si>
    <t xml:space="preserve"> '05.07</t>
    <phoneticPr fontId="3" type="noConversion"/>
  </si>
  <si>
    <t>옥성천</t>
    <phoneticPr fontId="3" type="noConversion"/>
  </si>
  <si>
    <t>적서동 472번지</t>
    <phoneticPr fontId="3" type="noConversion"/>
  </si>
  <si>
    <t xml:space="preserve"> '98.11.30</t>
    <phoneticPr fontId="3" type="noConversion"/>
  </si>
  <si>
    <t>덕현</t>
    <phoneticPr fontId="3" type="noConversion"/>
  </si>
  <si>
    <t>순흥면 덕현리</t>
    <phoneticPr fontId="3" type="noConversion"/>
  </si>
  <si>
    <t>혐기호기접촉폭기법</t>
    <phoneticPr fontId="3" type="noConversion"/>
  </si>
  <si>
    <t>99.5.6</t>
    <phoneticPr fontId="3" type="noConversion"/>
  </si>
  <si>
    <t>죽계천</t>
    <phoneticPr fontId="3" type="noConversion"/>
  </si>
  <si>
    <t>세거리</t>
    <phoneticPr fontId="3" type="noConversion"/>
  </si>
  <si>
    <t>단산면 좌석리</t>
    <phoneticPr fontId="3" type="noConversion"/>
  </si>
  <si>
    <t>배점</t>
    <phoneticPr fontId="3" type="noConversion"/>
  </si>
  <si>
    <t>순흥면 배점리</t>
    <phoneticPr fontId="3" type="noConversion"/>
  </si>
  <si>
    <t>시설개선중</t>
    <phoneticPr fontId="3" type="noConversion"/>
  </si>
  <si>
    <t>99.5.20</t>
    <phoneticPr fontId="3" type="noConversion"/>
  </si>
  <si>
    <t>아호</t>
    <phoneticPr fontId="3" type="noConversion"/>
  </si>
  <si>
    <t>단산면 옥대리</t>
    <phoneticPr fontId="3" type="noConversion"/>
  </si>
  <si>
    <t>99.5.4</t>
    <phoneticPr fontId="3" type="noConversion"/>
  </si>
  <si>
    <t>감산</t>
    <phoneticPr fontId="3" type="noConversion"/>
  </si>
  <si>
    <t>부석면 상석리</t>
    <phoneticPr fontId="3" type="noConversion"/>
  </si>
  <si>
    <t>99.11.4</t>
    <phoneticPr fontId="3" type="noConversion"/>
  </si>
  <si>
    <t>낙화,암천</t>
    <phoneticPr fontId="3" type="noConversion"/>
  </si>
  <si>
    <t>도탄</t>
    <phoneticPr fontId="3" type="noConversion"/>
  </si>
  <si>
    <t>2000.3.20</t>
    <phoneticPr fontId="3" type="noConversion"/>
  </si>
  <si>
    <t>전닷</t>
    <phoneticPr fontId="3" type="noConversion"/>
  </si>
  <si>
    <t>문수면 벌사리</t>
    <phoneticPr fontId="3" type="noConversion"/>
  </si>
  <si>
    <t>바실러스균을 이용한질소,인처리기술</t>
    <phoneticPr fontId="3" type="noConversion"/>
  </si>
  <si>
    <t>2000.12.22</t>
    <phoneticPr fontId="3" type="noConversion"/>
  </si>
  <si>
    <t>하태장</t>
    <phoneticPr fontId="3" type="noConversion"/>
  </si>
  <si>
    <t>순흥면 태장리</t>
    <phoneticPr fontId="3" type="noConversion"/>
  </si>
  <si>
    <t>원배점</t>
    <phoneticPr fontId="3" type="noConversion"/>
  </si>
  <si>
    <t>STAR 공법</t>
    <phoneticPr fontId="3" type="noConversion"/>
  </si>
  <si>
    <t xml:space="preserve">STAR </t>
    <phoneticPr fontId="3" type="noConversion"/>
  </si>
  <si>
    <t>선비촌</t>
    <phoneticPr fontId="3" type="noConversion"/>
  </si>
  <si>
    <t>순흥면 청구리</t>
    <phoneticPr fontId="3" type="noConversion"/>
  </si>
  <si>
    <t>2001.3.30</t>
    <phoneticPr fontId="3" type="noConversion"/>
  </si>
  <si>
    <t>모산</t>
    <phoneticPr fontId="3" type="noConversion"/>
  </si>
  <si>
    <t>2001.12.27</t>
    <phoneticPr fontId="3" type="noConversion"/>
  </si>
  <si>
    <t>두산</t>
    <phoneticPr fontId="3" type="noConversion"/>
  </si>
  <si>
    <t>봉현면 두산리</t>
    <phoneticPr fontId="3" type="noConversion"/>
  </si>
  <si>
    <t>2004.1.27</t>
    <phoneticPr fontId="3" type="noConversion"/>
  </si>
  <si>
    <t>남원천</t>
    <phoneticPr fontId="3" type="noConversion"/>
  </si>
  <si>
    <t>삼가</t>
    <phoneticPr fontId="3" type="noConversion"/>
  </si>
  <si>
    <t>풍기읍 삼가리</t>
    <phoneticPr fontId="3" type="noConversion"/>
  </si>
  <si>
    <t>KNR공법</t>
    <phoneticPr fontId="3" type="noConversion"/>
  </si>
  <si>
    <t>2004.1.17</t>
    <phoneticPr fontId="3" type="noConversion"/>
  </si>
  <si>
    <t>장수면 반구리</t>
    <phoneticPr fontId="3" type="noConversion"/>
  </si>
  <si>
    <t>미생물접촉폭기</t>
    <phoneticPr fontId="3" type="noConversion"/>
  </si>
  <si>
    <t>2003.13.30</t>
    <phoneticPr fontId="3" type="noConversion"/>
  </si>
  <si>
    <t>도남동713</t>
    <phoneticPr fontId="3" type="noConversion"/>
  </si>
  <si>
    <t>330-6463</t>
    <phoneticPr fontId="3" type="noConversion"/>
  </si>
  <si>
    <t>94.3.</t>
    <phoneticPr fontId="3" type="noConversion"/>
  </si>
  <si>
    <t>신대리737-62</t>
    <phoneticPr fontId="3" type="noConversion"/>
  </si>
  <si>
    <t>330-6507</t>
    <phoneticPr fontId="3" type="noConversion"/>
  </si>
  <si>
    <t>2001.12.</t>
    <phoneticPr fontId="3" type="noConversion"/>
  </si>
  <si>
    <t>대천195-1</t>
    <phoneticPr fontId="3" type="noConversion"/>
  </si>
  <si>
    <t>혐기성접촉폭기</t>
    <phoneticPr fontId="3" type="noConversion"/>
  </si>
  <si>
    <t>2000.2.</t>
    <phoneticPr fontId="3" type="noConversion"/>
  </si>
  <si>
    <t>신녕</t>
    <phoneticPr fontId="3" type="noConversion"/>
  </si>
  <si>
    <t>치산</t>
    <phoneticPr fontId="3" type="noConversion"/>
  </si>
  <si>
    <t>치산1087-1</t>
    <phoneticPr fontId="3" type="noConversion"/>
  </si>
  <si>
    <t>현수미생물폭기</t>
    <phoneticPr fontId="3" type="noConversion"/>
  </si>
  <si>
    <t>330-6464</t>
  </si>
  <si>
    <t>2002.12.</t>
    <phoneticPr fontId="3" type="noConversion"/>
  </si>
  <si>
    <t>복룡동 153</t>
    <phoneticPr fontId="3" type="noConversion"/>
  </si>
  <si>
    <t>99.12.16</t>
    <phoneticPr fontId="3" type="noConversion"/>
  </si>
  <si>
    <t>숫구이</t>
    <phoneticPr fontId="3" type="noConversion"/>
  </si>
  <si>
    <t>묵하리875-3</t>
    <phoneticPr fontId="3" type="noConversion"/>
  </si>
  <si>
    <t>산화침윤토양피복형접촉산화공법</t>
    <phoneticPr fontId="3" type="noConversion"/>
  </si>
  <si>
    <t>99.7.1</t>
    <phoneticPr fontId="3" type="noConversion"/>
  </si>
  <si>
    <t>외남지사</t>
    <phoneticPr fontId="3" type="noConversion"/>
  </si>
  <si>
    <t>지사리 243</t>
    <phoneticPr fontId="3" type="noConversion"/>
  </si>
  <si>
    <t>봉양</t>
    <phoneticPr fontId="3" type="noConversion"/>
  </si>
  <si>
    <t>석산리991-4</t>
    <phoneticPr fontId="3" type="noConversion"/>
  </si>
  <si>
    <t>삼포리천</t>
    <phoneticPr fontId="3" type="noConversion"/>
  </si>
  <si>
    <t>장바우</t>
    <phoneticPr fontId="3" type="noConversion"/>
  </si>
  <si>
    <t>장암리60</t>
    <phoneticPr fontId="3" type="noConversion"/>
  </si>
  <si>
    <t>장암천</t>
    <phoneticPr fontId="3" type="noConversion"/>
  </si>
  <si>
    <t>법구지</t>
    <phoneticPr fontId="3" type="noConversion"/>
  </si>
  <si>
    <t>율곡리128</t>
    <phoneticPr fontId="3" type="noConversion"/>
  </si>
  <si>
    <t>화동리178-1</t>
    <phoneticPr fontId="3" type="noConversion"/>
  </si>
  <si>
    <t>외남구서</t>
    <phoneticPr fontId="3" type="noConversion"/>
  </si>
  <si>
    <t>구서리358-1</t>
    <phoneticPr fontId="3" type="noConversion"/>
  </si>
  <si>
    <t>혐기및호기성생물학적처리공법</t>
    <phoneticPr fontId="3" type="noConversion"/>
  </si>
  <si>
    <t>청리천</t>
    <phoneticPr fontId="3" type="noConversion"/>
  </si>
  <si>
    <t>공성</t>
    <phoneticPr fontId="3" type="noConversion"/>
  </si>
  <si>
    <t>옥산388-10</t>
    <phoneticPr fontId="3" type="noConversion"/>
  </si>
  <si>
    <t>01.
08.07</t>
    <phoneticPr fontId="3" type="noConversion"/>
  </si>
  <si>
    <t>저곡1</t>
    <phoneticPr fontId="3" type="noConversion"/>
  </si>
  <si>
    <t>내수읍 저곡1리 362-4</t>
    <phoneticPr fontId="3" type="noConversion"/>
  </si>
  <si>
    <t>01.
09.11</t>
    <phoneticPr fontId="3" type="noConversion"/>
  </si>
  <si>
    <t>저곡2</t>
    <phoneticPr fontId="3" type="noConversion"/>
  </si>
  <si>
    <t>내수읍 우산2리 365-4</t>
    <phoneticPr fontId="3" type="noConversion"/>
  </si>
  <si>
    <t>중리</t>
    <phoneticPr fontId="3" type="noConversion"/>
  </si>
  <si>
    <t>내수읍 입동리 150-10</t>
    <phoneticPr fontId="3" type="noConversion"/>
  </si>
  <si>
    <t>추동</t>
    <phoneticPr fontId="3" type="noConversion"/>
  </si>
  <si>
    <t>북이면 추학리 187-7</t>
    <phoneticPr fontId="3" type="noConversion"/>
  </si>
  <si>
    <t>98.
08.25</t>
    <phoneticPr fontId="3" type="noConversion"/>
  </si>
  <si>
    <t>금굴 474-89</t>
    <phoneticPr fontId="3" type="noConversion"/>
  </si>
  <si>
    <t>'93.
12.1.</t>
    <phoneticPr fontId="3" type="noConversion"/>
  </si>
  <si>
    <t>대청호</t>
    <phoneticPr fontId="3" type="noConversion"/>
  </si>
  <si>
    <t>내속</t>
    <phoneticPr fontId="3" type="noConversion"/>
  </si>
  <si>
    <t>중판55-4</t>
    <phoneticPr fontId="3" type="noConversion"/>
  </si>
  <si>
    <t>544-1276</t>
    <phoneticPr fontId="3" type="noConversion"/>
  </si>
  <si>
    <t>'03.
4.1.</t>
    <phoneticPr fontId="3" type="noConversion"/>
  </si>
  <si>
    <t>달천천</t>
    <phoneticPr fontId="3" type="noConversion"/>
  </si>
  <si>
    <t>마로</t>
    <phoneticPr fontId="3" type="noConversion"/>
  </si>
  <si>
    <t>관기12-21</t>
    <phoneticPr fontId="3" type="noConversion"/>
  </si>
  <si>
    <t>'06.
4.17.</t>
    <phoneticPr fontId="3" type="noConversion"/>
  </si>
  <si>
    <t>삼승</t>
    <phoneticPr fontId="3" type="noConversion"/>
  </si>
  <si>
    <t>내망520</t>
    <phoneticPr fontId="3" type="noConversion"/>
  </si>
  <si>
    <t>'92.
08.10</t>
    <phoneticPr fontId="3" type="noConversion"/>
  </si>
  <si>
    <t>회북</t>
    <phoneticPr fontId="3" type="noConversion"/>
  </si>
  <si>
    <t>눌곡300-3</t>
    <phoneticPr fontId="3" type="noConversion"/>
  </si>
  <si>
    <t>544-1277</t>
    <phoneticPr fontId="3" type="noConversion"/>
  </si>
  <si>
    <t>눌곡</t>
    <phoneticPr fontId="3" type="noConversion"/>
  </si>
  <si>
    <t>눌곡291-6</t>
    <phoneticPr fontId="3" type="noConversion"/>
  </si>
  <si>
    <t>3단접촉폭기</t>
    <phoneticPr fontId="3" type="noConversion"/>
  </si>
  <si>
    <t>'00.
10.14</t>
    <phoneticPr fontId="3" type="noConversion"/>
  </si>
  <si>
    <t>중판</t>
    <phoneticPr fontId="3" type="noConversion"/>
  </si>
  <si>
    <t>중판322-5</t>
    <phoneticPr fontId="3" type="noConversion"/>
  </si>
  <si>
    <t>'09.
10.29</t>
    <phoneticPr fontId="3" type="noConversion"/>
  </si>
  <si>
    <t>창리 242-4</t>
    <phoneticPr fontId="3" type="noConversion"/>
  </si>
  <si>
    <t>BCS-Ⅱ</t>
    <phoneticPr fontId="3" type="noConversion"/>
  </si>
  <si>
    <t>시운전중</t>
    <phoneticPr fontId="3" type="noConversion"/>
  </si>
  <si>
    <t>장갑</t>
    <phoneticPr fontId="3" type="noConversion"/>
  </si>
  <si>
    <t>장갑434-1</t>
    <phoneticPr fontId="3" type="noConversion"/>
  </si>
  <si>
    <t>옥천읍 이백리 45</t>
    <phoneticPr fontId="3" type="noConversion"/>
  </si>
  <si>
    <t>표준활성오니법
고속응집침전법</t>
    <phoneticPr fontId="3" type="noConversion"/>
  </si>
  <si>
    <t>730-4842</t>
    <phoneticPr fontId="3" type="noConversion"/>
  </si>
  <si>
    <t>94.
5.31</t>
    <phoneticPr fontId="3" type="noConversion"/>
  </si>
  <si>
    <t>서화천</t>
    <phoneticPr fontId="3" type="noConversion"/>
  </si>
  <si>
    <t>동이면 평산리 1021</t>
    <phoneticPr fontId="3" type="noConversion"/>
  </si>
  <si>
    <t>장기식포기법</t>
    <phoneticPr fontId="3" type="noConversion"/>
  </si>
  <si>
    <t>93.
2.1</t>
    <phoneticPr fontId="3" type="noConversion"/>
  </si>
  <si>
    <t>안남</t>
    <phoneticPr fontId="3" type="noConversion"/>
  </si>
  <si>
    <t>안남면 연주리 460</t>
    <phoneticPr fontId="3" type="noConversion"/>
  </si>
  <si>
    <t>안내</t>
    <phoneticPr fontId="3" type="noConversion"/>
  </si>
  <si>
    <t>안내면 현리 462-2</t>
    <phoneticPr fontId="3" type="noConversion"/>
  </si>
  <si>
    <t>이원</t>
    <phoneticPr fontId="3" type="noConversion"/>
  </si>
  <si>
    <t>이원면 건진리 62</t>
    <phoneticPr fontId="3" type="noConversion"/>
  </si>
  <si>
    <t>산화구변법</t>
    <phoneticPr fontId="3" type="noConversion"/>
  </si>
  <si>
    <t>03.
6.2</t>
    <phoneticPr fontId="3" type="noConversion"/>
  </si>
  <si>
    <t>장사</t>
    <phoneticPr fontId="3" type="noConversion"/>
  </si>
  <si>
    <t>안내면 장계리 64</t>
    <phoneticPr fontId="3" type="noConversion"/>
  </si>
  <si>
    <t>접촉포기법</t>
    <phoneticPr fontId="3" type="noConversion"/>
  </si>
  <si>
    <t>03.
2.14</t>
    <phoneticPr fontId="3" type="noConversion"/>
  </si>
  <si>
    <t>항곡</t>
    <phoneticPr fontId="3" type="noConversion"/>
  </si>
  <si>
    <t>군북면 항곡리 153</t>
    <phoneticPr fontId="3" type="noConversion"/>
  </si>
  <si>
    <t>01.
11.4</t>
    <phoneticPr fontId="3" type="noConversion"/>
  </si>
  <si>
    <t>항곡천</t>
    <phoneticPr fontId="3" type="noConversion"/>
  </si>
  <si>
    <t>이원면 개심리 132-1</t>
    <phoneticPr fontId="3" type="noConversion"/>
  </si>
  <si>
    <t>호기성침전기형고도처리공법</t>
    <phoneticPr fontId="3" type="noConversion"/>
  </si>
  <si>
    <t>99.
2.9</t>
    <phoneticPr fontId="3" type="noConversion"/>
  </si>
  <si>
    <t>개심천</t>
    <phoneticPr fontId="3" type="noConversion"/>
  </si>
  <si>
    <t>군서면 금산리 산11-3</t>
    <phoneticPr fontId="3" type="noConversion"/>
  </si>
  <si>
    <t>호기성침전기형</t>
    <phoneticPr fontId="3" type="noConversion"/>
  </si>
  <si>
    <t>03.
12.19</t>
    <phoneticPr fontId="3" type="noConversion"/>
  </si>
  <si>
    <t>만명</t>
    <phoneticPr fontId="3" type="noConversion"/>
  </si>
  <si>
    <t>청성면 장수리 756-1</t>
    <phoneticPr fontId="3" type="noConversion"/>
  </si>
  <si>
    <t>환평</t>
    <phoneticPr fontId="3" type="noConversion"/>
  </si>
  <si>
    <t>군북면 환평리 64-1</t>
    <phoneticPr fontId="3" type="noConversion"/>
  </si>
  <si>
    <t>피복미생물접촉포기식</t>
    <phoneticPr fontId="3" type="noConversion"/>
  </si>
  <si>
    <t>03.
5.30</t>
    <phoneticPr fontId="3" type="noConversion"/>
  </si>
  <si>
    <t>환평천</t>
    <phoneticPr fontId="3" type="noConversion"/>
  </si>
  <si>
    <t>동이면 석탄리 944</t>
    <phoneticPr fontId="3" type="noConversion"/>
  </si>
  <si>
    <t>04.
12.31</t>
    <phoneticPr fontId="3" type="noConversion"/>
  </si>
  <si>
    <t>석탄천</t>
    <phoneticPr fontId="3" type="noConversion"/>
  </si>
  <si>
    <t>도농</t>
    <phoneticPr fontId="3" type="noConversion"/>
  </si>
  <si>
    <t>안남면 도농리 649-3</t>
    <phoneticPr fontId="3" type="noConversion"/>
  </si>
  <si>
    <t>05.
3.10</t>
    <phoneticPr fontId="3" type="noConversion"/>
  </si>
  <si>
    <t>도농천</t>
    <phoneticPr fontId="3" type="noConversion"/>
  </si>
  <si>
    <t>능월</t>
    <phoneticPr fontId="3" type="noConversion"/>
  </si>
  <si>
    <t>청성면 능월리 591</t>
    <phoneticPr fontId="3" type="noConversion"/>
  </si>
  <si>
    <t>06.
4</t>
    <phoneticPr fontId="3" type="noConversion"/>
  </si>
  <si>
    <t>능월천</t>
    <phoneticPr fontId="3" type="noConversion"/>
  </si>
  <si>
    <t>칠방</t>
    <phoneticPr fontId="3" type="noConversion"/>
  </si>
  <si>
    <t>이원면 용방리 1183-2</t>
    <phoneticPr fontId="3" type="noConversion"/>
  </si>
  <si>
    <t>06.
1</t>
    <phoneticPr fontId="3" type="noConversion"/>
  </si>
  <si>
    <t>용방천</t>
    <phoneticPr fontId="3" type="noConversion"/>
  </si>
  <si>
    <t>월외</t>
    <phoneticPr fontId="3" type="noConversion"/>
  </si>
  <si>
    <t>안내면 월외리 343-1</t>
    <phoneticPr fontId="3" type="noConversion"/>
  </si>
  <si>
    <t>BSTS-2공법</t>
    <phoneticPr fontId="3" type="noConversion"/>
  </si>
  <si>
    <t>월외천</t>
    <phoneticPr fontId="3" type="noConversion"/>
  </si>
  <si>
    <t>영동읍 오정리677-3</t>
    <phoneticPr fontId="3" type="noConversion"/>
  </si>
  <si>
    <t>DeNipho, PSBR</t>
  </si>
  <si>
    <t>740-3783</t>
    <phoneticPr fontId="3" type="noConversion"/>
  </si>
  <si>
    <t>영동천</t>
  </si>
  <si>
    <t>초강</t>
    <phoneticPr fontId="3" type="noConversion"/>
  </si>
  <si>
    <t>심천면 초강리 528</t>
    <phoneticPr fontId="3" type="noConversion"/>
  </si>
  <si>
    <t>토양피복형접촉산화법</t>
  </si>
  <si>
    <t>95.
3.30</t>
    <phoneticPr fontId="3" type="noConversion"/>
  </si>
  <si>
    <t>조동</t>
    <phoneticPr fontId="3" type="noConversion"/>
  </si>
  <si>
    <t>용화면 조동리 583-1</t>
    <phoneticPr fontId="3" type="noConversion"/>
  </si>
  <si>
    <t>96.
10.18</t>
    <phoneticPr fontId="3" type="noConversion"/>
  </si>
  <si>
    <t>용화천</t>
  </si>
  <si>
    <t>봉곡</t>
    <phoneticPr fontId="3" type="noConversion"/>
  </si>
  <si>
    <t>양산면 봉곡리 425-3</t>
    <phoneticPr fontId="3" type="noConversion"/>
  </si>
  <si>
    <t>호기성침전지형고도처리공법</t>
  </si>
  <si>
    <t>03.
5.15</t>
    <phoneticPr fontId="3" type="noConversion"/>
  </si>
  <si>
    <t>금강천</t>
  </si>
  <si>
    <t>예전</t>
    <phoneticPr fontId="3" type="noConversion"/>
  </si>
  <si>
    <t>영동군.읍 심원리 855</t>
  </si>
  <si>
    <t>현수미생물접촉폭기법</t>
  </si>
  <si>
    <t>03.
10.27</t>
    <phoneticPr fontId="3" type="noConversion"/>
  </si>
  <si>
    <t>초강천</t>
  </si>
  <si>
    <t>수두</t>
    <phoneticPr fontId="3" type="noConversion"/>
  </si>
  <si>
    <t>영동군 양산면수두리 318</t>
  </si>
  <si>
    <t>섬모담체를 이용한 수고도처리공법</t>
  </si>
  <si>
    <t>04.
8.30</t>
    <phoneticPr fontId="3" type="noConversion"/>
  </si>
  <si>
    <t xml:space="preserve"> 증평군</t>
    <phoneticPr fontId="3" type="noConversion"/>
  </si>
  <si>
    <t>증평읍 연탄리 307</t>
    <phoneticPr fontId="3" type="noConversion"/>
  </si>
  <si>
    <t>DNR
공법</t>
    <phoneticPr fontId="3" type="noConversion"/>
  </si>
  <si>
    <t>99.
5.11</t>
    <phoneticPr fontId="3" type="noConversion"/>
  </si>
  <si>
    <t>도안면 광덕리 339</t>
    <phoneticPr fontId="3" type="noConversion"/>
  </si>
  <si>
    <t>고도
처리</t>
    <phoneticPr fontId="3" type="noConversion"/>
  </si>
  <si>
    <t>835-3443</t>
    <phoneticPr fontId="3" type="noConversion"/>
  </si>
  <si>
    <t>06.
10.26</t>
    <phoneticPr fontId="3" type="noConversion"/>
  </si>
  <si>
    <t>문백면 구곡리 1</t>
    <phoneticPr fontId="3" type="noConversion"/>
  </si>
  <si>
    <t>00
06.15</t>
    <phoneticPr fontId="3" type="noConversion"/>
  </si>
  <si>
    <t>덕산</t>
    <phoneticPr fontId="3" type="noConversion"/>
  </si>
  <si>
    <t>덕산면 구산리 362</t>
    <phoneticPr fontId="3" type="noConversion"/>
  </si>
  <si>
    <t>선회와류식
SBR공법</t>
    <phoneticPr fontId="3" type="noConversion"/>
  </si>
  <si>
    <t>539-7900</t>
    <phoneticPr fontId="3" type="noConversion"/>
  </si>
  <si>
    <t>06
08.01</t>
    <phoneticPr fontId="3" type="noConversion"/>
  </si>
  <si>
    <t>이월</t>
    <phoneticPr fontId="3" type="noConversion"/>
  </si>
  <si>
    <t>이월면 장양리 857</t>
    <phoneticPr fontId="3" type="noConversion"/>
  </si>
  <si>
    <t>이월면 내촌리 436</t>
    <phoneticPr fontId="3" type="noConversion"/>
  </si>
  <si>
    <t>접촉산화식</t>
    <phoneticPr fontId="3" type="noConversion"/>
  </si>
  <si>
    <t xml:space="preserve">
539-3533</t>
    <phoneticPr fontId="3" type="noConversion"/>
  </si>
  <si>
    <t>98
12.24</t>
    <phoneticPr fontId="3" type="noConversion"/>
  </si>
  <si>
    <t>가암</t>
    <phoneticPr fontId="3" type="noConversion"/>
  </si>
  <si>
    <t>진천읍 가산리 194</t>
    <phoneticPr fontId="3" type="noConversion"/>
  </si>
  <si>
    <t>미생물조정조효율처리공법</t>
    <phoneticPr fontId="3" type="noConversion"/>
  </si>
  <si>
    <t>539-3114</t>
    <phoneticPr fontId="3" type="noConversion"/>
  </si>
  <si>
    <t>02
08.30</t>
    <phoneticPr fontId="3" type="noConversion"/>
  </si>
  <si>
    <t>초평면 용정리 411-2</t>
    <phoneticPr fontId="3" type="noConversion"/>
  </si>
  <si>
    <t>접촉폭기공법</t>
    <phoneticPr fontId="3" type="noConversion"/>
  </si>
  <si>
    <t>539-3115</t>
    <phoneticPr fontId="3" type="noConversion"/>
  </si>
  <si>
    <t>02
09.24</t>
    <phoneticPr fontId="3" type="noConversion"/>
  </si>
  <si>
    <t>지전</t>
    <phoneticPr fontId="3" type="noConversion"/>
  </si>
  <si>
    <t>초평면 용정리 62</t>
    <phoneticPr fontId="3" type="noConversion"/>
  </si>
  <si>
    <t>호기성 침전지형 고도처리공법</t>
    <phoneticPr fontId="3" type="noConversion"/>
  </si>
  <si>
    <t>539-3116</t>
    <phoneticPr fontId="3" type="noConversion"/>
  </si>
  <si>
    <t>03
12.29</t>
    <phoneticPr fontId="3" type="noConversion"/>
  </si>
  <si>
    <t>석복</t>
    <phoneticPr fontId="3" type="noConversion"/>
  </si>
  <si>
    <t>문백면 봉죽리 29</t>
    <phoneticPr fontId="3" type="noConversion"/>
  </si>
  <si>
    <t>자연여과형 고도 접촉폭기공법</t>
    <phoneticPr fontId="3" type="noConversion"/>
  </si>
  <si>
    <t>539-3117</t>
    <phoneticPr fontId="3" type="noConversion"/>
  </si>
  <si>
    <t>03
12.26</t>
    <phoneticPr fontId="3" type="noConversion"/>
  </si>
  <si>
    <t>궁동</t>
    <phoneticPr fontId="3" type="noConversion"/>
  </si>
  <si>
    <t>이월면 노원리 351-2</t>
    <phoneticPr fontId="3" type="noConversion"/>
  </si>
  <si>
    <t>상향류 다층 생물반응조를 이용한고도처리공법</t>
    <phoneticPr fontId="3" type="noConversion"/>
  </si>
  <si>
    <t>539-3118</t>
    <phoneticPr fontId="3" type="noConversion"/>
  </si>
  <si>
    <t>04
05.25</t>
    <phoneticPr fontId="3" type="noConversion"/>
  </si>
  <si>
    <t>사지</t>
    <phoneticPr fontId="3" type="noConversion"/>
  </si>
  <si>
    <t>이월면 사곡리 976-3</t>
    <phoneticPr fontId="3" type="noConversion"/>
  </si>
  <si>
    <t>539-3119</t>
    <phoneticPr fontId="3" type="noConversion"/>
  </si>
  <si>
    <t>05
12.28</t>
    <phoneticPr fontId="3" type="noConversion"/>
  </si>
  <si>
    <t>중방</t>
    <phoneticPr fontId="3" type="noConversion"/>
  </si>
  <si>
    <t>덕산면 산수리 373-6</t>
    <phoneticPr fontId="3" type="noConversion"/>
  </si>
  <si>
    <t>Y.M접촉산화공법(고도처리)</t>
    <phoneticPr fontId="3" type="noConversion"/>
  </si>
  <si>
    <t>539-3120</t>
    <phoneticPr fontId="3" type="noConversion"/>
  </si>
  <si>
    <t>05
10.04</t>
    <phoneticPr fontId="3" type="noConversion"/>
  </si>
  <si>
    <t>도종</t>
    <phoneticPr fontId="3" type="noConversion"/>
  </si>
  <si>
    <t>이월면 신월리 611-3</t>
    <phoneticPr fontId="3" type="noConversion"/>
  </si>
  <si>
    <t>539-3121</t>
    <phoneticPr fontId="3" type="noConversion"/>
  </si>
  <si>
    <t>06
12.02</t>
    <phoneticPr fontId="3" type="noConversion"/>
  </si>
  <si>
    <t>00.
7.18</t>
    <phoneticPr fontId="3" type="noConversion"/>
  </si>
  <si>
    <t>약품소독</t>
    <phoneticPr fontId="3" type="noConversion"/>
  </si>
  <si>
    <t>삼송</t>
    <phoneticPr fontId="3" type="noConversion"/>
  </si>
  <si>
    <t>청천면 삼송리211</t>
    <phoneticPr fontId="3" type="noConversion"/>
  </si>
  <si>
    <t>호기성침전</t>
    <phoneticPr fontId="3" type="noConversion"/>
  </si>
  <si>
    <t>94.
11.01</t>
    <phoneticPr fontId="3" type="noConversion"/>
  </si>
  <si>
    <t>이평</t>
    <phoneticPr fontId="3" type="noConversion"/>
  </si>
  <si>
    <t>청천면 이평리 288-14</t>
    <phoneticPr fontId="3" type="noConversion"/>
  </si>
  <si>
    <t>96.
01.01</t>
    <phoneticPr fontId="3" type="noConversion"/>
  </si>
  <si>
    <t>송덕</t>
    <phoneticPr fontId="3" type="noConversion"/>
  </si>
  <si>
    <t>장연면 송덕리 639-19</t>
    <phoneticPr fontId="3" type="noConversion"/>
  </si>
  <si>
    <t>97.
01.01</t>
    <phoneticPr fontId="3" type="noConversion"/>
  </si>
  <si>
    <t>관평</t>
    <phoneticPr fontId="3" type="noConversion"/>
  </si>
  <si>
    <t>청천면 관평리 10</t>
    <phoneticPr fontId="3" type="noConversion"/>
  </si>
  <si>
    <t>98.
06.01</t>
    <phoneticPr fontId="3" type="noConversion"/>
  </si>
  <si>
    <t>아성</t>
    <phoneticPr fontId="3" type="noConversion"/>
  </si>
  <si>
    <t>소수면 아성리 353-8</t>
    <phoneticPr fontId="3" type="noConversion"/>
  </si>
  <si>
    <t>99.
12.01</t>
    <phoneticPr fontId="3" type="noConversion"/>
  </si>
  <si>
    <t>사오랑</t>
    <phoneticPr fontId="3" type="noConversion"/>
  </si>
  <si>
    <t>칠성면 사은리 488</t>
    <phoneticPr fontId="3" type="noConversion"/>
  </si>
  <si>
    <t>01.
08.01</t>
    <phoneticPr fontId="3" type="noConversion"/>
  </si>
  <si>
    <t>하산</t>
    <phoneticPr fontId="3" type="noConversion"/>
  </si>
  <si>
    <t>불정면 창산리 50-1</t>
    <phoneticPr fontId="3" type="noConversion"/>
  </si>
  <si>
    <t>01.
12.01</t>
    <phoneticPr fontId="3" type="noConversion"/>
  </si>
  <si>
    <t>화양동</t>
    <phoneticPr fontId="3" type="noConversion"/>
  </si>
  <si>
    <t>청천면 화양리 456</t>
    <phoneticPr fontId="3" type="noConversion"/>
  </si>
  <si>
    <t>사담</t>
    <phoneticPr fontId="3" type="noConversion"/>
  </si>
  <si>
    <t>사리면 사담리 960</t>
    <phoneticPr fontId="3" type="noConversion"/>
  </si>
  <si>
    <t>MBR</t>
    <phoneticPr fontId="3" type="noConversion"/>
  </si>
  <si>
    <t>98.
05.01</t>
    <phoneticPr fontId="3" type="noConversion"/>
  </si>
  <si>
    <t>새골</t>
    <phoneticPr fontId="3" type="noConversion"/>
  </si>
  <si>
    <t>청안면 금신리 554-2</t>
    <phoneticPr fontId="3" type="noConversion"/>
  </si>
  <si>
    <t>03.
01.01</t>
    <phoneticPr fontId="3" type="noConversion"/>
  </si>
  <si>
    <t>연풍면 원풍리 682</t>
    <phoneticPr fontId="3" type="noConversion"/>
  </si>
  <si>
    <t>05.
04.01</t>
    <phoneticPr fontId="3" type="noConversion"/>
  </si>
  <si>
    <t>잉어수</t>
    <phoneticPr fontId="3" type="noConversion"/>
  </si>
  <si>
    <t>감물면 이담리 129-1</t>
    <phoneticPr fontId="3" type="noConversion"/>
  </si>
  <si>
    <t>쌍곡</t>
    <phoneticPr fontId="3" type="noConversion"/>
  </si>
  <si>
    <t>칠성면 쌍곡리 214</t>
    <phoneticPr fontId="3" type="noConversion"/>
  </si>
  <si>
    <t>05.
10.01</t>
    <phoneticPr fontId="3" type="noConversion"/>
  </si>
  <si>
    <t>청안</t>
    <phoneticPr fontId="3" type="noConversion"/>
  </si>
  <si>
    <t>청안면 읍내리 380-2</t>
    <phoneticPr fontId="3" type="noConversion"/>
  </si>
  <si>
    <t>청천</t>
    <phoneticPr fontId="3" type="noConversion"/>
  </si>
  <si>
    <t>청천면 선평리 290-16</t>
    <phoneticPr fontId="3" type="noConversion"/>
  </si>
  <si>
    <t>음성읍 평곡리 45번지</t>
    <phoneticPr fontId="3" type="noConversion"/>
  </si>
  <si>
    <t>99.
09.01</t>
    <phoneticPr fontId="3" type="noConversion"/>
  </si>
  <si>
    <t>금왕읍 각회리 352번지</t>
    <phoneticPr fontId="3" type="noConversion"/>
  </si>
  <si>
    <t>BNR-3</t>
    <phoneticPr fontId="3" type="noConversion"/>
  </si>
  <si>
    <t>01.
12.22</t>
    <phoneticPr fontId="3" type="noConversion"/>
  </si>
  <si>
    <t>대소문화</t>
    <phoneticPr fontId="3" type="noConversion"/>
  </si>
  <si>
    <t>대소면 태생리 548-1</t>
    <phoneticPr fontId="3" type="noConversion"/>
  </si>
  <si>
    <t xml:space="preserve">
883-7900</t>
    <phoneticPr fontId="3" type="noConversion"/>
  </si>
  <si>
    <t>98.
11.11</t>
    <phoneticPr fontId="3" type="noConversion"/>
  </si>
  <si>
    <t>태생리</t>
    <phoneticPr fontId="3" type="noConversion"/>
  </si>
  <si>
    <t>대소면 태생리 310-11</t>
    <phoneticPr fontId="3" type="noConversion"/>
  </si>
  <si>
    <t>흡수바이오리엑터</t>
    <phoneticPr fontId="3" type="noConversion"/>
  </si>
  <si>
    <t>01.
10.11</t>
    <phoneticPr fontId="3" type="noConversion"/>
  </si>
  <si>
    <t>부윤리</t>
    <phoneticPr fontId="3" type="noConversion"/>
  </si>
  <si>
    <t>대소면 부윤리82</t>
    <phoneticPr fontId="3" type="noConversion"/>
  </si>
  <si>
    <t>호기성침전지형고도처리공법</t>
    <phoneticPr fontId="3" type="noConversion"/>
  </si>
  <si>
    <t>04.
09.11</t>
    <phoneticPr fontId="3" type="noConversion"/>
  </si>
  <si>
    <t>미곡리</t>
    <phoneticPr fontId="3" type="noConversion"/>
  </si>
  <si>
    <t>대소면 미곡리119</t>
    <phoneticPr fontId="3" type="noConversion"/>
  </si>
  <si>
    <t>07.
1.19</t>
    <phoneticPr fontId="3" type="noConversion"/>
  </si>
  <si>
    <t>삼성문화</t>
    <phoneticPr fontId="3" type="noConversion"/>
  </si>
  <si>
    <t>삼성면 덕정리1281</t>
    <phoneticPr fontId="3" type="noConversion"/>
  </si>
  <si>
    <t>변형회분식슬러지법</t>
    <phoneticPr fontId="3" type="noConversion"/>
  </si>
  <si>
    <t>877-0456</t>
    <phoneticPr fontId="3" type="noConversion"/>
  </si>
  <si>
    <t>02.
01.10</t>
    <phoneticPr fontId="3" type="noConversion"/>
  </si>
  <si>
    <t>생극면 신양리716</t>
    <phoneticPr fontId="3" type="noConversion"/>
  </si>
  <si>
    <t>KIDIA</t>
    <phoneticPr fontId="3" type="noConversion"/>
  </si>
  <si>
    <t>06.
11.25</t>
    <phoneticPr fontId="3" type="noConversion"/>
  </si>
  <si>
    <t>생극문화</t>
    <phoneticPr fontId="3" type="noConversion"/>
  </si>
  <si>
    <t>생극면 병암리 1119</t>
    <phoneticPr fontId="3" type="noConversion"/>
  </si>
  <si>
    <t>03.
01.13</t>
    <phoneticPr fontId="3" type="noConversion"/>
  </si>
  <si>
    <t>단양읍 상진리 234-1</t>
    <phoneticPr fontId="3" type="noConversion"/>
  </si>
  <si>
    <t>423-6067</t>
    <phoneticPr fontId="3" type="noConversion"/>
  </si>
  <si>
    <t>94.
5.1</t>
    <phoneticPr fontId="3" type="noConversion"/>
  </si>
  <si>
    <t>매포읍 하괴리 200-10</t>
    <phoneticPr fontId="3" type="noConversion"/>
  </si>
  <si>
    <t>연속회분식
활성슬러지법</t>
    <phoneticPr fontId="3" type="noConversion"/>
  </si>
  <si>
    <t>420-3375</t>
    <phoneticPr fontId="3" type="noConversion"/>
  </si>
  <si>
    <t>04.
9.11</t>
    <phoneticPr fontId="3" type="noConversion"/>
  </si>
  <si>
    <t>가대리</t>
    <phoneticPr fontId="3" type="noConversion"/>
  </si>
  <si>
    <t>가곡면 가대리 185-2</t>
    <phoneticPr fontId="3" type="noConversion"/>
  </si>
  <si>
    <t>고효율합병정화조</t>
    <phoneticPr fontId="3" type="noConversion"/>
  </si>
  <si>
    <t>420-3332</t>
    <phoneticPr fontId="3" type="noConversion"/>
  </si>
  <si>
    <t>99.
1.17</t>
    <phoneticPr fontId="3" type="noConversion"/>
  </si>
  <si>
    <t>두음리</t>
    <phoneticPr fontId="3" type="noConversion"/>
  </si>
  <si>
    <t>대강면 두음리 600</t>
    <phoneticPr fontId="3" type="noConversion"/>
  </si>
  <si>
    <t>토양피복형
접촉산화법</t>
    <phoneticPr fontId="3" type="noConversion"/>
  </si>
  <si>
    <t>420-3175</t>
    <phoneticPr fontId="3" type="noConversion"/>
  </si>
  <si>
    <t>95.
5.18</t>
    <phoneticPr fontId="3" type="noConversion"/>
  </si>
  <si>
    <t>북상리</t>
    <phoneticPr fontId="3" type="noConversion"/>
  </si>
  <si>
    <t>단성면 북상리 104-2</t>
    <phoneticPr fontId="3" type="noConversion"/>
  </si>
  <si>
    <t>98.
5.30</t>
    <phoneticPr fontId="3" type="noConversion"/>
  </si>
  <si>
    <t>신방동 702-1</t>
    <phoneticPr fontId="3" type="noConversion"/>
  </si>
  <si>
    <t>521-2831</t>
    <phoneticPr fontId="3" type="noConversion"/>
  </si>
  <si>
    <t>05. 3. 1</t>
    <phoneticPr fontId="3" type="noConversion"/>
  </si>
  <si>
    <t>천안천</t>
    <phoneticPr fontId="3" type="noConversion"/>
  </si>
  <si>
    <t>성환읍 복모리 188-3</t>
    <phoneticPr fontId="3" type="noConversion"/>
  </si>
  <si>
    <t>582-4178</t>
    <phoneticPr fontId="3" type="noConversion"/>
  </si>
  <si>
    <t>94. 9.24</t>
    <phoneticPr fontId="3" type="noConversion"/>
  </si>
  <si>
    <t>성환천</t>
    <phoneticPr fontId="3" type="noConversion"/>
  </si>
  <si>
    <t>HBR-Ⅱ  고도처리</t>
    <phoneticPr fontId="3" type="noConversion"/>
  </si>
  <si>
    <t>855-7195</t>
    <phoneticPr fontId="3" type="noConversion"/>
  </si>
  <si>
    <t>96.5.28</t>
    <phoneticPr fontId="3" type="noConversion"/>
  </si>
  <si>
    <t>무</t>
    <phoneticPr fontId="3" type="noConversion"/>
  </si>
  <si>
    <t>유구</t>
    <phoneticPr fontId="3" type="noConversion"/>
  </si>
  <si>
    <t>유구읍만천리287-1</t>
    <phoneticPr fontId="3" type="noConversion"/>
  </si>
  <si>
    <t>841-8263</t>
    <phoneticPr fontId="3" type="noConversion"/>
  </si>
  <si>
    <t>공암</t>
    <phoneticPr fontId="3" type="noConversion"/>
  </si>
  <si>
    <t>반포면송곡리459-32</t>
    <phoneticPr fontId="3" type="noConversion"/>
  </si>
  <si>
    <t>용수천</t>
    <phoneticPr fontId="3" type="noConversion"/>
  </si>
  <si>
    <t>동학사</t>
    <phoneticPr fontId="3" type="noConversion"/>
  </si>
  <si>
    <t>반포면온천리433-184</t>
    <phoneticPr fontId="3" type="noConversion"/>
  </si>
  <si>
    <t>계룡문화</t>
    <phoneticPr fontId="3" type="noConversion"/>
  </si>
  <si>
    <t>계룡면 월암리 127-1</t>
    <phoneticPr fontId="3" type="noConversion"/>
  </si>
  <si>
    <t>토양피복형접촉산화법</t>
    <phoneticPr fontId="3" type="noConversion"/>
  </si>
  <si>
    <t>94.12.23.</t>
    <phoneticPr fontId="3" type="noConversion"/>
  </si>
  <si>
    <t>월암천</t>
    <phoneticPr fontId="3" type="noConversion"/>
  </si>
  <si>
    <t>의당문화</t>
    <phoneticPr fontId="3" type="noConversion"/>
  </si>
  <si>
    <t>의당면 청룡리 667-31</t>
    <phoneticPr fontId="3" type="noConversion"/>
  </si>
  <si>
    <t>97.3.1</t>
    <phoneticPr fontId="3" type="noConversion"/>
  </si>
  <si>
    <t>정안천</t>
    <phoneticPr fontId="3" type="noConversion"/>
  </si>
  <si>
    <t>우성문화</t>
    <phoneticPr fontId="3" type="noConversion"/>
  </si>
  <si>
    <t>우성면 단지리 57-2</t>
    <phoneticPr fontId="3" type="noConversion"/>
  </si>
  <si>
    <t>02.1.1</t>
    <phoneticPr fontId="3" type="noConversion"/>
  </si>
  <si>
    <t>상왕</t>
    <phoneticPr fontId="3" type="noConversion"/>
  </si>
  <si>
    <t>옥룡동 상왕통 547</t>
    <phoneticPr fontId="3" type="noConversion"/>
  </si>
  <si>
    <t>왕촌천</t>
    <phoneticPr fontId="3" type="noConversion"/>
  </si>
  <si>
    <t>원골</t>
    <phoneticPr fontId="3" type="noConversion"/>
  </si>
  <si>
    <t>신풍면 동원리 477</t>
    <phoneticPr fontId="3" type="noConversion"/>
  </si>
  <si>
    <t>99.12.1</t>
    <phoneticPr fontId="3" type="noConversion"/>
  </si>
  <si>
    <t>대천동845</t>
    <phoneticPr fontId="3" type="noConversion"/>
  </si>
  <si>
    <t>2001.08.25.</t>
    <phoneticPr fontId="3" type="noConversion"/>
  </si>
  <si>
    <t>무소독</t>
    <phoneticPr fontId="3" type="noConversion"/>
  </si>
  <si>
    <t>신흑동1675</t>
    <phoneticPr fontId="3" type="noConversion"/>
  </si>
  <si>
    <t>ACS공법</t>
    <phoneticPr fontId="3" type="noConversion"/>
  </si>
  <si>
    <t>2005.01.23.</t>
    <phoneticPr fontId="3" type="noConversion"/>
  </si>
  <si>
    <t>협약위탁</t>
    <phoneticPr fontId="3" type="noConversion"/>
  </si>
  <si>
    <t>소독</t>
    <phoneticPr fontId="3" type="noConversion"/>
  </si>
  <si>
    <t>죽도관광지</t>
    <phoneticPr fontId="3" type="noConversion"/>
  </si>
  <si>
    <t>남포면 창동1리</t>
    <phoneticPr fontId="3" type="noConversion"/>
  </si>
  <si>
    <t>완전침지형회전매체를 이용한하수고도처리</t>
    <phoneticPr fontId="3" type="noConversion"/>
  </si>
  <si>
    <t>2006.01.</t>
    <phoneticPr fontId="3" type="noConversion"/>
  </si>
  <si>
    <t>라원지구</t>
  </si>
  <si>
    <t>라원리</t>
  </si>
  <si>
    <t>고효율</t>
    <phoneticPr fontId="3" type="noConversion"/>
  </si>
  <si>
    <t>2001.03.</t>
  </si>
  <si>
    <t>없음</t>
  </si>
  <si>
    <t>상중천</t>
  </si>
  <si>
    <t>상중지구</t>
  </si>
  <si>
    <t>2001.12.</t>
  </si>
  <si>
    <t>수부(수안)</t>
  </si>
  <si>
    <t>수부리</t>
  </si>
  <si>
    <t>웅천천</t>
  </si>
  <si>
    <t>내평(안터)</t>
  </si>
  <si>
    <t>내평리</t>
  </si>
  <si>
    <t>2000.11.</t>
  </si>
  <si>
    <t>소하천</t>
  </si>
  <si>
    <t>옥서(월촌)
지구</t>
    <phoneticPr fontId="3" type="noConversion"/>
  </si>
  <si>
    <t>옥서리</t>
  </si>
  <si>
    <t>남포천</t>
  </si>
  <si>
    <t>갈현지구</t>
  </si>
  <si>
    <t>갈현리</t>
  </si>
  <si>
    <t>호도지구</t>
    <phoneticPr fontId="3" type="noConversion"/>
  </si>
  <si>
    <t>녹도리</t>
    <phoneticPr fontId="3" type="noConversion"/>
  </si>
  <si>
    <t>남포</t>
    <phoneticPr fontId="3" type="noConversion"/>
  </si>
  <si>
    <t>남포면 옥서리277-1</t>
    <phoneticPr fontId="3" type="noConversion"/>
  </si>
  <si>
    <t>BC-SMMIAR</t>
    <phoneticPr fontId="3" type="noConversion"/>
  </si>
  <si>
    <t>2005.04.</t>
    <phoneticPr fontId="3" type="noConversion"/>
  </si>
  <si>
    <t>개화리 174-2</t>
    <phoneticPr fontId="3" type="noConversion"/>
  </si>
  <si>
    <t>회분식활성슬러지</t>
    <phoneticPr fontId="3" type="noConversion"/>
  </si>
  <si>
    <t>2001.12.31.</t>
    <phoneticPr fontId="3" type="noConversion"/>
  </si>
  <si>
    <t>성주천</t>
    <phoneticPr fontId="3" type="noConversion"/>
  </si>
  <si>
    <t>주교</t>
    <phoneticPr fontId="3" type="noConversion"/>
  </si>
  <si>
    <t>주교면 신대리1062-1</t>
    <phoneticPr fontId="3" type="noConversion"/>
  </si>
  <si>
    <t>고효율
합병정화</t>
    <phoneticPr fontId="3" type="noConversion"/>
  </si>
  <si>
    <t>소하천</t>
    <phoneticPr fontId="3" type="noConversion"/>
  </si>
  <si>
    <t>실옥동 283-5</t>
    <phoneticPr fontId="3" type="noConversion"/>
  </si>
  <si>
    <t>96.11</t>
    <phoneticPr fontId="3" type="noConversion"/>
  </si>
  <si>
    <t>월랑지구</t>
    <phoneticPr fontId="3" type="noConversion"/>
  </si>
  <si>
    <t>음봉면 월랑리 320-2</t>
    <phoneticPr fontId="3" type="noConversion"/>
  </si>
  <si>
    <t>02.08</t>
    <phoneticPr fontId="3" type="noConversion"/>
  </si>
  <si>
    <t>매곡천</t>
    <phoneticPr fontId="3" type="noConversion"/>
  </si>
  <si>
    <t>봉농지구</t>
    <phoneticPr fontId="3" type="noConversion"/>
  </si>
  <si>
    <t>도고면 봉농리 273-2</t>
    <phoneticPr fontId="3" type="noConversion"/>
  </si>
  <si>
    <t>봉농천</t>
    <phoneticPr fontId="3" type="noConversion"/>
  </si>
  <si>
    <t>신항지구</t>
    <phoneticPr fontId="3" type="noConversion"/>
  </si>
  <si>
    <t>둔포면 신항리 573</t>
    <phoneticPr fontId="3" type="noConversion"/>
  </si>
  <si>
    <t>관대지구</t>
    <phoneticPr fontId="3" type="noConversion"/>
  </si>
  <si>
    <t>둔포면 관대리 573</t>
    <phoneticPr fontId="3" type="noConversion"/>
  </si>
  <si>
    <t>05.12.</t>
    <phoneticPr fontId="3" type="noConversion"/>
  </si>
  <si>
    <t>대정·장곳지구</t>
    <phoneticPr fontId="3" type="noConversion"/>
  </si>
  <si>
    <t>선장면 대정리,장곳리</t>
    <phoneticPr fontId="3" type="noConversion"/>
  </si>
  <si>
    <t>06.12.</t>
    <phoneticPr fontId="3" type="noConversion"/>
  </si>
  <si>
    <t>동화지구</t>
    <phoneticPr fontId="3" type="noConversion"/>
  </si>
  <si>
    <t>송악면 동화리</t>
    <phoneticPr fontId="3" type="noConversion"/>
  </si>
  <si>
    <t>양대동801</t>
    <phoneticPr fontId="3" type="noConversion"/>
  </si>
  <si>
    <t>99.12.29</t>
    <phoneticPr fontId="3" type="noConversion"/>
  </si>
  <si>
    <t>음암</t>
    <phoneticPr fontId="3" type="noConversion"/>
  </si>
  <si>
    <t>음암면 도당리</t>
    <phoneticPr fontId="3" type="noConversion"/>
  </si>
  <si>
    <t>06.9.1</t>
    <phoneticPr fontId="3" type="noConversion"/>
  </si>
  <si>
    <t>도당</t>
    <phoneticPr fontId="3" type="noConversion"/>
  </si>
  <si>
    <t>음암면 부장리</t>
    <phoneticPr fontId="3" type="noConversion"/>
  </si>
  <si>
    <t>해변지구</t>
    <phoneticPr fontId="3" type="noConversion"/>
  </si>
  <si>
    <t>부석면창리</t>
    <phoneticPr fontId="3" type="noConversion"/>
  </si>
  <si>
    <t>현수미생물산화접촉법</t>
    <phoneticPr fontId="3" type="noConversion"/>
  </si>
  <si>
    <t>93.12.1</t>
    <phoneticPr fontId="3" type="noConversion"/>
  </si>
  <si>
    <t>노라포지구</t>
    <phoneticPr fontId="3" type="noConversion"/>
  </si>
  <si>
    <t>부석면봉락리</t>
    <phoneticPr fontId="3" type="noConversion"/>
  </si>
  <si>
    <t>04.12.</t>
    <phoneticPr fontId="3" type="noConversion"/>
  </si>
  <si>
    <t>홍주지구</t>
    <phoneticPr fontId="3" type="noConversion"/>
  </si>
  <si>
    <t>고북면용암리</t>
    <phoneticPr fontId="3" type="noConversion"/>
  </si>
  <si>
    <t>신촌지구</t>
    <phoneticPr fontId="3" type="noConversion"/>
  </si>
  <si>
    <t>고북면초록리</t>
    <phoneticPr fontId="3" type="noConversion"/>
  </si>
  <si>
    <t>96.12.1</t>
    <phoneticPr fontId="3" type="noConversion"/>
  </si>
  <si>
    <t>고북지구</t>
    <phoneticPr fontId="3" type="noConversion"/>
  </si>
  <si>
    <t>고북면양천리</t>
    <phoneticPr fontId="3" type="noConversion"/>
  </si>
  <si>
    <t>토양피복식접촉산화법</t>
    <phoneticPr fontId="3" type="noConversion"/>
  </si>
  <si>
    <t>730-4752</t>
    <phoneticPr fontId="3" type="noConversion"/>
  </si>
  <si>
    <t>03.7.14</t>
    <phoneticPr fontId="3" type="noConversion"/>
  </si>
  <si>
    <t>광석득윤지구</t>
    <phoneticPr fontId="3" type="noConversion"/>
  </si>
  <si>
    <t>논산시 광석면 득윤리</t>
    <phoneticPr fontId="3" type="noConversion"/>
  </si>
  <si>
    <t>미생물산화촉진법</t>
    <phoneticPr fontId="3" type="noConversion"/>
  </si>
  <si>
    <t>02.5.11</t>
    <phoneticPr fontId="3" type="noConversion"/>
  </si>
  <si>
    <t>부적문화</t>
    <phoneticPr fontId="3" type="noConversion"/>
  </si>
  <si>
    <t>논산시 부적면 마구평리</t>
    <phoneticPr fontId="3" type="noConversion"/>
  </si>
  <si>
    <t>정기포기법</t>
    <phoneticPr fontId="3" type="noConversion"/>
  </si>
  <si>
    <t>양촌면 모촌1리 376-4</t>
    <phoneticPr fontId="3" type="noConversion"/>
  </si>
  <si>
    <t>완천침지형회전매체를이용한 하수고도처리공법</t>
    <phoneticPr fontId="3" type="noConversion"/>
  </si>
  <si>
    <t>06.9</t>
    <phoneticPr fontId="3" type="noConversion"/>
  </si>
  <si>
    <t>벌곡</t>
    <phoneticPr fontId="3" type="noConversion"/>
  </si>
  <si>
    <t>벌곡면수락리265</t>
    <phoneticPr fontId="3" type="noConversion"/>
  </si>
  <si>
    <t>벌곡면수락리 산16-3</t>
    <phoneticPr fontId="3" type="noConversion"/>
  </si>
  <si>
    <t>두마 왕대 108번지</t>
    <phoneticPr fontId="3" type="noConversion"/>
  </si>
  <si>
    <t>DeNiPHo</t>
    <phoneticPr fontId="3" type="noConversion"/>
  </si>
  <si>
    <t>95.04.15</t>
    <phoneticPr fontId="3" type="noConversion"/>
  </si>
  <si>
    <t>금산 금산 신대 46-1</t>
    <phoneticPr fontId="3" type="noConversion"/>
  </si>
  <si>
    <t xml:space="preserve"> '00.4.30</t>
    <phoneticPr fontId="3" type="noConversion"/>
  </si>
  <si>
    <t>수통</t>
    <phoneticPr fontId="3" type="noConversion"/>
  </si>
  <si>
    <t>금산 부리 수통1</t>
    <phoneticPr fontId="3" type="noConversion"/>
  </si>
  <si>
    <t>생물막채널타입반응</t>
    <phoneticPr fontId="3" type="noConversion"/>
  </si>
  <si>
    <t>'04.12.21</t>
    <phoneticPr fontId="3" type="noConversion"/>
  </si>
  <si>
    <t>느재</t>
    <phoneticPr fontId="3" type="noConversion"/>
  </si>
  <si>
    <t>금산 부리 어제1</t>
    <phoneticPr fontId="3" type="noConversion"/>
  </si>
  <si>
    <t>순수미생물 접촉폭기</t>
  </si>
  <si>
    <t>'04.12.26</t>
    <phoneticPr fontId="3" type="noConversion"/>
  </si>
  <si>
    <t>역평</t>
    <phoneticPr fontId="3" type="noConversion"/>
  </si>
  <si>
    <t>금산 남이 역평1</t>
    <phoneticPr fontId="3" type="noConversion"/>
  </si>
  <si>
    <t>현수미생물접촉폭기</t>
    <phoneticPr fontId="3" type="noConversion"/>
  </si>
  <si>
    <t>'01.4.1</t>
    <phoneticPr fontId="3" type="noConversion"/>
  </si>
  <si>
    <t>성당</t>
    <phoneticPr fontId="3" type="noConversion"/>
  </si>
  <si>
    <t>금산 추부 성당</t>
    <phoneticPr fontId="3" type="noConversion"/>
  </si>
  <si>
    <t>피복미생물접촉폭기</t>
    <phoneticPr fontId="3" type="noConversion"/>
  </si>
  <si>
    <t>'01.12.31</t>
    <phoneticPr fontId="3" type="noConversion"/>
  </si>
  <si>
    <t>추정</t>
    <phoneticPr fontId="3" type="noConversion"/>
  </si>
  <si>
    <t>금산 추부 추정1</t>
    <phoneticPr fontId="3" type="noConversion"/>
  </si>
  <si>
    <t>금산 추부 추정2</t>
    <phoneticPr fontId="3" type="noConversion"/>
  </si>
  <si>
    <t>Denipho공법</t>
    <phoneticPr fontId="3" type="noConversion"/>
  </si>
  <si>
    <t>98.10.1
06.9.25(고도처리)</t>
    <phoneticPr fontId="3" type="noConversion"/>
  </si>
  <si>
    <t>연기군 전의면 금사리 120-5</t>
    <phoneticPr fontId="3" type="noConversion"/>
  </si>
  <si>
    <t>01.12.18</t>
    <phoneticPr fontId="3" type="noConversion"/>
  </si>
  <si>
    <t>연기군 전의면 신정리567-11</t>
    <phoneticPr fontId="3" type="noConversion"/>
  </si>
  <si>
    <t>고도처리(CBT)</t>
    <phoneticPr fontId="3" type="noConversion"/>
  </si>
  <si>
    <t>04.10.3</t>
    <phoneticPr fontId="3" type="noConversion"/>
  </si>
  <si>
    <t>달전</t>
    <phoneticPr fontId="3" type="noConversion"/>
  </si>
  <si>
    <t>연기군 전의면 달전리 277-1</t>
    <phoneticPr fontId="3" type="noConversion"/>
  </si>
  <si>
    <t>국촌리</t>
    <phoneticPr fontId="3" type="noConversion"/>
  </si>
  <si>
    <t>연기군 서면 국촌리</t>
    <phoneticPr fontId="3" type="noConversion"/>
  </si>
  <si>
    <t>00.12.28</t>
    <phoneticPr fontId="3" type="noConversion"/>
  </si>
  <si>
    <t>국촌천</t>
    <phoneticPr fontId="3" type="noConversion"/>
  </si>
  <si>
    <t>송담문화</t>
    <phoneticPr fontId="3" type="noConversion"/>
  </si>
  <si>
    <t>연기군 남면 송담2리</t>
    <phoneticPr fontId="3" type="noConversion"/>
  </si>
  <si>
    <t>01.12.</t>
    <phoneticPr fontId="3" type="noConversion"/>
  </si>
  <si>
    <t>감성</t>
    <phoneticPr fontId="3" type="noConversion"/>
  </si>
  <si>
    <t>연기군 금남면 감성리53-1</t>
    <phoneticPr fontId="3" type="noConversion"/>
  </si>
  <si>
    <t>01.5.8</t>
    <phoneticPr fontId="3" type="noConversion"/>
  </si>
  <si>
    <t>노장</t>
    <phoneticPr fontId="3" type="noConversion"/>
  </si>
  <si>
    <t>연기군 전동면 노장리640-8</t>
    <phoneticPr fontId="3" type="noConversion"/>
  </si>
  <si>
    <t>고도처리(SMMIAR)</t>
    <phoneticPr fontId="3" type="noConversion"/>
  </si>
  <si>
    <t>03.11.20</t>
    <phoneticPr fontId="3" type="noConversion"/>
  </si>
  <si>
    <t>고등</t>
    <phoneticPr fontId="3" type="noConversion"/>
  </si>
  <si>
    <t>연기군 소정면 고등리 352-1</t>
    <phoneticPr fontId="3" type="noConversion"/>
  </si>
  <si>
    <t>01.12.28</t>
    <phoneticPr fontId="3" type="noConversion"/>
  </si>
  <si>
    <t>노송</t>
    <phoneticPr fontId="3" type="noConversion"/>
  </si>
  <si>
    <t>연기군 동면 예양리113-3</t>
    <phoneticPr fontId="3" type="noConversion"/>
  </si>
  <si>
    <t>06.7.18</t>
    <phoneticPr fontId="3" type="noConversion"/>
  </si>
  <si>
    <t>노송천</t>
    <phoneticPr fontId="3" type="noConversion"/>
  </si>
  <si>
    <t>부여군부여읍왕포리</t>
    <phoneticPr fontId="3" type="noConversion"/>
  </si>
  <si>
    <t>03.03.31</t>
    <phoneticPr fontId="3" type="noConversion"/>
  </si>
  <si>
    <t>백제</t>
    <phoneticPr fontId="3" type="noConversion"/>
  </si>
  <si>
    <t>부여군규암면합정리</t>
    <phoneticPr fontId="3" type="noConversion"/>
  </si>
  <si>
    <t>06.11.23</t>
    <phoneticPr fontId="3" type="noConversion"/>
  </si>
  <si>
    <t>규암</t>
    <phoneticPr fontId="3" type="noConversion"/>
  </si>
  <si>
    <t>부여군규암면오수리</t>
    <phoneticPr fontId="3" type="noConversion"/>
  </si>
  <si>
    <t>KDHST</t>
    <phoneticPr fontId="3" type="noConversion"/>
  </si>
  <si>
    <t>00.10.04</t>
    <phoneticPr fontId="3" type="noConversion"/>
  </si>
  <si>
    <t>은산천</t>
    <phoneticPr fontId="3" type="noConversion"/>
  </si>
  <si>
    <t>백강</t>
    <phoneticPr fontId="3" type="noConversion"/>
  </si>
  <si>
    <t>부여군규암면진변리</t>
    <phoneticPr fontId="3" type="noConversion"/>
  </si>
  <si>
    <t>01.12.10</t>
    <phoneticPr fontId="3" type="noConversion"/>
  </si>
  <si>
    <t>부여군규암면합송리</t>
    <phoneticPr fontId="3" type="noConversion"/>
  </si>
  <si>
    <t>00.12.01</t>
    <phoneticPr fontId="3" type="noConversion"/>
  </si>
  <si>
    <t>와라리</t>
    <phoneticPr fontId="3" type="noConversion"/>
  </si>
  <si>
    <t>부여군은산면나령리</t>
    <phoneticPr fontId="3" type="noConversion"/>
  </si>
  <si>
    <t>01.12.01</t>
    <phoneticPr fontId="3" type="noConversion"/>
  </si>
  <si>
    <t>외산</t>
    <phoneticPr fontId="3" type="noConversion"/>
  </si>
  <si>
    <t>부여군외산면만수리</t>
    <phoneticPr fontId="3" type="noConversion"/>
  </si>
  <si>
    <t>반교</t>
    <phoneticPr fontId="3" type="noConversion"/>
  </si>
  <si>
    <t>부여군외산면반교리</t>
    <phoneticPr fontId="3" type="noConversion"/>
  </si>
  <si>
    <t>00.12.08</t>
    <phoneticPr fontId="3" type="noConversion"/>
  </si>
  <si>
    <t>장항</t>
    <phoneticPr fontId="3" type="noConversion"/>
  </si>
  <si>
    <t>부여군외산면장항리</t>
    <phoneticPr fontId="3" type="noConversion"/>
  </si>
  <si>
    <t>01.11.27</t>
    <phoneticPr fontId="3" type="noConversion"/>
  </si>
  <si>
    <t>서운</t>
    <phoneticPr fontId="3" type="noConversion"/>
  </si>
  <si>
    <t>부여군내산면운치</t>
    <phoneticPr fontId="3" type="noConversion"/>
  </si>
  <si>
    <t>부여군옥산면안서리</t>
    <phoneticPr fontId="3" type="noConversion"/>
  </si>
  <si>
    <t>04.07.04</t>
    <phoneticPr fontId="3" type="noConversion"/>
  </si>
  <si>
    <t>석성</t>
    <phoneticPr fontId="3" type="noConversion"/>
  </si>
  <si>
    <t>부여군석성면증산리</t>
    <phoneticPr fontId="3" type="noConversion"/>
  </si>
  <si>
    <t>98.08.30</t>
    <phoneticPr fontId="3" type="noConversion"/>
  </si>
  <si>
    <t>초촌</t>
    <phoneticPr fontId="3" type="noConversion"/>
  </si>
  <si>
    <t>부여군초촌면추양리</t>
    <phoneticPr fontId="3" type="noConversion"/>
  </si>
  <si>
    <t>접촉산화처리공법</t>
    <phoneticPr fontId="3" type="noConversion"/>
  </si>
  <si>
    <t>HBC</t>
    <phoneticPr fontId="3" type="noConversion"/>
  </si>
  <si>
    <t>96.12.30</t>
    <phoneticPr fontId="3" type="noConversion"/>
  </si>
  <si>
    <t>서천읍 군사리</t>
    <phoneticPr fontId="3" type="noConversion"/>
  </si>
  <si>
    <t>953-7595</t>
    <phoneticPr fontId="3" type="noConversion"/>
  </si>
  <si>
    <t>06.2.15</t>
    <phoneticPr fontId="3" type="noConversion"/>
  </si>
  <si>
    <t>판교천</t>
    <phoneticPr fontId="3" type="noConversion"/>
  </si>
  <si>
    <t>지현1</t>
    <phoneticPr fontId="3" type="noConversion"/>
  </si>
  <si>
    <t>한산면 지현리 72</t>
    <phoneticPr fontId="3" type="noConversion"/>
  </si>
  <si>
    <t>고효율
합병정화조</t>
    <phoneticPr fontId="3" type="noConversion"/>
  </si>
  <si>
    <t>953-1943</t>
    <phoneticPr fontId="3" type="noConversion"/>
  </si>
  <si>
    <t>99.12.20.</t>
    <phoneticPr fontId="3" type="noConversion"/>
  </si>
  <si>
    <t>단상천</t>
    <phoneticPr fontId="3" type="noConversion"/>
  </si>
  <si>
    <t>지현2</t>
    <phoneticPr fontId="3" type="noConversion"/>
  </si>
  <si>
    <t>한산면 지현리 71-38</t>
    <phoneticPr fontId="3" type="noConversion"/>
  </si>
  <si>
    <t>01.11.01.</t>
    <phoneticPr fontId="3" type="noConversion"/>
  </si>
  <si>
    <t>여사</t>
    <phoneticPr fontId="3" type="noConversion"/>
  </si>
  <si>
    <t>한산면 여사리 213-8</t>
    <phoneticPr fontId="3" type="noConversion"/>
  </si>
  <si>
    <t>담체계열</t>
    <phoneticPr fontId="3" type="noConversion"/>
  </si>
  <si>
    <t>smmiar공법</t>
    <phoneticPr fontId="3" type="noConversion"/>
  </si>
  <si>
    <t>953-1943</t>
  </si>
  <si>
    <t>04.07.21.</t>
    <phoneticPr fontId="3" type="noConversion"/>
  </si>
  <si>
    <t>여사천</t>
    <phoneticPr fontId="3" type="noConversion"/>
  </si>
  <si>
    <t>합전</t>
    <phoneticPr fontId="3" type="noConversion"/>
  </si>
  <si>
    <t xml:space="preserve">마서면 남전리 465 </t>
    <phoneticPr fontId="3" type="noConversion"/>
  </si>
  <si>
    <t>04.07.05.</t>
    <phoneticPr fontId="3" type="noConversion"/>
  </si>
  <si>
    <t>칠전천</t>
    <phoneticPr fontId="3" type="noConversion"/>
  </si>
  <si>
    <t>덕암</t>
    <phoneticPr fontId="3" type="noConversion"/>
  </si>
  <si>
    <t>마서면 덕암리 101-1</t>
    <phoneticPr fontId="3" type="noConversion"/>
  </si>
  <si>
    <t>완포</t>
    <phoneticPr fontId="3" type="noConversion"/>
  </si>
  <si>
    <t>화양면 완포리 385-1</t>
    <phoneticPr fontId="3" type="noConversion"/>
  </si>
  <si>
    <t>03.05.31.</t>
    <phoneticPr fontId="3" type="noConversion"/>
  </si>
  <si>
    <t xml:space="preserve"> 정좌리129-1</t>
    <phoneticPr fontId="3" type="noConversion"/>
  </si>
  <si>
    <t>회전원판법</t>
    <phoneticPr fontId="3" type="noConversion"/>
  </si>
  <si>
    <t>'02. 1</t>
    <phoneticPr fontId="3" type="noConversion"/>
  </si>
  <si>
    <t>운곡</t>
    <phoneticPr fontId="3" type="noConversion"/>
  </si>
  <si>
    <t>모곡리</t>
    <phoneticPr fontId="3" type="noConversion"/>
  </si>
  <si>
    <t>DMR</t>
    <phoneticPr fontId="3" type="noConversion"/>
  </si>
  <si>
    <t>'06.12</t>
    <phoneticPr fontId="3" type="noConversion"/>
  </si>
  <si>
    <t>신양천</t>
    <phoneticPr fontId="3" type="noConversion"/>
  </si>
  <si>
    <t>삽교천
(서해)</t>
    <phoneticPr fontId="3" type="noConversion"/>
  </si>
  <si>
    <t>장곡</t>
    <phoneticPr fontId="3" type="noConversion"/>
  </si>
  <si>
    <t>장곡리</t>
    <phoneticPr fontId="3" type="noConversion"/>
  </si>
  <si>
    <t>완전침지회전담체</t>
    <phoneticPr fontId="3" type="noConversion"/>
  </si>
  <si>
    <t xml:space="preserve"> 대평리</t>
    <phoneticPr fontId="3" type="noConversion"/>
  </si>
  <si>
    <t>'97.11</t>
    <phoneticPr fontId="3" type="noConversion"/>
  </si>
  <si>
    <t>가야천</t>
    <phoneticPr fontId="3" type="noConversion"/>
  </si>
  <si>
    <t>안심리</t>
    <phoneticPr fontId="3" type="noConversion"/>
  </si>
  <si>
    <t>'04. 6</t>
    <phoneticPr fontId="3" type="noConversion"/>
  </si>
  <si>
    <t>인양</t>
    <phoneticPr fontId="3" type="noConversion"/>
  </si>
  <si>
    <t>인양리</t>
    <phoneticPr fontId="3" type="noConversion"/>
  </si>
  <si>
    <t>'02.11</t>
    <phoneticPr fontId="3" type="noConversion"/>
  </si>
  <si>
    <t>왕진</t>
    <phoneticPr fontId="3" type="noConversion"/>
  </si>
  <si>
    <t>왕진리</t>
    <phoneticPr fontId="3" type="noConversion"/>
  </si>
  <si>
    <t>'01. 6</t>
    <phoneticPr fontId="3" type="noConversion"/>
  </si>
  <si>
    <t>왕진천</t>
    <phoneticPr fontId="3" type="noConversion"/>
  </si>
  <si>
    <t>녹평2</t>
    <phoneticPr fontId="3" type="noConversion"/>
  </si>
  <si>
    <t>녹평리</t>
    <phoneticPr fontId="3" type="noConversion"/>
  </si>
  <si>
    <t>'03. 1</t>
    <phoneticPr fontId="3" type="noConversion"/>
  </si>
  <si>
    <t>장재</t>
    <phoneticPr fontId="3" type="noConversion"/>
  </si>
  <si>
    <t>장재리</t>
    <phoneticPr fontId="3" type="noConversion"/>
  </si>
  <si>
    <t>02. 8</t>
    <phoneticPr fontId="3" type="noConversion"/>
  </si>
  <si>
    <t>홍성읍 내법리 34</t>
    <phoneticPr fontId="3" type="noConversion"/>
  </si>
  <si>
    <t>03.1.12</t>
    <phoneticPr fontId="3" type="noConversion"/>
  </si>
  <si>
    <t>UV소독조</t>
    <phoneticPr fontId="3" type="noConversion"/>
  </si>
  <si>
    <t>광천</t>
    <phoneticPr fontId="3" type="noConversion"/>
  </si>
  <si>
    <t>홍성군 은하면 징척리 1157</t>
    <phoneticPr fontId="3" type="noConversion"/>
  </si>
  <si>
    <t>denipho</t>
    <phoneticPr fontId="3" type="noConversion"/>
  </si>
  <si>
    <t>05.10.1</t>
    <phoneticPr fontId="3" type="noConversion"/>
  </si>
  <si>
    <t>보령담수호</t>
    <phoneticPr fontId="3" type="noConversion"/>
  </si>
  <si>
    <t>천수만</t>
    <phoneticPr fontId="3" type="noConversion"/>
  </si>
  <si>
    <t>예산읍 궁평리 259-1</t>
    <phoneticPr fontId="3" type="noConversion"/>
  </si>
  <si>
    <t>335-8330</t>
    <phoneticPr fontId="3" type="noConversion"/>
  </si>
  <si>
    <t>00.12.10</t>
    <phoneticPr fontId="3" type="noConversion"/>
  </si>
  <si>
    <t>덕산면 신평리 113-5</t>
    <phoneticPr fontId="3" type="noConversion"/>
  </si>
  <si>
    <t>R.B.C</t>
    <phoneticPr fontId="3" type="noConversion"/>
  </si>
  <si>
    <t>337-8330</t>
    <phoneticPr fontId="3" type="noConversion"/>
  </si>
  <si>
    <t>04.8.13</t>
    <phoneticPr fontId="3" type="noConversion"/>
  </si>
  <si>
    <t>삽교</t>
    <phoneticPr fontId="3" type="noConversion"/>
  </si>
  <si>
    <t>삽교읍 성리 251</t>
    <phoneticPr fontId="3" type="noConversion"/>
  </si>
  <si>
    <t>S.B.R</t>
    <phoneticPr fontId="3" type="noConversion"/>
  </si>
  <si>
    <t>337-8332</t>
    <phoneticPr fontId="3" type="noConversion"/>
  </si>
  <si>
    <t>만사지구</t>
    <phoneticPr fontId="3" type="noConversion"/>
  </si>
  <si>
    <t>신양면 만사리 203-10</t>
    <phoneticPr fontId="3" type="noConversion"/>
  </si>
  <si>
    <t>고효율오수처리시설</t>
    <phoneticPr fontId="3" type="noConversion"/>
  </si>
  <si>
    <t>03.5</t>
    <phoneticPr fontId="3" type="noConversion"/>
  </si>
  <si>
    <t>가지지구</t>
    <phoneticPr fontId="3" type="noConversion"/>
  </si>
  <si>
    <t>신양면 가지리 900-9</t>
    <phoneticPr fontId="3" type="noConversion"/>
  </si>
  <si>
    <t>SMMIAR  PROCESS</t>
    <phoneticPr fontId="3" type="noConversion"/>
  </si>
  <si>
    <t>03.12</t>
    <phoneticPr fontId="3" type="noConversion"/>
  </si>
  <si>
    <t>서계양지구</t>
    <phoneticPr fontId="3" type="noConversion"/>
  </si>
  <si>
    <t>신양면 서계양리 471-7</t>
    <phoneticPr fontId="3" type="noConversion"/>
  </si>
  <si>
    <t>마사지구</t>
    <phoneticPr fontId="3" type="noConversion"/>
  </si>
  <si>
    <t>광시면 마사리 46-1</t>
    <phoneticPr fontId="3" type="noConversion"/>
  </si>
  <si>
    <t>99.8</t>
    <phoneticPr fontId="3" type="noConversion"/>
  </si>
  <si>
    <t>마사천</t>
    <phoneticPr fontId="3" type="noConversion"/>
  </si>
  <si>
    <t>태안읍 평천리</t>
    <phoneticPr fontId="3" type="noConversion"/>
  </si>
  <si>
    <t>media</t>
    <phoneticPr fontId="3" type="noConversion"/>
  </si>
  <si>
    <t>Denipho</t>
    <phoneticPr fontId="3" type="noConversion"/>
  </si>
  <si>
    <t>670-2482</t>
    <phoneticPr fontId="3" type="noConversion"/>
  </si>
  <si>
    <t>A2O</t>
    <phoneticPr fontId="3" type="noConversion"/>
  </si>
  <si>
    <t>02.3.25</t>
    <phoneticPr fontId="3" type="noConversion"/>
  </si>
  <si>
    <t>전기
분해</t>
    <phoneticPr fontId="3" type="noConversion"/>
  </si>
  <si>
    <t>승언저수지</t>
    <phoneticPr fontId="3" type="noConversion"/>
  </si>
  <si>
    <t>방포</t>
    <phoneticPr fontId="3" type="noConversion"/>
  </si>
  <si>
    <t>670-2321</t>
    <phoneticPr fontId="3" type="noConversion"/>
  </si>
  <si>
    <t>01.12</t>
    <phoneticPr fontId="3" type="noConversion"/>
  </si>
  <si>
    <t>황도</t>
    <phoneticPr fontId="3" type="noConversion"/>
  </si>
  <si>
    <t>안면읍 황도리</t>
    <phoneticPr fontId="3" type="noConversion"/>
  </si>
  <si>
    <t>04.7</t>
    <phoneticPr fontId="3" type="noConversion"/>
  </si>
  <si>
    <t>가경주</t>
    <phoneticPr fontId="3" type="noConversion"/>
  </si>
  <si>
    <t>고남면 고남리</t>
    <phoneticPr fontId="3" type="noConversion"/>
  </si>
  <si>
    <t>만수동</t>
    <phoneticPr fontId="3" type="noConversion"/>
  </si>
  <si>
    <t>06.8</t>
    <phoneticPr fontId="3" type="noConversion"/>
  </si>
  <si>
    <t>대고지</t>
    <phoneticPr fontId="3" type="noConversion"/>
  </si>
  <si>
    <t>고남면 누동리</t>
    <phoneticPr fontId="3" type="noConversion"/>
  </si>
  <si>
    <t>EP/SBR</t>
    <phoneticPr fontId="3" type="noConversion"/>
  </si>
  <si>
    <t>06.7</t>
    <phoneticPr fontId="3" type="noConversion"/>
  </si>
  <si>
    <t>남면 몽산리</t>
    <phoneticPr fontId="3" type="noConversion"/>
  </si>
  <si>
    <t>안흥신항</t>
    <phoneticPr fontId="3" type="noConversion"/>
  </si>
  <si>
    <t>근흥면 신진도리</t>
    <phoneticPr fontId="3" type="noConversion"/>
  </si>
  <si>
    <t>96.9</t>
    <phoneticPr fontId="3" type="noConversion"/>
  </si>
  <si>
    <t>채석포</t>
    <phoneticPr fontId="3" type="noConversion"/>
  </si>
  <si>
    <t>근흥면 도황리</t>
    <phoneticPr fontId="3" type="noConversion"/>
  </si>
  <si>
    <t>표준활성슬러지</t>
    <phoneticPr fontId="3" type="noConversion"/>
  </si>
  <si>
    <t>01.3</t>
    <phoneticPr fontId="3" type="noConversion"/>
  </si>
  <si>
    <t>정산포</t>
    <phoneticPr fontId="3" type="noConversion"/>
  </si>
  <si>
    <t>근흥면 정죽리</t>
    <phoneticPr fontId="3" type="noConversion"/>
  </si>
  <si>
    <t>구레포</t>
    <phoneticPr fontId="3" type="noConversion"/>
  </si>
  <si>
    <t>원북면 황촌리</t>
    <phoneticPr fontId="3" type="noConversion"/>
  </si>
  <si>
    <t>04.10</t>
    <phoneticPr fontId="3" type="noConversion"/>
  </si>
  <si>
    <t>당진읍 원당리396-1</t>
    <phoneticPr fontId="3" type="noConversion"/>
  </si>
  <si>
    <t>활성슬러지법</t>
    <phoneticPr fontId="3" type="noConversion"/>
  </si>
  <si>
    <t>`01.10</t>
    <phoneticPr fontId="3" type="noConversion"/>
  </si>
  <si>
    <t>당진천</t>
    <phoneticPr fontId="3" type="noConversion"/>
  </si>
  <si>
    <t>석문호</t>
    <phoneticPr fontId="3" type="noConversion"/>
  </si>
  <si>
    <t>고대,부곡</t>
    <phoneticPr fontId="3" type="noConversion"/>
  </si>
  <si>
    <t>송악면 고대리 335</t>
    <phoneticPr fontId="3" type="noConversion"/>
  </si>
  <si>
    <t>mle+화학응집침전</t>
    <phoneticPr fontId="3" type="noConversion"/>
  </si>
  <si>
    <t>357-7337</t>
    <phoneticPr fontId="3" type="noConversion"/>
  </si>
  <si>
    <t>`99.9</t>
    <phoneticPr fontId="3" type="noConversion"/>
  </si>
  <si>
    <t>합덕</t>
    <phoneticPr fontId="3" type="noConversion"/>
  </si>
  <si>
    <t>Bio-SAC   공법</t>
    <phoneticPr fontId="3" type="noConversion"/>
  </si>
  <si>
    <t>362-9421</t>
    <phoneticPr fontId="3" type="noConversion"/>
  </si>
  <si>
    <t>석우천</t>
    <phoneticPr fontId="3" type="noConversion"/>
  </si>
  <si>
    <t>석문지구문화</t>
    <phoneticPr fontId="3" type="noConversion"/>
  </si>
  <si>
    <t>석문면 장고항리 572-2</t>
    <phoneticPr fontId="3" type="noConversion"/>
  </si>
  <si>
    <t>SMMIAR</t>
    <phoneticPr fontId="3" type="noConversion"/>
  </si>
  <si>
    <t>350-3632</t>
    <phoneticPr fontId="3" type="noConversion"/>
  </si>
  <si>
    <t>송천동 2가1035번지</t>
    <phoneticPr fontId="3" type="noConversion"/>
  </si>
  <si>
    <t>CNR,CSBR</t>
    <phoneticPr fontId="3" type="noConversion"/>
  </si>
  <si>
    <t>281-2071</t>
    <phoneticPr fontId="3" type="noConversion"/>
  </si>
  <si>
    <t>1990. 3.30</t>
    <phoneticPr fontId="3" type="noConversion"/>
  </si>
  <si>
    <t>염소,UV</t>
    <phoneticPr fontId="3" type="noConversion"/>
  </si>
  <si>
    <t>우아동 삼천마을</t>
    <phoneticPr fontId="3" type="noConversion"/>
  </si>
  <si>
    <t>고도</t>
    <phoneticPr fontId="3" type="noConversion"/>
  </si>
  <si>
    <t>특허 087272호</t>
    <phoneticPr fontId="3" type="noConversion"/>
  </si>
  <si>
    <t>'05</t>
    <phoneticPr fontId="3" type="noConversion"/>
  </si>
  <si>
    <t>오매</t>
    <phoneticPr fontId="3" type="noConversion"/>
  </si>
  <si>
    <t>호성동 오매마을</t>
    <phoneticPr fontId="3" type="noConversion"/>
  </si>
  <si>
    <t>특허 0275563호</t>
    <phoneticPr fontId="3" type="noConversion"/>
  </si>
  <si>
    <t>삼거</t>
    <phoneticPr fontId="3" type="noConversion"/>
  </si>
  <si>
    <t>우아동 삼거마을</t>
    <phoneticPr fontId="3" type="noConversion"/>
  </si>
  <si>
    <t>원산정</t>
    <phoneticPr fontId="3" type="noConversion"/>
  </si>
  <si>
    <t>우아동 원산정마을</t>
    <phoneticPr fontId="3" type="noConversion"/>
  </si>
  <si>
    <t>'06</t>
    <phoneticPr fontId="3" type="noConversion"/>
  </si>
  <si>
    <t>원석구</t>
    <phoneticPr fontId="3" type="noConversion"/>
  </si>
  <si>
    <t>평화2동 원석구마을</t>
    <phoneticPr fontId="3" type="noConversion"/>
  </si>
  <si>
    <t>특허 0277597호</t>
    <phoneticPr fontId="3" type="noConversion"/>
  </si>
  <si>
    <t>한절</t>
    <phoneticPr fontId="3" type="noConversion"/>
  </si>
  <si>
    <t>효자4동 한절마을</t>
    <phoneticPr fontId="3" type="noConversion"/>
  </si>
  <si>
    <t>특허 0329069호</t>
    <phoneticPr fontId="3" type="noConversion"/>
  </si>
  <si>
    <t>문정</t>
    <phoneticPr fontId="3" type="noConversion"/>
  </si>
  <si>
    <t>평화2동 문정마을</t>
    <phoneticPr fontId="3" type="noConversion"/>
  </si>
  <si>
    <t>황소</t>
    <phoneticPr fontId="3" type="noConversion"/>
  </si>
  <si>
    <t>삼천3동 황소마을</t>
    <phoneticPr fontId="3" type="noConversion"/>
  </si>
  <si>
    <t>소룡동 1584</t>
    <phoneticPr fontId="3" type="noConversion"/>
  </si>
  <si>
    <t>창오</t>
    <phoneticPr fontId="3" type="noConversion"/>
  </si>
  <si>
    <t>성산면 창오리</t>
    <phoneticPr fontId="3" type="noConversion"/>
  </si>
  <si>
    <t>450-6481</t>
    <phoneticPr fontId="3" type="noConversion"/>
  </si>
  <si>
    <t>2002.5.</t>
    <phoneticPr fontId="3" type="noConversion"/>
  </si>
  <si>
    <t>만경</t>
    <phoneticPr fontId="3" type="noConversion"/>
  </si>
  <si>
    <t>원우</t>
    <phoneticPr fontId="3" type="noConversion"/>
  </si>
  <si>
    <t>회현면 원우리</t>
    <phoneticPr fontId="3" type="noConversion"/>
  </si>
  <si>
    <t>호기성침전형</t>
    <phoneticPr fontId="3" type="noConversion"/>
  </si>
  <si>
    <t>2000.8.20</t>
    <phoneticPr fontId="3" type="noConversion"/>
  </si>
  <si>
    <t>영창</t>
    <phoneticPr fontId="3" type="noConversion"/>
  </si>
  <si>
    <t>임피면 영창리</t>
    <phoneticPr fontId="3" type="noConversion"/>
  </si>
  <si>
    <t>_</t>
    <phoneticPr fontId="3" type="noConversion"/>
  </si>
  <si>
    <t>오수합병정화시설</t>
    <phoneticPr fontId="3" type="noConversion"/>
  </si>
  <si>
    <t>가동중지</t>
    <phoneticPr fontId="3" type="noConversion"/>
  </si>
  <si>
    <t>서수</t>
    <phoneticPr fontId="3" type="noConversion"/>
  </si>
  <si>
    <t>서수면 서수리</t>
    <phoneticPr fontId="3" type="noConversion"/>
  </si>
  <si>
    <t>2000.8.30</t>
    <phoneticPr fontId="3" type="noConversion"/>
  </si>
  <si>
    <t>원서포</t>
    <phoneticPr fontId="3" type="noConversion"/>
  </si>
  <si>
    <t>나포면 원서포</t>
    <phoneticPr fontId="3" type="noConversion"/>
  </si>
  <si>
    <t>1998.12.26</t>
    <phoneticPr fontId="3" type="noConversion"/>
  </si>
  <si>
    <t>옥곤</t>
    <phoneticPr fontId="3" type="noConversion"/>
  </si>
  <si>
    <t>나포면 옥곤리</t>
    <phoneticPr fontId="3" type="noConversion"/>
  </si>
  <si>
    <t>토양피복식</t>
    <phoneticPr fontId="3" type="noConversion"/>
  </si>
  <si>
    <t>1995.6.26</t>
    <phoneticPr fontId="3" type="noConversion"/>
  </si>
  <si>
    <t>월하</t>
    <phoneticPr fontId="3" type="noConversion"/>
  </si>
  <si>
    <t>임피면 월하리</t>
    <phoneticPr fontId="3" type="noConversion"/>
  </si>
  <si>
    <t>2002.3.20</t>
    <phoneticPr fontId="3" type="noConversion"/>
  </si>
  <si>
    <t>통사</t>
    <phoneticPr fontId="3" type="noConversion"/>
  </si>
  <si>
    <t>개정면 통사리</t>
    <phoneticPr fontId="3" type="noConversion"/>
  </si>
  <si>
    <t>고도처리시설</t>
    <phoneticPr fontId="3" type="noConversion"/>
  </si>
  <si>
    <t>2004.6.30</t>
    <phoneticPr fontId="3" type="noConversion"/>
  </si>
  <si>
    <t>남수라</t>
    <phoneticPr fontId="3" type="noConversion"/>
  </si>
  <si>
    <t>옥서면 남수라</t>
    <phoneticPr fontId="3" type="noConversion"/>
  </si>
  <si>
    <t>접촉산화포기식</t>
    <phoneticPr fontId="3" type="noConversion"/>
  </si>
  <si>
    <t>1991.11.5</t>
    <phoneticPr fontId="3" type="noConversion"/>
  </si>
  <si>
    <t>연소소독</t>
    <phoneticPr fontId="3" type="noConversion"/>
  </si>
  <si>
    <t>대위</t>
    <phoneticPr fontId="3" type="noConversion"/>
  </si>
  <si>
    <t>회현대위</t>
    <phoneticPr fontId="3" type="noConversion"/>
  </si>
  <si>
    <t>분뇨및고농도오.폐수고도처리공법</t>
    <phoneticPr fontId="3" type="noConversion"/>
  </si>
  <si>
    <t>2004.12.23</t>
    <phoneticPr fontId="3" type="noConversion"/>
  </si>
  <si>
    <t>신동</t>
    <phoneticPr fontId="3" type="noConversion"/>
  </si>
  <si>
    <t>대야신동</t>
    <phoneticPr fontId="3" type="noConversion"/>
  </si>
  <si>
    <t>1995.11.20</t>
    <phoneticPr fontId="3" type="noConversion"/>
  </si>
  <si>
    <t>익산</t>
    <phoneticPr fontId="3" type="noConversion"/>
  </si>
  <si>
    <t>금강동 1091-4</t>
    <phoneticPr fontId="3" type="noConversion"/>
  </si>
  <si>
    <t>1995.07.01</t>
    <phoneticPr fontId="3" type="noConversion"/>
  </si>
  <si>
    <t>함열</t>
    <phoneticPr fontId="3" type="noConversion"/>
  </si>
  <si>
    <t>용안면 덕용리 1062-4</t>
    <phoneticPr fontId="3" type="noConversion"/>
  </si>
  <si>
    <t>862-5801</t>
    <phoneticPr fontId="3" type="noConversion"/>
  </si>
  <si>
    <t>2004.06.13</t>
    <phoneticPr fontId="3" type="noConversion"/>
  </si>
  <si>
    <t>오산문화</t>
    <phoneticPr fontId="3" type="noConversion"/>
  </si>
  <si>
    <t>오산면 신지리 697-14</t>
    <phoneticPr fontId="3" type="noConversion"/>
  </si>
  <si>
    <t>850-4825</t>
    <phoneticPr fontId="3" type="noConversion"/>
  </si>
  <si>
    <t>1997.12.31</t>
    <phoneticPr fontId="3" type="noConversion"/>
  </si>
  <si>
    <t>함라신함</t>
    <phoneticPr fontId="3" type="noConversion"/>
  </si>
  <si>
    <t>함라면 신목리 1364-18</t>
    <phoneticPr fontId="3" type="noConversion"/>
  </si>
  <si>
    <t>1998.12.21</t>
    <phoneticPr fontId="3" type="noConversion"/>
  </si>
  <si>
    <t>춘포판문</t>
    <phoneticPr fontId="3" type="noConversion"/>
  </si>
  <si>
    <t>춘포면 용연리 529-10</t>
    <phoneticPr fontId="3" type="noConversion"/>
  </si>
  <si>
    <t>1998.12.08</t>
    <phoneticPr fontId="3" type="noConversion"/>
  </si>
  <si>
    <t>춘포초삼</t>
    <phoneticPr fontId="3" type="noConversion"/>
  </si>
  <si>
    <t>춘포면 천동리 82-19</t>
    <phoneticPr fontId="3" type="noConversion"/>
  </si>
  <si>
    <t>1999.12.09</t>
    <phoneticPr fontId="3" type="noConversion"/>
  </si>
  <si>
    <t>춘포창평</t>
    <phoneticPr fontId="3" type="noConversion"/>
  </si>
  <si>
    <t>춘포면 창평리 852-14</t>
    <phoneticPr fontId="3" type="noConversion"/>
  </si>
  <si>
    <t>BC-MEDIA</t>
    <phoneticPr fontId="3" type="noConversion"/>
  </si>
  <si>
    <t>2002.12.27</t>
    <phoneticPr fontId="3" type="noConversion"/>
  </si>
  <si>
    <t>왕궁연정</t>
    <phoneticPr fontId="3" type="noConversion"/>
  </si>
  <si>
    <t>왕궁면 동봉리 715-10</t>
    <phoneticPr fontId="3" type="noConversion"/>
  </si>
  <si>
    <t>2001.01.17</t>
    <phoneticPr fontId="3" type="noConversion"/>
  </si>
  <si>
    <t>화평</t>
    <phoneticPr fontId="3" type="noConversion"/>
  </si>
  <si>
    <t>춘포면 인수리 429</t>
    <phoneticPr fontId="3" type="noConversion"/>
  </si>
  <si>
    <t>바이오퍼펙트</t>
    <phoneticPr fontId="3" type="noConversion"/>
  </si>
  <si>
    <t>2005.12.01</t>
    <phoneticPr fontId="3" type="noConversion"/>
  </si>
  <si>
    <t>입석</t>
    <phoneticPr fontId="3" type="noConversion"/>
  </si>
  <si>
    <t>춘포면 쌍정리 328-5</t>
    <phoneticPr fontId="3" type="noConversion"/>
  </si>
  <si>
    <t>분뇨및고농도유기오폐수</t>
    <phoneticPr fontId="3" type="noConversion"/>
  </si>
  <si>
    <t>2005.02.03</t>
    <phoneticPr fontId="3" type="noConversion"/>
  </si>
  <si>
    <t>상발</t>
    <phoneticPr fontId="3" type="noConversion"/>
  </si>
  <si>
    <t>왕궁면 발산리 335-12</t>
    <phoneticPr fontId="3" type="noConversion"/>
  </si>
  <si>
    <t>1997.04.10</t>
    <phoneticPr fontId="3" type="noConversion"/>
  </si>
  <si>
    <t>신왕</t>
    <phoneticPr fontId="3" type="noConversion"/>
  </si>
  <si>
    <t>용동면 대조리 1195-1</t>
    <phoneticPr fontId="3" type="noConversion"/>
  </si>
  <si>
    <t>1995.12.01</t>
    <phoneticPr fontId="3" type="noConversion"/>
  </si>
  <si>
    <t>춘포면 신동리 804-6</t>
    <phoneticPr fontId="3" type="noConversion"/>
  </si>
  <si>
    <t>자연친화무동력</t>
    <phoneticPr fontId="3" type="noConversion"/>
  </si>
  <si>
    <t>2005.06.23</t>
    <phoneticPr fontId="3" type="noConversion"/>
  </si>
  <si>
    <t>동산동 543-14</t>
    <phoneticPr fontId="3" type="noConversion"/>
  </si>
  <si>
    <t>2004.12.24</t>
    <phoneticPr fontId="3" type="noConversion"/>
  </si>
  <si>
    <t>영파동232-1</t>
    <phoneticPr fontId="3" type="noConversion"/>
  </si>
  <si>
    <t xml:space="preserve"> '99.12</t>
    <phoneticPr fontId="3" type="noConversion"/>
  </si>
  <si>
    <t>입암</t>
    <phoneticPr fontId="3" type="noConversion"/>
  </si>
  <si>
    <t>접지리</t>
    <phoneticPr fontId="3" type="noConversion"/>
  </si>
  <si>
    <t>530-7637</t>
    <phoneticPr fontId="3" type="noConversion"/>
  </si>
  <si>
    <t xml:space="preserve"> '99. 9.19</t>
    <phoneticPr fontId="3" type="noConversion"/>
  </si>
  <si>
    <t>천원천</t>
    <phoneticPr fontId="3" type="noConversion"/>
  </si>
  <si>
    <t>태인</t>
    <phoneticPr fontId="3" type="noConversion"/>
  </si>
  <si>
    <t>낙양리</t>
    <phoneticPr fontId="3" type="noConversion"/>
  </si>
  <si>
    <t xml:space="preserve"> '99. 5.27</t>
    <phoneticPr fontId="3" type="noConversion"/>
  </si>
  <si>
    <t>신내천</t>
    <phoneticPr fontId="3" type="noConversion"/>
  </si>
  <si>
    <t>창동리</t>
    <phoneticPr fontId="3" type="noConversion"/>
  </si>
  <si>
    <t xml:space="preserve"> '01. 7.30</t>
    <phoneticPr fontId="3" type="noConversion"/>
  </si>
  <si>
    <t>동진천</t>
    <phoneticPr fontId="3" type="noConversion"/>
  </si>
  <si>
    <t>입석리</t>
    <phoneticPr fontId="3" type="noConversion"/>
  </si>
  <si>
    <t>협기성및 호기성조합</t>
    <phoneticPr fontId="3" type="noConversion"/>
  </si>
  <si>
    <t xml:space="preserve"> '04. 6.1</t>
    <phoneticPr fontId="3" type="noConversion"/>
  </si>
  <si>
    <t>고부천</t>
    <phoneticPr fontId="3" type="noConversion"/>
  </si>
  <si>
    <t>사승</t>
    <phoneticPr fontId="3" type="noConversion"/>
  </si>
  <si>
    <t xml:space="preserve"> '01. 1.16</t>
    <phoneticPr fontId="3" type="noConversion"/>
  </si>
  <si>
    <t>옥정호</t>
    <phoneticPr fontId="3" type="noConversion"/>
  </si>
  <si>
    <t>수침동</t>
    <phoneticPr fontId="3" type="noConversion"/>
  </si>
  <si>
    <t>현수미생물폭기여과법</t>
    <phoneticPr fontId="3" type="noConversion"/>
  </si>
  <si>
    <t>황토</t>
    <phoneticPr fontId="3" type="noConversion"/>
  </si>
  <si>
    <t>이문</t>
    <phoneticPr fontId="3" type="noConversion"/>
  </si>
  <si>
    <t>남산리 이문</t>
    <phoneticPr fontId="3" type="noConversion"/>
  </si>
  <si>
    <t xml:space="preserve"> '04. 5.21</t>
    <phoneticPr fontId="3" type="noConversion"/>
  </si>
  <si>
    <t>서신간이오수</t>
    <phoneticPr fontId="3" type="noConversion"/>
  </si>
  <si>
    <t>신평리 서신</t>
    <phoneticPr fontId="3" type="noConversion"/>
  </si>
  <si>
    <t xml:space="preserve"> '04. 6. 3</t>
    <phoneticPr fontId="3" type="noConversion"/>
  </si>
  <si>
    <t>학동간이오수</t>
    <phoneticPr fontId="3" type="noConversion"/>
  </si>
  <si>
    <t>한교리  학동</t>
    <phoneticPr fontId="3" type="noConversion"/>
  </si>
  <si>
    <t>GBM Plus</t>
    <phoneticPr fontId="3" type="noConversion"/>
  </si>
  <si>
    <t xml:space="preserve"> '06. 6. 7</t>
    <phoneticPr fontId="3" type="noConversion"/>
  </si>
  <si>
    <t>작천간이오수</t>
    <phoneticPr fontId="3" type="noConversion"/>
  </si>
  <si>
    <t>중광리 작천</t>
    <phoneticPr fontId="3" type="noConversion"/>
  </si>
  <si>
    <t>혐기성접촉폭기여과</t>
    <phoneticPr fontId="3" type="noConversion"/>
  </si>
  <si>
    <t xml:space="preserve"> '99.12.27</t>
    <phoneticPr fontId="3" type="noConversion"/>
  </si>
  <si>
    <t>주동1간이오수</t>
    <phoneticPr fontId="3" type="noConversion"/>
  </si>
  <si>
    <t>주천리 주동</t>
    <phoneticPr fontId="3" type="noConversion"/>
  </si>
  <si>
    <t>토양식오수정화</t>
    <phoneticPr fontId="3" type="noConversion"/>
  </si>
  <si>
    <t xml:space="preserve"> '03. 3.31</t>
    <phoneticPr fontId="3" type="noConversion"/>
  </si>
  <si>
    <t>주동2간이오수</t>
    <phoneticPr fontId="3" type="noConversion"/>
  </si>
  <si>
    <t>하만간이오수</t>
    <phoneticPr fontId="3" type="noConversion"/>
  </si>
  <si>
    <t>만수리 하만</t>
    <phoneticPr fontId="3" type="noConversion"/>
  </si>
  <si>
    <t>고농도오폐수처리</t>
    <phoneticPr fontId="3" type="noConversion"/>
  </si>
  <si>
    <t xml:space="preserve"> '98. 5.28</t>
    <phoneticPr fontId="3" type="noConversion"/>
  </si>
  <si>
    <t>북풍간이오수</t>
    <phoneticPr fontId="3" type="noConversion"/>
  </si>
  <si>
    <t>풍월리 북풍</t>
    <phoneticPr fontId="3" type="noConversion"/>
  </si>
  <si>
    <t>혐기성및호기성조합</t>
    <phoneticPr fontId="3" type="noConversion"/>
  </si>
  <si>
    <t xml:space="preserve"> '05. 6.16</t>
    <phoneticPr fontId="3" type="noConversion"/>
  </si>
  <si>
    <t>주산간이오수</t>
    <phoneticPr fontId="3" type="noConversion"/>
  </si>
  <si>
    <t>창동리 주산</t>
    <phoneticPr fontId="3" type="noConversion"/>
  </si>
  <si>
    <t xml:space="preserve"> '93.12.17</t>
    <phoneticPr fontId="3" type="noConversion"/>
  </si>
  <si>
    <t>평령간이오수</t>
    <phoneticPr fontId="3" type="noConversion"/>
  </si>
  <si>
    <t>평령리 평령</t>
    <phoneticPr fontId="3" type="noConversion"/>
  </si>
  <si>
    <t xml:space="preserve"> '06. 6. 3</t>
    <phoneticPr fontId="3" type="noConversion"/>
  </si>
  <si>
    <t>오정간이오수</t>
    <phoneticPr fontId="3" type="noConversion"/>
  </si>
  <si>
    <t>오금리 오정</t>
    <phoneticPr fontId="3" type="noConversion"/>
  </si>
  <si>
    <t xml:space="preserve"> '99. 5.11</t>
    <phoneticPr fontId="3" type="noConversion"/>
  </si>
  <si>
    <t>좌야간이오수</t>
    <phoneticPr fontId="3" type="noConversion"/>
  </si>
  <si>
    <t>수금리 좌야</t>
    <phoneticPr fontId="3" type="noConversion"/>
  </si>
  <si>
    <t>GTBNR-2</t>
    <phoneticPr fontId="3" type="noConversion"/>
  </si>
  <si>
    <t>외장간이오수</t>
    <phoneticPr fontId="3" type="noConversion"/>
  </si>
  <si>
    <t>장순리 외장</t>
    <phoneticPr fontId="3" type="noConversion"/>
  </si>
  <si>
    <t>현수다단계 고도처리</t>
    <phoneticPr fontId="3" type="noConversion"/>
  </si>
  <si>
    <t>원촌간이오수</t>
    <phoneticPr fontId="3" type="noConversion"/>
  </si>
  <si>
    <t>무성리 원촌</t>
    <phoneticPr fontId="3" type="noConversion"/>
  </si>
  <si>
    <t>바이오매트</t>
    <phoneticPr fontId="3" type="noConversion"/>
  </si>
  <si>
    <t xml:space="preserve"> '04. 6.10</t>
    <phoneticPr fontId="3" type="noConversion"/>
  </si>
  <si>
    <t>상일간이오수</t>
    <phoneticPr fontId="3" type="noConversion"/>
  </si>
  <si>
    <t>백암리 상일</t>
    <phoneticPr fontId="3" type="noConversion"/>
  </si>
  <si>
    <t xml:space="preserve"> '04. 1. 7</t>
    <phoneticPr fontId="3" type="noConversion"/>
  </si>
  <si>
    <t>방성동간이오수</t>
    <phoneticPr fontId="3" type="noConversion"/>
  </si>
  <si>
    <t>두월리 방성동</t>
    <phoneticPr fontId="3" type="noConversion"/>
  </si>
  <si>
    <t xml:space="preserve"> '02. 4.11</t>
    <phoneticPr fontId="3" type="noConversion"/>
  </si>
  <si>
    <t>사교간이오수</t>
    <phoneticPr fontId="3" type="noConversion"/>
  </si>
  <si>
    <t>두월리 사교</t>
    <phoneticPr fontId="3" type="noConversion"/>
  </si>
  <si>
    <t>분뇨및고농도유기성</t>
    <phoneticPr fontId="3" type="noConversion"/>
  </si>
  <si>
    <t>상두간이오수</t>
    <phoneticPr fontId="3" type="noConversion"/>
  </si>
  <si>
    <t>두월리 상두</t>
    <phoneticPr fontId="3" type="noConversion"/>
  </si>
  <si>
    <t xml:space="preserve"> '02. 4.26</t>
    <phoneticPr fontId="3" type="noConversion"/>
  </si>
  <si>
    <t>신기간이오수</t>
    <phoneticPr fontId="3" type="noConversion"/>
  </si>
  <si>
    <t>능교리 신기</t>
    <phoneticPr fontId="3" type="noConversion"/>
  </si>
  <si>
    <t>HBR-Ⅱ</t>
    <phoneticPr fontId="3" type="noConversion"/>
  </si>
  <si>
    <t xml:space="preserve"> '03. 4.15</t>
    <phoneticPr fontId="3" type="noConversion"/>
  </si>
  <si>
    <t>자연동간이오수</t>
    <phoneticPr fontId="3" type="noConversion"/>
  </si>
  <si>
    <t>두월리 자연동</t>
    <phoneticPr fontId="3" type="noConversion"/>
  </si>
  <si>
    <t>공동간이오수</t>
    <phoneticPr fontId="3" type="noConversion"/>
  </si>
  <si>
    <t>오공리 공동</t>
    <phoneticPr fontId="3" type="noConversion"/>
  </si>
  <si>
    <t>EBR-S</t>
    <phoneticPr fontId="3" type="noConversion"/>
  </si>
  <si>
    <t>만병간이오수</t>
    <phoneticPr fontId="3" type="noConversion"/>
  </si>
  <si>
    <t>상두리 만병</t>
    <phoneticPr fontId="3" type="noConversion"/>
  </si>
  <si>
    <t>화정간이오수</t>
    <phoneticPr fontId="3" type="noConversion"/>
  </si>
  <si>
    <t>화죽리 화정</t>
    <phoneticPr fontId="3" type="noConversion"/>
  </si>
  <si>
    <t>교효울합병정화조</t>
    <phoneticPr fontId="3" type="noConversion"/>
  </si>
  <si>
    <t xml:space="preserve"> '99.12.23</t>
    <phoneticPr fontId="3" type="noConversion"/>
  </si>
  <si>
    <t>금구간이오수</t>
    <phoneticPr fontId="3" type="noConversion"/>
  </si>
  <si>
    <t>신정동 금구</t>
    <phoneticPr fontId="3" type="noConversion"/>
  </si>
  <si>
    <t>바이오비드</t>
    <phoneticPr fontId="3" type="noConversion"/>
  </si>
  <si>
    <t xml:space="preserve"> '03. 3.26</t>
    <phoneticPr fontId="3" type="noConversion"/>
  </si>
  <si>
    <t>복용간이오수</t>
    <phoneticPr fontId="3" type="noConversion"/>
  </si>
  <si>
    <t>용산동 복용</t>
    <phoneticPr fontId="3" type="noConversion"/>
  </si>
  <si>
    <t>현수다단계고도처리</t>
    <phoneticPr fontId="3" type="noConversion"/>
  </si>
  <si>
    <t xml:space="preserve"> '04. 7.14</t>
    <phoneticPr fontId="3" type="noConversion"/>
  </si>
  <si>
    <t>주생면 중동리 1223</t>
    <phoneticPr fontId="3" type="noConversion"/>
  </si>
  <si>
    <t>95.11.4</t>
    <phoneticPr fontId="3" type="noConversion"/>
  </si>
  <si>
    <t>염소간이소독</t>
    <phoneticPr fontId="3" type="noConversion"/>
  </si>
  <si>
    <t>섬진강(남해)</t>
    <phoneticPr fontId="3" type="noConversion"/>
  </si>
  <si>
    <t>운봉읍 북천2-2</t>
    <phoneticPr fontId="3" type="noConversion"/>
  </si>
  <si>
    <t>620-6853</t>
  </si>
  <si>
    <t>06.5.30</t>
    <phoneticPr fontId="3" type="noConversion"/>
  </si>
  <si>
    <t>인월면 중군리38</t>
    <phoneticPr fontId="3" type="noConversion"/>
  </si>
  <si>
    <t>권포</t>
    <phoneticPr fontId="3" type="noConversion"/>
  </si>
  <si>
    <t>운봉읍권포리 575-4</t>
    <phoneticPr fontId="3" type="noConversion"/>
  </si>
  <si>
    <t>620-6853</t>
    <phoneticPr fontId="3" type="noConversion"/>
  </si>
  <si>
    <t>99.07.03</t>
    <phoneticPr fontId="3" type="noConversion"/>
  </si>
  <si>
    <t xml:space="preserve">운봉읍신기리11-6    </t>
    <phoneticPr fontId="3" type="noConversion"/>
  </si>
  <si>
    <t>SM담체를이용한합병정화조</t>
    <phoneticPr fontId="3" type="noConversion"/>
  </si>
  <si>
    <t>01.01.09</t>
    <phoneticPr fontId="3" type="noConversion"/>
  </si>
  <si>
    <t>비전</t>
    <phoneticPr fontId="3" type="noConversion"/>
  </si>
  <si>
    <t>운봉읍화수리213</t>
    <phoneticPr fontId="3" type="noConversion"/>
  </si>
  <si>
    <t>00.11.11</t>
    <phoneticPr fontId="3" type="noConversion"/>
  </si>
  <si>
    <t>산덕</t>
    <phoneticPr fontId="3" type="noConversion"/>
  </si>
  <si>
    <t>운봉읍산덕리1268-2</t>
    <phoneticPr fontId="3" type="noConversion"/>
  </si>
  <si>
    <t>분뇨및고농도유기오폐수고도처리</t>
    <phoneticPr fontId="3" type="noConversion"/>
  </si>
  <si>
    <t>00.11.30</t>
    <phoneticPr fontId="3" type="noConversion"/>
  </si>
  <si>
    <t>백일</t>
    <phoneticPr fontId="3" type="noConversion"/>
  </si>
  <si>
    <t>산내면백일리119</t>
    <phoneticPr fontId="3" type="noConversion"/>
  </si>
  <si>
    <t>02.01.05</t>
    <phoneticPr fontId="3" type="noConversion"/>
  </si>
  <si>
    <t>원천</t>
    <phoneticPr fontId="3" type="noConversion"/>
  </si>
  <si>
    <t>산내면장항리192</t>
    <phoneticPr fontId="3" type="noConversion"/>
  </si>
  <si>
    <t>담체를이용한유기물및질소인고도처리</t>
    <phoneticPr fontId="3" type="noConversion"/>
  </si>
  <si>
    <t>벌촌</t>
    <phoneticPr fontId="3" type="noConversion"/>
  </si>
  <si>
    <t>보절면황벌리244</t>
    <phoneticPr fontId="3" type="noConversion"/>
  </si>
  <si>
    <t>98.12.30</t>
    <phoneticPr fontId="3" type="noConversion"/>
  </si>
  <si>
    <t>율천</t>
    <phoneticPr fontId="3" type="noConversion"/>
  </si>
  <si>
    <t>진목</t>
    <phoneticPr fontId="3" type="noConversion"/>
  </si>
  <si>
    <t>보절면진기리1478-6</t>
    <phoneticPr fontId="3" type="noConversion"/>
  </si>
  <si>
    <t>주생면제천리1544</t>
    <phoneticPr fontId="3" type="noConversion"/>
  </si>
  <si>
    <t>금지</t>
    <phoneticPr fontId="3" type="noConversion"/>
  </si>
  <si>
    <t>금지면하도리 1117</t>
    <phoneticPr fontId="3" type="noConversion"/>
  </si>
  <si>
    <t>회분식활성슬러지법</t>
    <phoneticPr fontId="3" type="noConversion"/>
  </si>
  <si>
    <t>01.08.30</t>
    <phoneticPr fontId="3" type="noConversion"/>
  </si>
  <si>
    <t>대곡</t>
    <phoneticPr fontId="3" type="noConversion"/>
  </si>
  <si>
    <t>대산면대곡리433-1</t>
    <phoneticPr fontId="3" type="noConversion"/>
  </si>
  <si>
    <t>05.01.24</t>
    <phoneticPr fontId="3" type="noConversion"/>
  </si>
  <si>
    <t>자래간이오수</t>
    <phoneticPr fontId="3" type="noConversion"/>
  </si>
  <si>
    <t>인월면자래리242-1</t>
    <phoneticPr fontId="3" type="noConversion"/>
  </si>
  <si>
    <t>97.12.30</t>
    <phoneticPr fontId="3" type="noConversion"/>
  </si>
  <si>
    <t>반선오수정화</t>
    <phoneticPr fontId="3" type="noConversion"/>
  </si>
  <si>
    <t>산내면부운리산63-1</t>
    <phoneticPr fontId="3" type="noConversion"/>
  </si>
  <si>
    <t>접촉산화방식</t>
    <phoneticPr fontId="3" type="noConversion"/>
  </si>
  <si>
    <t>98.12.26</t>
    <phoneticPr fontId="3" type="noConversion"/>
  </si>
  <si>
    <t>달궁오수정화</t>
    <phoneticPr fontId="3" type="noConversion"/>
  </si>
  <si>
    <t>산내면덕동리산107-6</t>
    <phoneticPr fontId="3" type="noConversion"/>
  </si>
  <si>
    <t>01.12.13</t>
    <phoneticPr fontId="3" type="noConversion"/>
  </si>
  <si>
    <t>덕동오수정화</t>
    <phoneticPr fontId="3" type="noConversion"/>
  </si>
  <si>
    <t>산내면덕동리160-1</t>
    <phoneticPr fontId="3" type="noConversion"/>
  </si>
  <si>
    <t>GBM정화공법</t>
    <phoneticPr fontId="3" type="noConversion"/>
  </si>
  <si>
    <t>03.11.26</t>
    <phoneticPr fontId="3" type="noConversion"/>
  </si>
  <si>
    <t>멤브레인</t>
    <phoneticPr fontId="3" type="noConversion"/>
  </si>
  <si>
    <t>학천오수정화</t>
    <phoneticPr fontId="3" type="noConversion"/>
  </si>
  <si>
    <t>산내면덕동리13-1</t>
    <phoneticPr fontId="3" type="noConversion"/>
  </si>
  <si>
    <t>04.11.12</t>
    <phoneticPr fontId="3" type="noConversion"/>
  </si>
  <si>
    <t>도촌간이오수</t>
    <phoneticPr fontId="3" type="noConversion"/>
  </si>
  <si>
    <t>보절면도룡리567-1</t>
    <phoneticPr fontId="3" type="noConversion"/>
  </si>
  <si>
    <t>04.07.27</t>
    <phoneticPr fontId="3" type="noConversion"/>
  </si>
  <si>
    <t>삼산간이오수</t>
    <phoneticPr fontId="3" type="noConversion"/>
  </si>
  <si>
    <t>운봉읍산덕리815-1</t>
    <phoneticPr fontId="3" type="noConversion"/>
  </si>
  <si>
    <t>고효율지능형정화조</t>
    <phoneticPr fontId="3" type="noConversion"/>
  </si>
  <si>
    <t>05.01.10</t>
    <phoneticPr fontId="3" type="noConversion"/>
  </si>
  <si>
    <t>내기간이오수</t>
    <phoneticPr fontId="3" type="noConversion"/>
  </si>
  <si>
    <t>주천면고기리536</t>
    <phoneticPr fontId="3" type="noConversion"/>
  </si>
  <si>
    <t>A2EBC고도처리</t>
    <phoneticPr fontId="3" type="noConversion"/>
  </si>
  <si>
    <t>05.10.25</t>
    <phoneticPr fontId="3" type="noConversion"/>
  </si>
  <si>
    <t>자오살균기</t>
    <phoneticPr fontId="3" type="noConversion"/>
  </si>
  <si>
    <t>덕평간이오수</t>
    <phoneticPr fontId="3" type="noConversion"/>
  </si>
  <si>
    <t>사매면월평리142-1</t>
    <phoneticPr fontId="3" type="noConversion"/>
  </si>
  <si>
    <t>02.12.23</t>
    <phoneticPr fontId="3" type="noConversion"/>
  </si>
  <si>
    <t>양선간이오수</t>
    <phoneticPr fontId="3" type="noConversion"/>
  </si>
  <si>
    <t>덕과면신양리</t>
    <phoneticPr fontId="3" type="noConversion"/>
  </si>
  <si>
    <t>토양식(생물막트렌치)</t>
    <phoneticPr fontId="3" type="noConversion"/>
  </si>
  <si>
    <t>다산간이오수</t>
    <phoneticPr fontId="3" type="noConversion"/>
  </si>
  <si>
    <t>보절면금다리562</t>
    <phoneticPr fontId="3" type="noConversion"/>
  </si>
  <si>
    <t>05.09.02</t>
    <phoneticPr fontId="3" type="noConversion"/>
  </si>
  <si>
    <t>평촌간이오수</t>
    <phoneticPr fontId="3" type="noConversion"/>
  </si>
  <si>
    <t>이백면평촌리 252-1</t>
    <phoneticPr fontId="3" type="noConversion"/>
  </si>
  <si>
    <t>KSBNR공법</t>
    <phoneticPr fontId="3" type="noConversion"/>
  </si>
  <si>
    <t>05.09.29</t>
    <phoneticPr fontId="3" type="noConversion"/>
  </si>
  <si>
    <t>유곡간이오수</t>
    <phoneticPr fontId="3" type="noConversion"/>
  </si>
  <si>
    <t>인월면유곡리</t>
    <phoneticPr fontId="3" type="noConversion"/>
  </si>
  <si>
    <t>토양식(모관침윤트렌치)</t>
    <phoneticPr fontId="3" type="noConversion"/>
  </si>
  <si>
    <t>성산간이오수</t>
    <phoneticPr fontId="3" type="noConversion"/>
  </si>
  <si>
    <t>인월면성산리</t>
    <phoneticPr fontId="3" type="noConversion"/>
  </si>
  <si>
    <t>97.03.31</t>
    <phoneticPr fontId="3" type="noConversion"/>
  </si>
  <si>
    <t>하성간이오수</t>
    <phoneticPr fontId="3" type="noConversion"/>
  </si>
  <si>
    <t>아영면 성리</t>
    <phoneticPr fontId="3" type="noConversion"/>
  </si>
  <si>
    <t>와운간이오수</t>
    <phoneticPr fontId="3" type="noConversion"/>
  </si>
  <si>
    <t>산내면부운리281-1</t>
    <phoneticPr fontId="3" type="noConversion"/>
  </si>
  <si>
    <t>주촌간이오수</t>
    <phoneticPr fontId="3" type="noConversion"/>
  </si>
  <si>
    <t>운봉읍주촌리</t>
    <phoneticPr fontId="3" type="noConversion"/>
  </si>
  <si>
    <t>고효율합병정화조(개별식)</t>
    <phoneticPr fontId="3" type="noConversion"/>
  </si>
  <si>
    <t>외건간이오수</t>
    <phoneticPr fontId="3" type="noConversion"/>
  </si>
  <si>
    <t>인월면건지리</t>
    <phoneticPr fontId="3" type="noConversion"/>
  </si>
  <si>
    <t>서만간이오수</t>
    <phoneticPr fontId="3" type="noConversion"/>
  </si>
  <si>
    <t>주생면제천리1136-76</t>
    <phoneticPr fontId="3" type="noConversion"/>
  </si>
  <si>
    <t>02.04.12</t>
    <phoneticPr fontId="3" type="noConversion"/>
  </si>
  <si>
    <t>양촌간이오수</t>
    <phoneticPr fontId="3" type="noConversion"/>
  </si>
  <si>
    <t>931-1930</t>
    <phoneticPr fontId="3" type="noConversion"/>
  </si>
  <si>
    <t>봉계</t>
    <phoneticPr fontId="3" type="noConversion"/>
  </si>
  <si>
    <t>봉산면 봉계리 814-2</t>
    <phoneticPr fontId="3" type="noConversion"/>
  </si>
  <si>
    <t>01.10.01</t>
    <phoneticPr fontId="3" type="noConversion"/>
  </si>
  <si>
    <t>구원</t>
    <phoneticPr fontId="3" type="noConversion"/>
  </si>
  <si>
    <t>가야면 구원리 170</t>
    <phoneticPr fontId="3" type="noConversion"/>
  </si>
  <si>
    <t>931-1930</t>
  </si>
  <si>
    <t>두심</t>
    <phoneticPr fontId="3" type="noConversion"/>
  </si>
  <si>
    <t>가회면 둔내리 40-1</t>
    <phoneticPr fontId="3" type="noConversion"/>
  </si>
  <si>
    <t>LC공법</t>
    <phoneticPr fontId="3" type="noConversion"/>
  </si>
  <si>
    <t>하금</t>
    <phoneticPr fontId="3" type="noConversion"/>
  </si>
  <si>
    <t>대병면 하금리 428-9</t>
    <phoneticPr fontId="3" type="noConversion"/>
  </si>
  <si>
    <t>01.02.01</t>
    <phoneticPr fontId="3" type="noConversion"/>
  </si>
  <si>
    <t>회양</t>
    <phoneticPr fontId="3" type="noConversion"/>
  </si>
  <si>
    <t>대병면 회양리 647</t>
    <phoneticPr fontId="3" type="noConversion"/>
  </si>
  <si>
    <t>제주시 도두2동 849</t>
    <phoneticPr fontId="3" type="noConversion"/>
  </si>
  <si>
    <t>728-8642</t>
    <phoneticPr fontId="3" type="noConversion"/>
  </si>
  <si>
    <t xml:space="preserve">연안(제주) </t>
    <phoneticPr fontId="3" type="noConversion"/>
  </si>
  <si>
    <t>동복</t>
    <phoneticPr fontId="3" type="noConversion"/>
  </si>
  <si>
    <t>구좌 동복 1699</t>
    <phoneticPr fontId="3" type="noConversion"/>
  </si>
  <si>
    <t>토양피복</t>
    <phoneticPr fontId="3" type="noConversion"/>
  </si>
  <si>
    <t>99. 3. 1</t>
    <phoneticPr fontId="3" type="noConversion"/>
  </si>
  <si>
    <t>구좌 송당 1230-5</t>
    <phoneticPr fontId="3" type="noConversion"/>
  </si>
  <si>
    <t>선흘2</t>
    <phoneticPr fontId="3" type="noConversion"/>
  </si>
  <si>
    <t>조천 선흘 1834-7</t>
    <phoneticPr fontId="3" type="noConversion"/>
  </si>
  <si>
    <t>99. 2. 1</t>
    <phoneticPr fontId="3" type="noConversion"/>
  </si>
  <si>
    <t>유수암</t>
    <phoneticPr fontId="3" type="noConversion"/>
  </si>
  <si>
    <t>애월 유수암 1034-1</t>
    <phoneticPr fontId="3" type="noConversion"/>
  </si>
  <si>
    <t>98.11.30</t>
    <phoneticPr fontId="3" type="noConversion"/>
  </si>
  <si>
    <t>하귀1</t>
    <phoneticPr fontId="3" type="noConversion"/>
  </si>
  <si>
    <t>애월 하귀1 613-16</t>
    <phoneticPr fontId="3" type="noConversion"/>
  </si>
  <si>
    <t>행원</t>
    <phoneticPr fontId="3" type="noConversion"/>
  </si>
  <si>
    <t>구좌 행원 1537-8</t>
    <phoneticPr fontId="3" type="noConversion"/>
  </si>
  <si>
    <t>00. 3. 1</t>
    <phoneticPr fontId="3" type="noConversion"/>
  </si>
  <si>
    <t>조천 신흥 193-12</t>
    <phoneticPr fontId="3" type="noConversion"/>
  </si>
  <si>
    <t>00. 2. 1</t>
    <phoneticPr fontId="3" type="noConversion"/>
  </si>
  <si>
    <t>금악</t>
    <phoneticPr fontId="3" type="noConversion"/>
  </si>
  <si>
    <t>한림 금악 3453</t>
    <phoneticPr fontId="3" type="noConversion"/>
  </si>
  <si>
    <t>애월 신엄 1369-14</t>
    <phoneticPr fontId="3" type="noConversion"/>
  </si>
  <si>
    <t>02. 1. 1</t>
    <phoneticPr fontId="3" type="noConversion"/>
  </si>
  <si>
    <t>김녕</t>
    <phoneticPr fontId="3" type="noConversion"/>
  </si>
  <si>
    <t>구좌 김녕 1223-12</t>
    <phoneticPr fontId="3" type="noConversion"/>
  </si>
  <si>
    <t>01. 2. 3</t>
    <phoneticPr fontId="3" type="noConversion"/>
  </si>
  <si>
    <t>월림</t>
    <phoneticPr fontId="3" type="noConversion"/>
  </si>
  <si>
    <t>한림 월림 291-8</t>
    <phoneticPr fontId="3" type="noConversion"/>
  </si>
  <si>
    <t>01.11.30</t>
    <phoneticPr fontId="3" type="noConversion"/>
  </si>
  <si>
    <t>애월 수산 962-4</t>
    <phoneticPr fontId="3" type="noConversion"/>
  </si>
  <si>
    <t>한동</t>
    <phoneticPr fontId="3" type="noConversion"/>
  </si>
  <si>
    <t>구좌 한동 10-1</t>
    <phoneticPr fontId="3" type="noConversion"/>
  </si>
  <si>
    <t>01.12.27</t>
    <phoneticPr fontId="3" type="noConversion"/>
  </si>
  <si>
    <t>판포
문화마을</t>
    <phoneticPr fontId="3" type="noConversion"/>
  </si>
  <si>
    <t>한경 판포 2984-1</t>
    <phoneticPr fontId="3" type="noConversion"/>
  </si>
  <si>
    <t>흡수성
바이오휠타</t>
    <phoneticPr fontId="3" type="noConversion"/>
  </si>
  <si>
    <t>04. 8. 1</t>
    <phoneticPr fontId="3" type="noConversion"/>
  </si>
  <si>
    <t>대흘</t>
    <phoneticPr fontId="3" type="noConversion"/>
  </si>
  <si>
    <t>조천 함덕 20-4</t>
    <phoneticPr fontId="3" type="noConversion"/>
  </si>
  <si>
    <t>01.11.22</t>
    <phoneticPr fontId="3" type="noConversion"/>
  </si>
  <si>
    <t>영흥</t>
    <phoneticPr fontId="3" type="noConversion"/>
  </si>
  <si>
    <t>추자 영흥 2-1</t>
    <phoneticPr fontId="3" type="noConversion"/>
  </si>
  <si>
    <t>담체접촉</t>
    <phoneticPr fontId="3" type="noConversion"/>
  </si>
  <si>
    <t>06. 3. 1</t>
    <phoneticPr fontId="3" type="noConversion"/>
  </si>
  <si>
    <t>보목동1429</t>
    <phoneticPr fontId="3" type="noConversion"/>
  </si>
  <si>
    <t>760-3791</t>
    <phoneticPr fontId="3" type="noConversion"/>
  </si>
  <si>
    <t xml:space="preserve"> '96.12.30</t>
    <phoneticPr fontId="3" type="noConversion"/>
  </si>
  <si>
    <t>서귀포시 색달동 3217</t>
    <phoneticPr fontId="3" type="noConversion"/>
  </si>
  <si>
    <t>86. 9. 5</t>
    <phoneticPr fontId="3" type="noConversion"/>
  </si>
  <si>
    <t>대정읍 하모리 125</t>
    <phoneticPr fontId="3" type="noConversion"/>
  </si>
  <si>
    <t>730-1790</t>
    <phoneticPr fontId="3" type="noConversion"/>
  </si>
  <si>
    <t xml:space="preserve"> '05.4.1</t>
    <phoneticPr fontId="3" type="noConversion"/>
  </si>
  <si>
    <t>성산읍 오조리 57-35</t>
    <phoneticPr fontId="3" type="noConversion"/>
  </si>
  <si>
    <t>760-3842</t>
    <phoneticPr fontId="3" type="noConversion"/>
  </si>
  <si>
    <t>무릉
평지동</t>
    <phoneticPr fontId="3" type="noConversion"/>
  </si>
  <si>
    <t>대젇읍 무릉2리 1181-4</t>
    <phoneticPr fontId="3" type="noConversion"/>
  </si>
  <si>
    <t>760-3772</t>
    <phoneticPr fontId="3" type="noConversion"/>
  </si>
  <si>
    <t xml:space="preserve"> '99.2</t>
    <phoneticPr fontId="3" type="noConversion"/>
  </si>
  <si>
    <t>영수천</t>
    <phoneticPr fontId="3" type="noConversion"/>
  </si>
  <si>
    <t>무릉
인향동</t>
    <phoneticPr fontId="3" type="noConversion"/>
  </si>
  <si>
    <t>대정읍 무릉리 388</t>
    <phoneticPr fontId="3" type="noConversion"/>
  </si>
  <si>
    <t>토양피복
접촉산화</t>
    <phoneticPr fontId="3" type="noConversion"/>
  </si>
  <si>
    <t xml:space="preserve"> '02.12</t>
    <phoneticPr fontId="3" type="noConversion"/>
  </si>
  <si>
    <t>가파리</t>
    <phoneticPr fontId="3" type="noConversion"/>
  </si>
  <si>
    <t>대정읍 가파리 534-1</t>
    <phoneticPr fontId="3" type="noConversion"/>
  </si>
  <si>
    <t>760-3772</t>
  </si>
  <si>
    <t xml:space="preserve"> '00.2</t>
    <phoneticPr fontId="3" type="noConversion"/>
  </si>
  <si>
    <t>마라리</t>
    <phoneticPr fontId="3" type="noConversion"/>
  </si>
  <si>
    <t>대정읍 마라리 산 12-73</t>
    <phoneticPr fontId="3" type="noConversion"/>
  </si>
  <si>
    <t xml:space="preserve"> '02.2</t>
    <phoneticPr fontId="3" type="noConversion"/>
  </si>
  <si>
    <t>신평리</t>
    <phoneticPr fontId="3" type="noConversion"/>
  </si>
  <si>
    <t>대정읍 신평리 1252-1</t>
    <phoneticPr fontId="3" type="noConversion"/>
  </si>
  <si>
    <t>A²EBC</t>
    <phoneticPr fontId="3" type="noConversion"/>
  </si>
  <si>
    <t>신흥
고수동</t>
    <phoneticPr fontId="3" type="noConversion"/>
  </si>
  <si>
    <t>남원읍 신흥2리 2482</t>
    <phoneticPr fontId="3" type="noConversion"/>
  </si>
  <si>
    <t>섬모상
미생물막법</t>
    <phoneticPr fontId="3" type="noConversion"/>
  </si>
  <si>
    <t xml:space="preserve"> '01.2</t>
    <phoneticPr fontId="3" type="noConversion"/>
  </si>
  <si>
    <t>남원리
서의동</t>
    <phoneticPr fontId="3" type="noConversion"/>
  </si>
  <si>
    <t>남원읍 남원2리 서의동 867</t>
    <phoneticPr fontId="3" type="noConversion"/>
  </si>
  <si>
    <t xml:space="preserve"> '01.12</t>
    <phoneticPr fontId="3" type="noConversion"/>
  </si>
  <si>
    <t>한남리
중앙동</t>
    <phoneticPr fontId="3" type="noConversion"/>
  </si>
  <si>
    <t>남원읍 한남리 651-29</t>
    <phoneticPr fontId="3" type="noConversion"/>
  </si>
  <si>
    <t xml:space="preserve"> '03.2</t>
    <phoneticPr fontId="3" type="noConversion"/>
  </si>
  <si>
    <t>서중천</t>
    <phoneticPr fontId="3" type="noConversion"/>
  </si>
  <si>
    <t>수망리</t>
    <phoneticPr fontId="3" type="noConversion"/>
  </si>
  <si>
    <t>남원읍 수망리 1090</t>
    <phoneticPr fontId="3" type="noConversion"/>
  </si>
  <si>
    <t xml:space="preserve"> '04.6</t>
    <phoneticPr fontId="3" type="noConversion"/>
  </si>
  <si>
    <t>의귀천</t>
    <phoneticPr fontId="3" type="noConversion"/>
  </si>
  <si>
    <t>동광
문화마을</t>
    <phoneticPr fontId="3" type="noConversion"/>
  </si>
  <si>
    <t>안덕면 동광리 1010</t>
    <phoneticPr fontId="3" type="noConversion"/>
  </si>
  <si>
    <t xml:space="preserve"> '99.5</t>
    <phoneticPr fontId="3" type="noConversion"/>
  </si>
  <si>
    <t>동광천</t>
    <phoneticPr fontId="3" type="noConversion"/>
  </si>
  <si>
    <t>상천리</t>
    <phoneticPr fontId="3" type="noConversion"/>
  </si>
  <si>
    <t xml:space="preserve">안덕면 상창리 11-11 </t>
    <phoneticPr fontId="3" type="noConversion"/>
  </si>
  <si>
    <t>동광
개척단지</t>
    <phoneticPr fontId="3" type="noConversion"/>
  </si>
  <si>
    <t>안덕면 동광리 5-127</t>
    <phoneticPr fontId="3" type="noConversion"/>
  </si>
  <si>
    <t xml:space="preserve"> '02.1</t>
    <phoneticPr fontId="3" type="noConversion"/>
  </si>
  <si>
    <t>하천하동</t>
    <phoneticPr fontId="3" type="noConversion"/>
  </si>
  <si>
    <t>표선면 하천리 82-1</t>
    <phoneticPr fontId="3" type="noConversion"/>
  </si>
  <si>
    <t>가시 
역지동</t>
    <phoneticPr fontId="3" type="noConversion"/>
  </si>
  <si>
    <t>표선면 가시리 3802</t>
    <phoneticPr fontId="3" type="noConversion"/>
  </si>
  <si>
    <t>가시천</t>
    <phoneticPr fontId="3" type="noConversion"/>
  </si>
  <si>
    <t>성읍2리
구룡동</t>
    <phoneticPr fontId="3" type="noConversion"/>
  </si>
  <si>
    <t>표선면 성읍2리 3292</t>
    <phoneticPr fontId="3" type="noConversion"/>
  </si>
  <si>
    <t>천미천</t>
    <phoneticPr fontId="3" type="noConversion"/>
  </si>
  <si>
    <t>세화1리</t>
    <phoneticPr fontId="3" type="noConversion"/>
  </si>
  <si>
    <t>표선면 세화1리 1805-5</t>
    <phoneticPr fontId="3" type="noConversion"/>
  </si>
  <si>
    <t xml:space="preserve"> '06.2</t>
    <phoneticPr fontId="3" type="noConversion"/>
  </si>
  <si>
    <t>22
(9/0/13/0)</t>
    <phoneticPr fontId="3" type="noConversion"/>
  </si>
  <si>
    <t>13
(6/0/7/0)</t>
    <phoneticPr fontId="3" type="noConversion"/>
  </si>
  <si>
    <t>9
(7/0/2/0)</t>
    <phoneticPr fontId="3" type="noConversion"/>
  </si>
  <si>
    <t>5
(2/0/3/0)</t>
    <phoneticPr fontId="3" type="noConversion"/>
  </si>
  <si>
    <t>2
(2/0/0/0)</t>
    <phoneticPr fontId="3" type="noConversion"/>
  </si>
  <si>
    <t>11
(6/0/5/0)</t>
    <phoneticPr fontId="3" type="noConversion"/>
  </si>
  <si>
    <t>106
(62/0/44/0)</t>
    <phoneticPr fontId="3" type="noConversion"/>
  </si>
  <si>
    <t>62
(20/0/42/0)</t>
    <phoneticPr fontId="3" type="noConversion"/>
  </si>
  <si>
    <t>168
(82/0/86/0)</t>
    <phoneticPr fontId="3" type="noConversion"/>
  </si>
  <si>
    <t>106
(10/0/61/0)</t>
    <phoneticPr fontId="3" type="noConversion"/>
  </si>
  <si>
    <t>221
(23/0/198/0)</t>
    <phoneticPr fontId="3" type="noConversion"/>
  </si>
  <si>
    <t>150
(13/0/137/0)</t>
    <phoneticPr fontId="3" type="noConversion"/>
  </si>
  <si>
    <t>50
(8/0/42/0)</t>
    <phoneticPr fontId="3" type="noConversion"/>
  </si>
  <si>
    <t>99
(25/0/74/0)</t>
    <phoneticPr fontId="3" type="noConversion"/>
  </si>
  <si>
    <t>149
(33/0/116/0)</t>
    <phoneticPr fontId="3" type="noConversion"/>
  </si>
  <si>
    <t>운용</t>
  </si>
  <si>
    <t>도촌지구</t>
  </si>
  <si>
    <t>전곡지구</t>
  </si>
  <si>
    <t>양곡지구</t>
  </si>
  <si>
    <t>대평지구</t>
  </si>
  <si>
    <t>댓거리1지구</t>
  </si>
  <si>
    <t>댓거리2지구</t>
  </si>
  <si>
    <t>댓거리3지구</t>
  </si>
  <si>
    <t>광덕2리지구</t>
  </si>
  <si>
    <t>대덕1리지구</t>
  </si>
  <si>
    <t>신흥3리지구</t>
  </si>
  <si>
    <t>미죽1리지구</t>
  </si>
  <si>
    <t>문화마을지구</t>
  </si>
  <si>
    <t>공원달지구</t>
  </si>
  <si>
    <t>양대리지구</t>
  </si>
  <si>
    <t>운용리 285-7</t>
  </si>
  <si>
    <t>납안리349</t>
  </si>
  <si>
    <t>전곡리85-7</t>
  </si>
  <si>
    <t>양곡리245</t>
  </si>
  <si>
    <t>대평리</t>
  </si>
  <si>
    <t>광덕1리 댓거리</t>
  </si>
  <si>
    <t>광덕1리561-1</t>
  </si>
  <si>
    <t>광덕2리</t>
  </si>
  <si>
    <t>광덕면 대덕1리</t>
  </si>
  <si>
    <t>신흥3리408-11</t>
  </si>
  <si>
    <t>풍세면 마죽1리</t>
  </si>
  <si>
    <t>서홍리498-2</t>
  </si>
  <si>
    <t>화성2리</t>
  </si>
  <si>
    <t>입장면 양대리</t>
  </si>
  <si>
    <t>표준활성슬러지변법
(DNR)</t>
    <phoneticPr fontId="3" type="noConversion"/>
  </si>
  <si>
    <t>스미어공법</t>
    <phoneticPr fontId="3" type="noConversion"/>
  </si>
  <si>
    <t>변형활성슬러지법</t>
    <phoneticPr fontId="3" type="noConversion"/>
  </si>
  <si>
    <t>헌트</t>
    <phoneticPr fontId="3" type="noConversion"/>
  </si>
  <si>
    <t>01.03.19</t>
  </si>
  <si>
    <t>01.12.20</t>
  </si>
  <si>
    <t>03.11.27</t>
  </si>
  <si>
    <t>03.04.03</t>
  </si>
  <si>
    <t>05.07.07</t>
  </si>
  <si>
    <t>06.04.25</t>
  </si>
  <si>
    <t>98.11.10</t>
  </si>
  <si>
    <t>04.04.30</t>
  </si>
  <si>
    <t>05.11.30</t>
  </si>
  <si>
    <t>병천천</t>
  </si>
  <si>
    <t>풍세천</t>
  </si>
  <si>
    <t>연안
(서해)</t>
  </si>
  <si>
    <t>uv소독</t>
  </si>
  <si>
    <t>곡교천</t>
  </si>
  <si>
    <t>입장천</t>
  </si>
  <si>
    <t>합덕읍 합덕리 405-2번지</t>
    <phoneticPr fontId="3" type="noConversion"/>
  </si>
  <si>
    <t>홍북마을하수도</t>
  </si>
  <si>
    <t>홍북면 중계리 499</t>
  </si>
  <si>
    <t>KDHST공법</t>
  </si>
  <si>
    <t>삽교천</t>
  </si>
  <si>
    <t>상산마을하수도</t>
  </si>
  <si>
    <t>홍북면 상하리 404-3</t>
  </si>
  <si>
    <t>하산마을하수도</t>
  </si>
  <si>
    <t>홍북면상하리 177</t>
  </si>
  <si>
    <t>동막마을하수도</t>
  </si>
  <si>
    <t>홍북면 중계리204</t>
  </si>
  <si>
    <t>홍천마을하수도</t>
  </si>
  <si>
    <t>홍북면 중계리 752</t>
  </si>
  <si>
    <t>IC-SBR공법</t>
  </si>
  <si>
    <t>UV소독조</t>
  </si>
  <si>
    <t>장파마을하수도</t>
  </si>
  <si>
    <t>금마면 장성리 207-43</t>
  </si>
  <si>
    <t>금당마을하수도</t>
  </si>
  <si>
    <t>홍동면 금당리 746</t>
  </si>
  <si>
    <t>운곡마을하수도</t>
  </si>
  <si>
    <t>홍동면 운월리 598-1</t>
  </si>
  <si>
    <t>죽전1마을하수도</t>
  </si>
  <si>
    <t>장곡면 죽전리 537-45</t>
  </si>
  <si>
    <t>보령호</t>
  </si>
  <si>
    <t>죽전2마을하수도</t>
  </si>
  <si>
    <t>장곡면 죽전리 211</t>
  </si>
  <si>
    <t>상가마을하수도</t>
  </si>
  <si>
    <t>은하면 화봉리 965-20</t>
  </si>
  <si>
    <t>SNR공법</t>
  </si>
  <si>
    <t>금리천</t>
  </si>
  <si>
    <t>원무량마을하수도</t>
  </si>
  <si>
    <t>결성면 무량리 64-5</t>
  </si>
  <si>
    <t>A2EBC공법</t>
  </si>
  <si>
    <t>소리마을하수도</t>
  </si>
  <si>
    <t>서부면 광리 718-2</t>
  </si>
  <si>
    <t>천수만</t>
  </si>
  <si>
    <t>궁리마을하수도</t>
  </si>
  <si>
    <t>서부면 궁리산105</t>
  </si>
  <si>
    <t>CNR공법</t>
  </si>
  <si>
    <t>하촌마을하수도</t>
  </si>
  <si>
    <t>서부면 이호리 406-1</t>
  </si>
  <si>
    <t>오봉마을하수도</t>
  </si>
  <si>
    <t>구항면 오봉리 688-1</t>
  </si>
  <si>
    <t>와룡천</t>
  </si>
  <si>
    <t>162
(9/0/153/0)</t>
    <phoneticPr fontId="3" type="noConversion"/>
  </si>
  <si>
    <t>157
(11/0/146/0)</t>
    <phoneticPr fontId="3" type="noConversion"/>
  </si>
  <si>
    <t>319
(20/0/299/0)</t>
    <phoneticPr fontId="3" type="noConversion"/>
  </si>
  <si>
    <t>63
(14/1/47/0)</t>
    <phoneticPr fontId="3" type="noConversion"/>
  </si>
  <si>
    <t>150
(31/2/119/0)</t>
    <phoneticPr fontId="3" type="noConversion"/>
  </si>
  <si>
    <t>89
(17/1/72/0)</t>
    <phoneticPr fontId="3" type="noConversion"/>
  </si>
  <si>
    <t>115
(15/0/100/1)</t>
    <phoneticPr fontId="3" type="noConversion"/>
  </si>
  <si>
    <t>392
(27/4/365/0)</t>
    <phoneticPr fontId="3" type="noConversion"/>
  </si>
  <si>
    <t>507
(42/4/465/1)</t>
    <phoneticPr fontId="3" type="noConversion"/>
  </si>
  <si>
    <t>112
(23/0/89/0)</t>
    <phoneticPr fontId="3" type="noConversion"/>
  </si>
  <si>
    <t>73
(14/0/59/0)</t>
    <phoneticPr fontId="3" type="noConversion"/>
  </si>
  <si>
    <t>185
(37/0/148/0)</t>
    <phoneticPr fontId="3" type="noConversion"/>
  </si>
  <si>
    <t>96
(19/0/77/0)</t>
    <phoneticPr fontId="3" type="noConversion"/>
  </si>
  <si>
    <t>223
(35/0/188/0)</t>
    <phoneticPr fontId="3" type="noConversion"/>
  </si>
  <si>
    <t>127
(16/0/111/0)</t>
    <phoneticPr fontId="3" type="noConversion"/>
  </si>
  <si>
    <t>37
(5/0/32/0)</t>
    <phoneticPr fontId="3" type="noConversion"/>
  </si>
  <si>
    <t>87.7.12</t>
    <phoneticPr fontId="3" type="noConversion"/>
  </si>
  <si>
    <t>93.6.</t>
    <phoneticPr fontId="3" type="noConversion"/>
  </si>
  <si>
    <t>97.12.2</t>
    <phoneticPr fontId="3" type="noConversion"/>
  </si>
  <si>
    <t>02.6.15</t>
    <phoneticPr fontId="3" type="noConversion"/>
  </si>
  <si>
    <t>지 역
(시, 시가지·구·군·읍·면)</t>
    <phoneticPr fontId="3" type="noConversion"/>
  </si>
  <si>
    <t>관종</t>
    <phoneticPr fontId="3" type="noConversion"/>
  </si>
  <si>
    <t>계</t>
    <phoneticPr fontId="3" type="noConversion"/>
  </si>
  <si>
    <t>사용년수</t>
    <phoneticPr fontId="3" type="noConversion"/>
  </si>
  <si>
    <t>단위</t>
    <phoneticPr fontId="3" type="noConversion"/>
  </si>
  <si>
    <t>(m)</t>
    <phoneticPr fontId="3" type="noConversion"/>
  </si>
  <si>
    <t>시설용량</t>
    <phoneticPr fontId="3" type="noConversion"/>
  </si>
  <si>
    <t>연계처리량</t>
    <phoneticPr fontId="3" type="noConversion"/>
  </si>
  <si>
    <t>공란</t>
    <phoneticPr fontId="3" type="noConversion"/>
  </si>
  <si>
    <t>군계</t>
    <phoneticPr fontId="3" type="noConversion"/>
  </si>
  <si>
    <t>시설용량계</t>
    <phoneticPr fontId="3" type="noConversion"/>
  </si>
  <si>
    <t>처리량계</t>
    <phoneticPr fontId="3" type="noConversion"/>
  </si>
  <si>
    <t>처리부하량</t>
    <phoneticPr fontId="3" type="noConversion"/>
  </si>
  <si>
    <t>시도</t>
    <phoneticPr fontId="3" type="noConversion"/>
  </si>
  <si>
    <t>5,810,000
(5,810,000/0)</t>
    <phoneticPr fontId="3" type="noConversion"/>
  </si>
  <si>
    <t>4,863,469
(4,863,469/0)</t>
    <phoneticPr fontId="3" type="noConversion"/>
  </si>
  <si>
    <t>378,370
(378,370/0)</t>
    <phoneticPr fontId="3" type="noConversion"/>
  </si>
  <si>
    <t>129
(129/0)</t>
    <phoneticPr fontId="3" type="noConversion"/>
  </si>
  <si>
    <t>5,355
(5,355/0)</t>
    <phoneticPr fontId="3" type="noConversion"/>
  </si>
  <si>
    <t>13
(0/13)</t>
    <phoneticPr fontId="3" type="noConversion"/>
  </si>
  <si>
    <t>1,286,708
(1,285,000/1,708)</t>
    <phoneticPr fontId="3" type="noConversion"/>
  </si>
  <si>
    <t>1,342,106
(1,341,222/884)</t>
    <phoneticPr fontId="3" type="noConversion"/>
  </si>
  <si>
    <t>14
(0/14)</t>
    <phoneticPr fontId="3" type="noConversion"/>
  </si>
  <si>
    <t>1,083,335
(1,082,132/1,203)</t>
    <phoneticPr fontId="3" type="noConversion"/>
  </si>
  <si>
    <t>259,324
(259,090/234)</t>
    <phoneticPr fontId="3" type="noConversion"/>
  </si>
  <si>
    <t>151,057
(151,023/34)</t>
    <phoneticPr fontId="3" type="noConversion"/>
  </si>
  <si>
    <t>3,276
(3,276/0)</t>
    <phoneticPr fontId="3" type="noConversion"/>
  </si>
  <si>
    <t>1,727
(1,727/0)</t>
    <phoneticPr fontId="3" type="noConversion"/>
  </si>
  <si>
    <t>1,862,490
(1,862,000/490)</t>
    <phoneticPr fontId="3" type="noConversion"/>
  </si>
  <si>
    <t>1,243,031
(1,242,909/122)</t>
    <phoneticPr fontId="3" type="noConversion"/>
  </si>
  <si>
    <t>혐기/무산소/호기조합법</t>
    <phoneticPr fontId="3" type="noConversion"/>
  </si>
  <si>
    <t>281,889
(281,889/0)</t>
    <phoneticPr fontId="3" type="noConversion"/>
  </si>
  <si>
    <t>1,930
(1,930/0)</t>
    <phoneticPr fontId="3" type="noConversion"/>
  </si>
  <si>
    <t>571
(571/0)</t>
    <phoneticPr fontId="3" type="noConversion"/>
  </si>
  <si>
    <t>292
(292/0)</t>
    <phoneticPr fontId="3" type="noConversion"/>
  </si>
  <si>
    <t>737,350
(737,000/350)</t>
    <phoneticPr fontId="3" type="noConversion"/>
  </si>
  <si>
    <t>535,000
(535,000/0)</t>
    <phoneticPr fontId="3" type="noConversion"/>
  </si>
  <si>
    <t>202,350
(202,000/350)</t>
    <phoneticPr fontId="3" type="noConversion"/>
  </si>
  <si>
    <t>697,675
(697,630/45)</t>
    <phoneticPr fontId="3" type="noConversion"/>
  </si>
  <si>
    <t>47,742
(47,742/0)</t>
    <phoneticPr fontId="3" type="noConversion"/>
  </si>
  <si>
    <t>513,383
(513,383/0)</t>
    <phoneticPr fontId="3" type="noConversion"/>
  </si>
  <si>
    <t>136,550
(136,505/45)</t>
    <phoneticPr fontId="3" type="noConversion"/>
  </si>
  <si>
    <t>76,014
(75,638/376)</t>
    <phoneticPr fontId="3" type="noConversion"/>
  </si>
  <si>
    <t>465
(465/0)</t>
    <phoneticPr fontId="3" type="noConversion"/>
  </si>
  <si>
    <t>163
(163/0)</t>
    <phoneticPr fontId="3" type="noConversion"/>
  </si>
  <si>
    <t>720,190
(720,000/190)</t>
    <phoneticPr fontId="3" type="noConversion"/>
  </si>
  <si>
    <t>660,050
(660,000/50)</t>
    <phoneticPr fontId="3" type="noConversion"/>
  </si>
  <si>
    <t>60,140
(60,000/140)</t>
    <phoneticPr fontId="3" type="noConversion"/>
  </si>
  <si>
    <t>666,130
(666,008/122)</t>
    <phoneticPr fontId="3" type="noConversion"/>
  </si>
  <si>
    <t>608,138
(608,108/30)</t>
    <phoneticPr fontId="3" type="noConversion"/>
  </si>
  <si>
    <t>57,992
(57,900/92)</t>
    <phoneticPr fontId="3" type="noConversion"/>
  </si>
  <si>
    <t>63,603
(63,598/5)</t>
    <phoneticPr fontId="3" type="noConversion"/>
  </si>
  <si>
    <t>2,881
(2,881/0)</t>
    <phoneticPr fontId="3" type="noConversion"/>
  </si>
  <si>
    <t>676
(676/0)</t>
    <phoneticPr fontId="3" type="noConversion"/>
  </si>
  <si>
    <t>257
(257/0)</t>
    <phoneticPr fontId="3" type="noConversion"/>
  </si>
  <si>
    <t>901,000
(901,000/0)</t>
    <phoneticPr fontId="3" type="noConversion"/>
  </si>
  <si>
    <t>900,000
(900,000/0)</t>
    <phoneticPr fontId="3" type="noConversion"/>
  </si>
  <si>
    <t>1,000
(1,000/0)</t>
    <phoneticPr fontId="3" type="noConversion"/>
  </si>
  <si>
    <t>622,243
(622,243/0)</t>
    <phoneticPr fontId="3" type="noConversion"/>
  </si>
  <si>
    <t>621,953
(621,953/0)</t>
    <phoneticPr fontId="3" type="noConversion"/>
  </si>
  <si>
    <t>290
(290/0)</t>
    <phoneticPr fontId="3" type="noConversion"/>
  </si>
  <si>
    <t>5,850,484
(5,850,484/0)</t>
    <phoneticPr fontId="3" type="noConversion"/>
  </si>
  <si>
    <t>917
(917/0)</t>
    <phoneticPr fontId="3" type="noConversion"/>
  </si>
  <si>
    <t>565
(565/0)</t>
    <phoneticPr fontId="3" type="noConversion"/>
  </si>
  <si>
    <t>597,870
(596,600/1,270)</t>
    <phoneticPr fontId="3" type="noConversion"/>
  </si>
  <si>
    <t>437,870
(436,600/1,270)</t>
    <phoneticPr fontId="3" type="noConversion"/>
  </si>
  <si>
    <t>160,000
(160,000/0)</t>
    <phoneticPr fontId="3" type="noConversion"/>
  </si>
  <si>
    <t>410,087
(409,548/539)</t>
    <phoneticPr fontId="3" type="noConversion"/>
  </si>
  <si>
    <t>338,625
(338,086/539)</t>
    <phoneticPr fontId="3" type="noConversion"/>
  </si>
  <si>
    <t>71,462
(71,462/0)</t>
    <phoneticPr fontId="3" type="noConversion"/>
  </si>
  <si>
    <t>2,745,397
(2,745,393/4)</t>
    <phoneticPr fontId="3" type="noConversion"/>
  </si>
  <si>
    <t>123
(123/0)</t>
    <phoneticPr fontId="3" type="noConversion"/>
  </si>
  <si>
    <t>593
(593/0)</t>
    <phoneticPr fontId="3" type="noConversion"/>
  </si>
  <si>
    <t>18
(18/0)</t>
    <phoneticPr fontId="3" type="noConversion"/>
  </si>
  <si>
    <t>4,922,690
(4,919,350/3,340)</t>
    <phoneticPr fontId="3" type="noConversion"/>
  </si>
  <si>
    <t>2,858,873
(2,856,600/2,273)</t>
    <phoneticPr fontId="3" type="noConversion"/>
  </si>
  <si>
    <t>2,033,817
(2,032,750/1,067)</t>
    <phoneticPr fontId="3" type="noConversion"/>
  </si>
  <si>
    <t>3,880,656
(3,878,337/2,320)</t>
    <phoneticPr fontId="3" type="noConversion"/>
  </si>
  <si>
    <t>376
(376/0)</t>
    <phoneticPr fontId="3" type="noConversion"/>
  </si>
  <si>
    <t>2,298,214
(2,296,856/1,359)</t>
    <phoneticPr fontId="3" type="noConversion"/>
  </si>
  <si>
    <t>1,550,824
(1,549,863/961)</t>
    <phoneticPr fontId="3" type="noConversion"/>
  </si>
  <si>
    <t>5,871,582
(5,861,989/9,593)</t>
    <phoneticPr fontId="3" type="noConversion"/>
  </si>
  <si>
    <t>3,757
(3,757/0)</t>
    <phoneticPr fontId="3" type="noConversion"/>
  </si>
  <si>
    <t>1,387
(1,387/0)</t>
    <phoneticPr fontId="3" type="noConversion"/>
  </si>
  <si>
    <t>18,223
(16,900/1,323)</t>
    <phoneticPr fontId="3" type="noConversion"/>
  </si>
  <si>
    <t>407
(407/0)</t>
    <phoneticPr fontId="3" type="noConversion"/>
  </si>
  <si>
    <t>87
(87/0)</t>
    <phoneticPr fontId="3" type="noConversion"/>
  </si>
  <si>
    <t>7
(7/0)</t>
    <phoneticPr fontId="3" type="noConversion"/>
  </si>
  <si>
    <t>486,606
(480,200/6,406)</t>
    <phoneticPr fontId="3" type="noConversion"/>
  </si>
  <si>
    <t>423,473
(418,000/5,473)</t>
    <phoneticPr fontId="3" type="noConversion"/>
  </si>
  <si>
    <t>63,133
(62,200/933)</t>
    <phoneticPr fontId="3" type="noConversion"/>
  </si>
  <si>
    <t>429,045
(424,247/4,798)</t>
    <phoneticPr fontId="3" type="noConversion"/>
  </si>
  <si>
    <t>336,801
(332,536/4,265)</t>
    <phoneticPr fontId="3" type="noConversion"/>
  </si>
  <si>
    <t>46,244
(45,711/533)</t>
    <phoneticPr fontId="3" type="noConversion"/>
  </si>
  <si>
    <t>2,283,795
(2,253,169/30,625)</t>
    <phoneticPr fontId="3" type="noConversion"/>
  </si>
  <si>
    <t>265
(265/0)</t>
    <phoneticPr fontId="3" type="noConversion"/>
  </si>
  <si>
    <t>860
(860/0)</t>
    <phoneticPr fontId="3" type="noConversion"/>
  </si>
  <si>
    <t>2,354
(2,354/0)</t>
    <phoneticPr fontId="3" type="noConversion"/>
  </si>
  <si>
    <t>69,238
(54,800/14,438)</t>
    <phoneticPr fontId="3" type="noConversion"/>
  </si>
  <si>
    <t>20,938
(8,200/12,738)</t>
    <phoneticPr fontId="3" type="noConversion"/>
  </si>
  <si>
    <t>48,300
(46,600/1,700)</t>
    <phoneticPr fontId="3" type="noConversion"/>
  </si>
  <si>
    <t>48,968
(37,276/11,692)</t>
    <phoneticPr fontId="3" type="noConversion"/>
  </si>
  <si>
    <t>16,118
(5,637/10,481)</t>
    <phoneticPr fontId="3" type="noConversion"/>
  </si>
  <si>
    <t>32,850
(31,639/1,211)</t>
    <phoneticPr fontId="3" type="noConversion"/>
  </si>
  <si>
    <t>196
(196/0)</t>
    <phoneticPr fontId="3" type="noConversion"/>
  </si>
  <si>
    <t>28
(28/0)</t>
    <phoneticPr fontId="3" type="noConversion"/>
  </si>
  <si>
    <t>44
(44/0)</t>
    <phoneticPr fontId="3" type="noConversion"/>
  </si>
  <si>
    <t>178
(178/0)</t>
    <phoneticPr fontId="3" type="noConversion"/>
  </si>
  <si>
    <t>450,315
(446,900/3,415)</t>
    <phoneticPr fontId="3" type="noConversion"/>
  </si>
  <si>
    <t>363,395
(365,200/195)</t>
    <phoneticPr fontId="3" type="noConversion"/>
  </si>
  <si>
    <t>84,920
(81,700/3,220)</t>
    <phoneticPr fontId="3" type="noConversion"/>
  </si>
  <si>
    <t>394,731
(392,665/2,066)</t>
    <phoneticPr fontId="3" type="noConversion"/>
  </si>
  <si>
    <t>19
(0/19)</t>
    <phoneticPr fontId="3" type="noConversion"/>
  </si>
  <si>
    <t>336,396
(336,277/119)</t>
    <phoneticPr fontId="3" type="noConversion"/>
  </si>
  <si>
    <t>58,316
(56,388/1,928)</t>
    <phoneticPr fontId="3" type="noConversion"/>
  </si>
  <si>
    <t>4,921,212
(4,895,047/26,165)</t>
    <phoneticPr fontId="3" type="noConversion"/>
  </si>
  <si>
    <t>948
(948/0)</t>
    <phoneticPr fontId="3" type="noConversion"/>
  </si>
  <si>
    <t>258
(258/0)</t>
    <phoneticPr fontId="3" type="noConversion"/>
  </si>
  <si>
    <t>109,767
(103,730/6,037)</t>
    <phoneticPr fontId="3" type="noConversion"/>
  </si>
  <si>
    <t>35,489
(30,830/4,659)</t>
    <phoneticPr fontId="3" type="noConversion"/>
  </si>
  <si>
    <t>74,278
(72,900/1,378)</t>
    <phoneticPr fontId="3" type="noConversion"/>
  </si>
  <si>
    <t>2,481
(2,481/0)</t>
    <phoneticPr fontId="3" type="noConversion"/>
  </si>
  <si>
    <t>29,682
(26,354/3,328)</t>
    <phoneticPr fontId="3" type="noConversion"/>
  </si>
  <si>
    <t>65,569
(63,697/1,872)</t>
    <phoneticPr fontId="3" type="noConversion"/>
  </si>
  <si>
    <t>84,864
(77,343/7,521)</t>
    <phoneticPr fontId="3" type="noConversion"/>
  </si>
  <si>
    <t>396
(396/0)</t>
    <phoneticPr fontId="3" type="noConversion"/>
  </si>
  <si>
    <t>124
(124/0)</t>
    <phoneticPr fontId="3" type="noConversion"/>
  </si>
  <si>
    <t>262
(262/0)</t>
    <phoneticPr fontId="3" type="noConversion"/>
  </si>
  <si>
    <t>381
(381/0)</t>
    <phoneticPr fontId="3" type="noConversion"/>
  </si>
  <si>
    <t>379,219
(375,400/3,819)</t>
    <phoneticPr fontId="3" type="noConversion"/>
  </si>
  <si>
    <t>134,534
(131,000/3,534)</t>
    <phoneticPr fontId="3" type="noConversion"/>
  </si>
  <si>
    <t>244,685
(244,400/285)</t>
    <phoneticPr fontId="3" type="noConversion"/>
  </si>
  <si>
    <t>323,351
(320,211/3,139)</t>
    <phoneticPr fontId="3" type="noConversion"/>
  </si>
  <si>
    <t>116,659
(114,101/2,558)</t>
    <phoneticPr fontId="3" type="noConversion"/>
  </si>
  <si>
    <t>206,692
(206,110/581)</t>
    <phoneticPr fontId="3" type="noConversion"/>
  </si>
  <si>
    <t>586,678
(586,413/265)</t>
    <phoneticPr fontId="3" type="noConversion"/>
  </si>
  <si>
    <t>156
(156/0)</t>
    <phoneticPr fontId="3" type="noConversion"/>
  </si>
  <si>
    <t>487
(487/0)</t>
    <phoneticPr fontId="3" type="noConversion"/>
  </si>
  <si>
    <t>69
(69/0)</t>
    <phoneticPr fontId="3" type="noConversion"/>
  </si>
  <si>
    <t>152,575
(146,700/5,875)</t>
    <phoneticPr fontId="3" type="noConversion"/>
  </si>
  <si>
    <t>85,378
(81,762/3,616)</t>
    <phoneticPr fontId="3" type="noConversion"/>
  </si>
  <si>
    <t>62,522
(60,263/2,259)</t>
    <phoneticPr fontId="3" type="noConversion"/>
  </si>
  <si>
    <t>130,607
(126,673/3,934)</t>
    <phoneticPr fontId="3" type="noConversion"/>
  </si>
  <si>
    <t>63,611
(60,984/2,627)</t>
    <phoneticPr fontId="3" type="noConversion"/>
  </si>
  <si>
    <t>66,995
(65,689/1,306)</t>
    <phoneticPr fontId="3" type="noConversion"/>
  </si>
  <si>
    <t>383,413
(365,148/18,265)</t>
    <phoneticPr fontId="3" type="noConversion"/>
  </si>
  <si>
    <t>332
(332/0)</t>
    <phoneticPr fontId="3" type="noConversion"/>
  </si>
  <si>
    <t>145
(145/0)</t>
    <phoneticPr fontId="3" type="noConversion"/>
  </si>
  <si>
    <t>250
(250/0)</t>
    <phoneticPr fontId="3" type="noConversion"/>
  </si>
  <si>
    <t>848,000
(839,400/8,600)</t>
    <phoneticPr fontId="3" type="noConversion"/>
  </si>
  <si>
    <t>402,335
(394,647/7,688)</t>
    <phoneticPr fontId="3" type="noConversion"/>
  </si>
  <si>
    <t>409,912
(409,000/912)</t>
    <phoneticPr fontId="3" type="noConversion"/>
  </si>
  <si>
    <t>691,167
(685,874/5,293)</t>
    <phoneticPr fontId="3" type="noConversion"/>
  </si>
  <si>
    <t>201
(201/0)</t>
    <phoneticPr fontId="3" type="noConversion"/>
  </si>
  <si>
    <t>367,820
(363,323/4,497)</t>
    <phoneticPr fontId="3" type="noConversion"/>
  </si>
  <si>
    <t>323,146
(322,350/796)</t>
    <phoneticPr fontId="3" type="noConversion"/>
  </si>
  <si>
    <t>1,119,023
(1,109,104/9,918)</t>
    <phoneticPr fontId="3" type="noConversion"/>
  </si>
  <si>
    <t>1,143
(1,143/0)</t>
    <phoneticPr fontId="3" type="noConversion"/>
  </si>
  <si>
    <t>681
(681/0)</t>
    <phoneticPr fontId="3" type="noConversion"/>
  </si>
  <si>
    <t>8,369
(8,369/0)</t>
    <phoneticPr fontId="3" type="noConversion"/>
  </si>
  <si>
    <t>81,923
(74,200/7,723)</t>
    <phoneticPr fontId="3" type="noConversion"/>
  </si>
  <si>
    <t>65,735
(61,000/4,735)</t>
    <phoneticPr fontId="3" type="noConversion"/>
  </si>
  <si>
    <t>16,148
(13,200/2,948)</t>
    <phoneticPr fontId="3" type="noConversion"/>
  </si>
  <si>
    <t>56,048
(49,520/6,528)</t>
    <phoneticPr fontId="3" type="noConversion"/>
  </si>
  <si>
    <t>44,573
(40,597/3,976)</t>
    <phoneticPr fontId="3" type="noConversion"/>
  </si>
  <si>
    <t>11,475
(8,923/2,552)</t>
    <phoneticPr fontId="3" type="noConversion"/>
  </si>
  <si>
    <t>138,046
(128,094/9,952)</t>
    <phoneticPr fontId="3" type="noConversion"/>
  </si>
  <si>
    <t>197
(197/0)</t>
    <phoneticPr fontId="3" type="noConversion"/>
  </si>
  <si>
    <t>198
(198/0)</t>
    <phoneticPr fontId="3" type="noConversion"/>
  </si>
  <si>
    <t>23
(23/0)</t>
    <phoneticPr fontId="3" type="noConversion"/>
  </si>
  <si>
    <t>110
(0/110)</t>
    <phoneticPr fontId="3" type="noConversion"/>
  </si>
  <si>
    <t>151,236
(148,300/2,936)</t>
    <phoneticPr fontId="3" type="noConversion"/>
  </si>
  <si>
    <t>97
(0/97)</t>
    <phoneticPr fontId="3" type="noConversion"/>
  </si>
  <si>
    <t>79,344
(76,370/2,974)</t>
    <phoneticPr fontId="3" type="noConversion"/>
  </si>
  <si>
    <t>109,327
(106,244/3,084)</t>
    <phoneticPr fontId="3" type="noConversion"/>
  </si>
  <si>
    <t>276
(276/0)</t>
    <phoneticPr fontId="3" type="noConversion"/>
  </si>
  <si>
    <t>193
(193/0)</t>
    <phoneticPr fontId="3" type="noConversion"/>
  </si>
  <si>
    <t>192,006
(173,715/18,291)</t>
    <phoneticPr fontId="3" type="noConversion"/>
  </si>
  <si>
    <t>131,403
(117,800/13,603)</t>
    <phoneticPr fontId="3" type="noConversion"/>
  </si>
  <si>
    <t>60,603
(55,915/4,688)</t>
    <phoneticPr fontId="3" type="noConversion"/>
  </si>
  <si>
    <t>132,365
(116,904/15,461)</t>
    <phoneticPr fontId="3" type="noConversion"/>
  </si>
  <si>
    <t>82,509
(72,281/10,228)</t>
    <phoneticPr fontId="3" type="noConversion"/>
  </si>
  <si>
    <t>49,856
(44,623/5,233)</t>
    <phoneticPr fontId="3" type="noConversion"/>
  </si>
  <si>
    <t>131,657
(118,032/13,626)</t>
    <phoneticPr fontId="3" type="noConversion"/>
  </si>
  <si>
    <t>449
(449/0)</t>
    <phoneticPr fontId="3" type="noConversion"/>
  </si>
  <si>
    <t>308
(308/0)</t>
    <phoneticPr fontId="3" type="noConversion"/>
  </si>
  <si>
    <t>75
(75/0)</t>
    <phoneticPr fontId="3" type="noConversion"/>
  </si>
  <si>
    <t>960,105
(955,400/4,705)</t>
    <phoneticPr fontId="3" type="noConversion"/>
  </si>
  <si>
    <t>319,040
(315,000/4,040)</t>
    <phoneticPr fontId="3" type="noConversion"/>
  </si>
  <si>
    <t>641,065
(640,400/665)</t>
    <phoneticPr fontId="3" type="noConversion"/>
  </si>
  <si>
    <t>843,966
(840,917/3,049)</t>
    <phoneticPr fontId="3" type="noConversion"/>
  </si>
  <si>
    <t>303,203
(300,484/2,719)</t>
    <phoneticPr fontId="3" type="noConversion"/>
  </si>
  <si>
    <t>540,763
(540,433/330)</t>
    <phoneticPr fontId="3" type="noConversion"/>
  </si>
  <si>
    <t>660,224
(553,521/106,703)</t>
    <phoneticPr fontId="3" type="noConversion"/>
  </si>
  <si>
    <t>1,514
(1,514/0)</t>
    <phoneticPr fontId="3" type="noConversion"/>
  </si>
  <si>
    <t>1,615
(1,615/0)</t>
    <phoneticPr fontId="3" type="noConversion"/>
  </si>
  <si>
    <t>370
(370/0)</t>
    <phoneticPr fontId="3" type="noConversion"/>
  </si>
  <si>
    <t>132,830
(129,600/3,230)</t>
    <phoneticPr fontId="3" type="noConversion"/>
  </si>
  <si>
    <t>75,521
(73,800/1,721)</t>
    <phoneticPr fontId="3" type="noConversion"/>
  </si>
  <si>
    <t>57,309
(55,800/1,509)</t>
    <phoneticPr fontId="3" type="noConversion"/>
  </si>
  <si>
    <t>98,669
(96,623/2,046)</t>
    <phoneticPr fontId="3" type="noConversion"/>
  </si>
  <si>
    <t>41,354
(40,124/1,230)</t>
    <phoneticPr fontId="3" type="noConversion"/>
  </si>
  <si>
    <t>57,315
(56,499/816)</t>
    <phoneticPr fontId="3" type="noConversion"/>
  </si>
  <si>
    <t>9,952
(7,256/2,697)</t>
    <phoneticPr fontId="3" type="noConversion"/>
  </si>
  <si>
    <t>254
(254/0)</t>
    <phoneticPr fontId="3" type="noConversion"/>
  </si>
  <si>
    <t>10
(10/0)</t>
    <phoneticPr fontId="3" type="noConversion"/>
  </si>
  <si>
    <t>9
(9/0)</t>
    <phoneticPr fontId="3" type="noConversion"/>
  </si>
  <si>
    <t>1,042,592
(1,037,000/5,592)</t>
    <phoneticPr fontId="3" type="noConversion"/>
  </si>
  <si>
    <t>425,202
(422,600/2,602)</t>
    <phoneticPr fontId="3" type="noConversion"/>
  </si>
  <si>
    <t>617,390
(614,400/2,990)</t>
    <phoneticPr fontId="3" type="noConversion"/>
  </si>
  <si>
    <t>768,338
(763,423/4,915)</t>
    <phoneticPr fontId="3" type="noConversion"/>
  </si>
  <si>
    <t>304,006
(301,846/2,160)</t>
    <phoneticPr fontId="3" type="noConversion"/>
  </si>
  <si>
    <t>464,333
(461,577/2,756)</t>
    <phoneticPr fontId="3" type="noConversion"/>
  </si>
  <si>
    <t>188,643
(187,437/1,206)</t>
    <phoneticPr fontId="3" type="noConversion"/>
  </si>
  <si>
    <t>871
(871/0)</t>
    <phoneticPr fontId="3" type="noConversion"/>
  </si>
  <si>
    <t>60
(60/0)</t>
    <phoneticPr fontId="3" type="noConversion"/>
  </si>
  <si>
    <t>1,219
(1,219/0)</t>
    <phoneticPr fontId="3" type="noConversion"/>
  </si>
  <si>
    <t>3,063
(3,063/0)</t>
    <phoneticPr fontId="3" type="noConversion"/>
  </si>
  <si>
    <t>103,538
(95,150/8,388)</t>
    <phoneticPr fontId="3" type="noConversion"/>
  </si>
  <si>
    <t>85,473
(80,900/4,573)</t>
    <phoneticPr fontId="3" type="noConversion"/>
  </si>
  <si>
    <t>18,065
(14,250/3,815)</t>
    <phoneticPr fontId="3" type="noConversion"/>
  </si>
  <si>
    <t>92,400
(85,809/6,591)</t>
    <phoneticPr fontId="3" type="noConversion"/>
  </si>
  <si>
    <t>77,794
(72,937/4,857)</t>
    <phoneticPr fontId="3" type="noConversion"/>
  </si>
  <si>
    <t>199
(199/0)</t>
    <phoneticPr fontId="3" type="noConversion"/>
  </si>
  <si>
    <t>14,606
(12,872/1,734)</t>
    <phoneticPr fontId="3" type="noConversion"/>
  </si>
  <si>
    <t>128,877
(126,971/1,906)</t>
    <phoneticPr fontId="3" type="noConversion"/>
  </si>
  <si>
    <t>137
(137/0)</t>
    <phoneticPr fontId="3" type="noConversion"/>
  </si>
  <si>
    <t>178,539
(177,000/1,539)</t>
    <phoneticPr fontId="3" type="noConversion"/>
  </si>
  <si>
    <t>1,539
(0/1,539)</t>
    <phoneticPr fontId="3" type="noConversion"/>
  </si>
  <si>
    <t>165,000
(165,000/0)</t>
    <phoneticPr fontId="3" type="noConversion"/>
  </si>
  <si>
    <t>12,000
(12,000/0)</t>
    <phoneticPr fontId="3" type="noConversion"/>
  </si>
  <si>
    <t>120,465
(119,392/1,073)</t>
    <phoneticPr fontId="3" type="noConversion"/>
  </si>
  <si>
    <t>1,073
(0/1,073)</t>
    <phoneticPr fontId="3" type="noConversion"/>
  </si>
  <si>
    <t>115,168
(115,168/0)</t>
    <phoneticPr fontId="3" type="noConversion"/>
  </si>
  <si>
    <t>4,224
(4,224/0)</t>
    <phoneticPr fontId="3" type="noConversion"/>
  </si>
  <si>
    <t>27,754
(18,741/9,013)</t>
    <phoneticPr fontId="3" type="noConversion"/>
  </si>
  <si>
    <t>118
(118/0)</t>
    <phoneticPr fontId="3" type="noConversion"/>
  </si>
  <si>
    <t>632
(632/0)</t>
    <phoneticPr fontId="3" type="noConversion"/>
  </si>
  <si>
    <t>559
(559/0)</t>
    <phoneticPr fontId="3" type="noConversion"/>
  </si>
  <si>
    <t>도</t>
    <phoneticPr fontId="3" type="noConversion"/>
  </si>
  <si>
    <t>2,877,096
(2,873,500/3,596)</t>
    <phoneticPr fontId="3" type="noConversion"/>
  </si>
  <si>
    <t>3,880
(3,880/0)</t>
    <phoneticPr fontId="3" type="noConversion"/>
  </si>
  <si>
    <t>2,214
(2,214/0)</t>
    <phoneticPr fontId="3" type="noConversion"/>
  </si>
  <si>
    <t>2,621
(2,621/0)</t>
    <phoneticPr fontId="3" type="noConversion"/>
  </si>
  <si>
    <t>1,474
(1,474/0)</t>
    <phoneticPr fontId="3" type="noConversion"/>
  </si>
  <si>
    <t>5
(5/0)</t>
    <phoneticPr fontId="3" type="noConversion"/>
  </si>
  <si>
    <t>12
(12/0)</t>
    <phoneticPr fontId="3" type="noConversion"/>
  </si>
  <si>
    <t>555,844
(535,000/20,844)</t>
    <phoneticPr fontId="3" type="noConversion"/>
  </si>
  <si>
    <t>444,411
(426,200/18,211)</t>
    <phoneticPr fontId="3" type="noConversion"/>
  </si>
  <si>
    <t>111,433
(108,800/2,633)</t>
    <phoneticPr fontId="3" type="noConversion"/>
  </si>
  <si>
    <t>478,013
(461,523/16,490)</t>
    <phoneticPr fontId="3" type="noConversion"/>
  </si>
  <si>
    <t>352,919
(338,173/14,746)</t>
    <phoneticPr fontId="3" type="noConversion"/>
  </si>
  <si>
    <t>79,094
(77,350/1,744)</t>
    <phoneticPr fontId="3" type="noConversion"/>
  </si>
  <si>
    <t>847
(847/0)</t>
    <phoneticPr fontId="3" type="noConversion"/>
  </si>
  <si>
    <t>1,043
(1,043/0)</t>
    <phoneticPr fontId="3" type="noConversion"/>
  </si>
  <si>
    <t>294
(294/0)</t>
    <phoneticPr fontId="3" type="noConversion"/>
  </si>
  <si>
    <t>904
(904/0)</t>
    <phoneticPr fontId="3" type="noConversion"/>
  </si>
  <si>
    <t>2,532
(2,532/0)</t>
    <phoneticPr fontId="3" type="noConversion"/>
  </si>
  <si>
    <t>560,082
(550,630/9,452)</t>
    <phoneticPr fontId="3" type="noConversion"/>
  </si>
  <si>
    <t>400,884
(396,030/4,854)</t>
    <phoneticPr fontId="3" type="noConversion"/>
  </si>
  <si>
    <t>159,198
(154,600/4,598)</t>
    <phoneticPr fontId="3" type="noConversion"/>
  </si>
  <si>
    <t>492,462
(485,196/7,266)</t>
    <phoneticPr fontId="3" type="noConversion"/>
  </si>
  <si>
    <t>2,500
(2,481/19)</t>
    <phoneticPr fontId="3" type="noConversion"/>
  </si>
  <si>
    <t>366,078
(362,631/3,447)</t>
    <phoneticPr fontId="3" type="noConversion"/>
  </si>
  <si>
    <t>123,885
(120,085/3,800)</t>
    <phoneticPr fontId="3" type="noConversion"/>
  </si>
  <si>
    <t>5,006,076
(4,972,390/33,686)</t>
    <phoneticPr fontId="3" type="noConversion"/>
  </si>
  <si>
    <t>1,343
(1,343/0)</t>
    <phoneticPr fontId="3" type="noConversion"/>
  </si>
  <si>
    <t>율촌면 봉전리 192-2</t>
    <phoneticPr fontId="3" type="noConversion"/>
  </si>
  <si>
    <t>1998.2.25</t>
    <phoneticPr fontId="3" type="noConversion"/>
  </si>
  <si>
    <t>율촌면 가장리 791-1</t>
    <phoneticPr fontId="3" type="noConversion"/>
  </si>
  <si>
    <t>2000.12.21</t>
    <phoneticPr fontId="3" type="noConversion"/>
  </si>
  <si>
    <t>산곡</t>
    <phoneticPr fontId="3" type="noConversion"/>
  </si>
  <si>
    <t>율촌면 신풍리 1014-1</t>
    <phoneticPr fontId="3" type="noConversion"/>
  </si>
  <si>
    <t>담체을 이용한 질소인 제거</t>
    <phoneticPr fontId="3" type="noConversion"/>
  </si>
  <si>
    <t>2001.12.26</t>
    <phoneticPr fontId="3" type="noConversion"/>
  </si>
  <si>
    <t>서촌</t>
    <phoneticPr fontId="3" type="noConversion"/>
  </si>
  <si>
    <t>화양면 서촌리 1409</t>
    <phoneticPr fontId="3" type="noConversion"/>
  </si>
  <si>
    <t>1997.4.4</t>
    <phoneticPr fontId="3" type="noConversion"/>
  </si>
  <si>
    <t>화양면 장수리 1292-2</t>
    <phoneticPr fontId="3" type="noConversion"/>
  </si>
  <si>
    <t>1996.1.1</t>
    <phoneticPr fontId="3" type="noConversion"/>
  </si>
  <si>
    <t>용주</t>
    <phoneticPr fontId="3" type="noConversion"/>
  </si>
  <si>
    <t>화양면 용주리 624-1</t>
    <phoneticPr fontId="3" type="noConversion"/>
  </si>
  <si>
    <t>2002. 4.23</t>
    <phoneticPr fontId="3" type="noConversion"/>
  </si>
  <si>
    <t>화양면 화동리 2197-4</t>
    <phoneticPr fontId="3" type="noConversion"/>
  </si>
  <si>
    <t>2002.8.23</t>
    <phoneticPr fontId="3" type="noConversion"/>
  </si>
  <si>
    <t>횡간</t>
    <phoneticPr fontId="3" type="noConversion"/>
  </si>
  <si>
    <t>남면 횡간리 325</t>
    <phoneticPr fontId="3" type="noConversion"/>
  </si>
  <si>
    <t>1996.1.26</t>
    <phoneticPr fontId="3" type="noConversion"/>
  </si>
  <si>
    <t>교량동618</t>
    <phoneticPr fontId="3" type="noConversion"/>
  </si>
  <si>
    <t>749-3135</t>
    <phoneticPr fontId="3" type="noConversion"/>
  </si>
  <si>
    <t>99.10.16</t>
    <phoneticPr fontId="3" type="noConversion"/>
  </si>
  <si>
    <t>순천만</t>
    <phoneticPr fontId="3" type="noConversion"/>
  </si>
  <si>
    <t>승주읍신성리1106</t>
    <phoneticPr fontId="3" type="noConversion"/>
  </si>
  <si>
    <t>749-3193</t>
    <phoneticPr fontId="3" type="noConversion"/>
  </si>
  <si>
    <t>99.11.6</t>
    <phoneticPr fontId="3" type="noConversion"/>
  </si>
  <si>
    <t>승주천</t>
    <phoneticPr fontId="3" type="noConversion"/>
  </si>
  <si>
    <t>상사호</t>
    <phoneticPr fontId="3" type="noConversion"/>
  </si>
  <si>
    <t>송광면봉덕리707</t>
    <phoneticPr fontId="3" type="noConversion"/>
  </si>
  <si>
    <t>749-3184</t>
    <phoneticPr fontId="3" type="noConversion"/>
  </si>
  <si>
    <t>05.6.9</t>
    <phoneticPr fontId="3" type="noConversion"/>
  </si>
  <si>
    <t>송광천</t>
    <phoneticPr fontId="3" type="noConversion"/>
  </si>
  <si>
    <t>송광면신평리703</t>
    <phoneticPr fontId="3" type="noConversion"/>
  </si>
  <si>
    <t>749-3185</t>
  </si>
  <si>
    <t>낙안면이곡리638-1</t>
    <phoneticPr fontId="3" type="noConversion"/>
  </si>
  <si>
    <t>749-3186</t>
  </si>
  <si>
    <t>낙안천</t>
    <phoneticPr fontId="3" type="noConversion"/>
  </si>
  <si>
    <t>벌교만</t>
    <phoneticPr fontId="3" type="noConversion"/>
  </si>
  <si>
    <t>주암면죽림590-16</t>
    <phoneticPr fontId="3" type="noConversion"/>
  </si>
  <si>
    <t>05.5.</t>
    <phoneticPr fontId="3" type="noConversion"/>
  </si>
  <si>
    <t>별량 용두</t>
    <phoneticPr fontId="3" type="noConversion"/>
  </si>
  <si>
    <t>별량면 구룡리</t>
    <phoneticPr fontId="3" type="noConversion"/>
  </si>
  <si>
    <t>현수미생물 다단계고도처리</t>
    <phoneticPr fontId="3" type="noConversion"/>
  </si>
  <si>
    <t>749-3785</t>
    <phoneticPr fontId="3" type="noConversion"/>
  </si>
  <si>
    <t>`01.5.30</t>
    <phoneticPr fontId="3" type="noConversion"/>
  </si>
  <si>
    <t>별량 진치1</t>
    <phoneticPr fontId="3" type="noConversion"/>
  </si>
  <si>
    <t>별량면 금치리</t>
    <phoneticPr fontId="3" type="noConversion"/>
  </si>
  <si>
    <t>고효율 합병정화</t>
    <phoneticPr fontId="3" type="noConversion"/>
  </si>
  <si>
    <t>`98.2.24</t>
    <phoneticPr fontId="3" type="noConversion"/>
  </si>
  <si>
    <t>별량 진치2</t>
    <phoneticPr fontId="3" type="noConversion"/>
  </si>
  <si>
    <t>별량면금치리</t>
    <phoneticPr fontId="3" type="noConversion"/>
  </si>
  <si>
    <t>혐기호기 접촉순환</t>
    <phoneticPr fontId="3" type="noConversion"/>
  </si>
  <si>
    <t>`99.5.17</t>
    <phoneticPr fontId="3" type="noConversion"/>
  </si>
  <si>
    <t>별량 거차1</t>
    <phoneticPr fontId="3" type="noConversion"/>
  </si>
  <si>
    <t>별량면마산리</t>
    <phoneticPr fontId="3" type="noConversion"/>
  </si>
  <si>
    <t>`98.1.18</t>
    <phoneticPr fontId="3" type="noConversion"/>
  </si>
  <si>
    <t>별량 거차2</t>
    <phoneticPr fontId="3" type="noConversion"/>
  </si>
  <si>
    <t>별량명마산리</t>
    <phoneticPr fontId="3" type="noConversion"/>
  </si>
  <si>
    <t>혐기호기접촉순환</t>
    <phoneticPr fontId="3" type="noConversion"/>
  </si>
  <si>
    <t>`99.4.30</t>
    <phoneticPr fontId="3" type="noConversion"/>
  </si>
  <si>
    <t>별량 고장</t>
    <phoneticPr fontId="3" type="noConversion"/>
  </si>
  <si>
    <t>`98.2.26</t>
    <phoneticPr fontId="3" type="noConversion"/>
  </si>
  <si>
    <t>별량 송기</t>
    <phoneticPr fontId="3" type="noConversion"/>
  </si>
  <si>
    <t>별량면송기리</t>
    <phoneticPr fontId="3" type="noConversion"/>
  </si>
  <si>
    <t>고도처리 합병정화시스템</t>
    <phoneticPr fontId="3" type="noConversion"/>
  </si>
  <si>
    <t>`98.2.25</t>
    <phoneticPr fontId="3" type="noConversion"/>
  </si>
  <si>
    <t>별량 죽림</t>
    <phoneticPr fontId="3" type="noConversion"/>
  </si>
  <si>
    <t>별량면죽산리</t>
    <phoneticPr fontId="3" type="noConversion"/>
  </si>
  <si>
    <t>별량 화포</t>
    <phoneticPr fontId="3" type="noConversion"/>
  </si>
  <si>
    <t>별량면학산리</t>
    <phoneticPr fontId="3" type="noConversion"/>
  </si>
  <si>
    <t>바이오휠타오수정화</t>
    <phoneticPr fontId="3" type="noConversion"/>
  </si>
  <si>
    <t>`02.4.4</t>
    <phoneticPr fontId="3" type="noConversion"/>
  </si>
  <si>
    <t>별량 금동</t>
    <phoneticPr fontId="3" type="noConversion"/>
  </si>
  <si>
    <t>상사 미곡</t>
    <phoneticPr fontId="3" type="noConversion"/>
  </si>
  <si>
    <t>상사면도월리</t>
    <phoneticPr fontId="3" type="noConversion"/>
  </si>
  <si>
    <t>유동상담체이용고도처리공법</t>
    <phoneticPr fontId="3" type="noConversion"/>
  </si>
  <si>
    <t>`03.12.9</t>
    <phoneticPr fontId="3" type="noConversion"/>
  </si>
  <si>
    <t>상사 노동</t>
    <phoneticPr fontId="3" type="noConversion"/>
  </si>
  <si>
    <t>상상면봉래리</t>
    <phoneticPr fontId="3" type="noConversion"/>
  </si>
  <si>
    <t>송광 덕동</t>
    <phoneticPr fontId="3" type="noConversion"/>
  </si>
  <si>
    <t>송광면덕산리</t>
    <phoneticPr fontId="3" type="noConversion"/>
  </si>
  <si>
    <t>회분식활성슬러지공법</t>
    <phoneticPr fontId="3" type="noConversion"/>
  </si>
  <si>
    <t>`03.11.16</t>
    <phoneticPr fontId="3" type="noConversion"/>
  </si>
  <si>
    <t>송광 죽산</t>
    <phoneticPr fontId="3" type="noConversion"/>
  </si>
  <si>
    <t>송광 유경</t>
    <phoneticPr fontId="3" type="noConversion"/>
  </si>
  <si>
    <t>송광면삼청리</t>
    <phoneticPr fontId="3" type="noConversion"/>
  </si>
  <si>
    <t>무산소호기공존고도처리공법</t>
    <phoneticPr fontId="3" type="noConversion"/>
  </si>
  <si>
    <t>`03.11.20</t>
    <phoneticPr fontId="3" type="noConversion"/>
  </si>
  <si>
    <t>송광 신흥</t>
    <phoneticPr fontId="3" type="noConversion"/>
  </si>
  <si>
    <t>송광면신흥리</t>
    <phoneticPr fontId="3" type="noConversion"/>
  </si>
  <si>
    <t>`03.12.19</t>
    <phoneticPr fontId="3" type="noConversion"/>
  </si>
  <si>
    <t>송광 외장</t>
    <phoneticPr fontId="3" type="noConversion"/>
  </si>
  <si>
    <t>송광면우산리</t>
    <phoneticPr fontId="3" type="noConversion"/>
  </si>
  <si>
    <t>송광 후곡</t>
    <phoneticPr fontId="3" type="noConversion"/>
  </si>
  <si>
    <t>송광면후곡리</t>
    <phoneticPr fontId="3" type="noConversion"/>
  </si>
  <si>
    <t>승주 남정</t>
    <phoneticPr fontId="3" type="noConversion"/>
  </si>
  <si>
    <t>승주읍남강리</t>
    <phoneticPr fontId="3" type="noConversion"/>
  </si>
  <si>
    <t>바이오리엑타고도처리</t>
    <phoneticPr fontId="3" type="noConversion"/>
  </si>
  <si>
    <t>`02.6.20</t>
    <phoneticPr fontId="3" type="noConversion"/>
  </si>
  <si>
    <t>승주 기룡</t>
    <phoneticPr fontId="3" type="noConversion"/>
  </si>
  <si>
    <t>승주읍유평리</t>
    <phoneticPr fontId="3" type="noConversion"/>
  </si>
  <si>
    <t>주암 월평</t>
    <phoneticPr fontId="3" type="noConversion"/>
  </si>
  <si>
    <t>주암면복다리</t>
    <phoneticPr fontId="3" type="noConversion"/>
  </si>
  <si>
    <t>`00.4.7</t>
    <phoneticPr fontId="3" type="noConversion"/>
  </si>
  <si>
    <t>주암 대구</t>
    <phoneticPr fontId="3" type="noConversion"/>
  </si>
  <si>
    <t>주암면대구리</t>
    <phoneticPr fontId="3" type="noConversion"/>
  </si>
  <si>
    <t>오폐수고도처리시스템</t>
    <phoneticPr fontId="3" type="noConversion"/>
  </si>
  <si>
    <t>`99.5.30</t>
    <phoneticPr fontId="3" type="noConversion"/>
  </si>
  <si>
    <t>주암 복다1</t>
    <phoneticPr fontId="3" type="noConversion"/>
  </si>
  <si>
    <t>혐기호기접촉순환조화법</t>
    <phoneticPr fontId="3" type="noConversion"/>
  </si>
  <si>
    <t>`99.3.17</t>
    <phoneticPr fontId="3" type="noConversion"/>
  </si>
  <si>
    <t>용촌천</t>
    <phoneticPr fontId="3" type="noConversion"/>
  </si>
  <si>
    <t>주암 복다2</t>
    <phoneticPr fontId="3" type="noConversion"/>
  </si>
  <si>
    <t>`00.1.7</t>
    <phoneticPr fontId="3" type="noConversion"/>
  </si>
  <si>
    <t>주암 문길</t>
    <phoneticPr fontId="3" type="noConversion"/>
  </si>
  <si>
    <t>주암면풍교리</t>
    <phoneticPr fontId="3" type="noConversion"/>
  </si>
  <si>
    <t>`99.3.12</t>
    <phoneticPr fontId="3" type="noConversion"/>
  </si>
  <si>
    <t>주암 한곡</t>
    <phoneticPr fontId="3" type="noConversion"/>
  </si>
  <si>
    <t>주암면한교리</t>
    <phoneticPr fontId="3" type="noConversion"/>
  </si>
  <si>
    <t>`01.4.20</t>
    <phoneticPr fontId="3" type="noConversion"/>
  </si>
  <si>
    <t>주암 쌍산</t>
    <phoneticPr fontId="3" type="noConversion"/>
  </si>
  <si>
    <t>주암 백록</t>
    <phoneticPr fontId="3" type="noConversion"/>
  </si>
  <si>
    <t>주암면백록리</t>
    <phoneticPr fontId="3" type="noConversion"/>
  </si>
  <si>
    <t>`04.12.7</t>
    <phoneticPr fontId="3" type="noConversion"/>
  </si>
  <si>
    <t>해룡 마산</t>
    <phoneticPr fontId="3" type="noConversion"/>
  </si>
  <si>
    <t>해룡면대안리</t>
    <phoneticPr fontId="3" type="noConversion"/>
  </si>
  <si>
    <t>호기성미생물오폐수처리</t>
    <phoneticPr fontId="3" type="noConversion"/>
  </si>
  <si>
    <t>`99.4.22</t>
    <phoneticPr fontId="3" type="noConversion"/>
  </si>
  <si>
    <t>해룡천</t>
    <phoneticPr fontId="3" type="noConversion"/>
  </si>
  <si>
    <t>해룡 와온</t>
    <phoneticPr fontId="3" type="noConversion"/>
  </si>
  <si>
    <t>해룡면상내리</t>
    <phoneticPr fontId="3" type="noConversion"/>
  </si>
  <si>
    <t>`03.10.21</t>
    <phoneticPr fontId="3" type="noConversion"/>
  </si>
  <si>
    <t>향동 삼거</t>
    <phoneticPr fontId="3" type="noConversion"/>
  </si>
  <si>
    <t>향동삼거마을</t>
    <phoneticPr fontId="3" type="noConversion"/>
  </si>
  <si>
    <t>`00.4.26</t>
    <phoneticPr fontId="3" type="noConversion"/>
  </si>
  <si>
    <t>와룡수원지</t>
    <phoneticPr fontId="3" type="noConversion"/>
  </si>
  <si>
    <t>향동 송학</t>
    <phoneticPr fontId="3" type="noConversion"/>
  </si>
  <si>
    <t>향동송학마을</t>
    <phoneticPr fontId="3" type="noConversion"/>
  </si>
  <si>
    <t>혐기성접촉폭기식</t>
    <phoneticPr fontId="3" type="noConversion"/>
  </si>
  <si>
    <t>`00.3.16</t>
    <phoneticPr fontId="3" type="noConversion"/>
  </si>
  <si>
    <t>향동 풍치</t>
    <phoneticPr fontId="3" type="noConversion"/>
  </si>
  <si>
    <t>향동풍치마을</t>
    <phoneticPr fontId="3" type="noConversion"/>
  </si>
  <si>
    <t>`99.9.12</t>
    <phoneticPr fontId="3" type="noConversion"/>
  </si>
  <si>
    <t>황전 수평</t>
    <phoneticPr fontId="3" type="noConversion"/>
  </si>
  <si>
    <t>황전면수평리</t>
    <phoneticPr fontId="3" type="noConversion"/>
  </si>
  <si>
    <t>`02.4.9</t>
    <phoneticPr fontId="3" type="noConversion"/>
  </si>
  <si>
    <t>황전 미초</t>
    <phoneticPr fontId="3" type="noConversion"/>
  </si>
  <si>
    <t>황전면덕림리</t>
    <phoneticPr fontId="3" type="noConversion"/>
  </si>
  <si>
    <t>`00.</t>
    <phoneticPr fontId="3" type="noConversion"/>
  </si>
  <si>
    <t>도사 부흥</t>
    <phoneticPr fontId="3" type="noConversion"/>
  </si>
  <si>
    <t>도사동부흥마을</t>
    <phoneticPr fontId="3" type="noConversion"/>
  </si>
  <si>
    <t>`00.4.9</t>
    <phoneticPr fontId="3" type="noConversion"/>
  </si>
  <si>
    <t>이사천취수장</t>
    <phoneticPr fontId="3" type="noConversion"/>
  </si>
  <si>
    <t>운곡동121</t>
    <phoneticPr fontId="3" type="noConversion"/>
  </si>
  <si>
    <t>330-8622</t>
    <phoneticPr fontId="3" type="noConversion"/>
  </si>
  <si>
    <t>산포면내기리914</t>
    <phoneticPr fontId="3" type="noConversion"/>
  </si>
  <si>
    <t>회전원판</t>
    <phoneticPr fontId="3" type="noConversion"/>
  </si>
  <si>
    <t>330-8833</t>
    <phoneticPr fontId="3" type="noConversion"/>
  </si>
  <si>
    <t>지석</t>
    <phoneticPr fontId="3" type="noConversion"/>
  </si>
  <si>
    <t>공산면금곡리19</t>
    <phoneticPr fontId="3" type="noConversion"/>
  </si>
  <si>
    <t>330-8834</t>
    <phoneticPr fontId="3" type="noConversion"/>
  </si>
  <si>
    <t>삼포</t>
    <phoneticPr fontId="3" type="noConversion"/>
  </si>
  <si>
    <t>금당</t>
    <phoneticPr fontId="3" type="noConversion"/>
  </si>
  <si>
    <t>남평읍 수원리</t>
    <phoneticPr fontId="3" type="noConversion"/>
  </si>
  <si>
    <t>KHBNR 공법</t>
    <phoneticPr fontId="3" type="noConversion"/>
  </si>
  <si>
    <t>○</t>
    <phoneticPr fontId="3" type="noConversion"/>
  </si>
  <si>
    <t>330-8537</t>
    <phoneticPr fontId="3" type="noConversion"/>
  </si>
  <si>
    <t>2004. 5.</t>
    <phoneticPr fontId="3" type="noConversion"/>
  </si>
  <si>
    <t>자외선 소독시설</t>
    <phoneticPr fontId="3" type="noConversion"/>
  </si>
  <si>
    <t>인암</t>
    <phoneticPr fontId="3" type="noConversion"/>
  </si>
  <si>
    <t>남평읍 우산리</t>
    <phoneticPr fontId="3" type="noConversion"/>
  </si>
  <si>
    <t>2004. 6.</t>
    <phoneticPr fontId="3" type="noConversion"/>
  </si>
  <si>
    <t>신동산</t>
    <phoneticPr fontId="3" type="noConversion"/>
  </si>
  <si>
    <t>노안면 학산리</t>
    <phoneticPr fontId="3" type="noConversion"/>
  </si>
  <si>
    <t>모관침윤트렌치공법</t>
    <phoneticPr fontId="3" type="noConversion"/>
  </si>
  <si>
    <t>1996. 4.</t>
    <phoneticPr fontId="3" type="noConversion"/>
  </si>
  <si>
    <t>장림</t>
    <phoneticPr fontId="3" type="noConversion"/>
  </si>
  <si>
    <t>노안면 장동리</t>
    <phoneticPr fontId="3" type="noConversion"/>
  </si>
  <si>
    <t>2002. 2.</t>
    <phoneticPr fontId="3" type="noConversion"/>
  </si>
  <si>
    <t>영안</t>
  </si>
  <si>
    <t>영평리</t>
    <phoneticPr fontId="3" type="noConversion"/>
  </si>
  <si>
    <t>2006. 9.</t>
    <phoneticPr fontId="3" type="noConversion"/>
  </si>
  <si>
    <t>영산천</t>
  </si>
  <si>
    <t>가동</t>
    <phoneticPr fontId="3" type="noConversion"/>
  </si>
  <si>
    <t>왕곡면 신가리</t>
    <phoneticPr fontId="3" type="noConversion"/>
  </si>
  <si>
    <t>1997. 1.</t>
    <phoneticPr fontId="3" type="noConversion"/>
  </si>
  <si>
    <t>박포</t>
    <phoneticPr fontId="3" type="noConversion"/>
  </si>
  <si>
    <t>왕곡면 신포리</t>
    <phoneticPr fontId="3" type="noConversion"/>
  </si>
  <si>
    <t>고효율접촉산화공법</t>
    <phoneticPr fontId="3" type="noConversion"/>
  </si>
  <si>
    <t>1998. 1.</t>
    <phoneticPr fontId="3" type="noConversion"/>
  </si>
  <si>
    <t>내동</t>
    <phoneticPr fontId="3" type="noConversion"/>
  </si>
  <si>
    <t>흡수성바이오생물막법</t>
    <phoneticPr fontId="3" type="noConversion"/>
  </si>
  <si>
    <t>1999. 7.</t>
    <phoneticPr fontId="3" type="noConversion"/>
  </si>
  <si>
    <t>동양촌</t>
    <phoneticPr fontId="3" type="noConversion"/>
  </si>
  <si>
    <t>왕곡면 본양리</t>
    <phoneticPr fontId="3" type="noConversion"/>
  </si>
  <si>
    <t>행장</t>
    <phoneticPr fontId="3" type="noConversion"/>
  </si>
  <si>
    <t>왕곡면 행전리</t>
    <phoneticPr fontId="3" type="noConversion"/>
  </si>
  <si>
    <t>2001. 2.</t>
    <phoneticPr fontId="3" type="noConversion"/>
  </si>
  <si>
    <t>구천</t>
    <phoneticPr fontId="3" type="noConversion"/>
  </si>
  <si>
    <t>왕곡면 월천리</t>
    <phoneticPr fontId="3" type="noConversion"/>
  </si>
  <si>
    <t>KMS 공법</t>
    <phoneticPr fontId="3" type="noConversion"/>
  </si>
  <si>
    <t>정촌</t>
    <phoneticPr fontId="3" type="noConversion"/>
  </si>
  <si>
    <t>왕곡면 화정리</t>
    <phoneticPr fontId="3" type="noConversion"/>
  </si>
  <si>
    <t>OAM 공법</t>
    <phoneticPr fontId="3" type="noConversion"/>
  </si>
  <si>
    <t>오존 소독시설</t>
    <phoneticPr fontId="3" type="noConversion"/>
  </si>
  <si>
    <t>다시면 복암리</t>
    <phoneticPr fontId="3" type="noConversion"/>
  </si>
  <si>
    <t>1997. 3.</t>
    <phoneticPr fontId="3" type="noConversion"/>
  </si>
  <si>
    <t>유전</t>
    <phoneticPr fontId="3" type="noConversion"/>
  </si>
  <si>
    <t>금천면 석전리</t>
    <phoneticPr fontId="3" type="noConversion"/>
  </si>
  <si>
    <t>1997. 2.</t>
    <phoneticPr fontId="3" type="noConversion"/>
  </si>
  <si>
    <t>금천천</t>
    <phoneticPr fontId="3" type="noConversion"/>
  </si>
  <si>
    <t>석동</t>
    <phoneticPr fontId="3" type="noConversion"/>
  </si>
  <si>
    <t>금천면 고동리</t>
    <phoneticPr fontId="3" type="noConversion"/>
  </si>
  <si>
    <t>2000. 2.</t>
    <phoneticPr fontId="3" type="noConversion"/>
  </si>
  <si>
    <t>방축</t>
    <phoneticPr fontId="3" type="noConversion"/>
  </si>
  <si>
    <t>금천면 신천리</t>
    <phoneticPr fontId="3" type="noConversion"/>
  </si>
  <si>
    <t>석해</t>
    <phoneticPr fontId="3" type="noConversion"/>
  </si>
  <si>
    <t>공산면 상방리</t>
    <phoneticPr fontId="3" type="noConversion"/>
  </si>
  <si>
    <t>상구</t>
    <phoneticPr fontId="3" type="noConversion"/>
  </si>
  <si>
    <t>문평면 옥당리</t>
    <phoneticPr fontId="3" type="noConversion"/>
  </si>
  <si>
    <t>연화</t>
    <phoneticPr fontId="3" type="noConversion"/>
  </si>
  <si>
    <t>동강면 장동리</t>
    <phoneticPr fontId="3" type="noConversion"/>
  </si>
  <si>
    <t>욱실</t>
    <phoneticPr fontId="3" type="noConversion"/>
  </si>
  <si>
    <t>봉황면 욱곡리</t>
    <phoneticPr fontId="3" type="noConversion"/>
  </si>
  <si>
    <t>2003. 3.</t>
    <phoneticPr fontId="3" type="noConversion"/>
  </si>
  <si>
    <t>도래</t>
    <phoneticPr fontId="3" type="noConversion"/>
  </si>
  <si>
    <t>다도면 풍산리</t>
    <phoneticPr fontId="3" type="noConversion"/>
  </si>
  <si>
    <t>BCS-2 공법</t>
    <phoneticPr fontId="3" type="noConversion"/>
  </si>
  <si>
    <t>2005. 10.</t>
    <phoneticPr fontId="3" type="noConversion"/>
  </si>
  <si>
    <t>내정</t>
    <phoneticPr fontId="3" type="noConversion"/>
  </si>
  <si>
    <t>세지면 내정리</t>
    <phoneticPr fontId="3" type="noConversion"/>
  </si>
  <si>
    <t>발산</t>
    <phoneticPr fontId="3" type="noConversion"/>
  </si>
  <si>
    <t>세지면 교산리</t>
    <phoneticPr fontId="3" type="noConversion"/>
  </si>
  <si>
    <t>죽산</t>
  </si>
  <si>
    <t>대산리</t>
    <phoneticPr fontId="3" type="noConversion"/>
  </si>
  <si>
    <t>만봉천</t>
  </si>
  <si>
    <t>광양시</t>
    <phoneticPr fontId="56" type="noConversion"/>
  </si>
  <si>
    <t>중동308-133</t>
    <phoneticPr fontId="3" type="noConversion"/>
  </si>
  <si>
    <t>797-2565</t>
    <phoneticPr fontId="3" type="noConversion"/>
  </si>
  <si>
    <t>2004.12.31</t>
    <phoneticPr fontId="3" type="noConversion"/>
  </si>
  <si>
    <t>광양읍 세풍리336-11</t>
    <phoneticPr fontId="3" type="noConversion"/>
  </si>
  <si>
    <t>MSBR</t>
    <phoneticPr fontId="3" type="noConversion"/>
  </si>
  <si>
    <t>797-3278</t>
    <phoneticPr fontId="3" type="noConversion"/>
  </si>
  <si>
    <t>2002.6.14</t>
    <phoneticPr fontId="3" type="noConversion"/>
  </si>
  <si>
    <t>광영동 655-6</t>
    <phoneticPr fontId="3" type="noConversion"/>
  </si>
  <si>
    <t>활성오니법</t>
    <phoneticPr fontId="3" type="noConversion"/>
  </si>
  <si>
    <t>797-2566</t>
    <phoneticPr fontId="3" type="noConversion"/>
  </si>
  <si>
    <t>1993.3.24</t>
    <phoneticPr fontId="3" type="noConversion"/>
  </si>
  <si>
    <t>옥룡면추산리571-4</t>
    <phoneticPr fontId="3" type="noConversion"/>
  </si>
  <si>
    <t>혐기호기접촉산화법</t>
    <phoneticPr fontId="3" type="noConversion"/>
  </si>
  <si>
    <t>797-2791</t>
    <phoneticPr fontId="3" type="noConversion"/>
  </si>
  <si>
    <t>광양동천</t>
    <phoneticPr fontId="3" type="noConversion"/>
  </si>
  <si>
    <t>광양만</t>
    <phoneticPr fontId="3" type="noConversion"/>
  </si>
  <si>
    <t>옥룡면율천리 725-1</t>
    <phoneticPr fontId="3" type="noConversion"/>
  </si>
  <si>
    <t>산본</t>
    <phoneticPr fontId="3" type="noConversion"/>
  </si>
  <si>
    <t>옥룡면산남리 228-1</t>
    <phoneticPr fontId="3" type="noConversion"/>
  </si>
  <si>
    <t>율곡</t>
    <phoneticPr fontId="3" type="noConversion"/>
  </si>
  <si>
    <t>옥룡면운평리745-1</t>
    <phoneticPr fontId="3" type="noConversion"/>
  </si>
  <si>
    <t>옥동</t>
    <phoneticPr fontId="3" type="noConversion"/>
  </si>
  <si>
    <t>옥룡면용곡리700</t>
    <phoneticPr fontId="3" type="noConversion"/>
  </si>
  <si>
    <t>바투바이오휠타공법</t>
    <phoneticPr fontId="3" type="noConversion"/>
  </si>
  <si>
    <t>옥룡면동곡리124-3</t>
    <phoneticPr fontId="3" type="noConversion"/>
  </si>
  <si>
    <t>KHBNR공법</t>
    <phoneticPr fontId="3" type="noConversion"/>
  </si>
  <si>
    <t>상봉</t>
    <phoneticPr fontId="3" type="noConversion"/>
  </si>
  <si>
    <t>봉강면봉당리718-3</t>
    <phoneticPr fontId="3" type="noConversion"/>
  </si>
  <si>
    <t>토양식오수정화시설</t>
    <phoneticPr fontId="3" type="noConversion"/>
  </si>
  <si>
    <t>광양서천</t>
    <phoneticPr fontId="3" type="noConversion"/>
  </si>
  <si>
    <t>봉강면신룡리387-5</t>
    <phoneticPr fontId="3" type="noConversion"/>
  </si>
  <si>
    <t>하조</t>
    <phoneticPr fontId="3" type="noConversion"/>
  </si>
  <si>
    <t>봉강면조령리1639</t>
    <phoneticPr fontId="3" type="noConversion"/>
  </si>
  <si>
    <t>지계</t>
    <phoneticPr fontId="3" type="noConversion"/>
  </si>
  <si>
    <t>진상면어치리691-1</t>
    <phoneticPr fontId="3" type="noConversion"/>
  </si>
  <si>
    <t>수어천</t>
    <phoneticPr fontId="3" type="noConversion"/>
  </si>
  <si>
    <t>외회1</t>
    <phoneticPr fontId="3" type="noConversion"/>
  </si>
  <si>
    <t>진상면어치리915</t>
    <phoneticPr fontId="3" type="noConversion"/>
  </si>
  <si>
    <t>비촌1</t>
    <phoneticPr fontId="3" type="noConversion"/>
  </si>
  <si>
    <t>진상면비평리1360</t>
    <phoneticPr fontId="3" type="noConversion"/>
  </si>
  <si>
    <t>비촌2</t>
    <phoneticPr fontId="3" type="noConversion"/>
  </si>
  <si>
    <t>진상면비평리1008-4</t>
    <phoneticPr fontId="3" type="noConversion"/>
  </si>
  <si>
    <t>평촌</t>
    <phoneticPr fontId="3" type="noConversion"/>
  </si>
  <si>
    <t>다압면금천리35-2</t>
    <phoneticPr fontId="3" type="noConversion"/>
  </si>
  <si>
    <t>다사1</t>
    <phoneticPr fontId="3" type="noConversion"/>
  </si>
  <si>
    <t>다압면도사리1004</t>
    <phoneticPr fontId="3" type="noConversion"/>
  </si>
  <si>
    <t>다사2</t>
    <phoneticPr fontId="3" type="noConversion"/>
  </si>
  <si>
    <t>다압면도사리1121-6</t>
    <phoneticPr fontId="3" type="noConversion"/>
  </si>
  <si>
    <t>관동</t>
    <phoneticPr fontId="3" type="noConversion"/>
  </si>
  <si>
    <t>다압면고사리173-2</t>
    <phoneticPr fontId="3" type="noConversion"/>
  </si>
  <si>
    <t>고사</t>
    <phoneticPr fontId="3" type="noConversion"/>
  </si>
  <si>
    <t>다압면고사리651-1</t>
    <phoneticPr fontId="3" type="noConversion"/>
  </si>
  <si>
    <t>다압면신원리1694-8</t>
    <phoneticPr fontId="3" type="noConversion"/>
  </si>
  <si>
    <t>KDHST공법</t>
    <phoneticPr fontId="3" type="noConversion"/>
  </si>
  <si>
    <t>죽양</t>
    <phoneticPr fontId="3" type="noConversion"/>
  </si>
  <si>
    <t xml:space="preserve">옥곡면대죽리664 </t>
    <phoneticPr fontId="3" type="noConversion"/>
  </si>
  <si>
    <t>옥곡천</t>
    <phoneticPr fontId="3" type="noConversion"/>
  </si>
  <si>
    <t>중도</t>
    <phoneticPr fontId="3" type="noConversion"/>
  </si>
  <si>
    <t>진월면월길리8-23</t>
    <phoneticPr fontId="3" type="noConversion"/>
  </si>
  <si>
    <t>하수</t>
    <phoneticPr fontId="56" type="noConversion"/>
  </si>
  <si>
    <t>담양읍 강쟁리 1224</t>
    <phoneticPr fontId="3" type="noConversion"/>
  </si>
  <si>
    <t>99.10.7</t>
    <phoneticPr fontId="3" type="noConversion"/>
  </si>
  <si>
    <t>와우</t>
    <phoneticPr fontId="3" type="noConversion"/>
  </si>
  <si>
    <t>봉산면 와우리 897-10</t>
    <phoneticPr fontId="3" type="noConversion"/>
  </si>
  <si>
    <t>3상다단접촉폭기장치</t>
    <phoneticPr fontId="3" type="noConversion"/>
  </si>
  <si>
    <t>99.9.20</t>
    <phoneticPr fontId="3" type="noConversion"/>
  </si>
  <si>
    <t>삼지천</t>
    <phoneticPr fontId="3" type="noConversion"/>
  </si>
  <si>
    <t>잣정</t>
    <phoneticPr fontId="3" type="noConversion"/>
  </si>
  <si>
    <t>고서면 분향리 234-2</t>
    <phoneticPr fontId="3" type="noConversion"/>
  </si>
  <si>
    <t>현수다단계고도처리방식</t>
    <phoneticPr fontId="3" type="noConversion"/>
  </si>
  <si>
    <t>97.6.17</t>
    <phoneticPr fontId="3" type="noConversion"/>
  </si>
  <si>
    <t>증암천</t>
    <phoneticPr fontId="3" type="noConversion"/>
  </si>
  <si>
    <t>주평</t>
    <phoneticPr fontId="3" type="noConversion"/>
  </si>
  <si>
    <t>고서면 주산리 56-5</t>
    <phoneticPr fontId="3" type="noConversion"/>
  </si>
  <si>
    <t>고서면 분향리 154-1</t>
    <phoneticPr fontId="3" type="noConversion"/>
  </si>
  <si>
    <t>여재를 이용한 고도처리</t>
    <phoneticPr fontId="3" type="noConversion"/>
  </si>
  <si>
    <t>구산</t>
    <phoneticPr fontId="3" type="noConversion"/>
  </si>
  <si>
    <t>남면 구산리 136-1</t>
    <phoneticPr fontId="3" type="noConversion"/>
  </si>
  <si>
    <t>95.12.30</t>
    <phoneticPr fontId="3" type="noConversion"/>
  </si>
  <si>
    <t>외동</t>
    <phoneticPr fontId="3" type="noConversion"/>
  </si>
  <si>
    <t>창평면 외동리 659-1</t>
    <phoneticPr fontId="3" type="noConversion"/>
  </si>
  <si>
    <t>토양오수정화장치</t>
    <phoneticPr fontId="3" type="noConversion"/>
  </si>
  <si>
    <t>시목</t>
    <phoneticPr fontId="3" type="noConversion"/>
  </si>
  <si>
    <t>대덕면 금산리 175-10</t>
    <phoneticPr fontId="3" type="noConversion"/>
  </si>
  <si>
    <t>06.5.17</t>
    <phoneticPr fontId="3" type="noConversion"/>
  </si>
  <si>
    <t>창평천</t>
    <phoneticPr fontId="3" type="noConversion"/>
  </si>
  <si>
    <t>강정자</t>
    <phoneticPr fontId="3" type="noConversion"/>
  </si>
  <si>
    <t>무정면 평지리 134-1</t>
    <phoneticPr fontId="3" type="noConversion"/>
  </si>
  <si>
    <t>98.3.10</t>
    <phoneticPr fontId="3" type="noConversion"/>
  </si>
  <si>
    <t>오례천</t>
    <phoneticPr fontId="3" type="noConversion"/>
  </si>
  <si>
    <t>원율문화</t>
    <phoneticPr fontId="3" type="noConversion"/>
  </si>
  <si>
    <t>금성면 원율리 222-1</t>
    <phoneticPr fontId="3" type="noConversion"/>
  </si>
  <si>
    <t>99.5.25</t>
    <phoneticPr fontId="3" type="noConversion"/>
  </si>
  <si>
    <t>월계</t>
    <phoneticPr fontId="3" type="noConversion"/>
  </si>
  <si>
    <t>용면 월계리 203-1</t>
    <phoneticPr fontId="3" type="noConversion"/>
  </si>
  <si>
    <t>02.7.30</t>
    <phoneticPr fontId="3" type="noConversion"/>
  </si>
  <si>
    <t>담양호</t>
    <phoneticPr fontId="3" type="noConversion"/>
  </si>
  <si>
    <t>용치</t>
    <phoneticPr fontId="3" type="noConversion"/>
  </si>
  <si>
    <t>용면 용연리 407-2</t>
    <phoneticPr fontId="3" type="noConversion"/>
  </si>
  <si>
    <t>03.12.14</t>
    <phoneticPr fontId="3" type="noConversion"/>
  </si>
  <si>
    <t>분통</t>
    <phoneticPr fontId="3" type="noConversion"/>
  </si>
  <si>
    <t>용면 용연리 259-1</t>
    <phoneticPr fontId="3" type="noConversion"/>
  </si>
  <si>
    <t>03.12.8</t>
    <phoneticPr fontId="3" type="noConversion"/>
  </si>
  <si>
    <t>봉명</t>
    <phoneticPr fontId="3" type="noConversion"/>
  </si>
  <si>
    <t>월산면 화방리 232-1</t>
    <phoneticPr fontId="3" type="noConversion"/>
  </si>
  <si>
    <t>용천</t>
    <phoneticPr fontId="3" type="noConversion"/>
  </si>
  <si>
    <t>얼산면 중월리 352-7</t>
    <phoneticPr fontId="3" type="noConversion"/>
  </si>
  <si>
    <t>중월천</t>
    <phoneticPr fontId="3" type="noConversion"/>
  </si>
  <si>
    <t>복정</t>
    <phoneticPr fontId="3" type="noConversion"/>
  </si>
  <si>
    <t>월산면 월계리 601-27</t>
    <phoneticPr fontId="3" type="noConversion"/>
  </si>
  <si>
    <t>HBR2</t>
    <phoneticPr fontId="3" type="noConversion"/>
  </si>
  <si>
    <t>04.8.25</t>
    <phoneticPr fontId="3" type="noConversion"/>
  </si>
  <si>
    <t>월산면 월평리 489-3</t>
    <phoneticPr fontId="3" type="noConversion"/>
  </si>
  <si>
    <t>월산면 월산리 62-19</t>
    <phoneticPr fontId="3" type="noConversion"/>
  </si>
  <si>
    <t>월산면 월산리 57-12</t>
    <phoneticPr fontId="3" type="noConversion"/>
  </si>
  <si>
    <t>99.11.8</t>
    <phoneticPr fontId="3" type="noConversion"/>
  </si>
  <si>
    <t>월산면 중월리 99-2</t>
    <phoneticPr fontId="3" type="noConversion"/>
  </si>
  <si>
    <t>토양피복형오수정화방법및그장치</t>
    <phoneticPr fontId="3" type="noConversion"/>
  </si>
  <si>
    <t>01.10.31</t>
    <phoneticPr fontId="3" type="noConversion"/>
  </si>
  <si>
    <t>정중</t>
    <phoneticPr fontId="3" type="noConversion"/>
  </si>
  <si>
    <t>수북면 정중리 226-34</t>
    <phoneticPr fontId="3" type="noConversion"/>
  </si>
  <si>
    <t>01.10.29</t>
    <phoneticPr fontId="3" type="noConversion"/>
  </si>
  <si>
    <t>수북천</t>
    <phoneticPr fontId="3" type="noConversion"/>
  </si>
  <si>
    <t>월성산</t>
    <phoneticPr fontId="3" type="noConversion"/>
  </si>
  <si>
    <t>수북면 고성리 678-1</t>
    <phoneticPr fontId="3" type="noConversion"/>
  </si>
  <si>
    <t>수북면 황금리 361-1</t>
    <phoneticPr fontId="3" type="noConversion"/>
  </si>
  <si>
    <t>HBR/2</t>
    <phoneticPr fontId="3" type="noConversion"/>
  </si>
  <si>
    <t>궁암</t>
    <phoneticPr fontId="3" type="noConversion"/>
  </si>
  <si>
    <t>00.12.7</t>
    <phoneticPr fontId="3" type="noConversion"/>
  </si>
  <si>
    <t>고리대</t>
    <phoneticPr fontId="3" type="noConversion"/>
  </si>
  <si>
    <t>수북면 고성리 51-27</t>
    <phoneticPr fontId="3" type="noConversion"/>
  </si>
  <si>
    <t>호기성미생물에의한정화장치</t>
    <phoneticPr fontId="3" type="noConversion"/>
  </si>
  <si>
    <t>99.1.4</t>
    <phoneticPr fontId="3" type="noConversion"/>
  </si>
  <si>
    <t>수북문화</t>
    <phoneticPr fontId="3" type="noConversion"/>
  </si>
  <si>
    <t>수북면 풍수리 637-5</t>
    <phoneticPr fontId="3" type="noConversion"/>
  </si>
  <si>
    <t>고효율합병정화조공법</t>
    <phoneticPr fontId="3" type="noConversion"/>
  </si>
  <si>
    <t>00.12.4</t>
    <phoneticPr fontId="3" type="noConversion"/>
  </si>
  <si>
    <t>계곡</t>
    <phoneticPr fontId="3" type="noConversion"/>
  </si>
  <si>
    <t>대전면 갑향리 225-33</t>
    <phoneticPr fontId="3" type="noConversion"/>
  </si>
  <si>
    <t>98.3.9</t>
    <phoneticPr fontId="3" type="noConversion"/>
  </si>
  <si>
    <t>대전면 성산리 260</t>
    <phoneticPr fontId="3" type="noConversion"/>
  </si>
  <si>
    <t>00.12.11</t>
    <phoneticPr fontId="3" type="noConversion"/>
  </si>
  <si>
    <t>행정</t>
    <phoneticPr fontId="3" type="noConversion"/>
  </si>
  <si>
    <t>대전면 행성리 106-25</t>
    <phoneticPr fontId="3" type="noConversion"/>
  </si>
  <si>
    <t>00.11.13</t>
    <phoneticPr fontId="3" type="noConversion"/>
  </si>
  <si>
    <t>중옥</t>
    <phoneticPr fontId="3" type="noConversion"/>
  </si>
  <si>
    <t>대전면 중옥리 137-23</t>
    <phoneticPr fontId="3" type="noConversion"/>
  </si>
  <si>
    <t>침지분리막공법</t>
    <phoneticPr fontId="3" type="noConversion"/>
  </si>
  <si>
    <t>강의</t>
    <phoneticPr fontId="3" type="noConversion"/>
  </si>
  <si>
    <t>대전면 강의리 59-4</t>
    <phoneticPr fontId="3" type="noConversion"/>
  </si>
  <si>
    <t>죽초액조성물을이용한하수고도처리</t>
    <phoneticPr fontId="3" type="noConversion"/>
  </si>
  <si>
    <t>05.11.15</t>
    <phoneticPr fontId="3" type="noConversion"/>
  </si>
  <si>
    <t>곡성군 오곡면</t>
    <phoneticPr fontId="3" type="noConversion"/>
  </si>
  <si>
    <t>옥과면 죽림리 175-3</t>
    <phoneticPr fontId="3" type="noConversion"/>
  </si>
  <si>
    <t>06.9.15</t>
    <phoneticPr fontId="3" type="noConversion"/>
  </si>
  <si>
    <t>민간</t>
    <phoneticPr fontId="3" type="noConversion"/>
  </si>
  <si>
    <t>석곡면 덕흥리 571-3</t>
    <phoneticPr fontId="3" type="noConversion"/>
  </si>
  <si>
    <t>사도리879</t>
    <phoneticPr fontId="3" type="noConversion"/>
  </si>
  <si>
    <t>산화구 +HBR</t>
    <phoneticPr fontId="3" type="noConversion"/>
  </si>
  <si>
    <t>산화구MLE공법</t>
    <phoneticPr fontId="3" type="noConversion"/>
  </si>
  <si>
    <t>02.12.31</t>
    <phoneticPr fontId="3" type="noConversion"/>
  </si>
  <si>
    <t>탑정리395</t>
    <phoneticPr fontId="3" type="noConversion"/>
  </si>
  <si>
    <t>96.1.30</t>
    <phoneticPr fontId="3" type="noConversion"/>
  </si>
  <si>
    <t>월암</t>
    <phoneticPr fontId="3" type="noConversion"/>
  </si>
  <si>
    <t>신월리 300</t>
    <phoneticPr fontId="3" type="noConversion"/>
  </si>
  <si>
    <t>98.5.2</t>
    <phoneticPr fontId="3" type="noConversion"/>
  </si>
  <si>
    <t>독자</t>
    <phoneticPr fontId="3" type="noConversion"/>
  </si>
  <si>
    <t>계산리405</t>
    <phoneticPr fontId="3" type="noConversion"/>
  </si>
  <si>
    <t>미생물조정조이용오수처리법</t>
    <phoneticPr fontId="3" type="noConversion"/>
  </si>
  <si>
    <t>98.5.22</t>
    <phoneticPr fontId="3" type="noConversion"/>
  </si>
  <si>
    <t>봉서</t>
    <phoneticPr fontId="3" type="noConversion"/>
  </si>
  <si>
    <t>봉서리1346-4</t>
    <phoneticPr fontId="3" type="noConversion"/>
  </si>
  <si>
    <t>생물화학적오폐수고도처리</t>
    <phoneticPr fontId="3" type="noConversion"/>
  </si>
  <si>
    <t>99.9.6</t>
    <phoneticPr fontId="3" type="noConversion"/>
  </si>
  <si>
    <t>시동</t>
    <phoneticPr fontId="3" type="noConversion"/>
  </si>
  <si>
    <t>백련리511-2</t>
    <phoneticPr fontId="3" type="noConversion"/>
  </si>
  <si>
    <t>99.9.14</t>
    <phoneticPr fontId="3" type="noConversion"/>
  </si>
  <si>
    <t>유곡</t>
    <phoneticPr fontId="3" type="noConversion"/>
  </si>
  <si>
    <t>계산리1064-3</t>
    <phoneticPr fontId="3" type="noConversion"/>
  </si>
  <si>
    <t>03.2.27</t>
    <phoneticPr fontId="3" type="noConversion"/>
  </si>
  <si>
    <t>금평</t>
    <phoneticPr fontId="3" type="noConversion"/>
  </si>
  <si>
    <t>금정리981-1</t>
    <phoneticPr fontId="3" type="noConversion"/>
  </si>
  <si>
    <t>오폐수의정화처리방법</t>
    <phoneticPr fontId="3" type="noConversion"/>
  </si>
  <si>
    <t>죽연</t>
    <phoneticPr fontId="3" type="noConversion"/>
  </si>
  <si>
    <t>죽마리388-1</t>
    <phoneticPr fontId="3" type="noConversion"/>
  </si>
  <si>
    <t>분뇨및고농도유기오폐수고도처리방법</t>
    <phoneticPr fontId="3" type="noConversion"/>
  </si>
  <si>
    <t>03.2.18</t>
    <phoneticPr fontId="3" type="noConversion"/>
  </si>
  <si>
    <t>죽마리산211-2</t>
    <phoneticPr fontId="3" type="noConversion"/>
  </si>
  <si>
    <t xml:space="preserve">CASS "
  SBR </t>
    <phoneticPr fontId="3" type="noConversion"/>
  </si>
  <si>
    <t>02.7.28</t>
    <phoneticPr fontId="3" type="noConversion"/>
  </si>
  <si>
    <t>월전리1542-1</t>
    <phoneticPr fontId="3" type="noConversion"/>
  </si>
  <si>
    <t>03.11.6</t>
    <phoneticPr fontId="3" type="noConversion"/>
  </si>
  <si>
    <t>화정</t>
    <phoneticPr fontId="3" type="noConversion"/>
  </si>
  <si>
    <t>금정리1017-3</t>
    <phoneticPr fontId="3" type="noConversion"/>
  </si>
  <si>
    <t>오폐수처리용펄라이트/생석회담체및오수처리장치를이용한고도처리공법</t>
    <phoneticPr fontId="3" type="noConversion"/>
  </si>
  <si>
    <t>월전리1008-3</t>
    <phoneticPr fontId="3" type="noConversion"/>
  </si>
  <si>
    <t>04.9.9</t>
    <phoneticPr fontId="3" type="noConversion"/>
  </si>
  <si>
    <t>심원</t>
    <phoneticPr fontId="3" type="noConversion"/>
  </si>
  <si>
    <t>좌사리산110-2</t>
    <phoneticPr fontId="3" type="noConversion"/>
  </si>
  <si>
    <t>현수다단계고도처리방법</t>
    <phoneticPr fontId="3" type="noConversion"/>
  </si>
  <si>
    <t>하천</t>
    <phoneticPr fontId="3" type="noConversion"/>
  </si>
  <si>
    <t>운천리43</t>
    <phoneticPr fontId="3" type="noConversion"/>
  </si>
  <si>
    <t>혐기및간헐포기배양조를이용한하수고도처리기술</t>
    <phoneticPr fontId="3" type="noConversion"/>
  </si>
  <si>
    <t>04.9.20</t>
    <phoneticPr fontId="3" type="noConversion"/>
  </si>
  <si>
    <t>양동</t>
    <phoneticPr fontId="3" type="noConversion"/>
  </si>
  <si>
    <t>양천리</t>
    <phoneticPr fontId="3" type="noConversion"/>
  </si>
  <si>
    <t>06.12.9</t>
    <phoneticPr fontId="3" type="noConversion"/>
  </si>
  <si>
    <t>흥대천</t>
    <phoneticPr fontId="3" type="noConversion"/>
  </si>
  <si>
    <t>원내</t>
    <phoneticPr fontId="3" type="noConversion"/>
  </si>
  <si>
    <t>금내리987-15</t>
    <phoneticPr fontId="3" type="noConversion"/>
  </si>
  <si>
    <t>직전</t>
    <phoneticPr fontId="3" type="noConversion"/>
  </si>
  <si>
    <t>내동리산36-23</t>
    <phoneticPr fontId="3" type="noConversion"/>
  </si>
  <si>
    <t>98.4.30</t>
    <phoneticPr fontId="3" type="noConversion"/>
  </si>
  <si>
    <t>연곡천</t>
    <phoneticPr fontId="3" type="noConversion"/>
  </si>
  <si>
    <t>용두</t>
    <phoneticPr fontId="3" type="noConversion"/>
  </si>
  <si>
    <t>용두리365-1</t>
    <phoneticPr fontId="3" type="noConversion"/>
  </si>
  <si>
    <t>03.11.5</t>
    <phoneticPr fontId="3" type="noConversion"/>
  </si>
  <si>
    <t>평도</t>
    <phoneticPr fontId="3" type="noConversion"/>
  </si>
  <si>
    <t>내동리928-1</t>
    <phoneticPr fontId="3" type="noConversion"/>
  </si>
  <si>
    <t>98.5.29</t>
    <phoneticPr fontId="3" type="noConversion"/>
  </si>
  <si>
    <t>이촌</t>
    <phoneticPr fontId="3" type="noConversion"/>
  </si>
  <si>
    <t>이평리456-2</t>
    <phoneticPr fontId="3" type="noConversion"/>
  </si>
  <si>
    <t>DBS공정을이용한하수  질소 및 인 제거공법       (DBS PROCESS)</t>
    <phoneticPr fontId="3" type="noConversion"/>
  </si>
  <si>
    <t>05.8.20</t>
    <phoneticPr fontId="3" type="noConversion"/>
  </si>
  <si>
    <t>당촌</t>
    <phoneticPr fontId="3" type="noConversion"/>
  </si>
  <si>
    <t>수월리</t>
    <phoneticPr fontId="3" type="noConversion"/>
  </si>
  <si>
    <t>FNR</t>
    <phoneticPr fontId="3" type="noConversion"/>
  </si>
  <si>
    <t>07.3.29</t>
    <phoneticPr fontId="3" type="noConversion"/>
  </si>
  <si>
    <t>지하</t>
    <phoneticPr fontId="3" type="noConversion"/>
  </si>
  <si>
    <t>지천리</t>
    <phoneticPr fontId="3" type="noConversion"/>
  </si>
  <si>
    <t>07.5.4</t>
    <phoneticPr fontId="3" type="noConversion"/>
  </si>
  <si>
    <t>고흥호형</t>
    <phoneticPr fontId="3" type="noConversion"/>
  </si>
  <si>
    <t>830-5388</t>
    <phoneticPr fontId="3" type="noConversion"/>
  </si>
  <si>
    <t>uv
소독</t>
    <phoneticPr fontId="3" type="noConversion"/>
  </si>
  <si>
    <t>도양 봉암</t>
    <phoneticPr fontId="3" type="noConversion"/>
  </si>
  <si>
    <t>TECBNR</t>
    <phoneticPr fontId="3" type="noConversion"/>
  </si>
  <si>
    <t>843-6665</t>
    <phoneticPr fontId="3" type="noConversion"/>
  </si>
  <si>
    <t>신장전</t>
    <phoneticPr fontId="3" type="noConversion"/>
  </si>
  <si>
    <t>고흥 등암</t>
    <phoneticPr fontId="3" type="noConversion"/>
  </si>
  <si>
    <t>고도처리합병 정화시스템</t>
    <phoneticPr fontId="3" type="noConversion"/>
  </si>
  <si>
    <t>`05.03</t>
    <phoneticPr fontId="3" type="noConversion"/>
  </si>
  <si>
    <t>풍양 풍남</t>
    <phoneticPr fontId="3" type="noConversion"/>
  </si>
  <si>
    <t>`06.1</t>
    <phoneticPr fontId="3" type="noConversion"/>
  </si>
  <si>
    <t>방사</t>
    <phoneticPr fontId="3" type="noConversion"/>
  </si>
  <si>
    <t>풍양 한동</t>
    <phoneticPr fontId="3" type="noConversion"/>
  </si>
  <si>
    <t>모관침윤 트랜지</t>
    <phoneticPr fontId="3" type="noConversion"/>
  </si>
  <si>
    <t>`97.3</t>
    <phoneticPr fontId="3" type="noConversion"/>
  </si>
  <si>
    <t>도덕 가야</t>
    <phoneticPr fontId="3" type="noConversion"/>
  </si>
  <si>
    <t>`96.2</t>
    <phoneticPr fontId="3" type="noConversion"/>
  </si>
  <si>
    <t>학동1</t>
    <phoneticPr fontId="3" type="noConversion"/>
  </si>
  <si>
    <t>도덕 도덕</t>
    <phoneticPr fontId="3" type="noConversion"/>
  </si>
  <si>
    <t>`00.12</t>
    <phoneticPr fontId="3" type="noConversion"/>
  </si>
  <si>
    <t>학동2</t>
    <phoneticPr fontId="3" type="noConversion"/>
  </si>
  <si>
    <t>KSBNR공법)</t>
    <phoneticPr fontId="3" type="noConversion"/>
  </si>
  <si>
    <t>`02.1</t>
    <phoneticPr fontId="3" type="noConversion"/>
  </si>
  <si>
    <t>장전</t>
    <phoneticPr fontId="3" type="noConversion"/>
  </si>
  <si>
    <t>도덕 신양</t>
    <phoneticPr fontId="3" type="noConversion"/>
  </si>
  <si>
    <t>3단접촉 폭기방식</t>
    <phoneticPr fontId="3" type="noConversion"/>
  </si>
  <si>
    <t>`01.9</t>
    <phoneticPr fontId="3" type="noConversion"/>
  </si>
  <si>
    <t>용동</t>
    <phoneticPr fontId="3" type="noConversion"/>
  </si>
  <si>
    <t>도덕 용동</t>
    <phoneticPr fontId="3" type="noConversion"/>
  </si>
  <si>
    <t>삼성담체를 이용한오수처리</t>
    <phoneticPr fontId="3" type="noConversion"/>
  </si>
  <si>
    <t>`02.2</t>
    <phoneticPr fontId="3" type="noConversion"/>
  </si>
  <si>
    <t>익금</t>
    <phoneticPr fontId="3" type="noConversion"/>
  </si>
  <si>
    <t>금산 어전</t>
    <phoneticPr fontId="3" type="noConversion"/>
  </si>
  <si>
    <t>`04.08</t>
    <phoneticPr fontId="3" type="noConversion"/>
  </si>
  <si>
    <t>명천</t>
    <phoneticPr fontId="3" type="noConversion"/>
  </si>
  <si>
    <t>금산 신평</t>
    <phoneticPr fontId="3" type="noConversion"/>
  </si>
  <si>
    <t>JASSFR공법</t>
    <phoneticPr fontId="3" type="noConversion"/>
  </si>
  <si>
    <t>도화 덕중</t>
    <phoneticPr fontId="3" type="noConversion"/>
  </si>
  <si>
    <t>고효율오수 정화시설</t>
    <phoneticPr fontId="3" type="noConversion"/>
  </si>
  <si>
    <t>`98.4</t>
    <phoneticPr fontId="3" type="noConversion"/>
  </si>
  <si>
    <t>발포</t>
    <phoneticPr fontId="3" type="noConversion"/>
  </si>
  <si>
    <t>도화 발포</t>
    <phoneticPr fontId="3" type="noConversion"/>
  </si>
  <si>
    <t>`03.12</t>
    <phoneticPr fontId="3" type="noConversion"/>
  </si>
  <si>
    <t>오취</t>
    <phoneticPr fontId="3" type="noConversion"/>
  </si>
  <si>
    <t>포두 오취</t>
    <phoneticPr fontId="3" type="noConversion"/>
  </si>
  <si>
    <t>무산소,호기공존접촉제고도처리</t>
    <phoneticPr fontId="3" type="noConversion"/>
  </si>
  <si>
    <t>`05.01</t>
    <phoneticPr fontId="3" type="noConversion"/>
  </si>
  <si>
    <t>점암 대룡</t>
    <phoneticPr fontId="3" type="noConversion"/>
  </si>
  <si>
    <t>점암 신안</t>
    <phoneticPr fontId="3" type="noConversion"/>
  </si>
  <si>
    <t>토양피복 오수정화시설</t>
    <phoneticPr fontId="3" type="noConversion"/>
  </si>
  <si>
    <t>`00.4</t>
    <phoneticPr fontId="3" type="noConversion"/>
  </si>
  <si>
    <t>여호</t>
    <phoneticPr fontId="3" type="noConversion"/>
  </si>
  <si>
    <t>점암 여호</t>
    <phoneticPr fontId="3" type="noConversion"/>
  </si>
  <si>
    <t>점암 장남</t>
    <phoneticPr fontId="3" type="noConversion"/>
  </si>
  <si>
    <t>`06.05</t>
    <phoneticPr fontId="3" type="noConversion"/>
  </si>
  <si>
    <t>사도</t>
    <phoneticPr fontId="3" type="noConversion"/>
  </si>
  <si>
    <t>영남 금사</t>
    <phoneticPr fontId="3" type="noConversion"/>
  </si>
  <si>
    <t>`05.07</t>
    <phoneticPr fontId="3" type="noConversion"/>
  </si>
  <si>
    <t>독대</t>
    <phoneticPr fontId="3" type="noConversion"/>
  </si>
  <si>
    <t>과역 연등</t>
    <phoneticPr fontId="3" type="noConversion"/>
  </si>
  <si>
    <t>`06.12</t>
    <phoneticPr fontId="3" type="noConversion"/>
  </si>
  <si>
    <t>관덕</t>
    <phoneticPr fontId="3" type="noConversion"/>
  </si>
  <si>
    <t>동강 장덕</t>
    <phoneticPr fontId="3" type="noConversion"/>
  </si>
  <si>
    <t>태양광을 이용한 오수처리방식</t>
    <phoneticPr fontId="3" type="noConversion"/>
  </si>
  <si>
    <t>죽암</t>
    <phoneticPr fontId="3" type="noConversion"/>
  </si>
  <si>
    <t>동강 청송</t>
    <phoneticPr fontId="3" type="noConversion"/>
  </si>
  <si>
    <t>`04.04</t>
    <phoneticPr fontId="3" type="noConversion"/>
  </si>
  <si>
    <t>대서 남정</t>
    <phoneticPr fontId="3" type="noConversion"/>
  </si>
  <si>
    <t>금오</t>
    <phoneticPr fontId="3" type="noConversion"/>
  </si>
  <si>
    <t>두원 운대</t>
    <phoneticPr fontId="3" type="noConversion"/>
  </si>
  <si>
    <t>분뇨및고농도 유기오폐수처리</t>
    <phoneticPr fontId="3" type="noConversion"/>
  </si>
  <si>
    <t>`99.3</t>
    <phoneticPr fontId="3" type="noConversion"/>
  </si>
  <si>
    <t>두원 영오</t>
    <phoneticPr fontId="3" type="noConversion"/>
  </si>
  <si>
    <t>혐기호기접촉 순환공법</t>
    <phoneticPr fontId="3" type="noConversion"/>
  </si>
  <si>
    <t>미력면 덕림리 785</t>
    <phoneticPr fontId="3" type="noConversion"/>
  </si>
  <si>
    <t>853-0271</t>
    <phoneticPr fontId="3" type="noConversion"/>
  </si>
  <si>
    <t xml:space="preserve"> '06. 6.</t>
    <phoneticPr fontId="3" type="noConversion"/>
  </si>
  <si>
    <t>복내면 반석리131-1</t>
    <phoneticPr fontId="3" type="noConversion"/>
  </si>
  <si>
    <t>99.11.</t>
    <phoneticPr fontId="3" type="noConversion"/>
  </si>
  <si>
    <t>문덕면 양동리1251</t>
    <phoneticPr fontId="3" type="noConversion"/>
  </si>
  <si>
    <t>99.10.</t>
    <phoneticPr fontId="3" type="noConversion"/>
  </si>
  <si>
    <t>동암</t>
    <phoneticPr fontId="3" type="noConversion"/>
  </si>
  <si>
    <t>보성읍 동암리102-2</t>
    <phoneticPr fontId="3" type="noConversion"/>
  </si>
  <si>
    <t>850-5434</t>
    <phoneticPr fontId="3" type="noConversion"/>
  </si>
  <si>
    <t>05. 8.</t>
    <phoneticPr fontId="3" type="noConversion"/>
  </si>
  <si>
    <t>여자만</t>
    <phoneticPr fontId="3" type="noConversion"/>
  </si>
  <si>
    <t>벌교읍 연산리47-1</t>
    <phoneticPr fontId="3" type="noConversion"/>
  </si>
  <si>
    <t>00. 2.</t>
    <phoneticPr fontId="3" type="noConversion"/>
  </si>
  <si>
    <t>낙성</t>
    <phoneticPr fontId="3" type="noConversion"/>
  </si>
  <si>
    <t>벌교읍 낙성리85-1</t>
    <phoneticPr fontId="3" type="noConversion"/>
  </si>
  <si>
    <t>03. 10.</t>
    <phoneticPr fontId="3" type="noConversion"/>
  </si>
  <si>
    <t>내추</t>
    <phoneticPr fontId="3" type="noConversion"/>
  </si>
  <si>
    <t>벌교읍 추동리815-1</t>
    <phoneticPr fontId="3" type="noConversion"/>
  </si>
  <si>
    <t>정기폭기</t>
    <phoneticPr fontId="3" type="noConversion"/>
  </si>
  <si>
    <t>98. 3.</t>
    <phoneticPr fontId="3" type="noConversion"/>
  </si>
  <si>
    <t>벌교읍 전동리1404-2</t>
    <phoneticPr fontId="3" type="noConversion"/>
  </si>
  <si>
    <t>99. 6.</t>
    <phoneticPr fontId="3" type="noConversion"/>
  </si>
  <si>
    <t>고읍</t>
    <phoneticPr fontId="3" type="noConversion"/>
  </si>
  <si>
    <t>벌교읍 고읍리</t>
    <phoneticPr fontId="3" type="noConversion"/>
  </si>
  <si>
    <t>06. 01.</t>
    <phoneticPr fontId="3" type="noConversion"/>
  </si>
  <si>
    <t>대여</t>
    <phoneticPr fontId="3" type="noConversion"/>
  </si>
  <si>
    <t>노동면 금호리738-1</t>
    <phoneticPr fontId="3" type="noConversion"/>
  </si>
  <si>
    <t>02. 9.</t>
    <phoneticPr fontId="3" type="noConversion"/>
  </si>
  <si>
    <t>화전</t>
    <phoneticPr fontId="3" type="noConversion"/>
  </si>
  <si>
    <t>노동면 광곡리586-1</t>
    <phoneticPr fontId="3" type="noConversion"/>
  </si>
  <si>
    <t>01. 4.</t>
    <phoneticPr fontId="3" type="noConversion"/>
  </si>
  <si>
    <t>고전</t>
    <phoneticPr fontId="3" type="noConversion"/>
  </si>
  <si>
    <t>겸백면 석호리171</t>
    <phoneticPr fontId="3" type="noConversion"/>
  </si>
  <si>
    <t>섬진갈</t>
    <phoneticPr fontId="3" type="noConversion"/>
  </si>
  <si>
    <t>석호</t>
    <phoneticPr fontId="3" type="noConversion"/>
  </si>
  <si>
    <t>겸백면 석호리499-1</t>
    <phoneticPr fontId="3" type="noConversion"/>
  </si>
  <si>
    <t>표준활성</t>
    <phoneticPr fontId="3" type="noConversion"/>
  </si>
  <si>
    <t>04. 10.</t>
    <phoneticPr fontId="3" type="noConversion"/>
  </si>
  <si>
    <t>은덕</t>
    <phoneticPr fontId="3" type="noConversion"/>
  </si>
  <si>
    <t>겸백면 은덕리196</t>
    <phoneticPr fontId="3" type="noConversion"/>
  </si>
  <si>
    <t>평화</t>
    <phoneticPr fontId="3" type="noConversion"/>
  </si>
  <si>
    <t>겸백면 평호리918-16</t>
    <phoneticPr fontId="3" type="noConversion"/>
  </si>
  <si>
    <t>상율</t>
    <phoneticPr fontId="3" type="noConversion"/>
  </si>
  <si>
    <t>율어면 문양리609-10</t>
    <phoneticPr fontId="3" type="noConversion"/>
  </si>
  <si>
    <t>02. 7.</t>
    <phoneticPr fontId="3" type="noConversion"/>
  </si>
  <si>
    <t>율어면 율어리1112-1</t>
    <phoneticPr fontId="3" type="noConversion"/>
  </si>
  <si>
    <t>내판</t>
    <phoneticPr fontId="3" type="noConversion"/>
  </si>
  <si>
    <t>복내면 동교리574-3</t>
    <phoneticPr fontId="3" type="noConversion"/>
  </si>
  <si>
    <t>99. 4.</t>
    <phoneticPr fontId="3" type="noConversion"/>
  </si>
  <si>
    <t>복내면 유정리460-1</t>
    <phoneticPr fontId="3" type="noConversion"/>
  </si>
  <si>
    <t>외판</t>
    <phoneticPr fontId="3" type="noConversion"/>
  </si>
  <si>
    <t>복내면 동교리 945</t>
    <phoneticPr fontId="3" type="noConversion"/>
  </si>
  <si>
    <t>장동</t>
    <phoneticPr fontId="3" type="noConversion"/>
  </si>
  <si>
    <t>문덕면 용암리71-1</t>
    <phoneticPr fontId="3" type="noConversion"/>
  </si>
  <si>
    <t>조성면 용전리</t>
    <phoneticPr fontId="3" type="noConversion"/>
  </si>
  <si>
    <t>04. 9.</t>
    <phoneticPr fontId="3" type="noConversion"/>
  </si>
  <si>
    <t>삼정</t>
    <phoneticPr fontId="3" type="noConversion"/>
  </si>
  <si>
    <t>조성면 축내리</t>
    <phoneticPr fontId="3" type="noConversion"/>
  </si>
  <si>
    <t>03. 12.</t>
    <phoneticPr fontId="3" type="noConversion"/>
  </si>
  <si>
    <t>득량만</t>
    <phoneticPr fontId="3" type="noConversion"/>
  </si>
  <si>
    <t>조성면 대곡리541-2</t>
    <phoneticPr fontId="3" type="noConversion"/>
  </si>
  <si>
    <t>02. 8.</t>
    <phoneticPr fontId="3" type="noConversion"/>
  </si>
  <si>
    <t>박실</t>
    <phoneticPr fontId="3" type="noConversion"/>
  </si>
  <si>
    <t>득렁면 송곡리</t>
    <phoneticPr fontId="3" type="noConversion"/>
  </si>
  <si>
    <t>850-5435</t>
  </si>
  <si>
    <t>금능</t>
    <phoneticPr fontId="3" type="noConversion"/>
  </si>
  <si>
    <t>득량면 해평리</t>
    <phoneticPr fontId="3" type="noConversion"/>
  </si>
  <si>
    <t>850-5436</t>
  </si>
  <si>
    <t>06. 11.</t>
    <phoneticPr fontId="3" type="noConversion"/>
  </si>
  <si>
    <t>대은</t>
    <phoneticPr fontId="3" type="noConversion"/>
  </si>
  <si>
    <t>웅치면 용반리 109-1</t>
    <phoneticPr fontId="3" type="noConversion"/>
  </si>
  <si>
    <t>99. 9.</t>
    <phoneticPr fontId="3" type="noConversion"/>
  </si>
  <si>
    <t>용추</t>
    <phoneticPr fontId="3" type="noConversion"/>
  </si>
  <si>
    <t>웅치면 용반리 639-10</t>
    <phoneticPr fontId="3" type="noConversion"/>
  </si>
  <si>
    <t>웅치면 중산리608-4</t>
    <phoneticPr fontId="3" type="noConversion"/>
  </si>
  <si>
    <t>04. 6.</t>
    <phoneticPr fontId="3" type="noConversion"/>
  </si>
  <si>
    <t>화순군</t>
    <phoneticPr fontId="56" type="noConversion"/>
  </si>
  <si>
    <t>도곡면 죽청리104</t>
    <phoneticPr fontId="3" type="noConversion"/>
  </si>
  <si>
    <t>회전원판접축법</t>
    <phoneticPr fontId="3" type="noConversion"/>
  </si>
  <si>
    <t>370-1537</t>
    <phoneticPr fontId="3" type="noConversion"/>
  </si>
  <si>
    <t>99.12.20</t>
    <phoneticPr fontId="3" type="noConversion"/>
  </si>
  <si>
    <t>도곡면 천암리131</t>
    <phoneticPr fontId="3" type="noConversion"/>
  </si>
  <si>
    <t>접촉산화및활성탄흡착법</t>
    <phoneticPr fontId="3" type="noConversion"/>
  </si>
  <si>
    <t>95.1.1</t>
    <phoneticPr fontId="3" type="noConversion"/>
  </si>
  <si>
    <t>북면 옥리299-4</t>
    <phoneticPr fontId="3" type="noConversion"/>
  </si>
  <si>
    <t>95.10.7</t>
    <phoneticPr fontId="3" type="noConversion"/>
  </si>
  <si>
    <t>남면 사펑리1-1</t>
    <phoneticPr fontId="3" type="noConversion"/>
  </si>
  <si>
    <t>접</t>
    <phoneticPr fontId="3" type="noConversion"/>
  </si>
  <si>
    <t>06.9.20</t>
    <phoneticPr fontId="3" type="noConversion"/>
  </si>
  <si>
    <t>외사천</t>
    <phoneticPr fontId="3" type="noConversion"/>
  </si>
  <si>
    <t>잣두</t>
    <phoneticPr fontId="3" type="noConversion"/>
  </si>
  <si>
    <t>행원리</t>
    <phoneticPr fontId="3" type="noConversion"/>
  </si>
  <si>
    <t>SM담체</t>
    <phoneticPr fontId="3" type="noConversion"/>
  </si>
  <si>
    <t>860-0522</t>
    <phoneticPr fontId="3" type="noConversion"/>
  </si>
  <si>
    <t>05.12.1</t>
    <phoneticPr fontId="3" type="noConversion"/>
  </si>
  <si>
    <t>온천</t>
    <phoneticPr fontId="3" type="noConversion"/>
  </si>
  <si>
    <t>남송리</t>
    <phoneticPr fontId="3" type="noConversion"/>
  </si>
  <si>
    <t>고효율정화처리공법</t>
    <phoneticPr fontId="3" type="noConversion"/>
  </si>
  <si>
    <t>간이염소</t>
    <phoneticPr fontId="3" type="noConversion"/>
  </si>
  <si>
    <t>산서</t>
    <phoneticPr fontId="3" type="noConversion"/>
  </si>
  <si>
    <t>삼산리</t>
    <phoneticPr fontId="3" type="noConversion"/>
  </si>
  <si>
    <t>03.12.16</t>
    <phoneticPr fontId="3" type="noConversion"/>
  </si>
  <si>
    <t>동두</t>
    <phoneticPr fontId="3" type="noConversion"/>
  </si>
  <si>
    <t>신동리</t>
    <phoneticPr fontId="3" type="noConversion"/>
  </si>
  <si>
    <t>04.10.8</t>
    <phoneticPr fontId="3" type="noConversion"/>
  </si>
  <si>
    <t>막여과</t>
    <phoneticPr fontId="3" type="noConversion"/>
  </si>
  <si>
    <t>산동</t>
    <phoneticPr fontId="3" type="noConversion"/>
  </si>
  <si>
    <t>04.12.1</t>
    <phoneticPr fontId="3" type="noConversion"/>
  </si>
  <si>
    <t>송촌리</t>
    <phoneticPr fontId="3" type="noConversion"/>
  </si>
  <si>
    <t>04.12.29</t>
    <phoneticPr fontId="3" type="noConversion"/>
  </si>
  <si>
    <t>잠두리</t>
    <phoneticPr fontId="3" type="noConversion"/>
  </si>
  <si>
    <t>토양피복형접촉산화공법</t>
    <phoneticPr fontId="3" type="noConversion"/>
  </si>
  <si>
    <t>96.2.25</t>
    <phoneticPr fontId="3" type="noConversion"/>
  </si>
  <si>
    <t>인암리</t>
    <phoneticPr fontId="3" type="noConversion"/>
  </si>
  <si>
    <t>96.12.21</t>
    <phoneticPr fontId="3" type="noConversion"/>
  </si>
  <si>
    <t>사촌1</t>
    <phoneticPr fontId="3" type="noConversion"/>
  </si>
  <si>
    <t>사촌리</t>
    <phoneticPr fontId="3" type="noConversion"/>
  </si>
  <si>
    <t>98.2.10</t>
    <phoneticPr fontId="3" type="noConversion"/>
  </si>
  <si>
    <t>사촌2</t>
    <phoneticPr fontId="3" type="noConversion"/>
  </si>
  <si>
    <t>99.2.5</t>
    <phoneticPr fontId="3" type="noConversion"/>
  </si>
  <si>
    <t>수문</t>
    <phoneticPr fontId="3" type="noConversion"/>
  </si>
  <si>
    <t>수문리</t>
    <phoneticPr fontId="3" type="noConversion"/>
  </si>
  <si>
    <t>98.1.23</t>
    <phoneticPr fontId="3" type="noConversion"/>
  </si>
  <si>
    <t>해창리</t>
    <phoneticPr fontId="3" type="noConversion"/>
  </si>
  <si>
    <t>99.2.2</t>
    <phoneticPr fontId="3" type="noConversion"/>
  </si>
  <si>
    <t>율산</t>
    <phoneticPr fontId="3" type="noConversion"/>
  </si>
  <si>
    <t>변형활성슬러지공법</t>
    <phoneticPr fontId="3" type="noConversion"/>
  </si>
  <si>
    <t>용곡</t>
    <phoneticPr fontId="3" type="noConversion"/>
  </si>
  <si>
    <t>00.1.13</t>
    <phoneticPr fontId="3" type="noConversion"/>
  </si>
  <si>
    <t>호기성미생물에의한오폐수정화장치</t>
    <phoneticPr fontId="3" type="noConversion"/>
  </si>
  <si>
    <t>01.5.26</t>
    <phoneticPr fontId="3" type="noConversion"/>
  </si>
  <si>
    <t>해창</t>
    <phoneticPr fontId="3" type="noConversion"/>
  </si>
  <si>
    <t>현수다단계</t>
    <phoneticPr fontId="3" type="noConversion"/>
  </si>
  <si>
    <t>01.7.27</t>
    <phoneticPr fontId="3" type="noConversion"/>
  </si>
  <si>
    <t>수락리</t>
    <phoneticPr fontId="3" type="noConversion"/>
  </si>
  <si>
    <t>노력</t>
    <phoneticPr fontId="3" type="noConversion"/>
  </si>
  <si>
    <t>덕산리</t>
    <phoneticPr fontId="3" type="noConversion"/>
  </si>
  <si>
    <t>96.5.9</t>
    <phoneticPr fontId="3" type="noConversion"/>
  </si>
  <si>
    <t>신풍리</t>
    <phoneticPr fontId="3" type="noConversion"/>
  </si>
  <si>
    <t>SBR(ICEAS)</t>
    <phoneticPr fontId="3" type="noConversion"/>
  </si>
  <si>
    <t>04.12.31</t>
    <phoneticPr fontId="3" type="noConversion"/>
  </si>
  <si>
    <t>장흥댐</t>
    <phoneticPr fontId="3" type="noConversion"/>
  </si>
  <si>
    <t>셋터</t>
    <phoneticPr fontId="3" type="noConversion"/>
  </si>
  <si>
    <t>운월리</t>
    <phoneticPr fontId="3" type="noConversion"/>
  </si>
  <si>
    <t>KOMIAE</t>
    <phoneticPr fontId="3" type="noConversion"/>
  </si>
  <si>
    <t>신월리</t>
    <phoneticPr fontId="3" type="noConversion"/>
  </si>
  <si>
    <t>순환폭기장치토양식이창관</t>
    <phoneticPr fontId="3" type="noConversion"/>
  </si>
  <si>
    <t>00.11.22</t>
    <phoneticPr fontId="3" type="noConversion"/>
  </si>
  <si>
    <t>대천리</t>
    <phoneticPr fontId="3" type="noConversion"/>
  </si>
  <si>
    <t>호기성미생물오폐수정화</t>
    <phoneticPr fontId="3" type="noConversion"/>
  </si>
  <si>
    <t>01.11.8</t>
    <phoneticPr fontId="3" type="noConversion"/>
  </si>
  <si>
    <t>원등리</t>
    <phoneticPr fontId="3" type="noConversion"/>
  </si>
  <si>
    <t>03.12.31</t>
    <phoneticPr fontId="3" type="noConversion"/>
  </si>
  <si>
    <t>강진 강진 목리 467</t>
    <phoneticPr fontId="3" type="noConversion"/>
  </si>
  <si>
    <t>03.03.01</t>
    <phoneticPr fontId="3" type="noConversion"/>
  </si>
  <si>
    <t>마을</t>
    <phoneticPr fontId="56" type="noConversion"/>
  </si>
  <si>
    <t>안풍</t>
    <phoneticPr fontId="3" type="noConversion"/>
  </si>
  <si>
    <t>금강리 871-9</t>
    <phoneticPr fontId="3" type="noConversion"/>
  </si>
  <si>
    <t>이창관정화공법</t>
    <phoneticPr fontId="3" type="noConversion"/>
  </si>
  <si>
    <t>97.03.18</t>
    <phoneticPr fontId="3" type="noConversion"/>
  </si>
  <si>
    <t>덕천리 657-2</t>
    <phoneticPr fontId="3" type="noConversion"/>
  </si>
  <si>
    <t>98.02.38</t>
    <phoneticPr fontId="3" type="noConversion"/>
  </si>
  <si>
    <t>중산</t>
    <phoneticPr fontId="3" type="noConversion"/>
  </si>
  <si>
    <t>장신리 556-7</t>
    <phoneticPr fontId="3" type="noConversion"/>
  </si>
  <si>
    <t>00.12.39</t>
    <phoneticPr fontId="3" type="noConversion"/>
  </si>
  <si>
    <t>금강리 864-7</t>
    <phoneticPr fontId="3" type="noConversion"/>
  </si>
  <si>
    <t>01.12.35</t>
    <phoneticPr fontId="3" type="noConversion"/>
  </si>
  <si>
    <t>라천리 1287-8</t>
    <phoneticPr fontId="3" type="noConversion"/>
  </si>
  <si>
    <t>특수바이오리렉터이용질소제거</t>
    <phoneticPr fontId="3" type="noConversion"/>
  </si>
  <si>
    <t>풍동</t>
    <phoneticPr fontId="3" type="noConversion"/>
  </si>
  <si>
    <t>풍동리 669-3</t>
    <phoneticPr fontId="3" type="noConversion"/>
  </si>
  <si>
    <t>유동상담체이용한처리시설</t>
    <phoneticPr fontId="3" type="noConversion"/>
  </si>
  <si>
    <t>03.01.20</t>
    <phoneticPr fontId="3" type="noConversion"/>
  </si>
  <si>
    <t>화방</t>
    <phoneticPr fontId="3" type="noConversion"/>
  </si>
  <si>
    <t>화산리 739-1</t>
    <phoneticPr fontId="3" type="noConversion"/>
  </si>
  <si>
    <t>자연친화형무동력처리방식</t>
    <phoneticPr fontId="3" type="noConversion"/>
  </si>
  <si>
    <t>06.04.02</t>
    <phoneticPr fontId="3" type="noConversion"/>
  </si>
  <si>
    <t>현천</t>
    <phoneticPr fontId="3" type="noConversion"/>
  </si>
  <si>
    <t>동백리 669-3</t>
    <phoneticPr fontId="3" type="noConversion"/>
  </si>
  <si>
    <t>동백</t>
    <phoneticPr fontId="3" type="noConversion"/>
  </si>
  <si>
    <t>동백리 337-1</t>
    <phoneticPr fontId="3" type="noConversion"/>
  </si>
  <si>
    <t>99.02.03</t>
    <phoneticPr fontId="3" type="noConversion"/>
  </si>
  <si>
    <t>율변</t>
    <phoneticPr fontId="3" type="noConversion"/>
  </si>
  <si>
    <t>단월리 668</t>
    <phoneticPr fontId="3" type="noConversion"/>
  </si>
  <si>
    <t>한림</t>
    <phoneticPr fontId="3" type="noConversion"/>
  </si>
  <si>
    <t>영복리 230-1</t>
    <phoneticPr fontId="3" type="noConversion"/>
  </si>
  <si>
    <t>수동리 857-1</t>
    <phoneticPr fontId="3" type="noConversion"/>
  </si>
  <si>
    <t>남호</t>
    <phoneticPr fontId="3" type="noConversion"/>
  </si>
  <si>
    <t>구수리 1305</t>
    <phoneticPr fontId="3" type="noConversion"/>
  </si>
  <si>
    <t>98.02.28</t>
    <phoneticPr fontId="3" type="noConversion"/>
  </si>
  <si>
    <t>미산</t>
    <phoneticPr fontId="3" type="noConversion"/>
  </si>
  <si>
    <t>사당리 569-3</t>
    <phoneticPr fontId="3" type="noConversion"/>
  </si>
  <si>
    <t>현수형다단계고도처리방식</t>
    <phoneticPr fontId="3" type="noConversion"/>
  </si>
  <si>
    <t>01.12.25</t>
    <phoneticPr fontId="3" type="noConversion"/>
  </si>
  <si>
    <t>백사</t>
    <phoneticPr fontId="3" type="noConversion"/>
  </si>
  <si>
    <t>수동리 907-4</t>
    <phoneticPr fontId="3" type="noConversion"/>
  </si>
  <si>
    <t>A2EBC PROCESS공법</t>
    <phoneticPr fontId="3" type="noConversion"/>
  </si>
  <si>
    <t>06.07.05</t>
    <phoneticPr fontId="3" type="noConversion"/>
  </si>
  <si>
    <t>당전</t>
    <phoneticPr fontId="3" type="noConversion"/>
  </si>
  <si>
    <t>사당리  13-2</t>
    <phoneticPr fontId="3" type="noConversion"/>
  </si>
  <si>
    <t>영동리 616-1</t>
    <phoneticPr fontId="3" type="noConversion"/>
  </si>
  <si>
    <t>96.01.20</t>
    <phoneticPr fontId="3" type="noConversion"/>
  </si>
  <si>
    <t>연춘</t>
    <phoneticPr fontId="3" type="noConversion"/>
  </si>
  <si>
    <t>마량리 385-1</t>
    <phoneticPr fontId="3" type="noConversion"/>
  </si>
  <si>
    <t>하분</t>
    <phoneticPr fontId="3" type="noConversion"/>
  </si>
  <si>
    <t>상흥리 435-31</t>
    <phoneticPr fontId="3" type="noConversion"/>
  </si>
  <si>
    <t>연동</t>
    <phoneticPr fontId="3" type="noConversion"/>
  </si>
  <si>
    <t>마량리 1544-62</t>
    <phoneticPr fontId="3" type="noConversion"/>
  </si>
  <si>
    <t>05.08.01</t>
    <phoneticPr fontId="3" type="noConversion"/>
  </si>
  <si>
    <t>원포</t>
    <phoneticPr fontId="3" type="noConversion"/>
  </si>
  <si>
    <t>원포리 505-10</t>
    <phoneticPr fontId="3" type="noConversion"/>
  </si>
  <si>
    <t>논정</t>
    <phoneticPr fontId="3" type="noConversion"/>
  </si>
  <si>
    <t>벌정리 1116-10</t>
    <phoneticPr fontId="3" type="noConversion"/>
  </si>
  <si>
    <t>노해</t>
    <phoneticPr fontId="3" type="noConversion"/>
  </si>
  <si>
    <t>용월리 2159-6</t>
    <phoneticPr fontId="3" type="noConversion"/>
  </si>
  <si>
    <t>당산</t>
    <phoneticPr fontId="3" type="noConversion"/>
  </si>
  <si>
    <t>명산리 231-6</t>
    <phoneticPr fontId="3" type="noConversion"/>
  </si>
  <si>
    <t>처인</t>
    <phoneticPr fontId="3" type="noConversion"/>
  </si>
  <si>
    <t>월평리 394-1</t>
    <phoneticPr fontId="3" type="noConversion"/>
  </si>
  <si>
    <t>04.03.21</t>
    <phoneticPr fontId="3" type="noConversion"/>
  </si>
  <si>
    <t>부흥</t>
    <phoneticPr fontId="3" type="noConversion"/>
  </si>
  <si>
    <t>야흥리 752-5</t>
    <phoneticPr fontId="3" type="noConversion"/>
  </si>
  <si>
    <t>혐기호기접촉폭기공법</t>
    <phoneticPr fontId="3" type="noConversion"/>
  </si>
  <si>
    <t>00.01.28</t>
    <phoneticPr fontId="3" type="noConversion"/>
  </si>
  <si>
    <t>평기리 306-11</t>
    <phoneticPr fontId="3" type="noConversion"/>
  </si>
  <si>
    <t>04.04.21</t>
    <phoneticPr fontId="3" type="noConversion"/>
  </si>
  <si>
    <t>백양</t>
    <phoneticPr fontId="3" type="noConversion"/>
  </si>
  <si>
    <t>삭양리 635-2</t>
    <phoneticPr fontId="3" type="noConversion"/>
  </si>
  <si>
    <t>중고</t>
    <phoneticPr fontId="3" type="noConversion"/>
  </si>
  <si>
    <t>중고리 580-11</t>
    <phoneticPr fontId="3" type="noConversion"/>
  </si>
  <si>
    <t>하고</t>
    <phoneticPr fontId="3" type="noConversion"/>
  </si>
  <si>
    <t>하고리   6-16</t>
    <phoneticPr fontId="3" type="noConversion"/>
  </si>
  <si>
    <t>A2EBC PROCESS</t>
    <phoneticPr fontId="3" type="noConversion"/>
  </si>
  <si>
    <t>06.09.22</t>
    <phoneticPr fontId="3" type="noConversion"/>
  </si>
  <si>
    <t>봉림리 187-6</t>
    <phoneticPr fontId="3" type="noConversion"/>
  </si>
  <si>
    <t>해남읍 용정리 950</t>
    <phoneticPr fontId="3" type="noConversion"/>
  </si>
  <si>
    <t>해남천</t>
    <phoneticPr fontId="3" type="noConversion"/>
  </si>
  <si>
    <t>고천암호</t>
    <phoneticPr fontId="3" type="noConversion"/>
  </si>
  <si>
    <t>연안
(서남해)</t>
    <phoneticPr fontId="3" type="noConversion"/>
  </si>
  <si>
    <t>해남읍 연동리246-3</t>
  </si>
  <si>
    <t>무산소호기공존접촉재를이용한 고도처리</t>
  </si>
  <si>
    <t>남송천</t>
    <phoneticPr fontId="3" type="noConversion"/>
  </si>
  <si>
    <t>해남읍 신안리198</t>
  </si>
  <si>
    <t>유동상딤체를이용한 고효율오수정화장치</t>
  </si>
  <si>
    <t>석당</t>
    <phoneticPr fontId="3" type="noConversion"/>
  </si>
  <si>
    <t>삼산면 창리122-1</t>
  </si>
  <si>
    <t>A2EBC(오폐수용펄라이트생석회 담체 이용 고도처리)</t>
  </si>
  <si>
    <t>삼산면 창리889-1</t>
  </si>
  <si>
    <t>평활</t>
    <phoneticPr fontId="3" type="noConversion"/>
  </si>
  <si>
    <t>삼산면 평활리782-19</t>
  </si>
  <si>
    <t>혐기호기접촉폭기</t>
  </si>
  <si>
    <t>신기1</t>
    <phoneticPr fontId="3" type="noConversion"/>
  </si>
  <si>
    <t>삼산면 평활리1030-1</t>
  </si>
  <si>
    <t>KSBNR공법</t>
  </si>
  <si>
    <t>감당</t>
    <phoneticPr fontId="3" type="noConversion"/>
  </si>
  <si>
    <t>삼산면 신흥리309-1</t>
  </si>
  <si>
    <t>담체이용 고효율오수 정화장치</t>
  </si>
  <si>
    <t>신기2</t>
    <phoneticPr fontId="3" type="noConversion"/>
  </si>
  <si>
    <t>삼산면 평활리1088</t>
  </si>
  <si>
    <t>협기성.유량조정무산소조를이용한질소인제거</t>
  </si>
  <si>
    <t>상금</t>
    <phoneticPr fontId="3" type="noConversion"/>
  </si>
  <si>
    <t>삼산면 신흥리701-3</t>
  </si>
  <si>
    <t>B3공법(하폐수에서 바실러균을이용한고도처리공법)</t>
  </si>
  <si>
    <t>사구1</t>
    <phoneticPr fontId="3" type="noConversion"/>
  </si>
  <si>
    <t>송지면 통호리97</t>
  </si>
  <si>
    <t>토양피복형접촉산화</t>
  </si>
  <si>
    <t>통호</t>
    <phoneticPr fontId="3" type="noConversion"/>
  </si>
  <si>
    <t>송지면 통호리552</t>
  </si>
  <si>
    <t>흡수성바이오필터를이용한 오수처리</t>
  </si>
  <si>
    <t>사구2</t>
    <phoneticPr fontId="3" type="noConversion"/>
  </si>
  <si>
    <t>송지면 통호리산6-4</t>
  </si>
  <si>
    <t>L.C 정화공법</t>
  </si>
  <si>
    <t>학가</t>
    <phoneticPr fontId="3" type="noConversion"/>
  </si>
  <si>
    <t>송지면 학가리276</t>
  </si>
  <si>
    <t>송종</t>
    <phoneticPr fontId="3" type="noConversion"/>
  </si>
  <si>
    <t>송지면 송호리46</t>
  </si>
  <si>
    <t>현수다단계고도처리공법</t>
  </si>
  <si>
    <t>송호</t>
    <phoneticPr fontId="3" type="noConversion"/>
  </si>
  <si>
    <t>어란</t>
    <phoneticPr fontId="3" type="noConversion"/>
  </si>
  <si>
    <t>송지면 어란리1508-30</t>
  </si>
  <si>
    <t>SM 담체공법</t>
  </si>
  <si>
    <t>송종1</t>
    <phoneticPr fontId="3" type="noConversion"/>
  </si>
  <si>
    <t>송지면 송호리46</t>
    <phoneticPr fontId="3" type="noConversion"/>
  </si>
  <si>
    <t>이진</t>
    <phoneticPr fontId="3" type="noConversion"/>
  </si>
  <si>
    <t>북평면 이진리397-2</t>
  </si>
  <si>
    <t>IC-SBR(연속회분식반응조를이용한질소제거)</t>
  </si>
  <si>
    <t>안정</t>
    <phoneticPr fontId="3" type="noConversion"/>
  </si>
  <si>
    <t>마산면 화내리983-3</t>
  </si>
  <si>
    <t>BCS-Ⅱ(바이오세라믹을이용한연속회분식처리공법)</t>
  </si>
  <si>
    <t>화내천</t>
    <phoneticPr fontId="3" type="noConversion"/>
  </si>
  <si>
    <t>금호호</t>
    <phoneticPr fontId="3" type="noConversion"/>
  </si>
  <si>
    <t>옥연</t>
    <phoneticPr fontId="3" type="noConversion"/>
  </si>
  <si>
    <t>황산면 옥동리22-65</t>
  </si>
  <si>
    <t>고효율오수합병정화장치</t>
  </si>
  <si>
    <t>시등</t>
    <phoneticPr fontId="3" type="noConversion"/>
  </si>
  <si>
    <t>황산면 호동리221-1</t>
  </si>
  <si>
    <t>신흥</t>
    <phoneticPr fontId="3" type="noConversion"/>
  </si>
  <si>
    <t>황산면 호동리791</t>
  </si>
  <si>
    <t>상공</t>
    <phoneticPr fontId="3" type="noConversion"/>
  </si>
  <si>
    <t>산이면 상공리383</t>
  </si>
  <si>
    <t>분뇨및고농도유기오폐수의 고도처리</t>
  </si>
  <si>
    <t>성진</t>
    <phoneticPr fontId="3" type="noConversion"/>
  </si>
  <si>
    <t>계곡면 성진리194-3</t>
  </si>
  <si>
    <t>HBR-Ⅱ(특수미생물이용오수처리공법)</t>
  </si>
  <si>
    <t>계곡천</t>
    <phoneticPr fontId="3" type="noConversion"/>
  </si>
  <si>
    <t>북일면 내동리423</t>
  </si>
  <si>
    <t>IC-SBR(회분식 활성슬러지)</t>
  </si>
  <si>
    <t>상등</t>
    <phoneticPr fontId="3" type="noConversion"/>
  </si>
  <si>
    <t>마산면 상등리637-1</t>
    <phoneticPr fontId="3" type="noConversion"/>
  </si>
  <si>
    <t>HBR-Ⅱ(guarl/간헐포기/배양조를이용한고도처리)</t>
    <phoneticPr fontId="3" type="noConversion"/>
  </si>
  <si>
    <t>영암 망호173</t>
    <phoneticPr fontId="3" type="noConversion"/>
  </si>
  <si>
    <t>470-2526</t>
    <phoneticPr fontId="3" type="noConversion"/>
  </si>
  <si>
    <t>'99.10</t>
    <phoneticPr fontId="3" type="noConversion"/>
  </si>
  <si>
    <t>영암천</t>
    <phoneticPr fontId="3" type="noConversion"/>
  </si>
  <si>
    <t xml:space="preserve">대불 </t>
    <phoneticPr fontId="3" type="noConversion"/>
  </si>
  <si>
    <t>삼호 난전1687-4</t>
    <phoneticPr fontId="3" type="noConversion"/>
  </si>
  <si>
    <t>470-2523</t>
    <phoneticPr fontId="3" type="noConversion"/>
  </si>
  <si>
    <t>'97.7</t>
    <phoneticPr fontId="3" type="noConversion"/>
  </si>
  <si>
    <t>전기전해</t>
    <phoneticPr fontId="3" type="noConversion"/>
  </si>
  <si>
    <t>세실</t>
    <phoneticPr fontId="3" type="noConversion"/>
  </si>
  <si>
    <t>영암 용흥237</t>
    <phoneticPr fontId="3" type="noConversion"/>
  </si>
  <si>
    <t>uv   소독</t>
    <phoneticPr fontId="3" type="noConversion"/>
  </si>
  <si>
    <t>영암저두</t>
    <phoneticPr fontId="3" type="noConversion"/>
  </si>
  <si>
    <t>삼호 난전374</t>
    <phoneticPr fontId="3" type="noConversion"/>
  </si>
  <si>
    <t>바투바이오휘타공법</t>
    <phoneticPr fontId="3" type="noConversion"/>
  </si>
  <si>
    <t>영암호</t>
    <phoneticPr fontId="3" type="noConversion"/>
  </si>
  <si>
    <t>영암원망산</t>
    <phoneticPr fontId="3" type="noConversion"/>
  </si>
  <si>
    <t>삼호 망산835</t>
    <phoneticPr fontId="3" type="noConversion"/>
  </si>
  <si>
    <t>학산천</t>
    <phoneticPr fontId="3" type="noConversion"/>
  </si>
  <si>
    <t>영보</t>
    <phoneticPr fontId="3" type="noConversion"/>
  </si>
  <si>
    <t>덕진 영보597-2</t>
    <phoneticPr fontId="3" type="noConversion"/>
  </si>
  <si>
    <t>혐기간헐포기</t>
    <phoneticPr fontId="3" type="noConversion"/>
  </si>
  <si>
    <t>세흥</t>
    <phoneticPr fontId="3" type="noConversion"/>
  </si>
  <si>
    <t>금정 용흥1252-83</t>
    <phoneticPr fontId="3" type="noConversion"/>
  </si>
  <si>
    <t>혐기성접촉폭기처리공법</t>
    <phoneticPr fontId="3" type="noConversion"/>
  </si>
  <si>
    <t>신북장산</t>
    <phoneticPr fontId="3" type="noConversion"/>
  </si>
  <si>
    <t>신북 장산신북문화마을</t>
    <phoneticPr fontId="3" type="noConversion"/>
  </si>
  <si>
    <t>고효율하수합병정화</t>
    <phoneticPr fontId="3" type="noConversion"/>
  </si>
  <si>
    <t xml:space="preserve"> 470-2526</t>
    <phoneticPr fontId="3" type="noConversion"/>
  </si>
  <si>
    <t>박막동</t>
    <phoneticPr fontId="3" type="noConversion"/>
  </si>
  <si>
    <t>신북금수 109-15</t>
    <phoneticPr fontId="3" type="noConversion"/>
  </si>
  <si>
    <t>혐기무산소호시및용존산소저감조를이용한공법</t>
    <phoneticPr fontId="3" type="noConversion"/>
  </si>
  <si>
    <t>영암이목동</t>
    <phoneticPr fontId="3" type="noConversion"/>
  </si>
  <si>
    <t>신북 이천165-19</t>
    <phoneticPr fontId="3" type="noConversion"/>
  </si>
  <si>
    <t>영암구암</t>
    <phoneticPr fontId="3" type="noConversion"/>
  </si>
  <si>
    <t>신북 모산800-9</t>
    <phoneticPr fontId="3" type="noConversion"/>
  </si>
  <si>
    <t>영암산정</t>
    <phoneticPr fontId="3" type="noConversion"/>
  </si>
  <si>
    <t>신북 모산산정마을</t>
    <phoneticPr fontId="3" type="noConversion"/>
  </si>
  <si>
    <t>영암월롱</t>
    <phoneticPr fontId="3" type="noConversion"/>
  </si>
  <si>
    <t>시종 월롱913-2</t>
    <phoneticPr fontId="3" type="noConversion"/>
  </si>
  <si>
    <t>시종연소</t>
    <phoneticPr fontId="3" type="noConversion"/>
  </si>
  <si>
    <t>시종 연소</t>
    <phoneticPr fontId="3" type="noConversion"/>
  </si>
  <si>
    <t>영암도포</t>
    <phoneticPr fontId="3" type="noConversion"/>
  </si>
  <si>
    <t>도포 덕화777-2</t>
    <phoneticPr fontId="3" type="noConversion"/>
  </si>
  <si>
    <t>3단접촉폭기방법</t>
    <phoneticPr fontId="3" type="noConversion"/>
  </si>
  <si>
    <t>덕화천</t>
    <phoneticPr fontId="3" type="noConversion"/>
  </si>
  <si>
    <t>영암원목</t>
    <phoneticPr fontId="3" type="noConversion"/>
  </si>
  <si>
    <t>도포 원항981-6</t>
    <phoneticPr fontId="3" type="noConversion"/>
  </si>
  <si>
    <t>완전침지식회전매체와간헐포기에의한하수고도처리</t>
    <phoneticPr fontId="3" type="noConversion"/>
  </si>
  <si>
    <t>영암함반동</t>
    <phoneticPr fontId="3" type="noConversion"/>
  </si>
  <si>
    <t>도포 봉호1553</t>
    <phoneticPr fontId="3" type="noConversion"/>
  </si>
  <si>
    <t>영암조감</t>
    <phoneticPr fontId="3" type="noConversion"/>
  </si>
  <si>
    <t>도포 수산800-1</t>
    <phoneticPr fontId="3" type="noConversion"/>
  </si>
  <si>
    <t>혐기성접촉산화공법</t>
    <phoneticPr fontId="3" type="noConversion"/>
  </si>
  <si>
    <t>영암연소</t>
    <phoneticPr fontId="3" type="noConversion"/>
  </si>
  <si>
    <t>군서 양장505-4</t>
    <phoneticPr fontId="3" type="noConversion"/>
  </si>
  <si>
    <t>혐기성접촉폭기공법</t>
    <phoneticPr fontId="3" type="noConversion"/>
  </si>
  <si>
    <t>영암호동</t>
    <phoneticPr fontId="3" type="noConversion"/>
  </si>
  <si>
    <t>군서 월산332-21</t>
    <phoneticPr fontId="3" type="noConversion"/>
  </si>
  <si>
    <t>월곡천</t>
    <phoneticPr fontId="3" type="noConversion"/>
  </si>
  <si>
    <t>영암죽정</t>
    <phoneticPr fontId="3" type="noConversion"/>
  </si>
  <si>
    <t>군서 도갑185-1</t>
    <phoneticPr fontId="3" type="noConversion"/>
  </si>
  <si>
    <t>하수슬러지다공성결체를여재로상용한오폐수처리</t>
    <phoneticPr fontId="3" type="noConversion"/>
  </si>
  <si>
    <t>영암앙장</t>
    <phoneticPr fontId="3" type="noConversion"/>
  </si>
  <si>
    <t>영암도갑</t>
    <phoneticPr fontId="3" type="noConversion"/>
  </si>
  <si>
    <t>군서 도갑49-21</t>
    <phoneticPr fontId="3" type="noConversion"/>
  </si>
  <si>
    <t>DBS공정을이용한질소인처리공법</t>
    <phoneticPr fontId="3" type="noConversion"/>
  </si>
  <si>
    <t>영암태평정</t>
    <phoneticPr fontId="3" type="noConversion"/>
  </si>
  <si>
    <t>서호 태백573-14</t>
    <phoneticPr fontId="3" type="noConversion"/>
  </si>
  <si>
    <t>토양피복형오수정화방법</t>
    <phoneticPr fontId="3" type="noConversion"/>
  </si>
  <si>
    <t>영암금강</t>
    <phoneticPr fontId="3" type="noConversion"/>
  </si>
  <si>
    <t>서호 금강441-19</t>
    <phoneticPr fontId="3" type="noConversion"/>
  </si>
  <si>
    <t>영암지소</t>
    <phoneticPr fontId="3" type="noConversion"/>
  </si>
  <si>
    <t>학산 지소611-5</t>
    <phoneticPr fontId="3" type="noConversion"/>
  </si>
  <si>
    <t>고밀도미생물접촉형정화방식</t>
    <phoneticPr fontId="3" type="noConversion"/>
  </si>
  <si>
    <t>망월천</t>
    <phoneticPr fontId="3" type="noConversion"/>
  </si>
  <si>
    <t>영암학계</t>
    <phoneticPr fontId="3" type="noConversion"/>
  </si>
  <si>
    <t>학산 학계100</t>
    <phoneticPr fontId="3" type="noConversion"/>
  </si>
  <si>
    <t>은곡</t>
    <phoneticPr fontId="3" type="noConversion"/>
  </si>
  <si>
    <t>학산 은곡</t>
    <phoneticPr fontId="3" type="noConversion"/>
  </si>
  <si>
    <t xml:space="preserve">SAMMAR PROCESS </t>
    <phoneticPr fontId="3" type="noConversion"/>
  </si>
  <si>
    <t>신복</t>
    <phoneticPr fontId="3" type="noConversion"/>
  </si>
  <si>
    <t>학산 용산</t>
    <phoneticPr fontId="3" type="noConversion"/>
  </si>
  <si>
    <t>영암춘동</t>
    <phoneticPr fontId="3" type="noConversion"/>
  </si>
  <si>
    <t>미암 춘동379-3</t>
    <phoneticPr fontId="3" type="noConversion"/>
  </si>
  <si>
    <t>영암미중</t>
    <phoneticPr fontId="3" type="noConversion"/>
  </si>
  <si>
    <t>미암 춘동642-2</t>
    <phoneticPr fontId="3" type="noConversion"/>
  </si>
  <si>
    <t>미암천</t>
    <phoneticPr fontId="3" type="noConversion"/>
  </si>
  <si>
    <t>영암문수</t>
    <phoneticPr fontId="3" type="noConversion"/>
  </si>
  <si>
    <t>미암 호포232-16</t>
    <phoneticPr fontId="3" type="noConversion"/>
  </si>
  <si>
    <t>하수슬러지다공성결체를여재로사용한오폐수처리</t>
    <phoneticPr fontId="3" type="noConversion"/>
  </si>
  <si>
    <t>무안읍 성동리 1055-1</t>
    <phoneticPr fontId="3" type="noConversion"/>
  </si>
  <si>
    <t>회전원판접촉법</t>
    <phoneticPr fontId="3" type="noConversion"/>
  </si>
  <si>
    <t>450-5520</t>
    <phoneticPr fontId="3" type="noConversion"/>
  </si>
  <si>
    <t>1999.8.9</t>
    <phoneticPr fontId="3" type="noConversion"/>
  </si>
  <si>
    <t>일로읍 의산리 18-1</t>
    <phoneticPr fontId="3" type="noConversion"/>
  </si>
  <si>
    <t>281-8304</t>
    <phoneticPr fontId="3" type="noConversion"/>
  </si>
  <si>
    <t>회산</t>
    <phoneticPr fontId="3" type="noConversion"/>
  </si>
  <si>
    <t>일로읍 복용리 101-1</t>
    <phoneticPr fontId="3" type="noConversion"/>
  </si>
  <si>
    <t>복용</t>
    <phoneticPr fontId="3" type="noConversion"/>
  </si>
  <si>
    <t>일로읍 복용리 448-1</t>
    <phoneticPr fontId="3" type="noConversion"/>
  </si>
  <si>
    <t>1999.1.</t>
    <phoneticPr fontId="3" type="noConversion"/>
  </si>
  <si>
    <t>사교</t>
    <phoneticPr fontId="3" type="noConversion"/>
  </si>
  <si>
    <t>일로읍 복용리 840-1</t>
    <phoneticPr fontId="3" type="noConversion"/>
  </si>
  <si>
    <t>2005.7.</t>
    <phoneticPr fontId="3" type="noConversion"/>
  </si>
  <si>
    <t>도장포</t>
    <phoneticPr fontId="3" type="noConversion"/>
  </si>
  <si>
    <t>일로읍 죽산리 1334-8</t>
    <phoneticPr fontId="3" type="noConversion"/>
  </si>
  <si>
    <t>침지형분리막공법</t>
    <phoneticPr fontId="3" type="noConversion"/>
  </si>
  <si>
    <t>2006.12.</t>
    <phoneticPr fontId="3" type="noConversion"/>
  </si>
  <si>
    <t>원왕산</t>
    <phoneticPr fontId="3" type="noConversion"/>
  </si>
  <si>
    <t>삼향면 왕산리 911-1</t>
    <phoneticPr fontId="3" type="noConversion"/>
  </si>
  <si>
    <t>OAM(무산소호기공존)공법</t>
    <phoneticPr fontId="3" type="noConversion"/>
  </si>
  <si>
    <t>2003.3.</t>
    <phoneticPr fontId="3" type="noConversion"/>
  </si>
  <si>
    <t>차뫼</t>
    <phoneticPr fontId="3" type="noConversion"/>
  </si>
  <si>
    <t>몽탄면 다산리 916-13</t>
    <phoneticPr fontId="3" type="noConversion"/>
  </si>
  <si>
    <t>LC관을이용한정화공법</t>
    <phoneticPr fontId="3" type="noConversion"/>
  </si>
  <si>
    <t>2001.12.24</t>
    <phoneticPr fontId="3" type="noConversion"/>
  </si>
  <si>
    <t>사창</t>
    <phoneticPr fontId="3" type="noConversion"/>
  </si>
  <si>
    <t>몽탄면 사창리 1170</t>
    <phoneticPr fontId="3" type="noConversion"/>
  </si>
  <si>
    <t>SMMIAR Process공법</t>
    <phoneticPr fontId="3" type="noConversion"/>
  </si>
  <si>
    <t>2003.7.</t>
    <phoneticPr fontId="3" type="noConversion"/>
  </si>
  <si>
    <t>몽탄면 봉명리 271</t>
    <phoneticPr fontId="3" type="noConversion"/>
  </si>
  <si>
    <t>오폐수펄라이트공법</t>
    <phoneticPr fontId="3" type="noConversion"/>
  </si>
  <si>
    <t>2004.4.</t>
    <phoneticPr fontId="3" type="noConversion"/>
  </si>
  <si>
    <t>월선</t>
    <phoneticPr fontId="3" type="noConversion"/>
  </si>
  <si>
    <t>청계면 월선리 282-4</t>
    <phoneticPr fontId="3" type="noConversion"/>
  </si>
  <si>
    <t>월선저수지</t>
    <phoneticPr fontId="3" type="noConversion"/>
  </si>
  <si>
    <t>태봉</t>
    <phoneticPr fontId="3" type="noConversion"/>
  </si>
  <si>
    <t>청계면 태봉리 709-6</t>
    <phoneticPr fontId="3" type="noConversion"/>
  </si>
  <si>
    <t>변형회분식활성슬러지공법</t>
    <phoneticPr fontId="3" type="noConversion"/>
  </si>
  <si>
    <t>1997.5.</t>
    <phoneticPr fontId="3" type="noConversion"/>
  </si>
  <si>
    <t>도대</t>
    <phoneticPr fontId="3" type="noConversion"/>
  </si>
  <si>
    <t>청계면 도대리 564-8</t>
    <phoneticPr fontId="3" type="noConversion"/>
  </si>
  <si>
    <t>2003.7.16</t>
    <phoneticPr fontId="3" type="noConversion"/>
  </si>
  <si>
    <t>모촌10</t>
    <phoneticPr fontId="3" type="noConversion"/>
  </si>
  <si>
    <t>현경면 양학리 1095</t>
    <phoneticPr fontId="3" type="noConversion"/>
  </si>
  <si>
    <t>현수다단계고도처리공법</t>
    <phoneticPr fontId="3" type="noConversion"/>
  </si>
  <si>
    <t>2004.4.15</t>
    <phoneticPr fontId="3" type="noConversion"/>
  </si>
  <si>
    <t>모촌45</t>
    <phoneticPr fontId="3" type="noConversion"/>
  </si>
  <si>
    <t>520
(520/0)</t>
    <phoneticPr fontId="3" type="noConversion"/>
  </si>
  <si>
    <t>399
(399/0)</t>
    <phoneticPr fontId="3" type="noConversion"/>
  </si>
  <si>
    <t>531,794
(522,100/9,694)</t>
    <phoneticPr fontId="3" type="noConversion"/>
  </si>
  <si>
    <t>219,912
(212,762/7,150)</t>
    <phoneticPr fontId="3" type="noConversion"/>
  </si>
  <si>
    <t>307,207
(304,663/2,544)</t>
    <phoneticPr fontId="3" type="noConversion"/>
  </si>
  <si>
    <t>453,957
(446,884/7,073)</t>
    <phoneticPr fontId="3" type="noConversion"/>
  </si>
  <si>
    <t>180,270
(175,085/5,185)</t>
    <phoneticPr fontId="3" type="noConversion"/>
  </si>
  <si>
    <t>273,687
(271,799/1,888)</t>
    <phoneticPr fontId="3" type="noConversion"/>
  </si>
  <si>
    <t>970,091
(951,561/18,531)</t>
    <phoneticPr fontId="3" type="noConversion"/>
  </si>
  <si>
    <t>957
(957/0)</t>
    <phoneticPr fontId="3" type="noConversion"/>
  </si>
  <si>
    <t>1,288
(1,288/0)</t>
    <phoneticPr fontId="3" type="noConversion"/>
  </si>
  <si>
    <t>301
(301/0)</t>
    <phoneticPr fontId="3" type="noConversion"/>
  </si>
  <si>
    <t>738
(738/0)</t>
    <phoneticPr fontId="3" type="noConversion"/>
  </si>
  <si>
    <t>929,923
(913,600/16,323)</t>
    <phoneticPr fontId="3" type="noConversion"/>
  </si>
  <si>
    <t>468,070
(455,647/12,423)</t>
    <phoneticPr fontId="3" type="noConversion"/>
  </si>
  <si>
    <t>426,060
(422,200/3,860)</t>
    <phoneticPr fontId="3" type="noConversion"/>
  </si>
  <si>
    <t>747,215
(735,394/11,821)</t>
    <phoneticPr fontId="3" type="noConversion"/>
  </si>
  <si>
    <t>412,393
(403,920/8,473)</t>
    <phoneticPr fontId="3" type="noConversion"/>
  </si>
  <si>
    <t>334,621
(331,273/3,348)</t>
    <phoneticPr fontId="3" type="noConversion"/>
  </si>
  <si>
    <t>1,257,069
(1,237,198/19,871)</t>
    <phoneticPr fontId="3" type="noConversion"/>
  </si>
  <si>
    <t>1,340
(1,340/0)</t>
    <phoneticPr fontId="3" type="noConversion"/>
  </si>
  <si>
    <t>703
(703/0)</t>
    <phoneticPr fontId="3" type="noConversion"/>
  </si>
  <si>
    <t>211,839
(204,215/7,624)</t>
    <phoneticPr fontId="3" type="noConversion"/>
  </si>
  <si>
    <t>129,200
(120,993/8,207)</t>
    <phoneticPr fontId="3" type="noConversion"/>
  </si>
  <si>
    <t>240,985
(224,275/16,709)</t>
    <phoneticPr fontId="3" type="noConversion"/>
  </si>
  <si>
    <t>1,020
(1,020/0)</t>
    <phoneticPr fontId="3" type="noConversion"/>
  </si>
  <si>
    <t>584
(584/0)</t>
    <phoneticPr fontId="3" type="noConversion"/>
  </si>
  <si>
    <t>268
(268/0)</t>
    <phoneticPr fontId="3" type="noConversion"/>
  </si>
  <si>
    <t>1,092,935
(1,085,000/7,935)</t>
    <phoneticPr fontId="3" type="noConversion"/>
  </si>
  <si>
    <t>394,561
(388,800/5,761)</t>
    <phoneticPr fontId="3" type="noConversion"/>
  </si>
  <si>
    <t>942,635
(937,540/5,095)</t>
    <phoneticPr fontId="3" type="noConversion"/>
  </si>
  <si>
    <t>698,374
(696,200/2,174)</t>
    <phoneticPr fontId="3" type="noConversion"/>
  </si>
  <si>
    <t>344,557
(340,608/3,949)</t>
    <phoneticPr fontId="3" type="noConversion"/>
  </si>
  <si>
    <t>598,078
(596,932/1,146)</t>
    <phoneticPr fontId="3" type="noConversion"/>
  </si>
  <si>
    <t>670,176
(560,776/109,400)</t>
    <phoneticPr fontId="3" type="noConversion"/>
  </si>
  <si>
    <t>1,767
(1,767/0)</t>
    <phoneticPr fontId="3" type="noConversion"/>
  </si>
  <si>
    <t>380
(380/0)</t>
    <phoneticPr fontId="3" type="noConversion"/>
  </si>
  <si>
    <t>1,146,130
(1,132,150/13,980)</t>
    <phoneticPr fontId="3" type="noConversion"/>
  </si>
  <si>
    <t>510,675
(503,500/7,175)</t>
    <phoneticPr fontId="3" type="noConversion"/>
  </si>
  <si>
    <t>635,455
(628,650/6,805)</t>
    <phoneticPr fontId="3" type="noConversion"/>
  </si>
  <si>
    <t>860,738
(849,232/11,506)</t>
    <phoneticPr fontId="3" type="noConversion"/>
  </si>
  <si>
    <t>381,800
(374,783/7,017)</t>
    <phoneticPr fontId="3" type="noConversion"/>
  </si>
  <si>
    <t>478,939
(474,449/4,490)</t>
    <phoneticPr fontId="3" type="noConversion"/>
  </si>
  <si>
    <t>317,520
(314,408/3,112)</t>
    <phoneticPr fontId="3" type="noConversion"/>
  </si>
  <si>
    <t>1,070
(1,070/0)</t>
    <phoneticPr fontId="3" type="noConversion"/>
  </si>
  <si>
    <t>1,356
(1,356/0)</t>
    <phoneticPr fontId="3" type="noConversion"/>
  </si>
  <si>
    <t>1,986,120
(1,984,000/2,120)</t>
    <phoneticPr fontId="3" type="noConversion"/>
  </si>
  <si>
    <t>699,400
(699,000/400)</t>
    <phoneticPr fontId="3" type="noConversion"/>
  </si>
  <si>
    <t>81,875
(78,250/3,625)</t>
    <phoneticPr fontId="3" type="noConversion"/>
  </si>
  <si>
    <t>63,652
(61,350/2,302)</t>
    <phoneticPr fontId="3" type="noConversion"/>
  </si>
  <si>
    <t>5,004,565
(4,997,600/6,965)</t>
    <phoneticPr fontId="3" type="noConversion"/>
  </si>
  <si>
    <t>2,097,469
(2,094,100/3,369)</t>
    <phoneticPr fontId="3" type="noConversion"/>
  </si>
  <si>
    <t>465,905
(460,892/5,013)</t>
    <phoneticPr fontId="3" type="noConversion"/>
  </si>
  <si>
    <t>260,461
(258,500/1,961)</t>
    <phoneticPr fontId="3" type="noConversion"/>
  </si>
  <si>
    <t>657,911
(634,607/23,304)</t>
    <phoneticPr fontId="3" type="noConversion"/>
  </si>
  <si>
    <t>391,864
(376,300/15,564)</t>
    <phoneticPr fontId="3" type="noConversion"/>
  </si>
  <si>
    <t>23,272,743
(23,158,287/114,456)</t>
    <phoneticPr fontId="3" type="noConversion"/>
  </si>
  <si>
    <t>1,662
(1,662/0)</t>
    <phoneticPr fontId="3" type="noConversion"/>
  </si>
  <si>
    <t>15,502,101
(15,424,339/77,762)</t>
    <phoneticPr fontId="3" type="noConversion"/>
  </si>
  <si>
    <t>7,644,415
(7,609,428/34,987)</t>
    <phoneticPr fontId="3" type="noConversion"/>
  </si>
  <si>
    <t>18,259,396
(18,173,226/86,169)</t>
    <phoneticPr fontId="3" type="noConversion"/>
  </si>
  <si>
    <t>52,003
(50,800/1,203)</t>
    <phoneticPr fontId="3" type="noConversion"/>
  </si>
  <si>
    <t>12,700,913
(12,642,951/57,962)</t>
    <phoneticPr fontId="3" type="noConversion"/>
  </si>
  <si>
    <t>5,393,567
(5,365,810/27,756)</t>
    <phoneticPr fontId="3" type="noConversion"/>
  </si>
  <si>
    <t>29,076
(29,076/0)</t>
    <phoneticPr fontId="3" type="noConversion"/>
  </si>
  <si>
    <t>5,994
(5,994/0)</t>
    <phoneticPr fontId="3" type="noConversion"/>
  </si>
  <si>
    <t>11,398
(11,398/0)</t>
    <phoneticPr fontId="3" type="noConversion"/>
  </si>
  <si>
    <t>20,934
(20,934/0)</t>
    <phoneticPr fontId="3" type="noConversion"/>
  </si>
  <si>
    <t>73,305
(71,127/2,178)</t>
    <phoneticPr fontId="3" type="noConversion"/>
  </si>
  <si>
    <t>20,898
(20,441/548)</t>
    <phoneticPr fontId="3" type="noConversion"/>
  </si>
  <si>
    <t>52,306
(50,686/1,620)</t>
    <phoneticPr fontId="3" type="noConversion"/>
  </si>
  <si>
    <t>235,619
(229,384/6,236)</t>
    <phoneticPr fontId="3" type="noConversion"/>
  </si>
  <si>
    <t>3,953,961
(3,949,464/4,498)</t>
    <phoneticPr fontId="3" type="noConversion"/>
  </si>
  <si>
    <t>2,319,203
(2,317,297/1,907)</t>
    <phoneticPr fontId="3" type="noConversion"/>
  </si>
  <si>
    <t>1,603,130
(1,600,549/2,581)</t>
    <phoneticPr fontId="3" type="noConversion"/>
  </si>
  <si>
    <t>6,107,201
(6,091,373/15,829)</t>
    <phoneticPr fontId="3" type="noConversion"/>
  </si>
  <si>
    <t>2,025
(344/6/1681/1)</t>
    <phoneticPr fontId="3" type="noConversion"/>
  </si>
  <si>
    <t>자료없음</t>
  </si>
  <si>
    <t>101,824
(89,296/12,528)</t>
    <phoneticPr fontId="3" type="noConversion"/>
  </si>
  <si>
    <t>2,385,619
(2,342,465/43,154)</t>
    <phoneticPr fontId="3" type="noConversion"/>
  </si>
  <si>
    <t>97,732
(92,532/5,200)</t>
    <phoneticPr fontId="3" type="noConversion"/>
  </si>
  <si>
    <t>기장군 장안읍 기룡리 1067-44</t>
  </si>
  <si>
    <t>기장군 일광면 원리 291-5</t>
  </si>
  <si>
    <t>기장군 일광면 청광리 139-1</t>
  </si>
  <si>
    <t>기장군 일광면 화전리 585-1</t>
  </si>
  <si>
    <t>630-5198</t>
    <phoneticPr fontId="3" type="noConversion"/>
  </si>
  <si>
    <t>직원총수
(명)</t>
    <phoneticPr fontId="3" type="noConversion"/>
  </si>
  <si>
    <t>행정직(명)</t>
    <phoneticPr fontId="3" type="noConversion"/>
  </si>
  <si>
    <t>기술직(명)</t>
    <phoneticPr fontId="3" type="noConversion"/>
  </si>
  <si>
    <t>기타
(명)</t>
    <phoneticPr fontId="3" type="noConversion"/>
  </si>
  <si>
    <t>평균근무년수
(년/인)</t>
    <phoneticPr fontId="3" type="noConversion"/>
  </si>
  <si>
    <t>교육현황
(일/인)</t>
    <phoneticPr fontId="3" type="noConversion"/>
  </si>
  <si>
    <t>안전사고
건수
(건/인/년)</t>
    <phoneticPr fontId="3" type="noConversion"/>
  </si>
  <si>
    <t>기술사</t>
    <phoneticPr fontId="3" type="noConversion"/>
  </si>
  <si>
    <t>기사</t>
    <phoneticPr fontId="3" type="noConversion"/>
  </si>
  <si>
    <t>산업
기사</t>
    <phoneticPr fontId="3" type="noConversion"/>
  </si>
  <si>
    <t>기능사</t>
    <phoneticPr fontId="3" type="noConversion"/>
  </si>
  <si>
    <t>내부교육</t>
    <phoneticPr fontId="3" type="noConversion"/>
  </si>
  <si>
    <t>외부교육</t>
    <phoneticPr fontId="3" type="noConversion"/>
  </si>
  <si>
    <t>(단위 : ㎎/ℓ, 개/㎖)</t>
    <phoneticPr fontId="3" type="noConversion"/>
  </si>
  <si>
    <t>지  역
(시·군 ·구)</t>
    <phoneticPr fontId="3" type="noConversion"/>
  </si>
  <si>
    <t>처리장명</t>
    <phoneticPr fontId="3" type="noConversion"/>
  </si>
  <si>
    <t>구분</t>
    <phoneticPr fontId="3" type="noConversion"/>
  </si>
  <si>
    <t>BOD</t>
    <phoneticPr fontId="3" type="noConversion"/>
  </si>
  <si>
    <t>COD</t>
    <phoneticPr fontId="3" type="noConversion"/>
  </si>
  <si>
    <t>SS</t>
    <phoneticPr fontId="3" type="noConversion"/>
  </si>
  <si>
    <t>T-N</t>
    <phoneticPr fontId="3" type="noConversion"/>
  </si>
  <si>
    <t>T-P</t>
    <phoneticPr fontId="3" type="noConversion"/>
  </si>
  <si>
    <t>대장균군수</t>
    <phoneticPr fontId="3" type="noConversion"/>
  </si>
  <si>
    <t>-</t>
    <phoneticPr fontId="3" type="noConversion"/>
  </si>
  <si>
    <t>3661-2820~1</t>
    <phoneticPr fontId="3" type="noConversion"/>
  </si>
  <si>
    <t>790-8023</t>
    <phoneticPr fontId="3" type="noConversion"/>
  </si>
  <si>
    <t>605-8161</t>
    <phoneticPr fontId="3" type="noConversion"/>
  </si>
  <si>
    <t>605-8072</t>
    <phoneticPr fontId="3" type="noConversion"/>
  </si>
  <si>
    <t>605-8211</t>
    <phoneticPr fontId="3" type="noConversion"/>
  </si>
  <si>
    <t>605-8180</t>
    <phoneticPr fontId="3" type="noConversion"/>
  </si>
  <si>
    <t>605-8220</t>
    <phoneticPr fontId="3" type="noConversion"/>
  </si>
  <si>
    <t>605-8230</t>
    <phoneticPr fontId="3" type="noConversion"/>
  </si>
  <si>
    <t>668-2964</t>
    <phoneticPr fontId="3" type="noConversion"/>
  </si>
  <si>
    <t>578-6220</t>
    <phoneticPr fontId="3" type="noConversion"/>
  </si>
  <si>
    <t>576-9660</t>
    <phoneticPr fontId="3" type="noConversion"/>
  </si>
  <si>
    <t>752-0100</t>
    <phoneticPr fontId="3" type="noConversion"/>
  </si>
  <si>
    <t>899-0200</t>
    <phoneticPr fontId="3" type="noConversion"/>
  </si>
  <si>
    <t>858-9500</t>
    <phoneticPr fontId="3" type="noConversion"/>
  </si>
  <si>
    <t>467-9500</t>
    <phoneticPr fontId="3" type="noConversion"/>
  </si>
  <si>
    <t>932-8136</t>
    <phoneticPr fontId="3" type="noConversion"/>
  </si>
  <si>
    <t>899-3344</t>
    <phoneticPr fontId="3" type="noConversion"/>
  </si>
  <si>
    <t>865-7465</t>
    <phoneticPr fontId="3" type="noConversion"/>
  </si>
  <si>
    <t>586-3740</t>
    <phoneticPr fontId="3" type="noConversion"/>
  </si>
  <si>
    <t>229-5941</t>
    <phoneticPr fontId="3" type="noConversion"/>
  </si>
  <si>
    <t>239-8231</t>
    <phoneticPr fontId="3" type="noConversion"/>
  </si>
  <si>
    <t>254-6620</t>
    <phoneticPr fontId="3" type="noConversion"/>
  </si>
  <si>
    <t>225-6803</t>
    <phoneticPr fontId="3" type="noConversion"/>
  </si>
  <si>
    <t>282-6968</t>
    <phoneticPr fontId="3" type="noConversion"/>
  </si>
  <si>
    <t>251-0380</t>
    <phoneticPr fontId="3" type="noConversion"/>
  </si>
  <si>
    <t>219-7486</t>
    <phoneticPr fontId="3" type="noConversion"/>
  </si>
  <si>
    <t>229-7435</t>
    <phoneticPr fontId="3" type="noConversion"/>
  </si>
  <si>
    <t>2060-4855</t>
    <phoneticPr fontId="3" type="noConversion"/>
  </si>
  <si>
    <t>885-1641</t>
    <phoneticPr fontId="3" type="noConversion"/>
  </si>
  <si>
    <t>250-3527</t>
    <phoneticPr fontId="3" type="noConversion"/>
  </si>
  <si>
    <t>741-2576</t>
    <phoneticPr fontId="3" type="noConversion"/>
  </si>
  <si>
    <t>650-5200</t>
    <phoneticPr fontId="3" type="noConversion"/>
  </si>
  <si>
    <t>662-1011</t>
    <phoneticPr fontId="3" type="noConversion"/>
  </si>
  <si>
    <t>640-5976</t>
    <phoneticPr fontId="3" type="noConversion"/>
  </si>
  <si>
    <t>581-8589</t>
    <phoneticPr fontId="3" type="noConversion"/>
  </si>
  <si>
    <t>450-5584</t>
    <phoneticPr fontId="3" type="noConversion"/>
  </si>
  <si>
    <t>450-5332</t>
    <phoneticPr fontId="3" type="noConversion"/>
  </si>
  <si>
    <t>251-4443</t>
    <phoneticPr fontId="3" type="noConversion"/>
  </si>
  <si>
    <t>931-1422</t>
    <phoneticPr fontId="3" type="noConversion"/>
  </si>
  <si>
    <t>934-6500</t>
    <phoneticPr fontId="3" type="noConversion"/>
  </si>
  <si>
    <t>930-3545</t>
    <phoneticPr fontId="3" type="noConversion"/>
  </si>
  <si>
    <t>930-3349</t>
    <phoneticPr fontId="3" type="noConversion"/>
  </si>
  <si>
    <t>930-3486</t>
    <phoneticPr fontId="3" type="noConversion"/>
  </si>
  <si>
    <t>540-2348</t>
    <phoneticPr fontId="3" type="noConversion"/>
  </si>
  <si>
    <t>664-4871</t>
    <phoneticPr fontId="3" type="noConversion"/>
  </si>
  <si>
    <t>841-4441</t>
    <phoneticPr fontId="3" type="noConversion"/>
  </si>
  <si>
    <t>750-2181</t>
    <phoneticPr fontId="3" type="noConversion"/>
  </si>
  <si>
    <t>750-2544</t>
    <phoneticPr fontId="3" type="noConversion"/>
  </si>
  <si>
    <t>865-1376</t>
    <phoneticPr fontId="3" type="noConversion"/>
  </si>
  <si>
    <t>830-2768</t>
    <phoneticPr fontId="3" type="noConversion"/>
  </si>
  <si>
    <t>830-2423</t>
    <phoneticPr fontId="3" type="noConversion"/>
  </si>
  <si>
    <t>830-2098</t>
    <phoneticPr fontId="3" type="noConversion"/>
  </si>
  <si>
    <t>830-2295</t>
    <phoneticPr fontId="3" type="noConversion"/>
  </si>
  <si>
    <t>634-2002</t>
    <phoneticPr fontId="3" type="noConversion"/>
  </si>
  <si>
    <t>642-2060</t>
    <phoneticPr fontId="3" type="noConversion"/>
  </si>
  <si>
    <t>630-1866</t>
    <phoneticPr fontId="3" type="noConversion"/>
  </si>
  <si>
    <t>363-8433</t>
    <phoneticPr fontId="3" type="noConversion"/>
  </si>
  <si>
    <t>780-2526</t>
    <phoneticPr fontId="3" type="noConversion"/>
  </si>
  <si>
    <t>430-3772</t>
    <phoneticPr fontId="3" type="noConversion"/>
  </si>
  <si>
    <t>320-3564</t>
    <phoneticPr fontId="3" type="noConversion"/>
  </si>
  <si>
    <t>350-5528</t>
    <phoneticPr fontId="3" type="noConversion"/>
  </si>
  <si>
    <t>390-7697</t>
    <phoneticPr fontId="3" type="noConversion"/>
  </si>
  <si>
    <t>390-7538</t>
    <phoneticPr fontId="3" type="noConversion"/>
  </si>
  <si>
    <t>550-5527</t>
    <phoneticPr fontId="3" type="noConversion"/>
  </si>
  <si>
    <t>540-3609</t>
    <phoneticPr fontId="3" type="noConversion"/>
  </si>
  <si>
    <t>472-6607</t>
    <phoneticPr fontId="3" type="noConversion"/>
  </si>
  <si>
    <t>472-9171</t>
    <phoneticPr fontId="3" type="noConversion"/>
  </si>
  <si>
    <t>482-6670</t>
    <phoneticPr fontId="3" type="noConversion"/>
  </si>
  <si>
    <t>472-6131</t>
    <phoneticPr fontId="3" type="noConversion"/>
  </si>
  <si>
    <t>637-1485</t>
    <phoneticPr fontId="3" type="noConversion"/>
  </si>
  <si>
    <t>639-6371</t>
    <phoneticPr fontId="3" type="noConversion"/>
  </si>
  <si>
    <t>830-6333</t>
    <phoneticPr fontId="3" type="noConversion"/>
  </si>
  <si>
    <t>680-6345</t>
    <phoneticPr fontId="3" type="noConversion"/>
  </si>
  <si>
    <t>734-5811</t>
    <phoneticPr fontId="3" type="noConversion"/>
  </si>
  <si>
    <t>734-6545</t>
    <phoneticPr fontId="3" type="noConversion"/>
  </si>
  <si>
    <t>734-6546</t>
    <phoneticPr fontId="3" type="noConversion"/>
  </si>
  <si>
    <t>930-6509</t>
    <phoneticPr fontId="3" type="noConversion"/>
  </si>
  <si>
    <t>975-2350</t>
    <phoneticPr fontId="3" type="noConversion"/>
  </si>
  <si>
    <t>979-6352</t>
    <phoneticPr fontId="3" type="noConversion"/>
  </si>
  <si>
    <t>650-6941</t>
    <phoneticPr fontId="3" type="noConversion"/>
  </si>
  <si>
    <t>650-6372</t>
    <phoneticPr fontId="3" type="noConversion"/>
  </si>
  <si>
    <t>679-6374</t>
    <phoneticPr fontId="3" type="noConversion"/>
  </si>
  <si>
    <t>780-2040</t>
    <phoneticPr fontId="3" type="noConversion"/>
  </si>
  <si>
    <t>780-2058</t>
    <phoneticPr fontId="3" type="noConversion"/>
  </si>
  <si>
    <t>749-2480</t>
    <phoneticPr fontId="3" type="noConversion"/>
  </si>
  <si>
    <t>749-2481</t>
    <phoneticPr fontId="3" type="noConversion"/>
  </si>
  <si>
    <t>749-2482</t>
    <phoneticPr fontId="3" type="noConversion"/>
  </si>
  <si>
    <t>749-2483</t>
    <phoneticPr fontId="3" type="noConversion"/>
  </si>
  <si>
    <t>749-2484</t>
    <phoneticPr fontId="3" type="noConversion"/>
  </si>
  <si>
    <t>749-2485</t>
    <phoneticPr fontId="3" type="noConversion"/>
  </si>
  <si>
    <t>329-6051</t>
    <phoneticPr fontId="3" type="noConversion"/>
  </si>
  <si>
    <t>346-0452</t>
    <phoneticPr fontId="3" type="noConversion"/>
  </si>
  <si>
    <t>670-2816</t>
    <phoneticPr fontId="3" type="noConversion"/>
  </si>
  <si>
    <t>864-4294</t>
    <phoneticPr fontId="3" type="noConversion"/>
  </si>
  <si>
    <t>728-3283</t>
    <phoneticPr fontId="3" type="noConversion"/>
  </si>
  <si>
    <t>760-3811</t>
    <phoneticPr fontId="3" type="noConversion"/>
  </si>
  <si>
    <t>서울 : 02</t>
    <phoneticPr fontId="3" type="noConversion"/>
  </si>
  <si>
    <t>부산 : 051</t>
    <phoneticPr fontId="3" type="noConversion"/>
  </si>
  <si>
    <t>대구 : 053</t>
    <phoneticPr fontId="3" type="noConversion"/>
  </si>
  <si>
    <t>인천 : 032</t>
    <phoneticPr fontId="3" type="noConversion"/>
  </si>
  <si>
    <t>광주 : 062</t>
    <phoneticPr fontId="3" type="noConversion"/>
  </si>
  <si>
    <t>대전 : 042</t>
    <phoneticPr fontId="3" type="noConversion"/>
  </si>
  <si>
    <t>울산 : 052</t>
    <phoneticPr fontId="3" type="noConversion"/>
  </si>
  <si>
    <t>경기 : 031
부천 : 032</t>
    <phoneticPr fontId="3" type="noConversion"/>
  </si>
  <si>
    <t>강원 : 033</t>
    <phoneticPr fontId="3" type="noConversion"/>
  </si>
  <si>
    <t>충북 : 043</t>
    <phoneticPr fontId="3" type="noConversion"/>
  </si>
  <si>
    <t>충남 : 041
도 : 042</t>
    <phoneticPr fontId="3" type="noConversion"/>
  </si>
  <si>
    <t>전북 : 063</t>
    <phoneticPr fontId="3" type="noConversion"/>
  </si>
  <si>
    <t>전남 : 061
도 : 062</t>
    <phoneticPr fontId="3" type="noConversion"/>
  </si>
  <si>
    <t>경북 : 054
도,경산시 : 053</t>
    <phoneticPr fontId="3" type="noConversion"/>
  </si>
  <si>
    <t>경남 : 055</t>
    <phoneticPr fontId="3" type="noConversion"/>
  </si>
  <si>
    <t>제주 : 064</t>
    <phoneticPr fontId="3" type="noConversion"/>
  </si>
  <si>
    <t>홍북</t>
    <phoneticPr fontId="3" type="noConversion"/>
  </si>
  <si>
    <t>상ㅅ나</t>
    <phoneticPr fontId="3" type="noConversion"/>
  </si>
  <si>
    <t>분뇨(하수)</t>
    <phoneticPr fontId="3" type="noConversion"/>
  </si>
  <si>
    <t>축산(하수)</t>
    <phoneticPr fontId="3" type="noConversion"/>
  </si>
  <si>
    <t>침출수(하수)</t>
    <phoneticPr fontId="3" type="noConversion"/>
  </si>
  <si>
    <t>기타(하수)</t>
    <phoneticPr fontId="3" type="noConversion"/>
  </si>
  <si>
    <t>26,537,082
(26,267,357/269,725)</t>
    <phoneticPr fontId="3" type="noConversion"/>
  </si>
  <si>
    <t>1,342,673
(1,341,222/1,451)</t>
    <phoneticPr fontId="3" type="noConversion"/>
  </si>
  <si>
    <t>2,319,213
(2,317,297/1,917)</t>
    <phoneticPr fontId="3" type="noConversion"/>
  </si>
  <si>
    <t>6,114,976
(6,099,148/15,829)</t>
    <phoneticPr fontId="3" type="noConversion"/>
  </si>
  <si>
    <t>5,879,357
(5,869,764/9,593)</t>
    <phoneticPr fontId="3" type="noConversion"/>
  </si>
  <si>
    <t>20,999
(20,441/558)</t>
    <phoneticPr fontId="3" type="noConversion"/>
  </si>
  <si>
    <t>398,919
(384,173/14,746)</t>
    <phoneticPr fontId="3" type="noConversion"/>
  </si>
  <si>
    <t>382,801
(378,536/4,265)</t>
    <phoneticPr fontId="3" type="noConversion"/>
  </si>
  <si>
    <t>492,463
(485,197/7,266)</t>
    <phoneticPr fontId="3" type="noConversion"/>
  </si>
  <si>
    <t>223,450
(216,300/7,150)</t>
    <phoneticPr fontId="3" type="noConversion"/>
  </si>
  <si>
    <t>308,344
(305,800/2,544)</t>
    <phoneticPr fontId="3" type="noConversion"/>
  </si>
  <si>
    <t>88,916
(85,300/3,616)</t>
    <phoneticPr fontId="3" type="noConversion"/>
  </si>
  <si>
    <t>63,659
(61,400/2,259)</t>
    <phoneticPr fontId="3" type="noConversion"/>
  </si>
  <si>
    <t>503,863
(491,400/12,463)</t>
    <phoneticPr fontId="3" type="noConversion"/>
  </si>
  <si>
    <t>438,088
(430,400/7,688)</t>
    <phoneticPr fontId="3" type="noConversion"/>
  </si>
  <si>
    <t>65,775
(61,000/4,775)</t>
    <phoneticPr fontId="3" type="noConversion"/>
  </si>
  <si>
    <t>260,845
(253,215/7,630)</t>
    <phoneticPr fontId="3" type="noConversion"/>
  </si>
  <si>
    <t>162,903
(154,696/8,207)</t>
    <phoneticPr fontId="3" type="noConversion"/>
  </si>
  <si>
    <t>200,242
(197,300/2,942)</t>
    <phoneticPr fontId="3" type="noConversion"/>
  </si>
  <si>
    <t>113,047
(110,070/2,974)</t>
    <phoneticPr fontId="3" type="noConversion"/>
  </si>
  <si>
    <t>699,399
(699,000/399)</t>
    <phoneticPr fontId="3" type="noConversion"/>
  </si>
  <si>
    <t>7,694,557
(7,659,565/34,992)</t>
    <phoneticPr fontId="3" type="noConversion"/>
  </si>
  <si>
    <t>265,961
(264,000/1,961)</t>
    <phoneticPr fontId="3" type="noConversion"/>
  </si>
  <si>
    <t>466,313
(461,300/5,013)</t>
    <phoneticPr fontId="3" type="noConversion"/>
  </si>
  <si>
    <t>397,364
(381,800/15,564)</t>
    <phoneticPr fontId="3" type="noConversion"/>
  </si>
  <si>
    <t>658,319
(635,015/23,304)</t>
    <phoneticPr fontId="3" type="noConversion"/>
  </si>
  <si>
    <t>23,273,151
(23,158,695/114,456)</t>
    <phoneticPr fontId="3" type="noConversion"/>
  </si>
  <si>
    <t>15,546,932
(15,469,130/77,802)</t>
    <phoneticPr fontId="3" type="noConversion"/>
  </si>
  <si>
    <t>갈말</t>
    <phoneticPr fontId="3" type="noConversion"/>
  </si>
  <si>
    <t>인구</t>
    <phoneticPr fontId="3" type="noConversion"/>
  </si>
  <si>
    <t>송학하수처리장</t>
    <phoneticPr fontId="3" type="noConversion"/>
  </si>
  <si>
    <t>안남하수처리장</t>
    <phoneticPr fontId="3" type="noConversion"/>
  </si>
  <si>
    <t>순천</t>
  </si>
  <si>
    <t>승주</t>
  </si>
  <si>
    <t>송광.외서</t>
  </si>
  <si>
    <t>신평</t>
  </si>
  <si>
    <t>낙안</t>
  </si>
  <si>
    <t>주암</t>
  </si>
  <si>
    <t>흑산</t>
    <phoneticPr fontId="3" type="noConversion"/>
  </si>
  <si>
    <t>지도</t>
    <phoneticPr fontId="3" type="noConversion"/>
  </si>
  <si>
    <t>흑석하수처리장</t>
    <phoneticPr fontId="3" type="noConversion"/>
  </si>
  <si>
    <t>하수처리장명
(무인화/통합관리 시설제외)</t>
    <phoneticPr fontId="3" type="noConversion"/>
  </si>
  <si>
    <t>1,583,622
(1,582,661/961)</t>
    <phoneticPr fontId="3" type="noConversion"/>
  </si>
  <si>
    <t>1,635,928
(1,633,347/2,581)</t>
    <phoneticPr fontId="3" type="noConversion"/>
  </si>
  <si>
    <t>5,460,008
(5,432,311/27,696)</t>
    <phoneticPr fontId="3" type="noConversion"/>
  </si>
  <si>
    <t>117,130
(193,525/1,255)</t>
  </si>
  <si>
    <t>117,130
(193,525/1,255)</t>
    <phoneticPr fontId="3" type="noConversion"/>
  </si>
  <si>
    <t>277,289
(265,806/11,483)</t>
  </si>
  <si>
    <t>277,289
(265,806/11,483)</t>
    <phoneticPr fontId="3" type="noConversion"/>
  </si>
  <si>
    <t>307,924
(303,598/4,326)</t>
  </si>
  <si>
    <t>307,924
(303,598/4,326)</t>
    <phoneticPr fontId="3" type="noConversion"/>
  </si>
  <si>
    <t>440,289
(420,502/19,787)</t>
  </si>
  <si>
    <t>440,289
(420,502/19,787)</t>
    <phoneticPr fontId="3" type="noConversion"/>
  </si>
  <si>
    <t>97
(0/97)</t>
  </si>
  <si>
    <t>12,824,590
(12,766,601/57,989)</t>
    <phoneticPr fontId="3" type="noConversion"/>
  </si>
  <si>
    <t>18,336,061
(18,249,172/86,888)</t>
    <phoneticPr fontId="3" type="noConversion"/>
  </si>
  <si>
    <t>전국</t>
    <phoneticPr fontId="3" type="noConversion"/>
  </si>
  <si>
    <t>4. 하수처리시설</t>
    <phoneticPr fontId="3" type="noConversion"/>
  </si>
  <si>
    <t>지  역
(시·군·구)</t>
    <phoneticPr fontId="3" type="noConversion"/>
  </si>
  <si>
    <t>준설연장 및 개소수</t>
    <phoneticPr fontId="3" type="noConversion"/>
  </si>
  <si>
    <t>준설실적</t>
    <phoneticPr fontId="3" type="noConversion"/>
  </si>
  <si>
    <t>준설토사처리(톤)</t>
    <phoneticPr fontId="3" type="noConversion"/>
  </si>
  <si>
    <t>맨홀
(개소)</t>
    <phoneticPr fontId="3" type="noConversion"/>
  </si>
  <si>
    <t>우·오수받이(개소)</t>
    <phoneticPr fontId="3" type="noConversion"/>
  </si>
  <si>
    <t>토실·토구(개소)</t>
    <phoneticPr fontId="3" type="noConversion"/>
  </si>
  <si>
    <t>준설량(톤)</t>
    <phoneticPr fontId="3" type="noConversion"/>
  </si>
  <si>
    <t>금  액
(백만원)</t>
    <phoneticPr fontId="3" type="noConversion"/>
  </si>
  <si>
    <t>계</t>
    <phoneticPr fontId="3" type="noConversion"/>
  </si>
  <si>
    <t>매립</t>
    <phoneticPr fontId="3" type="noConversion"/>
  </si>
  <si>
    <t>합계</t>
    <phoneticPr fontId="3" type="noConversion"/>
  </si>
  <si>
    <t>합류식</t>
    <phoneticPr fontId="3" type="noConversion"/>
  </si>
  <si>
    <t>분류식</t>
    <phoneticPr fontId="3" type="noConversion"/>
  </si>
  <si>
    <t>우수</t>
    <phoneticPr fontId="3" type="noConversion"/>
  </si>
  <si>
    <t>오수</t>
    <phoneticPr fontId="3" type="noConversion"/>
  </si>
  <si>
    <t>지  역
(시·군 ·구)</t>
    <phoneticPr fontId="3" type="noConversion"/>
  </si>
  <si>
    <r>
      <t>처리장
면적
(m</t>
    </r>
    <r>
      <rPr>
        <vertAlign val="superscript"/>
        <sz val="11"/>
        <rFont val="돋움체"/>
        <family val="3"/>
        <charset val="129"/>
      </rPr>
      <t>2</t>
    </r>
    <r>
      <rPr>
        <sz val="11"/>
        <rFont val="돋움체"/>
        <family val="3"/>
        <charset val="129"/>
      </rPr>
      <t>)</t>
    </r>
    <phoneticPr fontId="3" type="noConversion"/>
  </si>
  <si>
    <t>주민친화시설
활용율
(%)</t>
    <phoneticPr fontId="3" type="noConversion"/>
  </si>
  <si>
    <t>총계</t>
    <phoneticPr fontId="3" type="noConversion"/>
  </si>
  <si>
    <t>휴게시설</t>
    <phoneticPr fontId="3" type="noConversion"/>
  </si>
  <si>
    <t>어린이
놀이공간</t>
    <phoneticPr fontId="3" type="noConversion"/>
  </si>
  <si>
    <t>체력단련
시설</t>
    <phoneticPr fontId="3" type="noConversion"/>
  </si>
  <si>
    <t>운동시설</t>
    <phoneticPr fontId="3" type="noConversion"/>
  </si>
  <si>
    <t>주차장</t>
    <phoneticPr fontId="3" type="noConversion"/>
  </si>
  <si>
    <t>교육 및
문화시설</t>
    <phoneticPr fontId="3" type="noConversion"/>
  </si>
  <si>
    <t>습지조성
(생태공원)</t>
    <phoneticPr fontId="3" type="noConversion"/>
  </si>
  <si>
    <t>기타</t>
    <phoneticPr fontId="3" type="noConversion"/>
  </si>
  <si>
    <t>민원유형(건)</t>
    <phoneticPr fontId="3" type="noConversion"/>
  </si>
  <si>
    <t>기준인구당
민원건수
(건/10,000명)</t>
    <phoneticPr fontId="3" type="noConversion"/>
  </si>
  <si>
    <t>총계</t>
    <phoneticPr fontId="3" type="noConversion"/>
  </si>
  <si>
    <t>방류수질</t>
    <phoneticPr fontId="3" type="noConversion"/>
  </si>
  <si>
    <t>악취</t>
    <phoneticPr fontId="3" type="noConversion"/>
  </si>
  <si>
    <t>미관</t>
    <phoneticPr fontId="3" type="noConversion"/>
  </si>
  <si>
    <t>오염사고</t>
    <phoneticPr fontId="3" type="noConversion"/>
  </si>
  <si>
    <t>요금</t>
    <phoneticPr fontId="3" type="noConversion"/>
  </si>
  <si>
    <t>기타</t>
    <phoneticPr fontId="3" type="noConversion"/>
  </si>
  <si>
    <t>­</t>
  </si>
  <si>
    <t>_</t>
  </si>
  <si>
    <t>(단위 :㎥/일)</t>
  </si>
  <si>
    <t>분뇨발생량</t>
    <phoneticPr fontId="3" type="noConversion"/>
  </si>
  <si>
    <t>~</t>
    <phoneticPr fontId="3" type="noConversion"/>
  </si>
  <si>
    <t>적용신기술</t>
    <phoneticPr fontId="3" type="noConversion"/>
  </si>
  <si>
    <t>고도처리율(%)</t>
    <phoneticPr fontId="3" type="noConversion"/>
  </si>
  <si>
    <t>특․광역시, 도</t>
    <phoneticPr fontId="3" type="noConversion"/>
  </si>
  <si>
    <t>시,군,구 자체</t>
  </si>
  <si>
    <t>정화조수</t>
    <phoneticPr fontId="3" type="noConversion"/>
  </si>
  <si>
    <t>SSOs</t>
    <phoneticPr fontId="3" type="noConversion"/>
  </si>
  <si>
    <t>수거식</t>
    <phoneticPr fontId="3" type="noConversion"/>
  </si>
  <si>
    <t>수세식</t>
    <phoneticPr fontId="3" type="noConversion"/>
  </si>
  <si>
    <t>기타 관종</t>
    <phoneticPr fontId="3" type="noConversion"/>
  </si>
  <si>
    <t>관경별 연장(m)</t>
    <phoneticPr fontId="3" type="noConversion"/>
  </si>
  <si>
    <t>200(mm) 미만</t>
    <phoneticPr fontId="3" type="noConversion"/>
  </si>
  <si>
    <t>200(mm)이상~300(mm)미만</t>
    <phoneticPr fontId="3" type="noConversion"/>
  </si>
  <si>
    <t>800(mm)이상</t>
    <phoneticPr fontId="3" type="noConversion"/>
  </si>
  <si>
    <t>300(mm)이상~500(mm)미만</t>
    <phoneticPr fontId="3" type="noConversion"/>
  </si>
  <si>
    <t>500(mm)이상~800(mm)미만</t>
    <phoneticPr fontId="3" type="noConversion"/>
  </si>
  <si>
    <t>6. 중계펌프장</t>
    <phoneticPr fontId="3" type="noConversion"/>
  </si>
  <si>
    <t>(합류식)
펌프장명</t>
    <phoneticPr fontId="3" type="noConversion"/>
  </si>
  <si>
    <t>지 역
(시·군
·구)</t>
    <phoneticPr fontId="3" type="noConversion"/>
  </si>
  <si>
    <t>시설명
(500㎥/일 이상/미만)</t>
    <phoneticPr fontId="3" type="noConversion"/>
  </si>
  <si>
    <t>시설용량(500㎥/일 이상/미만)</t>
    <phoneticPr fontId="3" type="noConversion"/>
  </si>
  <si>
    <t>7. 공공하수처리시설</t>
    <phoneticPr fontId="3" type="noConversion"/>
  </si>
  <si>
    <t>8. 분뇨처리시설</t>
    <phoneticPr fontId="3" type="noConversion"/>
  </si>
  <si>
    <t>9. 개인하수처리시설</t>
    <phoneticPr fontId="3" type="noConversion"/>
  </si>
  <si>
    <t>10. 하수도재정</t>
    <phoneticPr fontId="3" type="noConversion"/>
  </si>
  <si>
    <t>욕 탕  2종</t>
    <phoneticPr fontId="3" type="noConversion"/>
  </si>
  <si>
    <t>산 업 용</t>
    <phoneticPr fontId="3" type="noConversion"/>
  </si>
  <si>
    <t>지  역
(시·군·구)</t>
    <phoneticPr fontId="3" type="noConversion"/>
  </si>
  <si>
    <t>부과액</t>
    <phoneticPr fontId="3" type="noConversion"/>
  </si>
  <si>
    <t>계</t>
    <phoneticPr fontId="3" type="noConversion"/>
  </si>
  <si>
    <t>건수</t>
    <phoneticPr fontId="3" type="noConversion"/>
  </si>
  <si>
    <t>대상별 징수현황</t>
    <phoneticPr fontId="3" type="noConversion"/>
  </si>
  <si>
    <t>배수설비설치자
(하수도법 제61조 제1항)</t>
    <phoneticPr fontId="3" type="noConversion"/>
  </si>
  <si>
    <t>타공사·타행위자
(하수도법 제62조 제2항)</t>
    <phoneticPr fontId="3" type="noConversion"/>
  </si>
  <si>
    <t>11.1 공공하수처리수 재이용</t>
    <phoneticPr fontId="3" type="noConversion"/>
  </si>
  <si>
    <t>11.2 중수도시설 현황</t>
    <phoneticPr fontId="3" type="noConversion"/>
  </si>
  <si>
    <t>청소율(%)
(D/C)</t>
    <phoneticPr fontId="3" type="noConversion"/>
  </si>
  <si>
    <t>계(C)</t>
    <phoneticPr fontId="3" type="noConversion"/>
  </si>
  <si>
    <t>년1회</t>
    <phoneticPr fontId="3" type="noConversion"/>
  </si>
  <si>
    <t>년2회</t>
    <phoneticPr fontId="3" type="noConversion"/>
  </si>
  <si>
    <t>계(D)</t>
    <phoneticPr fontId="3" type="noConversion"/>
  </si>
  <si>
    <t>13. 하수 및 분뇨처리 관련 산업</t>
    <phoneticPr fontId="3" type="noConversion"/>
  </si>
  <si>
    <t>13.2 공공하수처리시설 운영인력 현황</t>
    <phoneticPr fontId="3" type="noConversion"/>
  </si>
  <si>
    <t>13.3 분뇨수집/운반업 현황</t>
    <phoneticPr fontId="3" type="noConversion"/>
  </si>
  <si>
    <t>13.4 개인하수처리 관련업 현황</t>
    <phoneticPr fontId="3" type="noConversion"/>
  </si>
  <si>
    <t>개인하수처리시설 설계·시공업</t>
    <phoneticPr fontId="3" type="noConversion"/>
  </si>
  <si>
    <t>개인하수처리시설 제조업</t>
    <phoneticPr fontId="3" type="noConversion"/>
  </si>
  <si>
    <t>개인하수처리시설 관리업</t>
    <phoneticPr fontId="3" type="noConversion"/>
  </si>
  <si>
    <t>14. 공공하수처리시설 수질시험 결과</t>
    <phoneticPr fontId="3" type="noConversion"/>
  </si>
  <si>
    <t>14.1 공공하수처리시설 유입수 및 방류수</t>
    <phoneticPr fontId="3" type="noConversion"/>
  </si>
  <si>
    <t>유입수(원수)</t>
    <phoneticPr fontId="3" type="noConversion"/>
  </si>
  <si>
    <t>최종방류수</t>
    <phoneticPr fontId="3" type="noConversion"/>
  </si>
  <si>
    <t>14.2 분뇨하수처리시설 유입수 및 방류수</t>
    <phoneticPr fontId="3" type="noConversion"/>
  </si>
  <si>
    <t>방류수
(    )</t>
    <phoneticPr fontId="3" type="noConversion"/>
  </si>
  <si>
    <t>15. 하수도서비스 수준</t>
    <phoneticPr fontId="3" type="noConversion"/>
  </si>
  <si>
    <t>15.1 민원</t>
    <phoneticPr fontId="3" type="noConversion"/>
  </si>
  <si>
    <t>15.2 주민친화시설</t>
    <phoneticPr fontId="3" type="noConversion"/>
  </si>
  <si>
    <t>00.12.1</t>
    <phoneticPr fontId="3" type="noConversion"/>
  </si>
  <si>
    <t>개곡</t>
    <phoneticPr fontId="3" type="noConversion"/>
  </si>
  <si>
    <t>개곡리306</t>
    <phoneticPr fontId="3" type="noConversion"/>
  </si>
  <si>
    <t>01.5.1</t>
    <phoneticPr fontId="3" type="noConversion"/>
  </si>
  <si>
    <t>영신동103</t>
    <phoneticPr fontId="3" type="noConversion"/>
  </si>
  <si>
    <t>a20변법</t>
    <phoneticPr fontId="3" type="noConversion"/>
  </si>
  <si>
    <t>550-8441</t>
    <phoneticPr fontId="3" type="noConversion"/>
  </si>
  <si>
    <t>00.5.7</t>
    <phoneticPr fontId="3" type="noConversion"/>
  </si>
  <si>
    <t>마성면 신현리203-2</t>
    <phoneticPr fontId="3" type="noConversion"/>
  </si>
  <si>
    <t>550-8444</t>
    <phoneticPr fontId="3" type="noConversion"/>
  </si>
  <si>
    <t>가은읍 왕능리24-2</t>
    <phoneticPr fontId="3" type="noConversion"/>
  </si>
  <si>
    <t>A2O변법</t>
    <phoneticPr fontId="3" type="noConversion"/>
  </si>
  <si>
    <t>571-5624</t>
    <phoneticPr fontId="3" type="noConversion"/>
  </si>
  <si>
    <t>04.7.28</t>
    <phoneticPr fontId="3" type="noConversion"/>
  </si>
  <si>
    <t>섬안</t>
    <phoneticPr fontId="3" type="noConversion"/>
  </si>
  <si>
    <t>가은읍 민지1리</t>
    <phoneticPr fontId="3" type="noConversion"/>
  </si>
  <si>
    <t>산화침윤+모관침윤</t>
    <phoneticPr fontId="3" type="noConversion"/>
  </si>
  <si>
    <t>95.12.12</t>
    <phoneticPr fontId="3" type="noConversion"/>
  </si>
  <si>
    <t>구음</t>
    <phoneticPr fontId="3" type="noConversion"/>
  </si>
  <si>
    <t>영순면 왕태3리</t>
    <phoneticPr fontId="3" type="noConversion"/>
  </si>
  <si>
    <t>98.5.21</t>
    <phoneticPr fontId="3" type="noConversion"/>
  </si>
  <si>
    <t>우마이</t>
    <phoneticPr fontId="3" type="noConversion"/>
  </si>
  <si>
    <t>산양면 위만1리</t>
    <phoneticPr fontId="3" type="noConversion"/>
  </si>
  <si>
    <t>자연여과형접촉폭기</t>
    <phoneticPr fontId="3" type="noConversion"/>
  </si>
  <si>
    <t>98.4.27</t>
    <phoneticPr fontId="3" type="noConversion"/>
  </si>
  <si>
    <t>한우물</t>
    <phoneticPr fontId="3" type="noConversion"/>
  </si>
  <si>
    <t>농암면 종곡3리</t>
    <phoneticPr fontId="3" type="noConversion"/>
  </si>
  <si>
    <t>내화</t>
    <phoneticPr fontId="3" type="noConversion"/>
  </si>
  <si>
    <t>산북면 내화리</t>
    <phoneticPr fontId="3" type="noConversion"/>
  </si>
  <si>
    <t>혐기성접촉폭기법</t>
    <phoneticPr fontId="3" type="noConversion"/>
  </si>
  <si>
    <t>99.4.29</t>
    <phoneticPr fontId="3" type="noConversion"/>
  </si>
  <si>
    <t>노루이</t>
    <phoneticPr fontId="3" type="noConversion"/>
  </si>
  <si>
    <t>동로면 노은1리</t>
    <phoneticPr fontId="3" type="noConversion"/>
  </si>
  <si>
    <t>변형SBR</t>
    <phoneticPr fontId="3" type="noConversion"/>
  </si>
  <si>
    <t>99.5.23</t>
    <phoneticPr fontId="3" type="noConversion"/>
  </si>
  <si>
    <t>지보실</t>
    <phoneticPr fontId="3" type="noConversion"/>
  </si>
  <si>
    <t>산북면 대상2리</t>
    <phoneticPr fontId="3" type="noConversion"/>
  </si>
  <si>
    <t>99.11.22</t>
    <phoneticPr fontId="3" type="noConversion"/>
  </si>
  <si>
    <t>감골</t>
    <phoneticPr fontId="3" type="noConversion"/>
  </si>
  <si>
    <t>영순면 의곡2리</t>
    <phoneticPr fontId="3" type="noConversion"/>
  </si>
  <si>
    <t>혐기,호기접촉순환</t>
    <phoneticPr fontId="3" type="noConversion"/>
  </si>
  <si>
    <t>99.12.6</t>
    <phoneticPr fontId="3" type="noConversion"/>
  </si>
  <si>
    <t>추산</t>
    <phoneticPr fontId="3" type="noConversion"/>
  </si>
  <si>
    <t>산양면 진정2리</t>
    <phoneticPr fontId="3" type="noConversion"/>
  </si>
  <si>
    <t>가은읍 성저2리</t>
    <phoneticPr fontId="3" type="noConversion"/>
  </si>
  <si>
    <t>배골</t>
    <phoneticPr fontId="3" type="noConversion"/>
  </si>
  <si>
    <t>산북면 약석리</t>
    <phoneticPr fontId="3" type="noConversion"/>
  </si>
  <si>
    <t>00.12.6</t>
    <phoneticPr fontId="3" type="noConversion"/>
  </si>
  <si>
    <t>구랑</t>
    <phoneticPr fontId="3" type="noConversion"/>
  </si>
  <si>
    <t>마성면 하내2리</t>
    <phoneticPr fontId="3" type="noConversion"/>
  </si>
  <si>
    <t>가도</t>
    <phoneticPr fontId="3" type="noConversion"/>
  </si>
  <si>
    <t>호계면 가도리</t>
    <phoneticPr fontId="3" type="noConversion"/>
  </si>
  <si>
    <t>성밑</t>
    <phoneticPr fontId="3" type="noConversion"/>
  </si>
  <si>
    <t>가은읍 성저1리</t>
    <phoneticPr fontId="3" type="noConversion"/>
  </si>
  <si>
    <t>01.12.6</t>
    <phoneticPr fontId="3" type="noConversion"/>
  </si>
  <si>
    <t>김용</t>
    <phoneticPr fontId="3" type="noConversion"/>
  </si>
  <si>
    <t>산북면 김용리</t>
    <phoneticPr fontId="3" type="noConversion"/>
  </si>
  <si>
    <t>01.12.7</t>
    <phoneticPr fontId="3" type="noConversion"/>
  </si>
  <si>
    <t>고요</t>
    <phoneticPr fontId="3" type="noConversion"/>
  </si>
  <si>
    <t>문경읍 고요리</t>
    <phoneticPr fontId="3" type="noConversion"/>
  </si>
  <si>
    <t>중구실</t>
    <phoneticPr fontId="3" type="noConversion"/>
  </si>
  <si>
    <t>가은읍 하괴2리</t>
    <phoneticPr fontId="3" type="noConversion"/>
  </si>
  <si>
    <t>04.1.27</t>
    <phoneticPr fontId="3" type="noConversion"/>
  </si>
  <si>
    <t>서중</t>
    <phoneticPr fontId="3" type="noConversion"/>
  </si>
  <si>
    <t>산북면 선중리</t>
    <phoneticPr fontId="3" type="noConversion"/>
  </si>
  <si>
    <t>대정동137</t>
    <phoneticPr fontId="3" type="noConversion"/>
  </si>
  <si>
    <t>2단 혐기호기법</t>
  </si>
  <si>
    <t>816-7003</t>
    <phoneticPr fontId="3" type="noConversion"/>
  </si>
  <si>
    <t>00.12.20.</t>
    <phoneticPr fontId="3" type="noConversion"/>
  </si>
  <si>
    <t>남천면 하도리 579-1</t>
    <phoneticPr fontId="3" type="noConversion"/>
  </si>
  <si>
    <t>토양피복형 접촉산화방식</t>
  </si>
  <si>
    <t>93년 12월</t>
  </si>
  <si>
    <t>오목천</t>
    <phoneticPr fontId="3" type="noConversion"/>
  </si>
  <si>
    <t>용성면 고은리 332-1</t>
    <phoneticPr fontId="3" type="noConversion"/>
  </si>
  <si>
    <t>94년 11월</t>
  </si>
  <si>
    <t>관상</t>
    <phoneticPr fontId="3" type="noConversion"/>
  </si>
  <si>
    <t>자인면 신관리 645</t>
    <phoneticPr fontId="3" type="noConversion"/>
  </si>
  <si>
    <t>95년 12월</t>
  </si>
  <si>
    <t>곡신</t>
    <phoneticPr fontId="3" type="noConversion"/>
  </si>
  <si>
    <t>용성면 곡신리 592</t>
    <phoneticPr fontId="3" type="noConversion"/>
  </si>
  <si>
    <t>97년 5월</t>
  </si>
  <si>
    <t>고방</t>
    <phoneticPr fontId="3" type="noConversion"/>
  </si>
  <si>
    <t>용성면 고은리 590-1</t>
    <phoneticPr fontId="3" type="noConversion"/>
  </si>
  <si>
    <t>혐기성.호기성미생물조정방식</t>
  </si>
  <si>
    <t>99년 1월</t>
  </si>
  <si>
    <t>송백</t>
    <phoneticPr fontId="3" type="noConversion"/>
  </si>
  <si>
    <t>남천면 송백리 344</t>
    <phoneticPr fontId="3" type="noConversion"/>
  </si>
  <si>
    <t>00년11월</t>
    <phoneticPr fontId="3" type="noConversion"/>
  </si>
  <si>
    <t>안심리 217-3</t>
    <phoneticPr fontId="3" type="noConversion"/>
  </si>
  <si>
    <t>02년 3월</t>
    <phoneticPr fontId="3" type="noConversion"/>
  </si>
  <si>
    <t>내촌리496-1</t>
  </si>
  <si>
    <t>자연순환식,현수미생물 접촉폭기처리</t>
  </si>
  <si>
    <t>816-7003</t>
  </si>
  <si>
    <t>03년 8월</t>
  </si>
  <si>
    <t>용전</t>
    <phoneticPr fontId="3" type="noConversion"/>
  </si>
  <si>
    <t>용성면 용전리 393</t>
  </si>
  <si>
    <t>고농축,현수미생물 접촉폭기처리</t>
  </si>
  <si>
    <t>03년 5월</t>
    <phoneticPr fontId="3" type="noConversion"/>
  </si>
  <si>
    <t>아사</t>
    <phoneticPr fontId="3" type="noConversion"/>
  </si>
  <si>
    <t>아사리 223</t>
    <phoneticPr fontId="3" type="noConversion"/>
  </si>
  <si>
    <t>섬모상생물막을 이용한 N,P고도처리</t>
  </si>
  <si>
    <t>04년 5월</t>
    <phoneticPr fontId="3" type="noConversion"/>
  </si>
  <si>
    <t>외촌</t>
    <phoneticPr fontId="3" type="noConversion"/>
  </si>
  <si>
    <t>용성면 외촌리 690</t>
    <phoneticPr fontId="3" type="noConversion"/>
  </si>
  <si>
    <t>완전침전지형 매체를 이용한 N,P고도처리</t>
  </si>
  <si>
    <t>04년 8월</t>
    <phoneticPr fontId="3" type="noConversion"/>
  </si>
  <si>
    <t>옥천리279-1</t>
    <phoneticPr fontId="3" type="noConversion"/>
  </si>
  <si>
    <t>혐기성 및 호기성 생물학적 처리</t>
  </si>
  <si>
    <t>05년 6월</t>
  </si>
  <si>
    <t>uv</t>
  </si>
  <si>
    <t>오목천</t>
  </si>
  <si>
    <t>고죽</t>
    <phoneticPr fontId="3" type="noConversion"/>
  </si>
  <si>
    <t>고죽리957-1</t>
    <phoneticPr fontId="3" type="noConversion"/>
  </si>
  <si>
    <t>호기성침전지형 오수고도처리</t>
  </si>
  <si>
    <t>05년 12월</t>
  </si>
  <si>
    <t>신방</t>
    <phoneticPr fontId="3" type="noConversion"/>
  </si>
  <si>
    <t>신방리346-2</t>
    <phoneticPr fontId="3" type="noConversion"/>
  </si>
  <si>
    <t>06년 6월</t>
  </si>
  <si>
    <t>남천</t>
  </si>
  <si>
    <t>원당리 885</t>
    <phoneticPr fontId="3" type="noConversion"/>
  </si>
  <si>
    <t>혐기-무산소-호기조합법</t>
    <phoneticPr fontId="3" type="noConversion"/>
  </si>
  <si>
    <t>대리리1005</t>
    <phoneticPr fontId="3" type="noConversion"/>
  </si>
  <si>
    <t>03.1.1</t>
    <phoneticPr fontId="3" type="noConversion"/>
  </si>
  <si>
    <t>덕은</t>
    <phoneticPr fontId="3" type="noConversion"/>
  </si>
  <si>
    <t>구산리1646-11</t>
    <phoneticPr fontId="3" type="noConversion"/>
  </si>
  <si>
    <t>변형회분식활성슬러지변법</t>
    <phoneticPr fontId="3" type="noConversion"/>
  </si>
  <si>
    <t>02.9.10</t>
    <phoneticPr fontId="3" type="noConversion"/>
  </si>
  <si>
    <t>도원리872-2</t>
    <phoneticPr fontId="3" type="noConversion"/>
  </si>
  <si>
    <t>98.09.</t>
    <phoneticPr fontId="3" type="noConversion"/>
  </si>
  <si>
    <t>청운</t>
    <phoneticPr fontId="3" type="noConversion"/>
  </si>
  <si>
    <t>청송읍 청운리 1254</t>
    <phoneticPr fontId="3" type="noConversion"/>
  </si>
  <si>
    <t>순환식장기폭기법</t>
    <phoneticPr fontId="3" type="noConversion"/>
  </si>
  <si>
    <t>870-6349</t>
    <phoneticPr fontId="3" type="noConversion"/>
  </si>
  <si>
    <t>'00.4.9</t>
    <phoneticPr fontId="3" type="noConversion"/>
  </si>
  <si>
    <t>세장</t>
    <phoneticPr fontId="3" type="noConversion"/>
  </si>
  <si>
    <t>진보면 세장리385-14</t>
    <phoneticPr fontId="3" type="noConversion"/>
  </si>
  <si>
    <t>혐기호기산화법</t>
    <phoneticPr fontId="3" type="noConversion"/>
  </si>
  <si>
    <t>'99.6.8</t>
    <phoneticPr fontId="3" type="noConversion"/>
  </si>
  <si>
    <t>내원당</t>
    <phoneticPr fontId="3" type="noConversion"/>
  </si>
  <si>
    <t>영양읍 하원리</t>
    <phoneticPr fontId="3" type="noConversion"/>
  </si>
  <si>
    <t>자연순환식현수미생물접촉법</t>
    <phoneticPr fontId="3" type="noConversion"/>
  </si>
  <si>
    <t>01.06.01</t>
    <phoneticPr fontId="3" type="noConversion"/>
  </si>
  <si>
    <t>신사</t>
    <phoneticPr fontId="3" type="noConversion"/>
  </si>
  <si>
    <t>입암면 신사리</t>
    <phoneticPr fontId="3" type="noConversion"/>
  </si>
  <si>
    <t>섬촌</t>
    <phoneticPr fontId="3" type="noConversion"/>
  </si>
  <si>
    <t>일월면 섬촌리</t>
    <phoneticPr fontId="3" type="noConversion"/>
  </si>
  <si>
    <t>99.06.01</t>
    <phoneticPr fontId="3" type="noConversion"/>
  </si>
  <si>
    <t>주곡</t>
    <phoneticPr fontId="3" type="noConversion"/>
  </si>
  <si>
    <t>일월면 주곡리</t>
    <phoneticPr fontId="3" type="noConversion"/>
  </si>
  <si>
    <t>장군천</t>
    <phoneticPr fontId="3" type="noConversion"/>
  </si>
  <si>
    <t>웃골</t>
    <phoneticPr fontId="3" type="noConversion"/>
  </si>
  <si>
    <t>수비면 오기리</t>
    <phoneticPr fontId="3" type="noConversion"/>
  </si>
  <si>
    <t>미생물조정조이용고효율처리</t>
    <phoneticPr fontId="3" type="noConversion"/>
  </si>
  <si>
    <t>장수포천</t>
    <phoneticPr fontId="3" type="noConversion"/>
  </si>
  <si>
    <t>석보</t>
    <phoneticPr fontId="3" type="noConversion"/>
  </si>
  <si>
    <t>석보면 원리</t>
    <phoneticPr fontId="3" type="noConversion"/>
  </si>
  <si>
    <t>완전침지용회전매체</t>
    <phoneticPr fontId="3" type="noConversion"/>
  </si>
  <si>
    <t>화매천</t>
    <phoneticPr fontId="3" type="noConversion"/>
  </si>
  <si>
    <t>영덕군 강구면 금호1리 845번지</t>
    <phoneticPr fontId="3" type="noConversion"/>
  </si>
  <si>
    <t>영해면 연평리 4-4</t>
    <phoneticPr fontId="3" type="noConversion"/>
  </si>
  <si>
    <t>장사면 부흥1리 393-1</t>
    <phoneticPr fontId="3" type="noConversion"/>
  </si>
  <si>
    <t>도천천</t>
    <phoneticPr fontId="3" type="noConversion"/>
  </si>
  <si>
    <t>창포리</t>
    <phoneticPr fontId="3" type="noConversion"/>
  </si>
  <si>
    <t>영덕군 영덕읍 창포리</t>
    <phoneticPr fontId="3" type="noConversion"/>
  </si>
  <si>
    <t>상향류생물반응조 이용한 고도처리공법(UMBR)</t>
    <phoneticPr fontId="3" type="noConversion"/>
  </si>
  <si>
    <t>상향류생물반응조(UMBR)</t>
    <phoneticPr fontId="3" type="noConversion"/>
  </si>
  <si>
    <t>대탄리</t>
    <phoneticPr fontId="3" type="noConversion"/>
  </si>
  <si>
    <t>영덕군 영덕읍 대탄리</t>
    <phoneticPr fontId="3" type="noConversion"/>
  </si>
  <si>
    <t>침지식 준공사막을 이용한 하수고도처리기술(HANT)</t>
    <phoneticPr fontId="3" type="noConversion"/>
  </si>
  <si>
    <t>침지식 준공사막(HANT)</t>
    <phoneticPr fontId="3" type="noConversion"/>
  </si>
  <si>
    <t>오보리</t>
    <phoneticPr fontId="3" type="noConversion"/>
  </si>
  <si>
    <t xml:space="preserve"> 영덕군 영덕읍 오보리</t>
    <phoneticPr fontId="3" type="noConversion"/>
  </si>
  <si>
    <t>특수미생물을 이용한 처리공법(HBR)</t>
    <phoneticPr fontId="3" type="noConversion"/>
  </si>
  <si>
    <t>노물리</t>
    <phoneticPr fontId="3" type="noConversion"/>
  </si>
  <si>
    <t xml:space="preserve"> 영덕군 영덕읍 노물리</t>
    <phoneticPr fontId="3" type="noConversion"/>
  </si>
  <si>
    <t>stone-fiber 접촉여재를 충진한 살수여상시 오수처리기술공법</t>
    <phoneticPr fontId="3" type="noConversion"/>
  </si>
  <si>
    <t>하저리</t>
    <phoneticPr fontId="3" type="noConversion"/>
  </si>
  <si>
    <t xml:space="preserve"> 영덕군 강구면 하저리</t>
    <phoneticPr fontId="3" type="noConversion"/>
  </si>
  <si>
    <t>약품통</t>
    <phoneticPr fontId="3" type="noConversion"/>
  </si>
  <si>
    <t>금진1리</t>
    <phoneticPr fontId="3" type="noConversion"/>
  </si>
  <si>
    <t xml:space="preserve"> 영덕군 강구면 금진1리</t>
    <phoneticPr fontId="3" type="noConversion"/>
  </si>
  <si>
    <t>남정리</t>
    <phoneticPr fontId="3" type="noConversion"/>
  </si>
  <si>
    <t xml:space="preserve"> 영덕군 남정면 남정리</t>
    <phoneticPr fontId="3" type="noConversion"/>
  </si>
  <si>
    <t>난류발생기를 이용한 처리공법</t>
    <phoneticPr fontId="3" type="noConversion"/>
  </si>
  <si>
    <t>남호리</t>
    <phoneticPr fontId="3" type="noConversion"/>
  </si>
  <si>
    <t xml:space="preserve"> 영덕군 강구면 남호리</t>
    <phoneticPr fontId="3" type="noConversion"/>
  </si>
  <si>
    <t>양성리</t>
    <phoneticPr fontId="3" type="noConversion"/>
  </si>
  <si>
    <t xml:space="preserve"> 영덕군 남정면 양성리</t>
    <phoneticPr fontId="3" type="noConversion"/>
  </si>
  <si>
    <t>침전분리형접촉폭기법</t>
    <phoneticPr fontId="3" type="noConversion"/>
  </si>
  <si>
    <t>원척리</t>
    <phoneticPr fontId="3" type="noConversion"/>
  </si>
  <si>
    <t xml:space="preserve"> 영덕군 남정면 원척리</t>
    <phoneticPr fontId="3" type="noConversion"/>
  </si>
  <si>
    <t>미생물 접촉폭기고도처리법</t>
    <phoneticPr fontId="3" type="noConversion"/>
  </si>
  <si>
    <t>구계리</t>
    <phoneticPr fontId="3" type="noConversion"/>
  </si>
  <si>
    <t xml:space="preserve"> 영덕군 남정면 구계리</t>
    <phoneticPr fontId="3" type="noConversion"/>
  </si>
  <si>
    <t>완전침지형 회전매체를 이용한 하수고도처리공법</t>
    <phoneticPr fontId="3" type="noConversion"/>
  </si>
  <si>
    <t>완전침지형 회전매체</t>
    <phoneticPr fontId="3" type="noConversion"/>
  </si>
  <si>
    <t>옥산리</t>
    <phoneticPr fontId="3" type="noConversion"/>
  </si>
  <si>
    <t xml:space="preserve"> 영덕군 달산면 옥산리</t>
    <phoneticPr fontId="3" type="noConversion"/>
  </si>
  <si>
    <t>침전분리접촉폭기법</t>
    <phoneticPr fontId="3" type="noConversion"/>
  </si>
  <si>
    <t>경정1리</t>
    <phoneticPr fontId="3" type="noConversion"/>
  </si>
  <si>
    <t xml:space="preserve"> 영덕군 축산면 경정1리</t>
    <phoneticPr fontId="3" type="noConversion"/>
  </si>
  <si>
    <t>자연여과형접촉폭기법</t>
    <phoneticPr fontId="3" type="noConversion"/>
  </si>
  <si>
    <t>1999.2.</t>
    <phoneticPr fontId="3" type="noConversion"/>
  </si>
  <si>
    <t>경정2리</t>
    <phoneticPr fontId="3" type="noConversion"/>
  </si>
  <si>
    <t>영덕군 축산면 경정2리</t>
    <phoneticPr fontId="3" type="noConversion"/>
  </si>
  <si>
    <t>경정3리</t>
    <phoneticPr fontId="3" type="noConversion"/>
  </si>
  <si>
    <t xml:space="preserve"> 영덕군 축산면 경정3리</t>
    <phoneticPr fontId="3" type="noConversion"/>
  </si>
  <si>
    <t>상원리</t>
    <phoneticPr fontId="3" type="noConversion"/>
  </si>
  <si>
    <t xml:space="preserve"> 영덕군 축산면 상원리</t>
    <phoneticPr fontId="3" type="noConversion"/>
  </si>
  <si>
    <t>사진3리</t>
    <phoneticPr fontId="3" type="noConversion"/>
  </si>
  <si>
    <t xml:space="preserve"> 영덕군 영해면 사진3리</t>
    <phoneticPr fontId="3" type="noConversion"/>
  </si>
  <si>
    <t>원구리</t>
    <phoneticPr fontId="3" type="noConversion"/>
  </si>
  <si>
    <t xml:space="preserve"> 영덕군 영해면 원구리</t>
    <phoneticPr fontId="3" type="noConversion"/>
  </si>
  <si>
    <t>송천천</t>
    <phoneticPr fontId="3" type="noConversion"/>
  </si>
  <si>
    <t>대진3리</t>
    <phoneticPr fontId="3" type="noConversion"/>
  </si>
  <si>
    <t xml:space="preserve"> 영덕군 영해면 대진3리</t>
    <phoneticPr fontId="3" type="noConversion"/>
  </si>
  <si>
    <t>각리1리</t>
    <phoneticPr fontId="3" type="noConversion"/>
  </si>
  <si>
    <t xml:space="preserve"> 영덕군 병곡면각리1리</t>
    <phoneticPr fontId="3" type="noConversion"/>
  </si>
  <si>
    <t>덕천리</t>
    <phoneticPr fontId="3" type="noConversion"/>
  </si>
  <si>
    <t xml:space="preserve"> 영덕군 병곡면덕천리</t>
    <phoneticPr fontId="3" type="noConversion"/>
  </si>
  <si>
    <t>금곡리</t>
    <phoneticPr fontId="3" type="noConversion"/>
  </si>
  <si>
    <t xml:space="preserve"> 영덕군 병곡면 금곡리</t>
    <phoneticPr fontId="3" type="noConversion"/>
  </si>
  <si>
    <t>DBS공정을 이용한 하수 질소인제거공법</t>
    <phoneticPr fontId="3" type="noConversion"/>
  </si>
  <si>
    <t>DBS공정이용질소인제거</t>
    <phoneticPr fontId="3" type="noConversion"/>
  </si>
  <si>
    <t>2004. 11.</t>
    <phoneticPr fontId="3" type="noConversion"/>
  </si>
  <si>
    <t>2000.9.</t>
    <phoneticPr fontId="3" type="noConversion"/>
  </si>
  <si>
    <t>운문면 신원리 1590</t>
    <phoneticPr fontId="3" type="noConversion"/>
  </si>
  <si>
    <t>2003.8.</t>
    <phoneticPr fontId="3" type="noConversion"/>
  </si>
  <si>
    <t>신교동</t>
    <phoneticPr fontId="3" type="noConversion"/>
  </si>
  <si>
    <t>금천면 김전리 1059</t>
    <phoneticPr fontId="3" type="noConversion"/>
  </si>
  <si>
    <t>2000.6.</t>
    <phoneticPr fontId="3" type="noConversion"/>
  </si>
  <si>
    <t>고아리 620-8</t>
    <phoneticPr fontId="3" type="noConversion"/>
  </si>
  <si>
    <t>2000.01.01</t>
    <phoneticPr fontId="3" type="noConversion"/>
  </si>
  <si>
    <t>화암1리</t>
    <phoneticPr fontId="3" type="noConversion"/>
  </si>
  <si>
    <t>운수면 화암1리</t>
    <phoneticPr fontId="3" type="noConversion"/>
  </si>
  <si>
    <t>모관침윤트랜치공법</t>
    <phoneticPr fontId="3" type="noConversion"/>
  </si>
  <si>
    <t>1998.07.01</t>
    <phoneticPr fontId="3" type="noConversion"/>
  </si>
  <si>
    <t>송림1리</t>
    <phoneticPr fontId="3" type="noConversion"/>
  </si>
  <si>
    <t>쌍림면 송림1리</t>
    <phoneticPr fontId="3" type="noConversion"/>
  </si>
  <si>
    <t>DS-MEDIA 공법</t>
    <phoneticPr fontId="3" type="noConversion"/>
  </si>
  <si>
    <t>2006.06.24</t>
    <phoneticPr fontId="3" type="noConversion"/>
  </si>
  <si>
    <t>안림천</t>
    <phoneticPr fontId="3" type="noConversion"/>
  </si>
  <si>
    <t>하거2리</t>
    <phoneticPr fontId="3" type="noConversion"/>
  </si>
  <si>
    <t>쌍리면 하거2리</t>
    <phoneticPr fontId="3" type="noConversion"/>
  </si>
  <si>
    <t>1997.09.01</t>
    <phoneticPr fontId="3" type="noConversion"/>
  </si>
  <si>
    <t>성주읍 삼산리 406-6</t>
  </si>
  <si>
    <t>KIDEA</t>
  </si>
  <si>
    <t xml:space="preserve"> '05.10.10</t>
  </si>
  <si>
    <t>이천</t>
  </si>
  <si>
    <t>묵산</t>
    <phoneticPr fontId="3" type="noConversion"/>
  </si>
  <si>
    <t>월항면 용각리 785-1</t>
  </si>
  <si>
    <t>완전침지형회전매체</t>
  </si>
  <si>
    <t>SMMIAR</t>
  </si>
  <si>
    <t>04.7.14</t>
    <phoneticPr fontId="3" type="noConversion"/>
  </si>
  <si>
    <t>월항면 안포리 143</t>
  </si>
  <si>
    <t>상향류생물반응조</t>
  </si>
  <si>
    <t>KNR</t>
  </si>
  <si>
    <t>왜관읍 금산리 751</t>
    <phoneticPr fontId="3" type="noConversion"/>
  </si>
  <si>
    <t>표준활성슬러지법A2O</t>
    <phoneticPr fontId="3" type="noConversion"/>
  </si>
  <si>
    <t>94.4.1</t>
    <phoneticPr fontId="3" type="noConversion"/>
  </si>
  <si>
    <t>약목면 동안리 577</t>
    <phoneticPr fontId="3" type="noConversion"/>
  </si>
  <si>
    <t>경호천</t>
    <phoneticPr fontId="3" type="noConversion"/>
  </si>
  <si>
    <t>법성</t>
    <phoneticPr fontId="3" type="noConversion"/>
  </si>
  <si>
    <t>동명면 기성리</t>
    <phoneticPr fontId="3" type="noConversion"/>
  </si>
  <si>
    <t>02.7</t>
    <phoneticPr fontId="3" type="noConversion"/>
  </si>
  <si>
    <t>팔거천</t>
    <phoneticPr fontId="3" type="noConversion"/>
  </si>
  <si>
    <t>KS-BNR
고도처리</t>
    <phoneticPr fontId="3" type="noConversion"/>
  </si>
  <si>
    <t>05.05.</t>
    <phoneticPr fontId="3" type="noConversion"/>
  </si>
  <si>
    <t>맛질</t>
    <phoneticPr fontId="3" type="noConversion"/>
  </si>
  <si>
    <t>용문면 대제리</t>
    <phoneticPr fontId="3" type="noConversion"/>
  </si>
  <si>
    <t>토양피복산화접촉</t>
    <phoneticPr fontId="3" type="noConversion"/>
  </si>
  <si>
    <t>99.03.</t>
    <phoneticPr fontId="3" type="noConversion"/>
  </si>
  <si>
    <t>시항</t>
    <phoneticPr fontId="3" type="noConversion"/>
  </si>
  <si>
    <t>하리면 시항리</t>
    <phoneticPr fontId="3" type="noConversion"/>
  </si>
  <si>
    <t>고농축현수미생물</t>
    <phoneticPr fontId="3" type="noConversion"/>
  </si>
  <si>
    <t>송전</t>
    <phoneticPr fontId="3" type="noConversion"/>
  </si>
  <si>
    <t>유천면 송전리</t>
    <phoneticPr fontId="3" type="noConversion"/>
  </si>
  <si>
    <t>난류발생기를이용한고도처리</t>
    <phoneticPr fontId="3" type="noConversion"/>
  </si>
  <si>
    <t>중평천</t>
    <phoneticPr fontId="3" type="noConversion"/>
  </si>
  <si>
    <t>사곡</t>
    <phoneticPr fontId="3" type="noConversion"/>
  </si>
  <si>
    <t>유천면 사곡리</t>
    <phoneticPr fontId="3" type="noConversion"/>
  </si>
  <si>
    <t>오수의고도처리</t>
    <phoneticPr fontId="3" type="noConversion"/>
  </si>
  <si>
    <t>낙상</t>
    <phoneticPr fontId="3" type="noConversion"/>
  </si>
  <si>
    <t>풍양면 낙상리</t>
    <phoneticPr fontId="3" type="noConversion"/>
  </si>
  <si>
    <t>토양피복형산화접촉</t>
    <phoneticPr fontId="3" type="noConversion"/>
  </si>
  <si>
    <t>99.05.</t>
    <phoneticPr fontId="3" type="noConversion"/>
  </si>
  <si>
    <t>감천문화</t>
    <phoneticPr fontId="3" type="noConversion"/>
  </si>
  <si>
    <t>감천면 덕율리</t>
    <phoneticPr fontId="3" type="noConversion"/>
  </si>
  <si>
    <t>01.04.</t>
    <phoneticPr fontId="3" type="noConversion"/>
  </si>
  <si>
    <t>석관천</t>
    <phoneticPr fontId="3" type="noConversion"/>
  </si>
  <si>
    <t>닭실</t>
    <phoneticPr fontId="3" type="noConversion"/>
  </si>
  <si>
    <t>봉화읍 유곡리</t>
    <phoneticPr fontId="3" type="noConversion"/>
  </si>
  <si>
    <t>건정</t>
    <phoneticPr fontId="3" type="noConversion"/>
  </si>
  <si>
    <t>봉화읍 적덕리</t>
    <phoneticPr fontId="3" type="noConversion"/>
  </si>
  <si>
    <t>고효율오수처리합병정화시설</t>
    <phoneticPr fontId="3" type="noConversion"/>
  </si>
  <si>
    <t>01.5</t>
    <phoneticPr fontId="3" type="noConversion"/>
  </si>
  <si>
    <t>건정천</t>
    <phoneticPr fontId="3" type="noConversion"/>
  </si>
  <si>
    <t>압작골</t>
    <phoneticPr fontId="3" type="noConversion"/>
  </si>
  <si>
    <t>물야면 압동리</t>
    <phoneticPr fontId="3" type="noConversion"/>
  </si>
  <si>
    <t>압동천</t>
    <phoneticPr fontId="3" type="noConversion"/>
  </si>
  <si>
    <t>봉성문화</t>
    <phoneticPr fontId="3" type="noConversion"/>
  </si>
  <si>
    <t>봉성면 금봉리</t>
    <phoneticPr fontId="3" type="noConversion"/>
  </si>
  <si>
    <t>01.8</t>
    <phoneticPr fontId="3" type="noConversion"/>
  </si>
  <si>
    <t>가계천</t>
    <phoneticPr fontId="3" type="noConversion"/>
  </si>
  <si>
    <t>창평</t>
    <phoneticPr fontId="3" type="noConversion"/>
  </si>
  <si>
    <t>봉성면창평리</t>
  </si>
  <si>
    <t>춘양문화</t>
    <phoneticPr fontId="3" type="noConversion"/>
  </si>
  <si>
    <t>춘양면서벽리</t>
  </si>
  <si>
    <t>02.5</t>
    <phoneticPr fontId="3" type="noConversion"/>
  </si>
  <si>
    <t>상운문화</t>
    <phoneticPr fontId="3" type="noConversion"/>
  </si>
  <si>
    <t>상운면하눌리</t>
  </si>
  <si>
    <t>변형회분식활성슬러지법과 생물막여과법조합형</t>
    <phoneticPr fontId="3" type="noConversion"/>
  </si>
  <si>
    <t>구천천</t>
    <phoneticPr fontId="3" type="noConversion"/>
  </si>
  <si>
    <t>뒷들</t>
    <phoneticPr fontId="3" type="noConversion"/>
  </si>
  <si>
    <t>상운면가곡리</t>
  </si>
  <si>
    <t>가곡천</t>
    <phoneticPr fontId="3" type="noConversion"/>
  </si>
  <si>
    <t>더느실</t>
    <phoneticPr fontId="3" type="noConversion"/>
  </si>
  <si>
    <t>상운면운계리</t>
  </si>
  <si>
    <t>운계천</t>
    <phoneticPr fontId="3" type="noConversion"/>
  </si>
  <si>
    <t>울진군 울진읍 읍납2리 293</t>
    <phoneticPr fontId="3" type="noConversion"/>
  </si>
  <si>
    <t>Bio-SAC BNR+사여과지</t>
    <phoneticPr fontId="3" type="noConversion"/>
  </si>
  <si>
    <t>03.12.13</t>
    <phoneticPr fontId="3" type="noConversion"/>
  </si>
  <si>
    <t>울진군 온정면 소태3리 400-9</t>
    <phoneticPr fontId="3" type="noConversion"/>
  </si>
  <si>
    <t>94.05.19</t>
    <phoneticPr fontId="3" type="noConversion"/>
  </si>
  <si>
    <t>무월</t>
    <phoneticPr fontId="3" type="noConversion"/>
  </si>
  <si>
    <t>울진군 울진읍 호월1리 268-4</t>
    <phoneticPr fontId="3" type="noConversion"/>
  </si>
  <si>
    <t>내선미</t>
    <phoneticPr fontId="3" type="noConversion"/>
  </si>
  <si>
    <t>울진군 온정면 선구1리 550-1</t>
    <phoneticPr fontId="3" type="noConversion"/>
  </si>
  <si>
    <t>03.05.22</t>
    <phoneticPr fontId="3" type="noConversion"/>
  </si>
  <si>
    <t>죽포동</t>
    <phoneticPr fontId="3" type="noConversion"/>
  </si>
  <si>
    <t>울진군 원남면 매화1리 1133-1</t>
    <phoneticPr fontId="3" type="noConversion"/>
  </si>
  <si>
    <t>96.09.18</t>
    <phoneticPr fontId="3" type="noConversion"/>
  </si>
  <si>
    <t>매화2리</t>
    <phoneticPr fontId="3" type="noConversion"/>
  </si>
  <si>
    <t>울진군 원남면 매화2리 689-13</t>
    <phoneticPr fontId="3" type="noConversion"/>
  </si>
  <si>
    <t>SMMIAR PROCESS 공법</t>
    <phoneticPr fontId="3" type="noConversion"/>
  </si>
  <si>
    <t>05.10.22</t>
    <phoneticPr fontId="3" type="noConversion"/>
  </si>
  <si>
    <t>구산1리</t>
    <phoneticPr fontId="3" type="noConversion"/>
  </si>
  <si>
    <t>울진군 근남면 구산1리 409-10</t>
    <phoneticPr fontId="3" type="noConversion"/>
  </si>
  <si>
    <t>BSTS-Ⅱ 공법</t>
    <phoneticPr fontId="3" type="noConversion"/>
  </si>
  <si>
    <t>06.08.22</t>
    <phoneticPr fontId="3" type="noConversion"/>
  </si>
  <si>
    <t xml:space="preserve">울릉군 </t>
    <phoneticPr fontId="3" type="noConversion"/>
  </si>
  <si>
    <t>덕동714</t>
    <phoneticPr fontId="3" type="noConversion"/>
  </si>
  <si>
    <t xml:space="preserve"> '93.5.17</t>
    <phoneticPr fontId="3" type="noConversion"/>
  </si>
  <si>
    <t>진해만</t>
    <phoneticPr fontId="3" type="noConversion"/>
  </si>
  <si>
    <t>초전동 190-1</t>
    <phoneticPr fontId="3" type="noConversion"/>
  </si>
  <si>
    <t xml:space="preserve"> '94.5.1</t>
    <phoneticPr fontId="3" type="noConversion"/>
  </si>
  <si>
    <t>문산</t>
    <phoneticPr fontId="3" type="noConversion"/>
  </si>
  <si>
    <t>문산읍소문리1786-1</t>
    <phoneticPr fontId="3" type="noConversion"/>
  </si>
  <si>
    <t xml:space="preserve"> '99.2.6</t>
    <phoneticPr fontId="3" type="noConversion"/>
  </si>
  <si>
    <t>자외선소득</t>
    <phoneticPr fontId="3" type="noConversion"/>
  </si>
  <si>
    <t>사봉</t>
    <phoneticPr fontId="3" type="noConversion"/>
  </si>
  <si>
    <t>사봉면
무촌리204</t>
    <phoneticPr fontId="3" type="noConversion"/>
  </si>
  <si>
    <t xml:space="preserve"> '99.3.30</t>
    <phoneticPr fontId="3" type="noConversion"/>
  </si>
  <si>
    <t>간이영소소득</t>
    <phoneticPr fontId="3" type="noConversion"/>
  </si>
  <si>
    <t>진성면 대사리398-2</t>
    <phoneticPr fontId="3" type="noConversion"/>
  </si>
  <si>
    <t>토양피복식
접촉산화법</t>
    <phoneticPr fontId="3" type="noConversion"/>
  </si>
  <si>
    <t xml:space="preserve"> '99.7.1</t>
    <phoneticPr fontId="3" type="noConversion"/>
  </si>
  <si>
    <t>오방</t>
    <phoneticPr fontId="3" type="noConversion"/>
  </si>
  <si>
    <t>미천면 오방리787-2</t>
    <phoneticPr fontId="3" type="noConversion"/>
  </si>
  <si>
    <t>팔미</t>
    <phoneticPr fontId="3" type="noConversion"/>
  </si>
  <si>
    <t>명석면 외율리230-234</t>
    <phoneticPr fontId="3" type="noConversion"/>
  </si>
  <si>
    <t xml:space="preserve"> '99.9.1</t>
    <phoneticPr fontId="3" type="noConversion"/>
  </si>
  <si>
    <t>일반성면 남산리463-2</t>
    <phoneticPr fontId="3" type="noConversion"/>
  </si>
  <si>
    <t>YM접촉산화공법</t>
    <phoneticPr fontId="3" type="noConversion"/>
  </si>
  <si>
    <t xml:space="preserve"> '00.6.1</t>
    <phoneticPr fontId="3" type="noConversion"/>
  </si>
  <si>
    <t>사봉면 방촌리465-1</t>
    <phoneticPr fontId="3" type="noConversion"/>
  </si>
  <si>
    <t>혐기호기생물학적처리공법</t>
    <phoneticPr fontId="3" type="noConversion"/>
  </si>
  <si>
    <t xml:space="preserve"> '01.6.1</t>
    <phoneticPr fontId="3" type="noConversion"/>
  </si>
  <si>
    <t>예상</t>
    <phoneticPr fontId="3" type="noConversion"/>
  </si>
  <si>
    <t>정촌면649-3</t>
    <phoneticPr fontId="3" type="noConversion"/>
  </si>
  <si>
    <t>수곡면 사곡리290-1</t>
    <phoneticPr fontId="3" type="noConversion"/>
  </si>
  <si>
    <t xml:space="preserve"> '02.3.1</t>
    <phoneticPr fontId="3" type="noConversion"/>
  </si>
  <si>
    <t>요산</t>
    <phoneticPr fontId="3" type="noConversion"/>
  </si>
  <si>
    <t>수곡면 효자리472-
10,508-6</t>
    <phoneticPr fontId="3" type="noConversion"/>
  </si>
  <si>
    <t>수초골재하수처리공법</t>
    <phoneticPr fontId="3" type="noConversion"/>
  </si>
  <si>
    <t xml:space="preserve"> '02.4.1</t>
    <phoneticPr fontId="3" type="noConversion"/>
  </si>
  <si>
    <t>청담</t>
    <phoneticPr fontId="3" type="noConversion"/>
  </si>
  <si>
    <t>지수면 청담리436-45</t>
    <phoneticPr fontId="3" type="noConversion"/>
  </si>
  <si>
    <t xml:space="preserve"> '02.5.1</t>
    <phoneticPr fontId="3" type="noConversion"/>
  </si>
  <si>
    <t>수곡면 사곡리659-4</t>
    <phoneticPr fontId="3" type="noConversion"/>
  </si>
  <si>
    <t>단일반응조를이용한생물학적질</t>
    <phoneticPr fontId="3" type="noConversion"/>
  </si>
  <si>
    <t>냉정</t>
    <phoneticPr fontId="3" type="noConversion"/>
  </si>
  <si>
    <t>집현면 냉정리230-234</t>
    <phoneticPr fontId="3" type="noConversion"/>
  </si>
  <si>
    <t xml:space="preserve"> '99.7</t>
    <phoneticPr fontId="3" type="noConversion"/>
  </si>
  <si>
    <t>오미</t>
    <phoneticPr fontId="3" type="noConversion"/>
  </si>
  <si>
    <t>명석면 오미리430-44</t>
    <phoneticPr fontId="3" type="noConversion"/>
  </si>
  <si>
    <t>KMS침지형분리막공법</t>
    <phoneticPr fontId="3" type="noConversion"/>
  </si>
  <si>
    <t xml:space="preserve"> '06.</t>
    <phoneticPr fontId="3" type="noConversion"/>
  </si>
  <si>
    <t>수곡면 원내리430-1</t>
    <phoneticPr fontId="3" type="noConversion"/>
  </si>
  <si>
    <t>현수미생물접촉법(생물학적3상소화공정-SRE</t>
    <phoneticPr fontId="3" type="noConversion"/>
  </si>
  <si>
    <t>수곡면 대천리582</t>
    <phoneticPr fontId="3" type="noConversion"/>
  </si>
  <si>
    <t>무사소,호기및슬러지블랫킹에의한하수고도처리</t>
    <phoneticPr fontId="3" type="noConversion"/>
  </si>
  <si>
    <t>원외</t>
    <phoneticPr fontId="3" type="noConversion"/>
  </si>
  <si>
    <t>수곡면 원외리160-1</t>
    <phoneticPr fontId="3" type="noConversion"/>
  </si>
  <si>
    <t>고효율오수처리
(KDHST)</t>
    <phoneticPr fontId="3" type="noConversion"/>
  </si>
  <si>
    <t>세경</t>
    <phoneticPr fontId="3" type="noConversion"/>
  </si>
  <si>
    <t>금곡면 두문리1129-103</t>
    <phoneticPr fontId="3" type="noConversion"/>
  </si>
  <si>
    <t>침지식막분리시스템</t>
    <phoneticPr fontId="3" type="noConversion"/>
  </si>
  <si>
    <t xml:space="preserve"> '07.</t>
  </si>
  <si>
    <t>진등</t>
    <phoneticPr fontId="3" type="noConversion"/>
  </si>
  <si>
    <t>사봉면 사곡리1212</t>
    <phoneticPr fontId="3" type="noConversion"/>
  </si>
  <si>
    <t xml:space="preserve"> '08.</t>
  </si>
  <si>
    <t>외율</t>
    <phoneticPr fontId="3" type="noConversion"/>
  </si>
  <si>
    <t>명석면 외율리116-4</t>
    <phoneticPr fontId="3" type="noConversion"/>
  </si>
  <si>
    <t xml:space="preserve"> '09.</t>
  </si>
  <si>
    <t>관지</t>
    <phoneticPr fontId="3" type="noConversion"/>
  </si>
  <si>
    <t>명석면 관지리930-1</t>
    <phoneticPr fontId="3" type="noConversion"/>
  </si>
  <si>
    <t>SNR공법</t>
    <phoneticPr fontId="3" type="noConversion"/>
  </si>
  <si>
    <t xml:space="preserve"> '10.</t>
  </si>
  <si>
    <t>강주</t>
    <phoneticPr fontId="3" type="noConversion"/>
  </si>
  <si>
    <t>정촌면 예하이957-1</t>
    <phoneticPr fontId="3" type="noConversion"/>
  </si>
  <si>
    <t xml:space="preserve"> '11.</t>
  </si>
  <si>
    <t>내인</t>
    <phoneticPr fontId="3" type="noConversion"/>
  </si>
  <si>
    <t>미천면 안간리57-2</t>
    <phoneticPr fontId="3" type="noConversion"/>
  </si>
  <si>
    <t xml:space="preserve"> '12.</t>
  </si>
  <si>
    <t>덕산동 584</t>
    <phoneticPr fontId="3" type="noConversion"/>
  </si>
  <si>
    <t>551-7101</t>
    <phoneticPr fontId="3" type="noConversion"/>
  </si>
  <si>
    <t>인평동478-2</t>
    <phoneticPr fontId="3" type="noConversion"/>
  </si>
  <si>
    <t>표준활성슬러지법,STEP혐기호기법</t>
    <phoneticPr fontId="3" type="noConversion"/>
  </si>
  <si>
    <t>650-3415</t>
    <phoneticPr fontId="3" type="noConversion"/>
  </si>
  <si>
    <t>1994.12.10
2001.10.01</t>
    <phoneticPr fontId="3" type="noConversion"/>
  </si>
  <si>
    <t>도산면 저산리 165-2번지외5필지</t>
    <phoneticPr fontId="3" type="noConversion"/>
  </si>
  <si>
    <t>A2EBC공법</t>
    <phoneticPr fontId="3" type="noConversion"/>
  </si>
  <si>
    <t>도산면 저산리 893-2번지</t>
    <phoneticPr fontId="3" type="noConversion"/>
  </si>
  <si>
    <t>KSST공법</t>
    <phoneticPr fontId="3" type="noConversion"/>
  </si>
  <si>
    <t>650-6445</t>
    <phoneticPr fontId="3" type="noConversion"/>
  </si>
  <si>
    <t>1998.01.24</t>
    <phoneticPr fontId="3" type="noConversion"/>
  </si>
  <si>
    <t>학림</t>
    <phoneticPr fontId="3" type="noConversion"/>
  </si>
  <si>
    <t>한산면 저림리 22-4번지</t>
    <phoneticPr fontId="3" type="noConversion"/>
  </si>
  <si>
    <t>2004.09.21</t>
    <phoneticPr fontId="3" type="noConversion"/>
  </si>
  <si>
    <t>돈지</t>
    <phoneticPr fontId="3" type="noConversion"/>
  </si>
  <si>
    <t>사량면 돈지리 626-2 번지</t>
    <phoneticPr fontId="3" type="noConversion"/>
  </si>
  <si>
    <t>진촌</t>
    <phoneticPr fontId="3" type="noConversion"/>
  </si>
  <si>
    <t>사량면 금평리 134 번지</t>
    <phoneticPr fontId="3" type="noConversion"/>
  </si>
  <si>
    <t>2005.06.06</t>
    <phoneticPr fontId="3" type="noConversion"/>
  </si>
  <si>
    <t>비진</t>
    <phoneticPr fontId="3" type="noConversion"/>
  </si>
  <si>
    <t>한산면 비진리 401-1번지</t>
    <phoneticPr fontId="3" type="noConversion"/>
  </si>
  <si>
    <t>SSMMIAR
공법</t>
    <phoneticPr fontId="3" type="noConversion"/>
  </si>
  <si>
    <t>2005.03.24</t>
    <phoneticPr fontId="3" type="noConversion"/>
  </si>
  <si>
    <t>연대</t>
    <phoneticPr fontId="3" type="noConversion"/>
  </si>
  <si>
    <t>사량읍 연곡리 92-13번지</t>
    <phoneticPr fontId="3" type="noConversion"/>
  </si>
  <si>
    <t>2006.05.02</t>
    <phoneticPr fontId="3" type="noConversion"/>
  </si>
  <si>
    <t>2003.8.14</t>
    <phoneticPr fontId="3" type="noConversion"/>
  </si>
  <si>
    <t>사등동114-1</t>
    <phoneticPr fontId="3" type="noConversion"/>
  </si>
  <si>
    <t>2000.3.1</t>
    <phoneticPr fontId="3" type="noConversion"/>
  </si>
  <si>
    <t>곤양면 대진리 856</t>
    <phoneticPr fontId="3" type="noConversion"/>
  </si>
  <si>
    <t>간헐포기접촉산화법</t>
    <phoneticPr fontId="3" type="noConversion"/>
  </si>
  <si>
    <t>서포면 구펑리 150</t>
    <phoneticPr fontId="3" type="noConversion"/>
  </si>
  <si>
    <t>정동면 고읍리 315-3</t>
    <phoneticPr fontId="3" type="noConversion"/>
  </si>
  <si>
    <t>수청</t>
    <phoneticPr fontId="3" type="noConversion"/>
  </si>
  <si>
    <t>정동면 수청리 325-1</t>
    <phoneticPr fontId="3" type="noConversion"/>
  </si>
  <si>
    <t>혐기호기접촉산화</t>
    <phoneticPr fontId="3" type="noConversion"/>
  </si>
  <si>
    <t>2001.3.21</t>
    <phoneticPr fontId="3" type="noConversion"/>
  </si>
  <si>
    <t>환덕</t>
    <phoneticPr fontId="3" type="noConversion"/>
  </si>
  <si>
    <t>곤양면 환덕리 500-4</t>
    <phoneticPr fontId="3" type="noConversion"/>
  </si>
  <si>
    <t>2001.12.16</t>
    <phoneticPr fontId="3" type="noConversion"/>
  </si>
  <si>
    <t>초량</t>
    <phoneticPr fontId="3" type="noConversion"/>
  </si>
  <si>
    <t>곤명면 초량리 664-1</t>
    <phoneticPr fontId="3" type="noConversion"/>
  </si>
  <si>
    <t>KSBNR접촉산화</t>
    <phoneticPr fontId="3" type="noConversion"/>
  </si>
  <si>
    <t>1999.12.8</t>
    <phoneticPr fontId="3" type="noConversion"/>
  </si>
  <si>
    <t>와룡도 201-5</t>
    <phoneticPr fontId="3" type="noConversion"/>
  </si>
  <si>
    <t>2001.3.16</t>
    <phoneticPr fontId="3" type="noConversion"/>
  </si>
  <si>
    <t>벽동</t>
    <phoneticPr fontId="3" type="noConversion"/>
  </si>
  <si>
    <t>신벽동 248-1</t>
    <phoneticPr fontId="3" type="noConversion"/>
  </si>
  <si>
    <t>화목동
1913-3</t>
    <phoneticPr fontId="3" type="noConversion"/>
  </si>
  <si>
    <t xml:space="preserve"> 표준활성슬러지법</t>
    <phoneticPr fontId="3" type="noConversion"/>
  </si>
  <si>
    <t>김해시시설관리공단위탁</t>
    <phoneticPr fontId="3" type="noConversion"/>
  </si>
  <si>
    <t>고체염소간이소독</t>
    <phoneticPr fontId="3" type="noConversion"/>
  </si>
  <si>
    <t>서낙동강</t>
    <phoneticPr fontId="3" type="noConversion"/>
  </si>
  <si>
    <t xml:space="preserve"> 화목동 1909</t>
    <phoneticPr fontId="3" type="noConversion"/>
  </si>
  <si>
    <t>DNR+모래여과</t>
    <phoneticPr fontId="3" type="noConversion"/>
  </si>
  <si>
    <t>진영읍 본산리 548-1</t>
    <phoneticPr fontId="3" type="noConversion"/>
  </si>
  <si>
    <t>VIP</t>
    <phoneticPr fontId="3" type="noConversion"/>
  </si>
  <si>
    <t>2000.4.16</t>
    <phoneticPr fontId="3" type="noConversion"/>
  </si>
  <si>
    <t>용성천</t>
    <phoneticPr fontId="3" type="noConversion"/>
  </si>
  <si>
    <t>가달</t>
    <phoneticPr fontId="3" type="noConversion"/>
  </si>
  <si>
    <t>한림면 병동리 1013-3</t>
    <phoneticPr fontId="3" type="noConversion"/>
  </si>
  <si>
    <t>생물학적질소,인
제거공법</t>
    <phoneticPr fontId="3" type="noConversion"/>
  </si>
  <si>
    <t>99.5.29</t>
    <phoneticPr fontId="3" type="noConversion"/>
  </si>
  <si>
    <t>화포천</t>
    <phoneticPr fontId="3" type="noConversion"/>
  </si>
  <si>
    <t>한림면 상방리 1316-8</t>
    <phoneticPr fontId="3" type="noConversion"/>
  </si>
  <si>
    <t>유동상필터담채폭</t>
    <phoneticPr fontId="3" type="noConversion"/>
  </si>
  <si>
    <t>2001.1.30</t>
    <phoneticPr fontId="3" type="noConversion"/>
  </si>
  <si>
    <t>359-5303</t>
    <phoneticPr fontId="3" type="noConversion"/>
  </si>
  <si>
    <t>00.11.15</t>
    <phoneticPr fontId="3" type="noConversion"/>
  </si>
  <si>
    <t>삼랑진읍검세리</t>
    <phoneticPr fontId="3" type="noConversion"/>
  </si>
  <si>
    <t>산화구법+MBP</t>
    <phoneticPr fontId="3" type="noConversion"/>
  </si>
  <si>
    <t>안태천</t>
    <phoneticPr fontId="3" type="noConversion"/>
  </si>
  <si>
    <t>하양</t>
    <phoneticPr fontId="3" type="noConversion"/>
  </si>
  <si>
    <t>산내면삼양리</t>
    <phoneticPr fontId="3" type="noConversion"/>
  </si>
  <si>
    <t>99.7.3</t>
    <phoneticPr fontId="3" type="noConversion"/>
  </si>
  <si>
    <t>상남면동산리</t>
    <phoneticPr fontId="3" type="noConversion"/>
  </si>
  <si>
    <t>00.4.11</t>
    <phoneticPr fontId="3" type="noConversion"/>
  </si>
  <si>
    <t>상동면안인리</t>
    <phoneticPr fontId="3" type="noConversion"/>
  </si>
  <si>
    <t>01.11.20</t>
    <phoneticPr fontId="3" type="noConversion"/>
  </si>
  <si>
    <t>가곡</t>
    <phoneticPr fontId="3" type="noConversion"/>
  </si>
  <si>
    <t>상동면가곡리</t>
    <phoneticPr fontId="3" type="noConversion"/>
  </si>
  <si>
    <t>02.6.30</t>
    <phoneticPr fontId="3" type="noConversion"/>
  </si>
  <si>
    <t>길곡</t>
    <phoneticPr fontId="3" type="noConversion"/>
  </si>
  <si>
    <t>평능</t>
    <phoneticPr fontId="3" type="noConversion"/>
  </si>
  <si>
    <t>상동면금산리</t>
    <phoneticPr fontId="3" type="noConversion"/>
  </si>
  <si>
    <t>05.2.13</t>
    <phoneticPr fontId="3" type="noConversion"/>
  </si>
  <si>
    <t>연경</t>
    <phoneticPr fontId="3" type="noConversion"/>
  </si>
  <si>
    <t>단장면태룡리</t>
    <phoneticPr fontId="3" type="noConversion"/>
  </si>
  <si>
    <t>03.10.12</t>
    <phoneticPr fontId="3" type="noConversion"/>
  </si>
  <si>
    <t>본촌</t>
    <phoneticPr fontId="3" type="noConversion"/>
  </si>
  <si>
    <t>산외면금곡리</t>
    <phoneticPr fontId="3" type="noConversion"/>
  </si>
  <si>
    <t>05.06.30</t>
    <phoneticPr fontId="3" type="noConversion"/>
  </si>
  <si>
    <t>단장천</t>
    <phoneticPr fontId="3" type="noConversion"/>
  </si>
  <si>
    <t>단장면구천리</t>
    <phoneticPr fontId="3" type="noConversion"/>
  </si>
  <si>
    <t>05.6.30</t>
    <phoneticPr fontId="3" type="noConversion"/>
  </si>
  <si>
    <t>연초면 오비리 785</t>
    <phoneticPr fontId="3" type="noConversion"/>
  </si>
  <si>
    <t>HBR-II</t>
    <phoneticPr fontId="3" type="noConversion"/>
  </si>
  <si>
    <t>환경신기술 : 혐기,간헐포기,배양조를 이용한 하수고도처리기술
건교부신기술 : 특수 바이오 리액터를 이용하여 하페수처리공정에서 악취제거및 고도처리를 하는 공법</t>
    <phoneticPr fontId="3" type="noConversion"/>
  </si>
  <si>
    <t>639-3601~4</t>
    <phoneticPr fontId="3" type="noConversion"/>
  </si>
  <si>
    <t>거제면 남동리 162-1</t>
    <phoneticPr fontId="3" type="noConversion"/>
  </si>
  <si>
    <t>03.05.28</t>
    <phoneticPr fontId="3" type="noConversion"/>
  </si>
  <si>
    <t>연초면 천곡리 139-6</t>
    <phoneticPr fontId="3" type="noConversion"/>
  </si>
  <si>
    <t>분뇨및고농도유기오폐수의 고도처리</t>
    <phoneticPr fontId="3" type="noConversion"/>
  </si>
  <si>
    <t>639-3604</t>
    <phoneticPr fontId="3" type="noConversion"/>
  </si>
  <si>
    <t>99.06.24</t>
    <phoneticPr fontId="3" type="noConversion"/>
  </si>
  <si>
    <t>주령</t>
    <phoneticPr fontId="3" type="noConversion"/>
  </si>
  <si>
    <t>연초면 천곡리 217-17</t>
    <phoneticPr fontId="3" type="noConversion"/>
  </si>
  <si>
    <t>이남</t>
    <phoneticPr fontId="3" type="noConversion"/>
  </si>
  <si>
    <t>연초면 이목리 201-1</t>
    <phoneticPr fontId="3" type="noConversion"/>
  </si>
  <si>
    <t>혐기.호기접촉 순환법</t>
    <phoneticPr fontId="3" type="noConversion"/>
  </si>
  <si>
    <t>639-3604</t>
  </si>
  <si>
    <t>99.06.18</t>
    <phoneticPr fontId="3" type="noConversion"/>
  </si>
  <si>
    <t>명하</t>
    <phoneticPr fontId="3" type="noConversion"/>
  </si>
  <si>
    <t>연초면 명동리 457-1</t>
    <phoneticPr fontId="3" type="noConversion"/>
  </si>
  <si>
    <t>연속유입주기식활성슬러지법</t>
    <phoneticPr fontId="3" type="noConversion"/>
  </si>
  <si>
    <t>05.10.17</t>
    <phoneticPr fontId="3" type="noConversion"/>
  </si>
  <si>
    <t>남부면 저구리 248-2</t>
    <phoneticPr fontId="3" type="noConversion"/>
  </si>
  <si>
    <t>무내부순환단계유입2단질소.인제거기술</t>
    <phoneticPr fontId="3" type="noConversion"/>
  </si>
  <si>
    <t>04.10.08</t>
    <phoneticPr fontId="3" type="noConversion"/>
  </si>
  <si>
    <t>전해소독</t>
    <phoneticPr fontId="3" type="noConversion"/>
  </si>
  <si>
    <t xml:space="preserve">수정.삼정 </t>
  </si>
  <si>
    <t>일운면 구조라리 산57-1</t>
    <phoneticPr fontId="3" type="noConversion"/>
  </si>
  <si>
    <t xml:space="preserve">해금강 </t>
  </si>
  <si>
    <t>남부면 갈곶리 40</t>
    <phoneticPr fontId="3" type="noConversion"/>
  </si>
  <si>
    <t>01.07.12</t>
    <phoneticPr fontId="3" type="noConversion"/>
  </si>
  <si>
    <t xml:space="preserve">송진포 </t>
  </si>
  <si>
    <t>장목면 송진포리 50-5</t>
    <phoneticPr fontId="3" type="noConversion"/>
  </si>
  <si>
    <t>BCBNR</t>
    <phoneticPr fontId="3" type="noConversion"/>
  </si>
  <si>
    <t>05.04.07</t>
    <phoneticPr fontId="3" type="noConversion"/>
  </si>
  <si>
    <t>사곡</t>
  </si>
  <si>
    <t>사등면 사곡리 219-4</t>
    <phoneticPr fontId="3" type="noConversion"/>
  </si>
  <si>
    <t>01.12.05</t>
    <phoneticPr fontId="3" type="noConversion"/>
  </si>
  <si>
    <t>산양</t>
  </si>
  <si>
    <t>동부면 산양리 820</t>
    <phoneticPr fontId="3" type="noConversion"/>
  </si>
  <si>
    <t>03.01.27</t>
    <phoneticPr fontId="3" type="noConversion"/>
  </si>
  <si>
    <t>산촌</t>
  </si>
  <si>
    <t>동부면 산촌리 98</t>
    <phoneticPr fontId="3" type="noConversion"/>
  </si>
  <si>
    <t>03.01.08</t>
    <phoneticPr fontId="3" type="noConversion"/>
  </si>
  <si>
    <t>하둔</t>
  </si>
  <si>
    <t>둔덕면 술역리18-3</t>
    <phoneticPr fontId="3" type="noConversion"/>
  </si>
  <si>
    <t>03.02.13</t>
    <phoneticPr fontId="3" type="noConversion"/>
  </si>
  <si>
    <t>소계</t>
  </si>
  <si>
    <t>장목면 외포리 1189</t>
    <phoneticPr fontId="3" type="noConversion"/>
  </si>
  <si>
    <t>삼거</t>
  </si>
  <si>
    <t>신현읍 삼거리 167</t>
    <phoneticPr fontId="3" type="noConversion"/>
  </si>
  <si>
    <t>98.07.23</t>
    <phoneticPr fontId="3" type="noConversion"/>
  </si>
  <si>
    <t>시방</t>
  </si>
  <si>
    <t>장목면 시방리 731-20</t>
    <phoneticPr fontId="3" type="noConversion"/>
  </si>
  <si>
    <t>04.10.09</t>
    <phoneticPr fontId="3" type="noConversion"/>
  </si>
  <si>
    <t>술역</t>
  </si>
  <si>
    <t>둔덕면 술역리 470-1</t>
    <phoneticPr fontId="3" type="noConversion"/>
  </si>
  <si>
    <t>토양피복형접촉순환방식</t>
    <phoneticPr fontId="3" type="noConversion"/>
  </si>
  <si>
    <t>근포</t>
  </si>
  <si>
    <t>남부면 저구리 534</t>
    <phoneticPr fontId="3" type="noConversion"/>
  </si>
  <si>
    <t>저구</t>
  </si>
  <si>
    <t>남부면 저구리 201</t>
    <phoneticPr fontId="3" type="noConversion"/>
  </si>
  <si>
    <t>외포</t>
  </si>
  <si>
    <t>장목면 외포리 913-1</t>
    <phoneticPr fontId="3" type="noConversion"/>
  </si>
  <si>
    <t>04.05.29</t>
    <phoneticPr fontId="3" type="noConversion"/>
  </si>
  <si>
    <t>다대</t>
  </si>
  <si>
    <t>남부면 다대리 458-1</t>
    <phoneticPr fontId="3" type="noConversion"/>
  </si>
  <si>
    <t>04.06.28</t>
    <phoneticPr fontId="3" type="noConversion"/>
  </si>
  <si>
    <t>학동</t>
  </si>
  <si>
    <t>동부면 학동리 264</t>
    <phoneticPr fontId="3" type="noConversion"/>
  </si>
  <si>
    <t>04.11.19</t>
    <phoneticPr fontId="3" type="noConversion"/>
  </si>
  <si>
    <t>와현</t>
    <phoneticPr fontId="3" type="noConversion"/>
  </si>
  <si>
    <t>일운면 와현리 644-3</t>
    <phoneticPr fontId="3" type="noConversion"/>
  </si>
  <si>
    <t>06.02.24</t>
    <phoneticPr fontId="3" type="noConversion"/>
  </si>
  <si>
    <t>가배</t>
    <phoneticPr fontId="3" type="noConversion"/>
  </si>
  <si>
    <t>동부면 가배리 247-12</t>
    <phoneticPr fontId="3" type="noConversion"/>
  </si>
  <si>
    <t>다포</t>
    <phoneticPr fontId="3" type="noConversion"/>
  </si>
  <si>
    <t>남부면 다포리 166-2</t>
    <phoneticPr fontId="3" type="noConversion"/>
  </si>
  <si>
    <t>06.01.24</t>
    <phoneticPr fontId="3" type="noConversion"/>
  </si>
  <si>
    <t>탑포</t>
    <phoneticPr fontId="3" type="noConversion"/>
  </si>
  <si>
    <t>동부면 율포리 525-8</t>
    <phoneticPr fontId="3" type="noConversion"/>
  </si>
  <si>
    <t>동면 금산리 1223-2</t>
    <phoneticPr fontId="3" type="noConversion"/>
  </si>
  <si>
    <t>원동면 선리455-13</t>
    <phoneticPr fontId="3" type="noConversion"/>
  </si>
  <si>
    <t>배내천</t>
    <phoneticPr fontId="3" type="noConversion"/>
  </si>
  <si>
    <t>원동면 대리277</t>
    <phoneticPr fontId="3" type="noConversion"/>
  </si>
  <si>
    <t>고효울</t>
    <phoneticPr fontId="3" type="noConversion"/>
  </si>
  <si>
    <t>대리동2</t>
    <phoneticPr fontId="3" type="noConversion"/>
  </si>
  <si>
    <t>원동면 대리 830</t>
    <phoneticPr fontId="3" type="noConversion"/>
  </si>
  <si>
    <t>윗고점</t>
    <phoneticPr fontId="3" type="noConversion"/>
  </si>
  <si>
    <t>원동면 대리 868-2</t>
    <phoneticPr fontId="3" type="noConversion"/>
  </si>
  <si>
    <t>변형회분식</t>
    <phoneticPr fontId="3" type="noConversion"/>
  </si>
  <si>
    <t>원동면 대리840</t>
    <phoneticPr fontId="3" type="noConversion"/>
  </si>
  <si>
    <t>원동면 대리119-1</t>
    <phoneticPr fontId="3" type="noConversion"/>
  </si>
  <si>
    <t>어영</t>
    <phoneticPr fontId="3" type="noConversion"/>
  </si>
  <si>
    <t>원동면 영포리 1319</t>
    <phoneticPr fontId="3" type="noConversion"/>
  </si>
  <si>
    <t>00.03.01</t>
    <phoneticPr fontId="3" type="noConversion"/>
  </si>
  <si>
    <t>부림</t>
    <phoneticPr fontId="3" type="noConversion"/>
  </si>
  <si>
    <t>부림면 감암리 468</t>
    <phoneticPr fontId="3" type="noConversion"/>
  </si>
  <si>
    <t>02.10.01</t>
    <phoneticPr fontId="3" type="noConversion"/>
  </si>
  <si>
    <t>의령읍 중리 10-8</t>
    <phoneticPr fontId="3" type="noConversion"/>
  </si>
  <si>
    <t>ASA공법</t>
    <phoneticPr fontId="3" type="noConversion"/>
  </si>
  <si>
    <t>05.05.06</t>
    <phoneticPr fontId="3" type="noConversion"/>
  </si>
  <si>
    <t>보천</t>
    <phoneticPr fontId="3" type="noConversion"/>
  </si>
  <si>
    <t>화정면 상이리 697-4</t>
    <phoneticPr fontId="3" type="noConversion"/>
  </si>
  <si>
    <t>00.06.19</t>
    <phoneticPr fontId="3" type="noConversion"/>
  </si>
  <si>
    <t>화정면 상정리 647-1</t>
    <phoneticPr fontId="3" type="noConversion"/>
  </si>
  <si>
    <t>05.06.18</t>
    <phoneticPr fontId="3" type="noConversion"/>
  </si>
  <si>
    <t>가미</t>
    <phoneticPr fontId="3" type="noConversion"/>
  </si>
  <si>
    <t>용덕면 가미리 98-1</t>
    <phoneticPr fontId="3" type="noConversion"/>
  </si>
  <si>
    <t>02.03.15</t>
    <phoneticPr fontId="3" type="noConversion"/>
  </si>
  <si>
    <t>서암</t>
    <phoneticPr fontId="3" type="noConversion"/>
  </si>
  <si>
    <t>봉수면 서암리 53-25</t>
    <phoneticPr fontId="3" type="noConversion"/>
  </si>
  <si>
    <t>궁류면 평촌리 485</t>
    <phoneticPr fontId="3" type="noConversion"/>
  </si>
  <si>
    <t>VTF공법</t>
    <phoneticPr fontId="3" type="noConversion"/>
  </si>
  <si>
    <t>구송산</t>
    <phoneticPr fontId="3" type="noConversion"/>
  </si>
  <si>
    <t>유곡면 송산리 960-8</t>
    <phoneticPr fontId="3" type="noConversion"/>
  </si>
  <si>
    <t>04.07.01</t>
    <phoneticPr fontId="3" type="noConversion"/>
  </si>
  <si>
    <t>가야읍검암리834-3</t>
    <phoneticPr fontId="3" type="noConversion"/>
  </si>
  <si>
    <t>583-7875</t>
    <phoneticPr fontId="3" type="noConversion"/>
  </si>
  <si>
    <t>00.5.24</t>
    <phoneticPr fontId="3" type="noConversion"/>
  </si>
  <si>
    <t>대산면구혜리792-1외3필지</t>
    <phoneticPr fontId="3" type="noConversion"/>
  </si>
  <si>
    <t>583-7879</t>
    <phoneticPr fontId="3" type="noConversion"/>
  </si>
  <si>
    <t>05.11.1</t>
    <phoneticPr fontId="3" type="noConversion"/>
  </si>
  <si>
    <t>대산천</t>
    <phoneticPr fontId="3" type="noConversion"/>
  </si>
  <si>
    <t>하송</t>
    <phoneticPr fontId="3" type="noConversion"/>
  </si>
  <si>
    <t>산인면 송정리 1339-1</t>
    <phoneticPr fontId="3" type="noConversion"/>
  </si>
  <si>
    <t>고효융오수처리</t>
    <phoneticPr fontId="3" type="noConversion"/>
  </si>
  <si>
    <t>03.6.24</t>
    <phoneticPr fontId="3" type="noConversion"/>
  </si>
  <si>
    <t>여항면 외암리 562-1</t>
    <phoneticPr fontId="3" type="noConversion"/>
  </si>
  <si>
    <t>02.1.9</t>
    <phoneticPr fontId="3" type="noConversion"/>
  </si>
  <si>
    <t>칠북면 덕남리 1067-3</t>
    <phoneticPr fontId="3" type="noConversion"/>
  </si>
  <si>
    <t>01.5.16</t>
    <phoneticPr fontId="3" type="noConversion"/>
  </si>
  <si>
    <t>부동</t>
    <phoneticPr fontId="3" type="noConversion"/>
  </si>
  <si>
    <t>법수면 윤내리 149-267</t>
    <phoneticPr fontId="3" type="noConversion"/>
  </si>
  <si>
    <t>99.7.12</t>
    <phoneticPr fontId="3" type="noConversion"/>
  </si>
  <si>
    <t>법수면 사정리 34</t>
    <phoneticPr fontId="3" type="noConversion"/>
  </si>
  <si>
    <t>칠서이룡</t>
    <phoneticPr fontId="3" type="noConversion"/>
  </si>
  <si>
    <t>칠서면 이룡리 1411-9</t>
    <phoneticPr fontId="3" type="noConversion"/>
  </si>
  <si>
    <t>05.12.21</t>
    <phoneticPr fontId="3" type="noConversion"/>
  </si>
  <si>
    <t>창녕</t>
    <phoneticPr fontId="3" type="noConversion"/>
  </si>
  <si>
    <t>구미리 1번지</t>
    <phoneticPr fontId="3" type="noConversion"/>
  </si>
  <si>
    <t>532-0420</t>
    <phoneticPr fontId="3" type="noConversion"/>
  </si>
  <si>
    <t>남지리 58-1번지</t>
    <phoneticPr fontId="3" type="noConversion"/>
  </si>
  <si>
    <t>MS-BNR</t>
    <phoneticPr fontId="3" type="noConversion"/>
  </si>
  <si>
    <t>00.10.27</t>
    <phoneticPr fontId="3" type="noConversion"/>
  </si>
  <si>
    <t>사창리 17번지</t>
    <phoneticPr fontId="3" type="noConversion"/>
  </si>
  <si>
    <t>521-2726</t>
    <phoneticPr fontId="3" type="noConversion"/>
  </si>
  <si>
    <t>간이
(염소)</t>
    <phoneticPr fontId="3" type="noConversion"/>
  </si>
  <si>
    <t>구산리 50-11번지</t>
    <phoneticPr fontId="3" type="noConversion"/>
  </si>
  <si>
    <t>01.9.1</t>
    <phoneticPr fontId="3" type="noConversion"/>
  </si>
  <si>
    <t>청도천</t>
    <phoneticPr fontId="3" type="noConversion"/>
  </si>
  <si>
    <t>증산리 984-2번지</t>
    <phoneticPr fontId="3" type="noConversion"/>
  </si>
  <si>
    <t>길곡천</t>
    <phoneticPr fontId="3" type="noConversion"/>
  </si>
  <si>
    <t>대견</t>
    <phoneticPr fontId="3" type="noConversion"/>
  </si>
  <si>
    <t>대견리 223-1번지</t>
    <phoneticPr fontId="3" type="noConversion"/>
  </si>
  <si>
    <t>532-0420</t>
  </si>
  <si>
    <t>02.8.1</t>
    <phoneticPr fontId="3" type="noConversion"/>
  </si>
  <si>
    <t>대합천</t>
    <phoneticPr fontId="3" type="noConversion"/>
  </si>
  <si>
    <t>모지</t>
    <phoneticPr fontId="3" type="noConversion"/>
  </si>
  <si>
    <t>평지리 959-3번지</t>
    <phoneticPr fontId="3" type="noConversion"/>
  </si>
  <si>
    <t>석리 625-5번지</t>
    <phoneticPr fontId="3" type="noConversion"/>
  </si>
  <si>
    <t>수직오폐수여과처리</t>
    <phoneticPr fontId="3" type="noConversion"/>
  </si>
  <si>
    <t>토평천</t>
    <phoneticPr fontId="3" type="noConversion"/>
  </si>
  <si>
    <t>수다</t>
    <phoneticPr fontId="3" type="noConversion"/>
  </si>
  <si>
    <t>수다리 644-1번지</t>
    <phoneticPr fontId="3" type="noConversion"/>
  </si>
  <si>
    <t>혐기및호기성접촉순환방식</t>
    <phoneticPr fontId="3" type="noConversion"/>
  </si>
  <si>
    <t>00.5.1</t>
    <phoneticPr fontId="3" type="noConversion"/>
  </si>
  <si>
    <t>대산리 818-3번지</t>
    <phoneticPr fontId="3" type="noConversion"/>
  </si>
  <si>
    <t>이방</t>
    <phoneticPr fontId="3" type="noConversion"/>
  </si>
  <si>
    <t>현창리 154-1번지</t>
    <phoneticPr fontId="3" type="noConversion"/>
  </si>
  <si>
    <t>02.6.1</t>
    <phoneticPr fontId="3" type="noConversion"/>
  </si>
  <si>
    <t>현창천</t>
    <phoneticPr fontId="3" type="noConversion"/>
  </si>
  <si>
    <t>평지</t>
    <phoneticPr fontId="3" type="noConversion"/>
  </si>
  <si>
    <t>평지리 629-11번지</t>
    <phoneticPr fontId="3" type="noConversion"/>
  </si>
  <si>
    <t>섬모형메디아를이용한조정상생물막법</t>
    <phoneticPr fontId="3" type="noConversion"/>
  </si>
  <si>
    <t>계교</t>
    <phoneticPr fontId="3" type="noConversion"/>
  </si>
  <si>
    <t>계성리 324번지</t>
    <phoneticPr fontId="3" type="noConversion"/>
  </si>
  <si>
    <t>B3-시스템</t>
    <phoneticPr fontId="3" type="noConversion"/>
  </si>
  <si>
    <t>05.2.1</t>
    <phoneticPr fontId="3" type="noConversion"/>
  </si>
  <si>
    <t>송학리  1-1번지</t>
    <phoneticPr fontId="3" type="noConversion"/>
  </si>
  <si>
    <t>전해질 소독</t>
    <phoneticPr fontId="3" type="noConversion"/>
  </si>
  <si>
    <t>고성천</t>
    <phoneticPr fontId="3" type="noConversion"/>
  </si>
  <si>
    <t>고성읍 우산리 200-30</t>
    <phoneticPr fontId="3" type="noConversion"/>
  </si>
  <si>
    <t>00.12.21</t>
    <phoneticPr fontId="3" type="noConversion"/>
  </si>
  <si>
    <t>제전</t>
    <phoneticPr fontId="3" type="noConversion"/>
  </si>
  <si>
    <t>하이면 덕명리 22</t>
    <phoneticPr fontId="3" type="noConversion"/>
  </si>
  <si>
    <t>00.07.07</t>
    <phoneticPr fontId="3" type="noConversion"/>
  </si>
  <si>
    <t>제전천</t>
    <phoneticPr fontId="3" type="noConversion"/>
  </si>
  <si>
    <t>상리</t>
    <phoneticPr fontId="3" type="noConversion"/>
  </si>
  <si>
    <t>상리면 척번정리 456-10</t>
    <phoneticPr fontId="3" type="noConversion"/>
  </si>
  <si>
    <t>상동천</t>
    <phoneticPr fontId="3" type="noConversion"/>
  </si>
  <si>
    <t>생곡</t>
    <phoneticPr fontId="3" type="noConversion"/>
  </si>
  <si>
    <t>영오면 성곡리630-1</t>
    <phoneticPr fontId="3" type="noConversion"/>
  </si>
  <si>
    <t>SNR 공법</t>
    <phoneticPr fontId="3" type="noConversion"/>
  </si>
  <si>
    <t>05.02.14</t>
    <phoneticPr fontId="3" type="noConversion"/>
  </si>
  <si>
    <t>영오천</t>
    <phoneticPr fontId="3" type="noConversion"/>
  </si>
  <si>
    <t>녹명</t>
    <phoneticPr fontId="3" type="noConversion"/>
  </si>
  <si>
    <t>회화면 녹명리392</t>
    <phoneticPr fontId="3" type="noConversion"/>
  </si>
  <si>
    <t>협기성접촉폭기법</t>
    <phoneticPr fontId="3" type="noConversion"/>
  </si>
  <si>
    <t>98.11.18</t>
    <phoneticPr fontId="3" type="noConversion"/>
  </si>
  <si>
    <t>구만천</t>
    <phoneticPr fontId="3" type="noConversion"/>
  </si>
  <si>
    <t>법진</t>
    <phoneticPr fontId="3" type="noConversion"/>
  </si>
  <si>
    <t>마암면 화산리230-1</t>
    <phoneticPr fontId="3" type="noConversion"/>
  </si>
  <si>
    <t>현수미생물접촉폭기법</t>
    <phoneticPr fontId="3" type="noConversion"/>
  </si>
  <si>
    <t>99.02.22</t>
    <phoneticPr fontId="3" type="noConversion"/>
  </si>
  <si>
    <t>마암천</t>
    <phoneticPr fontId="3" type="noConversion"/>
  </si>
  <si>
    <t>동해면 외산리920-5</t>
    <phoneticPr fontId="3" type="noConversion"/>
  </si>
  <si>
    <t>02.05.01</t>
    <phoneticPr fontId="3" type="noConversion"/>
  </si>
  <si>
    <t>봉암</t>
    <phoneticPr fontId="3" type="noConversion"/>
  </si>
  <si>
    <t>동해면 봉암리425-3</t>
    <phoneticPr fontId="3" type="noConversion"/>
  </si>
  <si>
    <t>접촉산화법(토양피복형)</t>
    <phoneticPr fontId="3" type="noConversion"/>
  </si>
  <si>
    <t>97.09.01</t>
    <phoneticPr fontId="3" type="noConversion"/>
  </si>
  <si>
    <t>봉암천</t>
    <phoneticPr fontId="3" type="noConversion"/>
  </si>
  <si>
    <t>죽동</t>
    <phoneticPr fontId="3" type="noConversion"/>
  </si>
  <si>
    <t>고성읍 죽계리848-15</t>
    <phoneticPr fontId="3" type="noConversion"/>
  </si>
  <si>
    <t>05.02.21</t>
    <phoneticPr fontId="3" type="noConversion"/>
  </si>
  <si>
    <t>신부</t>
    <phoneticPr fontId="3" type="noConversion"/>
  </si>
  <si>
    <t>고성읍 우산리 300</t>
    <phoneticPr fontId="3" type="noConversion"/>
  </si>
  <si>
    <t>04.12.30</t>
    <phoneticPr fontId="3" type="noConversion"/>
  </si>
  <si>
    <t>신부천</t>
    <phoneticPr fontId="3" type="noConversion"/>
  </si>
  <si>
    <t>덕명</t>
    <phoneticPr fontId="3" type="noConversion"/>
  </si>
  <si>
    <t>하이면 덕명리 376</t>
    <phoneticPr fontId="3" type="noConversion"/>
  </si>
  <si>
    <t>덕명천</t>
    <phoneticPr fontId="3" type="noConversion"/>
  </si>
  <si>
    <t>남해읍 남변리 138번지</t>
    <phoneticPr fontId="3" type="noConversion"/>
  </si>
  <si>
    <t>01.3.31</t>
    <phoneticPr fontId="3" type="noConversion"/>
  </si>
  <si>
    <t>상주리 1434-1번지</t>
    <phoneticPr fontId="3" type="noConversion"/>
  </si>
  <si>
    <t>회분식</t>
    <phoneticPr fontId="3" type="noConversion"/>
  </si>
  <si>
    <t>863-3790</t>
    <phoneticPr fontId="3" type="noConversion"/>
  </si>
  <si>
    <t xml:space="preserve"> '06.8.18</t>
    <phoneticPr fontId="3" type="noConversion"/>
  </si>
  <si>
    <t>금전천</t>
    <phoneticPr fontId="3" type="noConversion"/>
  </si>
  <si>
    <t>화계</t>
    <phoneticPr fontId="3" type="noConversion"/>
  </si>
  <si>
    <t>남해군 이동면 화계리104-5</t>
    <phoneticPr fontId="3" type="noConversion"/>
  </si>
  <si>
    <t>98.03.10</t>
    <phoneticPr fontId="3" type="noConversion"/>
  </si>
  <si>
    <t>용소</t>
    <phoneticPr fontId="3" type="noConversion"/>
  </si>
  <si>
    <t>남해군 이동면용소리401-1</t>
    <phoneticPr fontId="3" type="noConversion"/>
  </si>
  <si>
    <t>혐기.호기접촉순환</t>
    <phoneticPr fontId="3" type="noConversion"/>
  </si>
  <si>
    <t>UV소독기</t>
    <phoneticPr fontId="3" type="noConversion"/>
  </si>
  <si>
    <t>남해군 이동면신전리765-4</t>
    <phoneticPr fontId="3" type="noConversion"/>
  </si>
  <si>
    <t>유기성하수오폐수의자연정화처리공법</t>
    <phoneticPr fontId="3" type="noConversion"/>
  </si>
  <si>
    <t>02.02.05</t>
    <phoneticPr fontId="3" type="noConversion"/>
  </si>
  <si>
    <t>영지</t>
    <phoneticPr fontId="3" type="noConversion"/>
  </si>
  <si>
    <t>남해군 삼동면 영지리2989-2</t>
    <phoneticPr fontId="3" type="noConversion"/>
  </si>
  <si>
    <t>DBS공법</t>
    <phoneticPr fontId="3" type="noConversion"/>
  </si>
  <si>
    <t>03.08.30</t>
    <phoneticPr fontId="3" type="noConversion"/>
  </si>
  <si>
    <t>전해소독기</t>
    <phoneticPr fontId="3" type="noConversion"/>
  </si>
  <si>
    <t>항촌</t>
    <phoneticPr fontId="3" type="noConversion"/>
  </si>
  <si>
    <t>남해군 남면 선구리681-5</t>
    <phoneticPr fontId="3" type="noConversion"/>
  </si>
  <si>
    <t>고성능합병처리</t>
    <phoneticPr fontId="3" type="noConversion"/>
  </si>
  <si>
    <t>01.08.20</t>
    <phoneticPr fontId="3" type="noConversion"/>
  </si>
  <si>
    <t>사촌</t>
    <phoneticPr fontId="3" type="noConversion"/>
  </si>
  <si>
    <t>남해군 남면 임포리1173-3</t>
    <phoneticPr fontId="3" type="noConversion"/>
  </si>
  <si>
    <t>미생물조정을이용한고효율처리공법</t>
    <phoneticPr fontId="3" type="noConversion"/>
  </si>
  <si>
    <t>02.01.10</t>
    <phoneticPr fontId="3" type="noConversion"/>
  </si>
  <si>
    <t>남해군 남면 죽전리1182-2</t>
    <phoneticPr fontId="3" type="noConversion"/>
  </si>
  <si>
    <t>수초골재
침상하수처리공법</t>
    <phoneticPr fontId="3" type="noConversion"/>
  </si>
  <si>
    <t>00.04.04</t>
    <phoneticPr fontId="3" type="noConversion"/>
  </si>
  <si>
    <t>남해군 서면 서상리1682</t>
    <phoneticPr fontId="3" type="noConversion"/>
  </si>
  <si>
    <t>수초골재침상하수처리공법</t>
    <phoneticPr fontId="3" type="noConversion"/>
  </si>
  <si>
    <t>00.02.26</t>
    <phoneticPr fontId="3" type="noConversion"/>
  </si>
  <si>
    <t>차면</t>
    <phoneticPr fontId="3" type="noConversion"/>
  </si>
  <si>
    <t>남해군 고현면 차면리657-1</t>
    <phoneticPr fontId="3" type="noConversion"/>
  </si>
  <si>
    <t>자연여과형접촉공기</t>
    <phoneticPr fontId="3" type="noConversion"/>
  </si>
  <si>
    <t>02.03.25</t>
    <phoneticPr fontId="3" type="noConversion"/>
  </si>
  <si>
    <t>노량</t>
    <phoneticPr fontId="3" type="noConversion"/>
  </si>
  <si>
    <t>남해군 설천면 노량리89-6</t>
    <phoneticPr fontId="3" type="noConversion"/>
  </si>
  <si>
    <t>단일반응조생물학적3상소화공정현수미생물접촉폭기</t>
    <phoneticPr fontId="3" type="noConversion"/>
  </si>
  <si>
    <t>98.04.02</t>
    <phoneticPr fontId="3" type="noConversion"/>
  </si>
  <si>
    <t>왕지</t>
    <phoneticPr fontId="3" type="noConversion"/>
  </si>
  <si>
    <t>남해군 설천면 문의리1062-3</t>
    <phoneticPr fontId="3" type="noConversion"/>
  </si>
  <si>
    <t>96.06.03</t>
    <phoneticPr fontId="3" type="noConversion"/>
  </si>
  <si>
    <t>문항</t>
    <phoneticPr fontId="3" type="noConversion"/>
  </si>
  <si>
    <t>남해군 설천면 문항리421</t>
    <phoneticPr fontId="3" type="noConversion"/>
  </si>
  <si>
    <t>수초골재침상
하수처리공법</t>
    <phoneticPr fontId="3" type="noConversion"/>
  </si>
  <si>
    <t>모천</t>
    <phoneticPr fontId="3" type="noConversion"/>
  </si>
  <si>
    <t>남해군 설천면 문항리750-2</t>
    <phoneticPr fontId="3" type="noConversion"/>
  </si>
  <si>
    <t>96.06.07</t>
    <phoneticPr fontId="3" type="noConversion"/>
  </si>
  <si>
    <t>남해군 설천면 진목리1144</t>
    <phoneticPr fontId="3" type="noConversion"/>
  </si>
  <si>
    <t>은점</t>
    <phoneticPr fontId="3" type="noConversion"/>
  </si>
  <si>
    <t>남해군 삼동면 물건리660</t>
    <phoneticPr fontId="3" type="noConversion"/>
  </si>
  <si>
    <t>특수미생물을이용한유기성하수,오.폐수의자연정화공법</t>
    <phoneticPr fontId="3" type="noConversion"/>
  </si>
  <si>
    <t>01.03.30</t>
    <phoneticPr fontId="3" type="noConversion"/>
  </si>
  <si>
    <t>물건</t>
    <phoneticPr fontId="3" type="noConversion"/>
  </si>
  <si>
    <t>남해군 삼동면 물건리480-1</t>
    <phoneticPr fontId="3" type="noConversion"/>
  </si>
  <si>
    <t>혐기호기접촉순환법</t>
    <phoneticPr fontId="3" type="noConversion"/>
  </si>
  <si>
    <t>99.03.08</t>
    <phoneticPr fontId="3" type="noConversion"/>
  </si>
  <si>
    <t>적량</t>
    <phoneticPr fontId="3" type="noConversion"/>
  </si>
  <si>
    <t>남해군 창선면 진동공유수면</t>
    <phoneticPr fontId="3" type="noConversion"/>
  </si>
  <si>
    <t>바실러스균을이용한질소.인제거기술</t>
    <phoneticPr fontId="3" type="noConversion"/>
  </si>
  <si>
    <t>02.03.28</t>
    <phoneticPr fontId="3" type="noConversion"/>
  </si>
  <si>
    <t>장포</t>
    <phoneticPr fontId="3" type="noConversion"/>
  </si>
  <si>
    <t>남해군 창선면 진동576-3</t>
    <phoneticPr fontId="3" type="noConversion"/>
  </si>
  <si>
    <t>smmiar process</t>
    <phoneticPr fontId="3" type="noConversion"/>
  </si>
  <si>
    <t>98.02.23</t>
    <phoneticPr fontId="3" type="noConversion"/>
  </si>
  <si>
    <t>냉천</t>
    <phoneticPr fontId="3" type="noConversion"/>
  </si>
  <si>
    <t>남해군 창선면 당항리185-2</t>
    <phoneticPr fontId="3" type="noConversion"/>
  </si>
  <si>
    <t>00.05.10</t>
    <phoneticPr fontId="3" type="noConversion"/>
  </si>
  <si>
    <t>단항</t>
    <phoneticPr fontId="3" type="noConversion"/>
  </si>
  <si>
    <t>남해군 창선면 대벽리6-15</t>
    <phoneticPr fontId="3" type="noConversion"/>
  </si>
  <si>
    <t>창선면 진동576-3</t>
    <phoneticPr fontId="3" type="noConversion"/>
  </si>
  <si>
    <t>창선면 당항리185-2</t>
    <phoneticPr fontId="3" type="noConversion"/>
  </si>
  <si>
    <t>창선면 대벽리6-15</t>
    <phoneticPr fontId="3" type="noConversion"/>
  </si>
  <si>
    <t>삼동면 영지리2989-2</t>
    <phoneticPr fontId="3" type="noConversion"/>
  </si>
  <si>
    <t>강진해</t>
    <phoneticPr fontId="3" type="noConversion"/>
  </si>
  <si>
    <t>토촌</t>
    <phoneticPr fontId="3" type="noConversion"/>
  </si>
  <si>
    <t xml:space="preserve"> 남해읍 토촌리610</t>
    <phoneticPr fontId="3" type="noConversion"/>
  </si>
  <si>
    <t>혐기/간헐포기/배양조를이용한하수고도처리기술</t>
    <phoneticPr fontId="3" type="noConversion"/>
  </si>
  <si>
    <t>04.10.06</t>
    <phoneticPr fontId="3" type="noConversion"/>
  </si>
  <si>
    <t xml:space="preserve"> 설천면 덕신리1702-2</t>
    <phoneticPr fontId="3" type="noConversion"/>
  </si>
  <si>
    <t>2006.5.15</t>
    <phoneticPr fontId="3" type="noConversion"/>
  </si>
  <si>
    <t>여수만</t>
    <phoneticPr fontId="3" type="noConversion"/>
  </si>
  <si>
    <t xml:space="preserve"> 설천면 진목리140-1</t>
    <phoneticPr fontId="3" type="noConversion"/>
  </si>
  <si>
    <t>2005.4.9</t>
    <phoneticPr fontId="3" type="noConversion"/>
  </si>
  <si>
    <t>식포</t>
    <phoneticPr fontId="3" type="noConversion"/>
  </si>
  <si>
    <t xml:space="preserve"> 창선면 가인리615-20</t>
    <phoneticPr fontId="3" type="noConversion"/>
  </si>
  <si>
    <t>모관침윤트랜지공법</t>
    <phoneticPr fontId="3" type="noConversion"/>
  </si>
  <si>
    <t>96.05.14</t>
    <phoneticPr fontId="3" type="noConversion"/>
  </si>
  <si>
    <t>당저</t>
    <phoneticPr fontId="3" type="noConversion"/>
  </si>
  <si>
    <t xml:space="preserve">창선면 당저리 </t>
    <phoneticPr fontId="3" type="noConversion"/>
  </si>
  <si>
    <t>NIX</t>
    <phoneticPr fontId="3" type="noConversion"/>
  </si>
  <si>
    <t>05.08.29</t>
    <phoneticPr fontId="3" type="noConversion"/>
  </si>
  <si>
    <t>작장</t>
    <phoneticPr fontId="3" type="noConversion"/>
  </si>
  <si>
    <t>서면 작장리</t>
    <phoneticPr fontId="3" type="noConversion"/>
  </si>
  <si>
    <t>SIMMAR</t>
    <phoneticPr fontId="3" type="noConversion"/>
  </si>
  <si>
    <t>880-2605</t>
    <phoneticPr fontId="3" type="noConversion"/>
  </si>
  <si>
    <t>01.1.1</t>
    <phoneticPr fontId="3" type="noConversion"/>
  </si>
  <si>
    <t>정금</t>
    <phoneticPr fontId="3" type="noConversion"/>
  </si>
  <si>
    <t>화개면 정금리</t>
    <phoneticPr fontId="3" type="noConversion"/>
  </si>
  <si>
    <t>BSTS-∥공법</t>
    <phoneticPr fontId="3" type="noConversion"/>
  </si>
  <si>
    <t>880-2607</t>
    <phoneticPr fontId="3" type="noConversion"/>
  </si>
  <si>
    <t>03.7.21</t>
    <phoneticPr fontId="3" type="noConversion"/>
  </si>
  <si>
    <t>가탄</t>
    <phoneticPr fontId="3" type="noConversion"/>
  </si>
  <si>
    <t>화개면 탑리</t>
    <phoneticPr fontId="3" type="noConversion"/>
  </si>
  <si>
    <t>03.7.3</t>
    <phoneticPr fontId="3" type="noConversion"/>
  </si>
  <si>
    <t>화개면 운수리</t>
    <phoneticPr fontId="3" type="noConversion"/>
  </si>
  <si>
    <t>모관유공트렌지</t>
    <phoneticPr fontId="3" type="noConversion"/>
  </si>
  <si>
    <t>97.4.1</t>
    <phoneticPr fontId="3" type="noConversion"/>
  </si>
  <si>
    <t>의신</t>
    <phoneticPr fontId="3" type="noConversion"/>
  </si>
  <si>
    <t>화개면 대성리</t>
    <phoneticPr fontId="3" type="noConversion"/>
  </si>
  <si>
    <t>화개면 부춘리</t>
    <phoneticPr fontId="3" type="noConversion"/>
  </si>
  <si>
    <t>토양식
오수처리</t>
    <phoneticPr fontId="3" type="noConversion"/>
  </si>
  <si>
    <t>99.3.14</t>
    <phoneticPr fontId="3" type="noConversion"/>
  </si>
  <si>
    <t>원탑</t>
    <phoneticPr fontId="3" type="noConversion"/>
  </si>
  <si>
    <t>99.5.31</t>
    <phoneticPr fontId="3" type="noConversion"/>
  </si>
  <si>
    <t>용강</t>
    <phoneticPr fontId="3" type="noConversion"/>
  </si>
  <si>
    <t>화개면 용강리</t>
    <phoneticPr fontId="3" type="noConversion"/>
  </si>
  <si>
    <t>삼신</t>
    <phoneticPr fontId="3" type="noConversion"/>
  </si>
  <si>
    <t>화개면 삼신리</t>
    <phoneticPr fontId="3" type="noConversion"/>
  </si>
  <si>
    <t>02.11.9</t>
    <phoneticPr fontId="3" type="noConversion"/>
  </si>
  <si>
    <t>중기</t>
    <phoneticPr fontId="3" type="noConversion"/>
  </si>
  <si>
    <t>화개면 덕은리</t>
    <phoneticPr fontId="3" type="noConversion"/>
  </si>
  <si>
    <t>USBF공법</t>
    <phoneticPr fontId="3" type="noConversion"/>
  </si>
  <si>
    <t>02.7.16</t>
    <phoneticPr fontId="3" type="noConversion"/>
  </si>
  <si>
    <t>검두</t>
    <phoneticPr fontId="3" type="noConversion"/>
  </si>
  <si>
    <t>03.1.10</t>
    <phoneticPr fontId="3" type="noConversion"/>
  </si>
  <si>
    <t>목압</t>
    <phoneticPr fontId="3" type="noConversion"/>
  </si>
  <si>
    <t>03.9.19</t>
    <phoneticPr fontId="3" type="noConversion"/>
  </si>
  <si>
    <t>범왕</t>
    <phoneticPr fontId="3" type="noConversion"/>
  </si>
  <si>
    <t>화개면 범왕리</t>
    <phoneticPr fontId="3" type="noConversion"/>
  </si>
  <si>
    <t>05.6.14</t>
    <phoneticPr fontId="3" type="noConversion"/>
  </si>
  <si>
    <t>정서</t>
    <phoneticPr fontId="3" type="noConversion"/>
  </si>
  <si>
    <t>악양면 정서리</t>
    <phoneticPr fontId="3" type="noConversion"/>
  </si>
  <si>
    <t>자연
정화법</t>
    <phoneticPr fontId="3" type="noConversion"/>
  </si>
  <si>
    <t>99.4.13</t>
    <phoneticPr fontId="3" type="noConversion"/>
  </si>
  <si>
    <t>정동</t>
    <phoneticPr fontId="3" type="noConversion"/>
  </si>
  <si>
    <t>악양면 정동리</t>
    <phoneticPr fontId="3" type="noConversion"/>
  </si>
  <si>
    <t>3단접촐포기법</t>
    <phoneticPr fontId="3" type="noConversion"/>
  </si>
  <si>
    <t>00.5.15</t>
    <phoneticPr fontId="3" type="noConversion"/>
  </si>
  <si>
    <t>상하대촌</t>
    <phoneticPr fontId="3" type="noConversion"/>
  </si>
  <si>
    <t>악양면 봉대리</t>
    <phoneticPr fontId="3" type="noConversion"/>
  </si>
  <si>
    <t>SMMIAR
공법</t>
    <phoneticPr fontId="3" type="noConversion"/>
  </si>
  <si>
    <t>05.8.16</t>
    <phoneticPr fontId="3" type="noConversion"/>
  </si>
  <si>
    <t>악양면 입석리</t>
    <phoneticPr fontId="3" type="noConversion"/>
  </si>
  <si>
    <t>07.1.23</t>
    <phoneticPr fontId="3" type="noConversion"/>
  </si>
  <si>
    <t>죽전</t>
    <phoneticPr fontId="3" type="noConversion"/>
  </si>
  <si>
    <t>횡천면 전대리</t>
    <phoneticPr fontId="3" type="noConversion"/>
  </si>
  <si>
    <t>횡천</t>
    <phoneticPr fontId="3" type="noConversion"/>
  </si>
  <si>
    <t>횡천면 횡천리</t>
    <phoneticPr fontId="3" type="noConversion"/>
  </si>
  <si>
    <t>99.8.1</t>
    <phoneticPr fontId="3" type="noConversion"/>
  </si>
  <si>
    <t>대도</t>
    <phoneticPr fontId="3" type="noConversion"/>
  </si>
  <si>
    <t>금남면 대도리</t>
    <phoneticPr fontId="3" type="noConversion"/>
  </si>
  <si>
    <t>02.9.5</t>
    <phoneticPr fontId="3" type="noConversion"/>
  </si>
  <si>
    <t>술상</t>
    <phoneticPr fontId="3" type="noConversion"/>
  </si>
  <si>
    <t>진교면 술상리</t>
    <phoneticPr fontId="3" type="noConversion"/>
  </si>
  <si>
    <t>내천</t>
    <phoneticPr fontId="3" type="noConversion"/>
  </si>
  <si>
    <t>사기</t>
    <phoneticPr fontId="3" type="noConversion"/>
  </si>
  <si>
    <t>진교면 백련리</t>
    <phoneticPr fontId="3" type="noConversion"/>
  </si>
  <si>
    <t>수척</t>
    <phoneticPr fontId="3" type="noConversion"/>
  </si>
  <si>
    <t>양보면 운암리</t>
    <phoneticPr fontId="3" type="noConversion"/>
  </si>
  <si>
    <t>01.9.19</t>
    <phoneticPr fontId="3" type="noConversion"/>
  </si>
  <si>
    <t>계산</t>
    <phoneticPr fontId="3" type="noConversion"/>
  </si>
  <si>
    <t>북천면 직전리</t>
    <phoneticPr fontId="3" type="noConversion"/>
  </si>
  <si>
    <t>북천면 옥정리</t>
    <phoneticPr fontId="3" type="noConversion"/>
  </si>
  <si>
    <t>01.9.18</t>
    <phoneticPr fontId="3" type="noConversion"/>
  </si>
  <si>
    <t>빙옥</t>
    <phoneticPr fontId="3" type="noConversion"/>
  </si>
  <si>
    <t>북천면 화정리</t>
    <phoneticPr fontId="3" type="noConversion"/>
  </si>
  <si>
    <t>03.9.18</t>
    <phoneticPr fontId="3" type="noConversion"/>
  </si>
  <si>
    <t>남서황</t>
    <phoneticPr fontId="3" type="noConversion"/>
  </si>
  <si>
    <t>SBF공법</t>
    <phoneticPr fontId="3" type="noConversion"/>
  </si>
  <si>
    <t>05.6.6</t>
    <phoneticPr fontId="3" type="noConversion"/>
  </si>
  <si>
    <t>북천천</t>
    <phoneticPr fontId="3" type="noConversion"/>
  </si>
  <si>
    <t>06.12.4</t>
    <phoneticPr fontId="3" type="noConversion"/>
  </si>
  <si>
    <t>옥종면 대곡리</t>
    <phoneticPr fontId="3" type="noConversion"/>
  </si>
  <si>
    <t>덕천강</t>
    <phoneticPr fontId="3" type="noConversion"/>
  </si>
  <si>
    <t>숲촌</t>
    <phoneticPr fontId="3" type="noConversion"/>
  </si>
  <si>
    <t>옥종면 두양리</t>
    <phoneticPr fontId="3" type="noConversion"/>
  </si>
  <si>
    <t>KSBNR
공법</t>
    <phoneticPr fontId="3" type="noConversion"/>
  </si>
  <si>
    <t>01.8.23</t>
    <phoneticPr fontId="3" type="noConversion"/>
  </si>
  <si>
    <t>원해</t>
    <phoneticPr fontId="3" type="noConversion"/>
  </si>
  <si>
    <t>옥종면 병천리</t>
    <phoneticPr fontId="3" type="noConversion"/>
  </si>
  <si>
    <t>무산소이용N,P제거공법</t>
    <phoneticPr fontId="3" type="noConversion"/>
  </si>
  <si>
    <t>02.8.14</t>
    <phoneticPr fontId="3" type="noConversion"/>
  </si>
  <si>
    <t>북방</t>
    <phoneticPr fontId="3" type="noConversion"/>
  </si>
  <si>
    <t>옥종면 북방리</t>
    <phoneticPr fontId="3" type="noConversion"/>
  </si>
  <si>
    <t>03.8.23</t>
    <phoneticPr fontId="3" type="noConversion"/>
  </si>
  <si>
    <t>소화천</t>
    <phoneticPr fontId="3" type="noConversion"/>
  </si>
  <si>
    <t>산청읍 옥산리 66</t>
    <phoneticPr fontId="3" type="noConversion"/>
  </si>
  <si>
    <t>972-2688</t>
    <phoneticPr fontId="3" type="noConversion"/>
  </si>
  <si>
    <t>04/4</t>
    <phoneticPr fontId="3" type="noConversion"/>
  </si>
  <si>
    <t>경호강</t>
  </si>
  <si>
    <t>남강</t>
  </si>
  <si>
    <t>철수</t>
    <phoneticPr fontId="3" type="noConversion"/>
  </si>
  <si>
    <t>차황면 철수리 172-2</t>
    <phoneticPr fontId="3" type="noConversion"/>
  </si>
  <si>
    <t>99/7</t>
    <phoneticPr fontId="3" type="noConversion"/>
  </si>
  <si>
    <t>양천강</t>
    <phoneticPr fontId="3" type="noConversion"/>
  </si>
  <si>
    <t>단성면 호리 541-1</t>
    <phoneticPr fontId="3" type="noConversion"/>
  </si>
  <si>
    <t>972-2688</t>
  </si>
  <si>
    <t>01/12</t>
    <phoneticPr fontId="3" type="noConversion"/>
  </si>
  <si>
    <t>단성면 소남리 441-13</t>
    <phoneticPr fontId="3" type="noConversion"/>
  </si>
  <si>
    <t>03/1</t>
    <phoneticPr fontId="3" type="noConversion"/>
  </si>
  <si>
    <t>시천문화</t>
    <phoneticPr fontId="3" type="noConversion"/>
  </si>
  <si>
    <t>시천면 내공리</t>
    <phoneticPr fontId="3" type="noConversion"/>
  </si>
  <si>
    <t>99/8</t>
    <phoneticPr fontId="3" type="noConversion"/>
  </si>
  <si>
    <t>962-7107</t>
    <phoneticPr fontId="3" type="noConversion"/>
  </si>
  <si>
    <t>2000.7.1</t>
    <phoneticPr fontId="3" type="noConversion"/>
  </si>
  <si>
    <t>위천천</t>
    <phoneticPr fontId="3" type="noConversion"/>
  </si>
  <si>
    <t>2005.4.20</t>
    <phoneticPr fontId="3" type="noConversion"/>
  </si>
  <si>
    <t>지곡천</t>
    <phoneticPr fontId="3" type="noConversion"/>
  </si>
  <si>
    <t>동호</t>
    <phoneticPr fontId="3" type="noConversion"/>
  </si>
  <si>
    <t>휴천면</t>
    <phoneticPr fontId="3" type="noConversion"/>
  </si>
  <si>
    <t>2000.4.25</t>
    <phoneticPr fontId="3" type="noConversion"/>
  </si>
  <si>
    <t>임천강</t>
    <phoneticPr fontId="3" type="noConversion"/>
  </si>
  <si>
    <t>2002.7.23</t>
    <phoneticPr fontId="3" type="noConversion"/>
  </si>
  <si>
    <t>백무동</t>
    <phoneticPr fontId="3" type="noConversion"/>
  </si>
  <si>
    <t>마천면</t>
    <phoneticPr fontId="3" type="noConversion"/>
  </si>
  <si>
    <t>2005.9.1</t>
    <phoneticPr fontId="3" type="noConversion"/>
  </si>
  <si>
    <t>거창읍 양평리</t>
    <phoneticPr fontId="3" type="noConversion"/>
  </si>
  <si>
    <t>95.01.06</t>
    <phoneticPr fontId="3" type="noConversion"/>
  </si>
  <si>
    <t>가조</t>
    <phoneticPr fontId="3" type="noConversion"/>
  </si>
  <si>
    <t>접촉산화구법</t>
    <phoneticPr fontId="3" type="noConversion"/>
  </si>
  <si>
    <t>무릉</t>
    <phoneticPr fontId="3" type="noConversion"/>
  </si>
  <si>
    <t>남하면 무릉리</t>
    <phoneticPr fontId="3" type="noConversion"/>
  </si>
  <si>
    <t>B-3공법</t>
    <phoneticPr fontId="3" type="noConversion"/>
  </si>
  <si>
    <t>대야</t>
    <phoneticPr fontId="3" type="noConversion"/>
  </si>
  <si>
    <t>남하면 대아리</t>
    <phoneticPr fontId="3" type="noConversion"/>
  </si>
  <si>
    <t>고효율
(KDHST)</t>
    <phoneticPr fontId="3" type="noConversion"/>
  </si>
  <si>
    <t>03.06.20</t>
    <phoneticPr fontId="3" type="noConversion"/>
  </si>
  <si>
    <t>황산2구</t>
    <phoneticPr fontId="3" type="noConversion"/>
  </si>
  <si>
    <t>위천면 황산리</t>
    <phoneticPr fontId="3" type="noConversion"/>
  </si>
  <si>
    <t>모관침윤
트렌치공법</t>
    <phoneticPr fontId="3" type="noConversion"/>
  </si>
  <si>
    <t>96.08.07</t>
    <phoneticPr fontId="3" type="noConversion"/>
  </si>
  <si>
    <t>합천읍 합천리 1-4</t>
    <phoneticPr fontId="3" type="noConversion"/>
  </si>
  <si>
    <t>간헐포기식접촉산화공법</t>
    <phoneticPr fontId="3" type="noConversion"/>
  </si>
  <si>
    <t>고도처리인구보급률
(%)</t>
    <phoneticPr fontId="3" type="noConversion"/>
  </si>
  <si>
    <t>계</t>
    <phoneticPr fontId="3" type="noConversion"/>
  </si>
  <si>
    <t>하수처리구역 내</t>
    <phoneticPr fontId="3" type="noConversion"/>
  </si>
  <si>
    <t>하수처리구역 외</t>
    <phoneticPr fontId="3" type="noConversion"/>
  </si>
  <si>
    <t>공공하수처리구역인구보급률(%)</t>
    <phoneticPr fontId="3" type="noConversion"/>
  </si>
  <si>
    <t>공공하수처리인구(명)</t>
    <phoneticPr fontId="3" type="noConversion"/>
  </si>
  <si>
    <t>폐수처리인구(명)</t>
    <phoneticPr fontId="3" type="noConversion"/>
  </si>
  <si>
    <t>면적(㎢)</t>
    <phoneticPr fontId="3" type="noConversion"/>
  </si>
  <si>
    <t>시가지역</t>
    <phoneticPr fontId="3" type="noConversion"/>
  </si>
  <si>
    <t>비시가지역</t>
    <phoneticPr fontId="3" type="noConversion"/>
  </si>
  <si>
    <t>합계</t>
    <phoneticPr fontId="3" type="noConversion"/>
  </si>
  <si>
    <t>1차처리</t>
    <phoneticPr fontId="3" type="noConversion"/>
  </si>
  <si>
    <t>2차차리</t>
    <phoneticPr fontId="3" type="noConversion"/>
  </si>
  <si>
    <t>3차처리</t>
    <phoneticPr fontId="3" type="noConversion"/>
  </si>
  <si>
    <t>2차처리</t>
    <phoneticPr fontId="3" type="noConversion"/>
  </si>
  <si>
    <t>정화조인구</t>
    <phoneticPr fontId="3" type="noConversion"/>
  </si>
  <si>
    <t>오수처리인구</t>
    <phoneticPr fontId="3" type="noConversion"/>
  </si>
  <si>
    <t>미처리인구</t>
    <phoneticPr fontId="3" type="noConversion"/>
  </si>
  <si>
    <t>철근콘크리트관(BOX형)</t>
    <phoneticPr fontId="3" type="noConversion"/>
  </si>
  <si>
    <t>합성수지계 기타관종</t>
    <phoneticPr fontId="3" type="noConversion"/>
  </si>
  <si>
    <t>레진콘크리트관</t>
    <phoneticPr fontId="3" type="noConversion"/>
  </si>
  <si>
    <t>시·군   
(시·군·구)</t>
    <phoneticPr fontId="3" type="noConversion"/>
  </si>
  <si>
    <t>유수지 
배수펌프장</t>
    <phoneticPr fontId="3" type="noConversion"/>
  </si>
  <si>
    <t>위    치</t>
    <phoneticPr fontId="3" type="noConversion"/>
  </si>
  <si>
    <t>유수지</t>
    <phoneticPr fontId="3" type="noConversion"/>
  </si>
  <si>
    <t>배 수 능 력</t>
    <phoneticPr fontId="3" type="noConversion"/>
  </si>
  <si>
    <t>최종처분방법</t>
    <phoneticPr fontId="3" type="noConversion"/>
  </si>
  <si>
    <t>사  업  비(백만원)</t>
    <phoneticPr fontId="3" type="noConversion"/>
  </si>
  <si>
    <t>유수면적(㎢)</t>
    <phoneticPr fontId="3" type="noConversion"/>
  </si>
  <si>
    <t>우수(배수)펌프</t>
    <phoneticPr fontId="3" type="noConversion"/>
  </si>
  <si>
    <t>침사</t>
    <phoneticPr fontId="3" type="noConversion"/>
  </si>
  <si>
    <t>협잡물</t>
    <phoneticPr fontId="3" type="noConversion"/>
  </si>
  <si>
    <t>계</t>
    <phoneticPr fontId="3" type="noConversion"/>
  </si>
  <si>
    <t>국고</t>
    <phoneticPr fontId="3" type="noConversion"/>
  </si>
  <si>
    <t>시·도비</t>
    <phoneticPr fontId="3" type="noConversion"/>
  </si>
  <si>
    <t>교부금</t>
    <phoneticPr fontId="3" type="noConversion"/>
  </si>
  <si>
    <t>지방
양여금</t>
    <phoneticPr fontId="3" type="noConversion"/>
  </si>
  <si>
    <t>시·군비</t>
    <phoneticPr fontId="3" type="noConversion"/>
  </si>
  <si>
    <t>원인자
부담금등</t>
    <phoneticPr fontId="3" type="noConversion"/>
  </si>
  <si>
    <t>이용면적
(㎢)</t>
    <phoneticPr fontId="3" type="noConversion"/>
  </si>
  <si>
    <t>용도</t>
    <phoneticPr fontId="3" type="noConversion"/>
  </si>
  <si>
    <t>관리주체</t>
    <phoneticPr fontId="3" type="noConversion"/>
  </si>
  <si>
    <t>펌프대수(대)</t>
    <phoneticPr fontId="3" type="noConversion"/>
  </si>
  <si>
    <t>구경
(mm)</t>
    <phoneticPr fontId="3" type="noConversion"/>
  </si>
  <si>
    <t>양수량
(㎥/분)</t>
    <phoneticPr fontId="3" type="noConversion"/>
  </si>
  <si>
    <t>건축물명</t>
    <phoneticPr fontId="3" type="noConversion"/>
  </si>
  <si>
    <t>주소</t>
    <phoneticPr fontId="3" type="noConversion"/>
  </si>
  <si>
    <t>시설현황</t>
    <phoneticPr fontId="3" type="noConversion"/>
  </si>
  <si>
    <t>중수도의 주용도</t>
    <phoneticPr fontId="3" type="noConversion"/>
  </si>
  <si>
    <t>처리용량(㎥/일)</t>
    <phoneticPr fontId="3" type="noConversion"/>
  </si>
  <si>
    <t>중수도이용량(㎥/일)</t>
    <phoneticPr fontId="3" type="noConversion"/>
  </si>
  <si>
    <t>총괄원가(백만원)
(D)</t>
    <phoneticPr fontId="3" type="noConversion"/>
  </si>
  <si>
    <t>총괄단위원가(원/톤)
E=(D/A*1000)</t>
    <phoneticPr fontId="3" type="noConversion"/>
  </si>
  <si>
    <t>총 계</t>
    <phoneticPr fontId="3" type="noConversion"/>
  </si>
  <si>
    <t>법적시설여부
(대상/미대상)</t>
    <phoneticPr fontId="3" type="noConversion"/>
  </si>
  <si>
    <t>위치
(주소)</t>
    <phoneticPr fontId="3" type="noConversion"/>
  </si>
  <si>
    <t>설치비
(백만원)</t>
    <phoneticPr fontId="3" type="noConversion"/>
  </si>
  <si>
    <t>집수면</t>
    <phoneticPr fontId="3" type="noConversion"/>
  </si>
  <si>
    <t>여과 등 처리시설 유무</t>
    <phoneticPr fontId="3" type="noConversion"/>
  </si>
  <si>
    <t xml:space="preserve">연간사용량
(㎥/년)
</t>
    <phoneticPr fontId="3" type="noConversion"/>
  </si>
  <si>
    <t>빗물활용용도</t>
    <phoneticPr fontId="3" type="noConversion"/>
  </si>
  <si>
    <t xml:space="preserve">연간운영비
(백만원/년)
</t>
    <phoneticPr fontId="3" type="noConversion"/>
  </si>
  <si>
    <t>11.3 빗물이용시설 현황</t>
    <phoneticPr fontId="3" type="noConversion"/>
  </si>
  <si>
    <t>연료화</t>
    <phoneticPr fontId="3" type="noConversion"/>
  </si>
  <si>
    <t>시설용량
(천톤/일)</t>
    <phoneticPr fontId="3" type="noConversion"/>
  </si>
  <si>
    <t>하수처리수 재이용현황(천톤/년)</t>
    <phoneticPr fontId="3" type="noConversion"/>
  </si>
  <si>
    <t>장내용수</t>
    <phoneticPr fontId="3" type="noConversion"/>
  </si>
  <si>
    <t>장외용수</t>
    <phoneticPr fontId="3" type="noConversion"/>
  </si>
  <si>
    <t>세척수</t>
    <phoneticPr fontId="3" type="noConversion"/>
  </si>
  <si>
    <t>냉각수</t>
    <phoneticPr fontId="3" type="noConversion"/>
  </si>
  <si>
    <t>청소수</t>
    <phoneticPr fontId="3" type="noConversion"/>
  </si>
  <si>
    <t>식수대</t>
    <phoneticPr fontId="3" type="noConversion"/>
  </si>
  <si>
    <t>희석용수</t>
    <phoneticPr fontId="3" type="noConversion"/>
  </si>
  <si>
    <t>장내
중수도</t>
    <phoneticPr fontId="3" type="noConversion"/>
  </si>
  <si>
    <t>장내
기타용수</t>
    <phoneticPr fontId="3" type="noConversion"/>
  </si>
  <si>
    <t>장외
중수도</t>
    <phoneticPr fontId="3" type="noConversion"/>
  </si>
  <si>
    <t>하천
유지용수</t>
    <phoneticPr fontId="3" type="noConversion"/>
  </si>
  <si>
    <t>장외
기타용수</t>
    <phoneticPr fontId="3" type="noConversion"/>
  </si>
  <si>
    <t>공 업 용</t>
    <phoneticPr fontId="3" type="noConversion"/>
  </si>
  <si>
    <t xml:space="preserve"> 일 반 용</t>
    <phoneticPr fontId="3" type="noConversion"/>
  </si>
  <si>
    <t>공 공 용</t>
    <phoneticPr fontId="3" type="noConversion"/>
  </si>
  <si>
    <t>상호(명칭)</t>
    <phoneticPr fontId="3" type="noConversion"/>
  </si>
  <si>
    <t xml:space="preserve">저류조용량
(㎥)
</t>
    <phoneticPr fontId="3" type="noConversion"/>
  </si>
  <si>
    <t>가동개시일
('00.0.0)</t>
    <phoneticPr fontId="3" type="noConversion"/>
  </si>
  <si>
    <t>설치완료일
('00.0.0)</t>
    <phoneticPr fontId="3" type="noConversion"/>
  </si>
  <si>
    <t>수계영향권별 분류</t>
    <phoneticPr fontId="3" type="noConversion"/>
  </si>
  <si>
    <t>가동개시년월일
('00.0.0)</t>
    <phoneticPr fontId="3" type="noConversion"/>
  </si>
  <si>
    <t>유수지
용량
(㎥)</t>
    <phoneticPr fontId="3" type="noConversion"/>
  </si>
  <si>
    <t>탈취설비
유무
(유/무)</t>
    <phoneticPr fontId="3" type="noConversion"/>
  </si>
  <si>
    <t>자가발전
유무
(유/무)</t>
    <phoneticPr fontId="3" type="noConversion"/>
  </si>
  <si>
    <t>사용개시년월
('00.0.0)</t>
    <phoneticPr fontId="3" type="noConversion"/>
  </si>
  <si>
    <t>탈취설비유무
(유/무)</t>
    <phoneticPr fontId="3" type="noConversion"/>
  </si>
  <si>
    <t>자가발전유무
(유/무)</t>
    <phoneticPr fontId="3" type="noConversion"/>
  </si>
  <si>
    <r>
      <t xml:space="preserve">가  동
년월일
</t>
    </r>
    <r>
      <rPr>
        <sz val="11"/>
        <color indexed="8"/>
        <rFont val="돋움체"/>
        <family val="3"/>
        <charset val="129"/>
      </rPr>
      <t>('00.0.0)</t>
    </r>
    <phoneticPr fontId="3" type="noConversion"/>
  </si>
  <si>
    <t>가동
개시일
('00.0.0)</t>
    <phoneticPr fontId="3" type="noConversion"/>
  </si>
  <si>
    <t>운영방법
(자체/공기업/민간위탁)</t>
    <phoneticPr fontId="3" type="noConversion"/>
  </si>
  <si>
    <t>연간부과량(천톤)
(A)</t>
    <phoneticPr fontId="3" type="noConversion"/>
  </si>
  <si>
    <t>부과액(백만원)
(B)</t>
    <phoneticPr fontId="3" type="noConversion"/>
  </si>
  <si>
    <t>평균단가(원/톤)
C=(B/A*1000)</t>
    <phoneticPr fontId="3" type="noConversion"/>
  </si>
  <si>
    <t>현실화율(%)
F=(C/E*100)</t>
    <phoneticPr fontId="3" type="noConversion"/>
  </si>
  <si>
    <r>
      <t>건축연면적(m</t>
    </r>
    <r>
      <rPr>
        <vertAlign val="superscript"/>
        <sz val="11"/>
        <color indexed="8"/>
        <rFont val="굴림체"/>
        <family val="3"/>
        <charset val="129"/>
      </rPr>
      <t>2</t>
    </r>
    <r>
      <rPr>
        <sz val="11"/>
        <color indexed="8"/>
        <rFont val="굴림체"/>
        <family val="3"/>
        <charset val="129"/>
      </rPr>
      <t>)</t>
    </r>
    <phoneticPr fontId="3" type="noConversion"/>
  </si>
  <si>
    <t>운영주체
(자체/공기업/민간)</t>
    <phoneticPr fontId="3" type="noConversion"/>
  </si>
  <si>
    <t>종사인원</t>
    <phoneticPr fontId="3" type="noConversion"/>
  </si>
  <si>
    <t>※ 하수처리장에 연계처리하는 분뇨처리시설의 경우 "방류수"란의 하단에 (   )를 하고 "하수연계처리"로 기재</t>
    <phoneticPr fontId="3" type="noConversion"/>
  </si>
  <si>
    <r>
      <t>집수면적
(m</t>
    </r>
    <r>
      <rPr>
        <vertAlign val="superscript"/>
        <sz val="11"/>
        <rFont val="굴림체"/>
        <family val="3"/>
        <charset val="129"/>
      </rPr>
      <t>2</t>
    </r>
    <r>
      <rPr>
        <sz val="11"/>
        <rFont val="굴림체"/>
        <family val="3"/>
        <charset val="129"/>
      </rPr>
      <t>)</t>
    </r>
    <phoneticPr fontId="3" type="noConversion"/>
  </si>
  <si>
    <t>위탁범위</t>
    <phoneticPr fontId="3" type="noConversion"/>
  </si>
  <si>
    <t>위탁현황</t>
    <phoneticPr fontId="3" type="noConversion"/>
  </si>
  <si>
    <t>위탁업체명</t>
    <phoneticPr fontId="3" type="noConversion"/>
  </si>
  <si>
    <t>위탁비용
(백만원/년)</t>
    <phoneticPr fontId="3" type="noConversion"/>
  </si>
  <si>
    <t>위탁계약기간</t>
    <phoneticPr fontId="3" type="noConversion"/>
  </si>
  <si>
    <t>매설연장(m)</t>
    <phoneticPr fontId="3" type="noConversion"/>
  </si>
  <si>
    <t>철거연장
(m)</t>
    <phoneticPr fontId="3" type="noConversion"/>
  </si>
  <si>
    <t>년도</t>
    <phoneticPr fontId="3" type="noConversion"/>
  </si>
  <si>
    <t>i</t>
    <phoneticPr fontId="3" type="noConversion"/>
  </si>
  <si>
    <t>매설연장
(m)</t>
    <phoneticPr fontId="3" type="noConversion"/>
  </si>
  <si>
    <t>금액
(백만원)</t>
    <phoneticPr fontId="3" type="noConversion"/>
  </si>
  <si>
    <t>특별대책지역</t>
    <phoneticPr fontId="3" type="noConversion"/>
  </si>
  <si>
    <t>총인구(명)</t>
    <phoneticPr fontId="3" type="noConversion"/>
  </si>
  <si>
    <t>우·오수받이
(개소)</t>
    <phoneticPr fontId="3" type="noConversion"/>
  </si>
  <si>
    <t>유수지(배수펌프장) 상부이용</t>
    <phoneticPr fontId="3" type="noConversion"/>
  </si>
  <si>
    <t>펌프대수
(HP * 대)</t>
    <phoneticPr fontId="3" type="noConversion"/>
  </si>
  <si>
    <t>재생에너지이용율
(%)</t>
    <phoneticPr fontId="3" type="noConversion"/>
  </si>
  <si>
    <t>최종처분량(㎥)</t>
    <phoneticPr fontId="3" type="noConversion"/>
  </si>
  <si>
    <t>총 계획연장
(m)</t>
    <phoneticPr fontId="3" type="noConversion"/>
  </si>
  <si>
    <t>총 시설연장(m)
(누계)</t>
    <phoneticPr fontId="3" type="noConversion"/>
  </si>
  <si>
    <t>보급율(%)</t>
    <phoneticPr fontId="3" type="noConversion"/>
  </si>
  <si>
    <t>합류식(m)</t>
    <phoneticPr fontId="3" type="noConversion"/>
  </si>
  <si>
    <t>분류식(m)</t>
    <phoneticPr fontId="3" type="noConversion"/>
  </si>
  <si>
    <t>맨홀(개소)</t>
    <phoneticPr fontId="3" type="noConversion"/>
  </si>
  <si>
    <t>우·오수받이(개소)</t>
    <phoneticPr fontId="3" type="noConversion"/>
  </si>
  <si>
    <t>우수토실
(개소)</t>
    <phoneticPr fontId="3" type="noConversion"/>
  </si>
  <si>
    <t>우수토구
(개소)</t>
    <phoneticPr fontId="3" type="noConversion"/>
  </si>
  <si>
    <t>하수도대장 전산화연장(m)</t>
    <phoneticPr fontId="3" type="noConversion"/>
  </si>
  <si>
    <t>하수도대장전산화율(%)</t>
    <phoneticPr fontId="3" type="noConversion"/>
  </si>
  <si>
    <t>계획연장</t>
    <phoneticPr fontId="3" type="noConversion"/>
  </si>
  <si>
    <t>시설연장</t>
    <phoneticPr fontId="3" type="noConversion"/>
  </si>
  <si>
    <t>암거</t>
    <phoneticPr fontId="3" type="noConversion"/>
  </si>
  <si>
    <t>개거</t>
    <phoneticPr fontId="3" type="noConversion"/>
  </si>
  <si>
    <t>측구</t>
    <phoneticPr fontId="3" type="noConversion"/>
  </si>
  <si>
    <t>사각형</t>
    <phoneticPr fontId="3" type="noConversion"/>
  </si>
  <si>
    <t>원형</t>
    <phoneticPr fontId="3" type="noConversion"/>
  </si>
  <si>
    <t>운영주체
(자체/공기업/민간위탁)</t>
    <phoneticPr fontId="3" type="noConversion"/>
  </si>
  <si>
    <t>년간하수처리량
(천톤/년)</t>
    <phoneticPr fontId="3" type="noConversion"/>
  </si>
  <si>
    <t>대표자</t>
    <phoneticPr fontId="3" type="noConversion"/>
  </si>
  <si>
    <t>등록일(년/월/일)</t>
    <phoneticPr fontId="3" type="noConversion"/>
  </si>
  <si>
    <t>지역
(시ㆍ군ㆍ구)</t>
    <phoneticPr fontId="3" type="noConversion"/>
  </si>
  <si>
    <t>11.5 하ㆍ폐수처리수 재이용사업 인가현황</t>
    <phoneticPr fontId="3" type="noConversion"/>
  </si>
  <si>
    <t>인가일(년/월/일)</t>
    <phoneticPr fontId="3" type="noConversion"/>
  </si>
  <si>
    <t>11.5 하ㆍ폐수처리수 재이용시설 설계시공업 등록현황</t>
    <phoneticPr fontId="3" type="noConversion"/>
  </si>
  <si>
    <t>행정구역</t>
    <phoneticPr fontId="56" type="noConversion"/>
  </si>
  <si>
    <t>계획</t>
    <phoneticPr fontId="56" type="noConversion"/>
  </si>
  <si>
    <t>운영</t>
    <phoneticPr fontId="56" type="noConversion"/>
  </si>
  <si>
    <t>시ㆍ도</t>
    <phoneticPr fontId="56" type="noConversion"/>
  </si>
  <si>
    <t>시ㆍ군</t>
    <phoneticPr fontId="56" type="noConversion"/>
  </si>
  <si>
    <t>처리량(톤/일)</t>
    <phoneticPr fontId="56" type="noConversion"/>
  </si>
  <si>
    <t>일처리량      (톤/일)</t>
    <phoneticPr fontId="56" type="noConversion"/>
  </si>
  <si>
    <t>투입함수율(%)</t>
    <phoneticPr fontId="56" type="noConversion"/>
  </si>
  <si>
    <t>처리후 함수율(%)</t>
    <phoneticPr fontId="56" type="noConversion"/>
  </si>
  <si>
    <t>일평균 
가동시간
(1~24)</t>
    <phoneticPr fontId="56" type="noConversion"/>
  </si>
  <si>
    <t>재활용</t>
    <phoneticPr fontId="56" type="noConversion"/>
  </si>
  <si>
    <t>소각</t>
    <phoneticPr fontId="56" type="noConversion"/>
  </si>
  <si>
    <t>건조</t>
    <phoneticPr fontId="56" type="noConversion"/>
  </si>
  <si>
    <t>매립</t>
    <phoneticPr fontId="56" type="noConversion"/>
  </si>
  <si>
    <t>기타</t>
    <phoneticPr fontId="56" type="noConversion"/>
  </si>
  <si>
    <t>처리방식별</t>
    <phoneticPr fontId="56" type="noConversion"/>
  </si>
  <si>
    <t>처리용량별</t>
    <phoneticPr fontId="56" type="noConversion"/>
  </si>
  <si>
    <t>지  역
(시·군·구)</t>
    <phoneticPr fontId="3" type="noConversion"/>
  </si>
  <si>
    <t>오수처리시설</t>
    <phoneticPr fontId="3" type="noConversion"/>
  </si>
  <si>
    <t>정화조</t>
    <phoneticPr fontId="3" type="noConversion"/>
  </si>
  <si>
    <t>총 시설수</t>
    <phoneticPr fontId="3" type="noConversion"/>
  </si>
  <si>
    <t>청소실적</t>
    <phoneticPr fontId="91" type="noConversion"/>
  </si>
  <si>
    <t>청소대상(개소)(A)</t>
    <phoneticPr fontId="3" type="noConversion"/>
  </si>
  <si>
    <t>청소실시시설수(B)</t>
    <phoneticPr fontId="3" type="noConversion"/>
  </si>
  <si>
    <t>청소율(%)(B/A)</t>
    <phoneticPr fontId="3" type="noConversion"/>
  </si>
  <si>
    <t>청소대상(개소)</t>
    <phoneticPr fontId="3" type="noConversion"/>
  </si>
  <si>
    <t>처리용량별(개소)</t>
    <phoneticPr fontId="56" type="noConversion"/>
  </si>
  <si>
    <t>청소실시 시설수</t>
    <phoneticPr fontId="3" type="noConversion"/>
  </si>
  <si>
    <t>부채액</t>
    <phoneticPr fontId="3" type="noConversion"/>
  </si>
  <si>
    <t>이월액</t>
    <phoneticPr fontId="3" type="noConversion"/>
  </si>
  <si>
    <t>미수납액</t>
    <phoneticPr fontId="3" type="noConversion"/>
  </si>
  <si>
    <t>사고
이월액</t>
    <phoneticPr fontId="3" type="noConversion"/>
  </si>
  <si>
    <t>계획투입
함수율(%)</t>
    <phoneticPr fontId="56" type="noConversion"/>
  </si>
  <si>
    <t>연평균
가동일수
(1~365)</t>
    <phoneticPr fontId="3" type="noConversion"/>
  </si>
  <si>
    <t>가동
개시일
(YYYY-MM-DD)</t>
    <phoneticPr fontId="3" type="noConversion"/>
  </si>
  <si>
    <t>동부경남</t>
  </si>
  <si>
    <t>소권역</t>
    <phoneticPr fontId="3" type="noConversion"/>
  </si>
  <si>
    <t>중권역</t>
    <phoneticPr fontId="3" type="noConversion"/>
  </si>
  <si>
    <t>세부
단위유역</t>
    <phoneticPr fontId="3" type="noConversion"/>
  </si>
  <si>
    <t>3. 하수관로</t>
    <phoneticPr fontId="3" type="noConversion"/>
  </si>
  <si>
    <t>총 관로정비계획연장
(m)</t>
  </si>
  <si>
    <t>관로정비계획
면적
(㎢)</t>
  </si>
  <si>
    <t>관로정비계획연장</t>
  </si>
  <si>
    <t>오수관로</t>
  </si>
  <si>
    <t>우수관로</t>
  </si>
  <si>
    <t>관로정비계획면적(㎢)</t>
  </si>
  <si>
    <t>하수
처리장명</t>
    <phoneticPr fontId="3" type="noConversion"/>
  </si>
  <si>
    <t>하수처리
시설용량
(㎥/일)</t>
    <phoneticPr fontId="3" type="noConversion"/>
  </si>
  <si>
    <t>계획처리
구역면적(㎢)</t>
    <phoneticPr fontId="3" type="noConversion"/>
  </si>
  <si>
    <t>배수설비(개소)</t>
    <phoneticPr fontId="3" type="noConversion"/>
  </si>
  <si>
    <t>연결</t>
    <phoneticPr fontId="3" type="noConversion"/>
  </si>
  <si>
    <t>미연결</t>
    <phoneticPr fontId="3" type="noConversion"/>
  </si>
  <si>
    <t>차집/오수
간선(㎞)</t>
    <phoneticPr fontId="3" type="noConversion"/>
  </si>
  <si>
    <t>하수관로</t>
    <phoneticPr fontId="3" type="noConversion"/>
  </si>
  <si>
    <t>토실/토구
(개소)</t>
    <phoneticPr fontId="3" type="noConversion"/>
  </si>
  <si>
    <t>지선(㎞)</t>
    <phoneticPr fontId="3" type="noConversion"/>
  </si>
  <si>
    <t>총
시설연장(㎞)</t>
    <phoneticPr fontId="3" type="noConversion"/>
  </si>
  <si>
    <t>차집</t>
    <phoneticPr fontId="3" type="noConversion"/>
  </si>
  <si>
    <t>오수 간선</t>
    <phoneticPr fontId="3" type="noConversion"/>
  </si>
  <si>
    <t>우수토구</t>
    <phoneticPr fontId="3" type="noConversion"/>
  </si>
  <si>
    <t>우수
토실</t>
    <phoneticPr fontId="3" type="noConversion"/>
  </si>
  <si>
    <r>
      <t>기타
(소각</t>
    </r>
    <r>
      <rPr>
        <sz val="11"/>
        <color indexed="8"/>
        <rFont val="돋움체"/>
        <family val="3"/>
        <charset val="129"/>
      </rPr>
      <t>, 고형화, 시멘트원료 등)</t>
    </r>
    <phoneticPr fontId="3" type="noConversion"/>
  </si>
  <si>
    <r>
      <t xml:space="preserve">해양투기
</t>
    </r>
    <r>
      <rPr>
        <sz val="8"/>
        <color indexed="8"/>
        <rFont val="돋움체"/>
        <family val="3"/>
        <charset val="129"/>
      </rPr>
      <t>(해양환경관리법 제23조)</t>
    </r>
    <phoneticPr fontId="3" type="noConversion"/>
  </si>
  <si>
    <t>강우시(B)</t>
    <phoneticPr fontId="3" type="noConversion"/>
  </si>
  <si>
    <t>법적의무대상
(대상/미대상)</t>
    <phoneticPr fontId="3" type="noConversion"/>
  </si>
  <si>
    <t>처리수 
재이용률(%)</t>
    <phoneticPr fontId="3" type="noConversion"/>
  </si>
  <si>
    <t>인가일
(년/월/일)</t>
    <phoneticPr fontId="3" type="noConversion"/>
  </si>
  <si>
    <t>시·도별
(시ㆍ군ㆍ구)</t>
    <phoneticPr fontId="3" type="noConversion"/>
  </si>
  <si>
    <t>처리장명</t>
    <phoneticPr fontId="56" type="noConversion"/>
  </si>
  <si>
    <t>소화조용량
(톤/일)</t>
    <phoneticPr fontId="3" type="noConversion"/>
  </si>
  <si>
    <t>가동률
(300일 기준)
(%)</t>
    <phoneticPr fontId="56" type="noConversion"/>
  </si>
  <si>
    <t>판매</t>
    <phoneticPr fontId="3" type="noConversion"/>
  </si>
  <si>
    <t>발전</t>
    <phoneticPr fontId="3" type="noConversion"/>
  </si>
  <si>
    <t>소화가스 이용현황(톤/일)</t>
    <phoneticPr fontId="3" type="noConversion"/>
  </si>
  <si>
    <t>기타
(CNG 등)</t>
    <phoneticPr fontId="3" type="noConversion"/>
  </si>
  <si>
    <t>자체
활용</t>
    <phoneticPr fontId="3" type="noConversion"/>
  </si>
  <si>
    <t>총 사업비
(백만원)</t>
    <phoneticPr fontId="3" type="noConversion"/>
  </si>
  <si>
    <t>비료화
(부숙화, 
지렁이사육)</t>
    <phoneticPr fontId="56" type="noConversion"/>
  </si>
  <si>
    <t>기타
(시멘트소성물, 
경량골재 등)</t>
    <phoneticPr fontId="56" type="noConversion"/>
  </si>
  <si>
    <t>소화조 유무
(유/무)</t>
    <phoneticPr fontId="3" type="noConversion"/>
  </si>
  <si>
    <t>운영주체
(직영/공기업/민간위탁)</t>
    <phoneticPr fontId="3" type="noConversion"/>
  </si>
  <si>
    <t>23이상</t>
    <phoneticPr fontId="3" type="noConversion"/>
  </si>
  <si>
    <t>공고지역
(지역개소)</t>
    <phoneticPr fontId="91" type="noConversion"/>
  </si>
  <si>
    <r>
      <t>지정범위
(</t>
    </r>
    <r>
      <rPr>
        <sz val="11"/>
        <rFont val="맑은 고딕"/>
        <family val="3"/>
        <charset val="129"/>
      </rPr>
      <t>㎢)</t>
    </r>
    <phoneticPr fontId="91" type="noConversion"/>
  </si>
  <si>
    <t>9. 정화조 현황</t>
    <phoneticPr fontId="3" type="noConversion"/>
  </si>
  <si>
    <t>지역
(시·군·구)</t>
    <phoneticPr fontId="3" type="noConversion"/>
  </si>
  <si>
    <t>총 시설수
(A+D)</t>
    <phoneticPr fontId="56" type="noConversion"/>
  </si>
  <si>
    <t>하수처리구역 내</t>
    <phoneticPr fontId="56" type="noConversion"/>
  </si>
  <si>
    <t>하수처리구역 외</t>
    <phoneticPr fontId="56" type="noConversion"/>
  </si>
  <si>
    <t>소계
A=(B+C)/2</t>
    <phoneticPr fontId="56" type="noConversion"/>
  </si>
  <si>
    <t>처리방식별(개소)</t>
    <phoneticPr fontId="56" type="noConversion"/>
  </si>
  <si>
    <t>소계
D=(E+F)/2</t>
    <phoneticPr fontId="56" type="noConversion"/>
  </si>
  <si>
    <t>살수형부패탱크</t>
    <phoneticPr fontId="3" type="noConversion"/>
  </si>
  <si>
    <t>살수여상</t>
    <phoneticPr fontId="3" type="noConversion"/>
  </si>
  <si>
    <t>계(C)</t>
    <phoneticPr fontId="56" type="noConversion"/>
  </si>
  <si>
    <t>10인조 이하</t>
    <phoneticPr fontId="3" type="noConversion"/>
  </si>
  <si>
    <t>11
~20</t>
    <phoneticPr fontId="3" type="noConversion"/>
  </si>
  <si>
    <t>21
~30</t>
    <phoneticPr fontId="3" type="noConversion"/>
  </si>
  <si>
    <t>31
~50</t>
    <phoneticPr fontId="3" type="noConversion"/>
  </si>
  <si>
    <t>51
~199</t>
    <phoneticPr fontId="3" type="noConversion"/>
  </si>
  <si>
    <t>200
~499</t>
    <phoneticPr fontId="3" type="noConversion"/>
  </si>
  <si>
    <t>500
~999</t>
    <phoneticPr fontId="3" type="noConversion"/>
  </si>
  <si>
    <t>1000
이상</t>
    <phoneticPr fontId="3" type="noConversion"/>
  </si>
  <si>
    <t>계(E)</t>
    <phoneticPr fontId="3" type="noConversion"/>
  </si>
  <si>
    <t>부패탱크</t>
    <phoneticPr fontId="3" type="noConversion"/>
  </si>
  <si>
    <t>임호프탱크</t>
    <phoneticPr fontId="3" type="noConversion"/>
  </si>
  <si>
    <t>살수형부패탱크</t>
    <phoneticPr fontId="3" type="noConversion"/>
  </si>
  <si>
    <t>살수여상</t>
    <phoneticPr fontId="3" type="noConversion"/>
  </si>
  <si>
    <t>폭기방법</t>
    <phoneticPr fontId="3" type="noConversion"/>
  </si>
  <si>
    <t>접촉폭기</t>
    <phoneticPr fontId="3" type="noConversion"/>
  </si>
  <si>
    <t>기타</t>
    <phoneticPr fontId="3" type="noConversion"/>
  </si>
  <si>
    <t>계(F)</t>
    <phoneticPr fontId="56" type="noConversion"/>
  </si>
  <si>
    <t>10인조 이하</t>
    <phoneticPr fontId="3" type="noConversion"/>
  </si>
  <si>
    <t>31
~50</t>
    <phoneticPr fontId="3" type="noConversion"/>
  </si>
  <si>
    <t>200
~499</t>
    <phoneticPr fontId="3" type="noConversion"/>
  </si>
  <si>
    <t>1000
이상</t>
    <phoneticPr fontId="3" type="noConversion"/>
  </si>
  <si>
    <t>자연
유하</t>
    <phoneticPr fontId="3" type="noConversion"/>
  </si>
  <si>
    <t>강제 펌핑식</t>
    <phoneticPr fontId="3" type="noConversion"/>
  </si>
  <si>
    <t>소계</t>
    <phoneticPr fontId="3" type="noConversion"/>
  </si>
  <si>
    <t>자연
유하</t>
    <phoneticPr fontId="3" type="noConversion"/>
  </si>
  <si>
    <t>강제 펌핑식</t>
    <phoneticPr fontId="3" type="noConversion"/>
  </si>
  <si>
    <t>200
미만</t>
    <phoneticPr fontId="3" type="noConversion"/>
  </si>
  <si>
    <t>1000
이상</t>
    <phoneticPr fontId="3" type="noConversion"/>
  </si>
  <si>
    <t>계획대비
준설율
(%)</t>
    <phoneticPr fontId="3" type="noConversion"/>
  </si>
  <si>
    <r>
      <t>준설대상
연장(계획</t>
    </r>
    <r>
      <rPr>
        <sz val="11"/>
        <color indexed="8"/>
        <rFont val="돋움체"/>
        <family val="3"/>
        <charset val="129"/>
      </rPr>
      <t>)</t>
    </r>
    <r>
      <rPr>
        <sz val="11"/>
        <color indexed="8"/>
        <rFont val="돋움체"/>
        <family val="3"/>
        <charset val="129"/>
      </rPr>
      <t xml:space="preserve">
(m)</t>
    </r>
    <phoneticPr fontId="3" type="noConversion"/>
  </si>
  <si>
    <t>톤당
준설단가
(원)</t>
    <phoneticPr fontId="3" type="noConversion"/>
  </si>
  <si>
    <t>유수지 유무
(유/무)</t>
    <phoneticPr fontId="3" type="noConversion"/>
  </si>
  <si>
    <t>방류
BOD</t>
    <phoneticPr fontId="3" type="noConversion"/>
  </si>
  <si>
    <t>방류수
소독방법
(염소,자외선,오존 등)</t>
    <phoneticPr fontId="3" type="noConversion"/>
  </si>
  <si>
    <r>
      <t>주민친화시설 면적(m</t>
    </r>
    <r>
      <rPr>
        <vertAlign val="superscript"/>
        <sz val="11"/>
        <rFont val="돋움체"/>
        <family val="3"/>
        <charset val="129"/>
      </rPr>
      <t>2</t>
    </r>
    <r>
      <rPr>
        <sz val="11"/>
        <rFont val="돋움체"/>
        <family val="3"/>
        <charset val="129"/>
      </rPr>
      <t>)</t>
    </r>
    <phoneticPr fontId="3" type="noConversion"/>
  </si>
  <si>
    <t>1994년이전</t>
    <phoneticPr fontId="3" type="noConversion"/>
  </si>
  <si>
    <t>개인하수도 관리지역 
공고현황
(하수도법 제34조의2)</t>
    <phoneticPr fontId="91" type="noConversion"/>
  </si>
  <si>
    <t>9.3 개인하수도 관리지역 지정공고 현황 및 청소실적</t>
    <phoneticPr fontId="3" type="noConversion"/>
  </si>
  <si>
    <t>200
~999</t>
    <phoneticPr fontId="3" type="noConversion"/>
  </si>
  <si>
    <t>하수관로 
총시설연장(m)</t>
    <phoneticPr fontId="3" type="noConversion"/>
  </si>
  <si>
    <t>4.2 하수관로준설</t>
    <phoneticPr fontId="3" type="noConversion"/>
  </si>
  <si>
    <t>소계</t>
    <phoneticPr fontId="3" type="noConversion"/>
  </si>
  <si>
    <t>Lpcd</t>
    <phoneticPr fontId="3" type="noConversion"/>
  </si>
  <si>
    <t>유효수율</t>
    <phoneticPr fontId="3" type="noConversion"/>
  </si>
  <si>
    <t>오수전환율</t>
    <phoneticPr fontId="3" type="noConversion"/>
  </si>
  <si>
    <t>거주인구</t>
    <phoneticPr fontId="3" type="noConversion"/>
  </si>
  <si>
    <t>유입
(원수)
BOD</t>
    <phoneticPr fontId="3" type="noConversion"/>
  </si>
  <si>
    <t>방류
COD</t>
    <phoneticPr fontId="3" type="noConversion"/>
  </si>
  <si>
    <t>유입
(원수)
COD</t>
    <phoneticPr fontId="3" type="noConversion"/>
  </si>
  <si>
    <t>유입
(원수)
T-N</t>
    <phoneticPr fontId="3" type="noConversion"/>
  </si>
  <si>
    <t>방류
T-N</t>
    <phoneticPr fontId="3" type="noConversion"/>
  </si>
  <si>
    <t>유입
(원수)
T-P</t>
    <phoneticPr fontId="3" type="noConversion"/>
  </si>
  <si>
    <t>유입
총대장균군</t>
    <phoneticPr fontId="3" type="noConversion"/>
  </si>
  <si>
    <t>방류
총대장균군</t>
    <phoneticPr fontId="3" type="noConversion"/>
  </si>
  <si>
    <t>방류
T-P</t>
    <phoneticPr fontId="3" type="noConversion"/>
  </si>
  <si>
    <t>연계처리량(㎥/일)
(500㎥/일 이상/미만)</t>
    <phoneticPr fontId="3" type="noConversion"/>
  </si>
  <si>
    <t>축산</t>
    <phoneticPr fontId="3" type="noConversion"/>
  </si>
  <si>
    <t>처리  
부하량
(kg/ BOD/D)</t>
    <phoneticPr fontId="3" type="noConversion"/>
  </si>
  <si>
    <t>11. 하수 재이용</t>
    <phoneticPr fontId="3" type="noConversion"/>
  </si>
  <si>
    <t>설치년월
('00.0)</t>
    <phoneticPr fontId="3" type="noConversion"/>
  </si>
  <si>
    <t>연중
가동일
(1~300)</t>
    <phoneticPr fontId="56" type="noConversion"/>
  </si>
  <si>
    <t>연료화</t>
    <phoneticPr fontId="56" type="noConversion"/>
  </si>
  <si>
    <t>처리방법별 최종처리 부산물양(톤/일)</t>
    <phoneticPr fontId="56" type="noConversion"/>
  </si>
  <si>
    <t>미처분량(이월량)
(톤/년)</t>
    <phoneticPr fontId="56" type="noConversion"/>
  </si>
  <si>
    <t>13.1. 공공기관 현황(하수분야)</t>
    <phoneticPr fontId="3" type="noConversion"/>
  </si>
  <si>
    <t xml:space="preserve"> 13.1 공공기관 현황(분뇨분야)</t>
    <phoneticPr fontId="3" type="noConversion"/>
  </si>
  <si>
    <t>종사인원(명)</t>
    <phoneticPr fontId="3" type="noConversion"/>
  </si>
  <si>
    <t>※ 2015년에 가동중인 고공하수처리시설의 유입수 및 방류수질의 연 평균치 기재</t>
    <phoneticPr fontId="3" type="noConversion"/>
  </si>
  <si>
    <t>하수처리인구</t>
    <phoneticPr fontId="3" type="noConversion"/>
  </si>
  <si>
    <t>처리장명</t>
    <phoneticPr fontId="3" type="noConversion"/>
  </si>
  <si>
    <t>유입하수량(500㎥/일 이상/미만)</t>
    <phoneticPr fontId="3" type="noConversion"/>
  </si>
  <si>
    <t>12.1 찌꺼기(슬러지)처리시설 현황</t>
  </si>
  <si>
    <t>12. 하수 및 분뇨찌꺼기(슬러지)</t>
  </si>
  <si>
    <t>찌꺼기(슬러지)
처리시설용량
(톤/일)</t>
  </si>
  <si>
    <t>V. 하수관로 개·보수 및 준설</t>
  </si>
  <si>
    <t xml:space="preserve">  4. 하수관로 유지관리</t>
  </si>
  <si>
    <t>4.1 하수관로개보수</t>
  </si>
  <si>
    <t>개·보수관로(m)</t>
  </si>
  <si>
    <t>관로(m)</t>
  </si>
  <si>
    <t>하수관로</t>
  </si>
  <si>
    <t>김해시</t>
    <phoneticPr fontId="3" type="noConversion"/>
  </si>
  <si>
    <t>구산동</t>
    <phoneticPr fontId="3" type="noConversion"/>
  </si>
  <si>
    <t>조만강</t>
  </si>
  <si>
    <t>낙동강
하구언</t>
    <phoneticPr fontId="3" type="noConversion"/>
  </si>
  <si>
    <t>삼계동</t>
  </si>
  <si>
    <t>대성동</t>
  </si>
  <si>
    <t>외동</t>
  </si>
  <si>
    <t>내동</t>
  </si>
  <si>
    <t>동상동</t>
  </si>
  <si>
    <t>서상동</t>
  </si>
  <si>
    <t>봉황동</t>
  </si>
  <si>
    <t>부원동</t>
  </si>
  <si>
    <t>풍유동</t>
  </si>
  <si>
    <t>명법동</t>
  </si>
  <si>
    <t>이동</t>
  </si>
  <si>
    <t>화목동</t>
  </si>
  <si>
    <t>흥동</t>
  </si>
  <si>
    <t>전하동</t>
  </si>
  <si>
    <t>강동</t>
  </si>
  <si>
    <t>어방동</t>
  </si>
  <si>
    <t>신어천</t>
  </si>
  <si>
    <t>삼정동</t>
  </si>
  <si>
    <t>삼방동</t>
  </si>
  <si>
    <t>안동</t>
  </si>
  <si>
    <t>지내동</t>
    <phoneticPr fontId="3" type="noConversion"/>
  </si>
  <si>
    <t>불암동</t>
  </si>
  <si>
    <t>장유1동</t>
    <phoneticPr fontId="3" type="noConversion"/>
  </si>
  <si>
    <t>장유2동</t>
  </si>
  <si>
    <t>장유3동</t>
  </si>
  <si>
    <t>대동면</t>
  </si>
  <si>
    <t>구포수위표</t>
  </si>
  <si>
    <t>상동면</t>
  </si>
  <si>
    <t>대포천</t>
  </si>
  <si>
    <t>생림면</t>
  </si>
  <si>
    <t>화포천</t>
  </si>
  <si>
    <t>낙동밀양</t>
  </si>
  <si>
    <t>주촌면</t>
  </si>
  <si>
    <t>진례면</t>
  </si>
  <si>
    <t>진영읍</t>
  </si>
  <si>
    <t>주천강</t>
  </si>
  <si>
    <t>한림면</t>
  </si>
  <si>
    <t>구산동</t>
  </si>
  <si>
    <t>지내동</t>
  </si>
  <si>
    <t>유효수율</t>
    <phoneticPr fontId="3" type="noConversion"/>
  </si>
  <si>
    <t>500*3
270*1</t>
  </si>
  <si>
    <t>무</t>
  </si>
  <si>
    <t>불암동 264-1</t>
  </si>
  <si>
    <t>385*5
200*1</t>
  </si>
  <si>
    <t>유</t>
  </si>
  <si>
    <t>강동 452-3</t>
  </si>
  <si>
    <t>360*4</t>
  </si>
  <si>
    <t>100*2
150*1
50*1</t>
  </si>
  <si>
    <t>한림침수도로
배수펌프장</t>
  </si>
  <si>
    <t>40*2</t>
  </si>
  <si>
    <t>김해시</t>
    <phoneticPr fontId="3" type="noConversion"/>
  </si>
  <si>
    <t>삼정
배수펌프장</t>
    <phoneticPr fontId="56" type="noConversion"/>
  </si>
  <si>
    <t>삼정동 293-2</t>
    <phoneticPr fontId="3" type="noConversion"/>
  </si>
  <si>
    <t>무</t>
    <phoneticPr fontId="3" type="noConversion"/>
  </si>
  <si>
    <t>1200*3
 900*1</t>
    <phoneticPr fontId="3" type="noConversion"/>
  </si>
  <si>
    <t>안동
배수펌프장</t>
    <phoneticPr fontId="3" type="noConversion"/>
  </si>
  <si>
    <t>1350*5
900*1</t>
    <phoneticPr fontId="3" type="noConversion"/>
  </si>
  <si>
    <t>회현
배수펌프장</t>
    <phoneticPr fontId="3" type="noConversion"/>
  </si>
  <si>
    <t>1200*4</t>
    <phoneticPr fontId="3" type="noConversion"/>
  </si>
  <si>
    <t>외동
배수펌프장</t>
    <phoneticPr fontId="56" type="noConversion"/>
  </si>
  <si>
    <t>전하동 1226</t>
    <phoneticPr fontId="56" type="noConversion"/>
  </si>
  <si>
    <t>2012.4.12</t>
    <phoneticPr fontId="56" type="noConversion"/>
  </si>
  <si>
    <t>유</t>
    <phoneticPr fontId="56" type="noConversion"/>
  </si>
  <si>
    <t>1200*3
1000*1</t>
    <phoneticPr fontId="56" type="noConversion"/>
  </si>
  <si>
    <r>
      <t>2</t>
    </r>
    <r>
      <rPr>
        <sz val="11"/>
        <rFont val="맑은 고딕"/>
        <family val="3"/>
        <charset val="129"/>
      </rPr>
      <t>40*3
120*1</t>
    </r>
    <phoneticPr fontId="56" type="noConversion"/>
  </si>
  <si>
    <t>-</t>
    <phoneticPr fontId="56" type="noConversion"/>
  </si>
  <si>
    <t>전하
배수펌프장</t>
    <phoneticPr fontId="56" type="noConversion"/>
  </si>
  <si>
    <t>전하동 647-1</t>
    <phoneticPr fontId="56" type="noConversion"/>
  </si>
  <si>
    <t>2011.7.29</t>
    <phoneticPr fontId="56" type="noConversion"/>
  </si>
  <si>
    <t>무</t>
    <phoneticPr fontId="56" type="noConversion"/>
  </si>
  <si>
    <t>900*2</t>
    <phoneticPr fontId="3" type="noConversion"/>
  </si>
  <si>
    <r>
      <t>1</t>
    </r>
    <r>
      <rPr>
        <sz val="11"/>
        <rFont val="맑은 고딕"/>
        <family val="3"/>
        <charset val="129"/>
      </rPr>
      <t>00*2</t>
    </r>
    <phoneticPr fontId="56" type="noConversion"/>
  </si>
  <si>
    <t>봉황
배수펌프장</t>
    <phoneticPr fontId="3" type="noConversion"/>
  </si>
  <si>
    <t>봉황동 456-1</t>
    <phoneticPr fontId="3" type="noConversion"/>
  </si>
  <si>
    <t>2010.09.</t>
    <phoneticPr fontId="3" type="noConversion"/>
  </si>
  <si>
    <t>500*4</t>
    <phoneticPr fontId="3" type="noConversion"/>
  </si>
  <si>
    <t>50*4</t>
    <phoneticPr fontId="3" type="noConversion"/>
  </si>
  <si>
    <t>봉황대
배수펌프장</t>
    <phoneticPr fontId="56" type="noConversion"/>
  </si>
  <si>
    <t>봉황동 469-2</t>
    <phoneticPr fontId="56" type="noConversion"/>
  </si>
  <si>
    <t>2012.7.27</t>
    <phoneticPr fontId="56" type="noConversion"/>
  </si>
  <si>
    <t>700*3</t>
    <phoneticPr fontId="3" type="noConversion"/>
  </si>
  <si>
    <r>
      <t>1</t>
    </r>
    <r>
      <rPr>
        <sz val="11"/>
        <rFont val="맑은 고딕"/>
        <family val="3"/>
        <charset val="129"/>
      </rPr>
      <t>20*3</t>
    </r>
    <phoneticPr fontId="56" type="noConversion"/>
  </si>
  <si>
    <t>흥동3통
배수펌프장</t>
    <phoneticPr fontId="56" type="noConversion"/>
  </si>
  <si>
    <t>흥동
 544-61</t>
    <phoneticPr fontId="56" type="noConversion"/>
  </si>
  <si>
    <t>300*2</t>
    <phoneticPr fontId="3" type="noConversion"/>
  </si>
  <si>
    <r>
      <t>2</t>
    </r>
    <r>
      <rPr>
        <sz val="11"/>
        <rFont val="맑은 고딕"/>
        <family val="3"/>
        <charset val="129"/>
      </rPr>
      <t>0*2</t>
    </r>
    <phoneticPr fontId="56" type="noConversion"/>
  </si>
  <si>
    <t>진영동산
배수펌프장</t>
    <phoneticPr fontId="3" type="noConversion"/>
  </si>
  <si>
    <t>진영읍 
방동리 
366</t>
    <phoneticPr fontId="3" type="noConversion"/>
  </si>
  <si>
    <t>2015.02.</t>
    <phoneticPr fontId="3" type="noConversion"/>
  </si>
  <si>
    <t>500*3</t>
    <phoneticPr fontId="3" type="noConversion"/>
  </si>
  <si>
    <t>75*3</t>
    <phoneticPr fontId="3" type="noConversion"/>
  </si>
  <si>
    <t>주촌농소
배수펌프장</t>
    <phoneticPr fontId="3" type="noConversion"/>
  </si>
  <si>
    <t>주촌면
 농소리 
621-3</t>
    <phoneticPr fontId="3" type="noConversion"/>
  </si>
  <si>
    <t>유</t>
    <phoneticPr fontId="3" type="noConversion"/>
  </si>
  <si>
    <t>1200*3</t>
    <phoneticPr fontId="3" type="noConversion"/>
  </si>
  <si>
    <r>
      <t>2</t>
    </r>
    <r>
      <rPr>
        <sz val="11"/>
        <color indexed="8"/>
        <rFont val="돋움체"/>
        <family val="3"/>
        <charset val="129"/>
      </rPr>
      <t>80*3</t>
    </r>
    <phoneticPr fontId="3" type="noConversion"/>
  </si>
  <si>
    <t>-</t>
    <phoneticPr fontId="3" type="noConversion"/>
  </si>
  <si>
    <t>주촌사덕
배수펌프장</t>
    <phoneticPr fontId="3" type="noConversion"/>
  </si>
  <si>
    <t>주촌면 
농소리 
644-7</t>
    <phoneticPr fontId="3" type="noConversion"/>
  </si>
  <si>
    <t>450*2</t>
    <phoneticPr fontId="3" type="noConversion"/>
  </si>
  <si>
    <r>
      <t>1</t>
    </r>
    <r>
      <rPr>
        <sz val="11"/>
        <color indexed="8"/>
        <rFont val="돋움체"/>
        <family val="3"/>
        <charset val="129"/>
      </rPr>
      <t>00*2</t>
    </r>
    <phoneticPr fontId="3" type="noConversion"/>
  </si>
  <si>
    <t>주촌천곡#1
배수펌프장</t>
    <phoneticPr fontId="3" type="noConversion"/>
  </si>
  <si>
    <t>주촌면
천곡리
56-1</t>
    <phoneticPr fontId="3" type="noConversion"/>
  </si>
  <si>
    <t>2012.10.</t>
    <phoneticPr fontId="3" type="noConversion"/>
  </si>
  <si>
    <t>400*1</t>
    <phoneticPr fontId="3" type="noConversion"/>
  </si>
  <si>
    <t>50*1</t>
    <phoneticPr fontId="3" type="noConversion"/>
  </si>
  <si>
    <t>주촌천곡#2
배수펌프장</t>
    <phoneticPr fontId="3" type="noConversion"/>
  </si>
  <si>
    <t>주촌면
천곡리
724-11</t>
    <phoneticPr fontId="3" type="noConversion"/>
  </si>
  <si>
    <t>300*2
350*1</t>
    <phoneticPr fontId="3" type="noConversion"/>
  </si>
  <si>
    <t>25*2
40*1</t>
    <phoneticPr fontId="3" type="noConversion"/>
  </si>
  <si>
    <t>주촌천곡#3
배수펌프장</t>
    <phoneticPr fontId="3" type="noConversion"/>
  </si>
  <si>
    <t>주촌면
천곡리
917-13</t>
    <phoneticPr fontId="3" type="noConversion"/>
  </si>
  <si>
    <t>25*3</t>
    <phoneticPr fontId="3" type="noConversion"/>
  </si>
  <si>
    <t>한림토정
배수펌프장</t>
    <phoneticPr fontId="3" type="noConversion"/>
  </si>
  <si>
    <t>한림면
장방리
288-1</t>
    <phoneticPr fontId="56" type="noConversion"/>
  </si>
  <si>
    <t>600*2
 700*1
 400*1</t>
    <phoneticPr fontId="3" type="noConversion"/>
  </si>
  <si>
    <t>한림면
장방리
228-8</t>
    <phoneticPr fontId="56" type="noConversion"/>
  </si>
  <si>
    <t>350*2</t>
    <phoneticPr fontId="3" type="noConversion"/>
  </si>
  <si>
    <t>김해시</t>
  </si>
  <si>
    <t>김해분뇨처리장</t>
    <phoneticPr fontId="3" type="noConversion"/>
  </si>
  <si>
    <t xml:space="preserve"> 화목공공하수처리시설내 위치</t>
  </si>
  <si>
    <t>화목공공하수처리시설</t>
    <phoneticPr fontId="3" type="noConversion"/>
  </si>
  <si>
    <t>329-6051</t>
  </si>
  <si>
    <t>'00.03.31</t>
  </si>
  <si>
    <t>연계
처리</t>
    <phoneticPr fontId="3" type="noConversion"/>
  </si>
  <si>
    <t>연계
처리</t>
    <phoneticPr fontId="3" type="noConversion"/>
  </si>
  <si>
    <t>김해시</t>
    <phoneticPr fontId="3" type="noConversion"/>
  </si>
  <si>
    <t>봉명중학교</t>
  </si>
  <si>
    <t>김해시 외동 470</t>
  </si>
  <si>
    <t>08.2</t>
  </si>
  <si>
    <t>지붕면</t>
  </si>
  <si>
    <t>조경수</t>
  </si>
  <si>
    <t>미대상</t>
  </si>
  <si>
    <t>삼방고등학교</t>
  </si>
  <si>
    <t>김해시 인제로 284번길 15-35</t>
  </si>
  <si>
    <t>율하중학교</t>
    <phoneticPr fontId="3" type="noConversion"/>
  </si>
  <si>
    <t>김해시 율하동 1293</t>
    <phoneticPr fontId="3" type="noConversion"/>
  </si>
  <si>
    <t>옥상면적</t>
    <phoneticPr fontId="3" type="noConversion"/>
  </si>
  <si>
    <t>운동장살수,조경수</t>
    <phoneticPr fontId="3" type="noConversion"/>
  </si>
  <si>
    <t>율하초등학교</t>
    <phoneticPr fontId="3" type="noConversion"/>
  </si>
  <si>
    <t>김해시 율하동 1303</t>
    <phoneticPr fontId="3" type="noConversion"/>
  </si>
  <si>
    <t>대청중학교</t>
    <phoneticPr fontId="3" type="noConversion"/>
  </si>
  <si>
    <t>김해시 대청동 319-2</t>
    <phoneticPr fontId="3" type="noConversion"/>
  </si>
  <si>
    <t>10.3</t>
    <phoneticPr fontId="3" type="noConversion"/>
  </si>
  <si>
    <t>김해제일고등학교</t>
    <phoneticPr fontId="3" type="noConversion"/>
  </si>
  <si>
    <t>김해시 외동 770</t>
    <phoneticPr fontId="3" type="noConversion"/>
  </si>
  <si>
    <t>11.4</t>
    <phoneticPr fontId="3" type="noConversion"/>
  </si>
  <si>
    <t>조경수</t>
    <phoneticPr fontId="3" type="noConversion"/>
  </si>
  <si>
    <t>임호고등학교</t>
    <phoneticPr fontId="3" type="noConversion"/>
  </si>
  <si>
    <t>김해시 외동 715</t>
    <phoneticPr fontId="3" type="noConversion"/>
  </si>
  <si>
    <t>12.2</t>
    <phoneticPr fontId="3" type="noConversion"/>
  </si>
  <si>
    <t>관동초등학교</t>
    <phoneticPr fontId="3" type="noConversion"/>
  </si>
  <si>
    <t>김해시 관동동 1119</t>
    <phoneticPr fontId="3" type="noConversion"/>
  </si>
  <si>
    <t>13.2</t>
    <phoneticPr fontId="3" type="noConversion"/>
  </si>
  <si>
    <t>김해시</t>
    <phoneticPr fontId="3" type="noConversion"/>
  </si>
  <si>
    <t>시가지</t>
    <phoneticPr fontId="3" type="noConversion"/>
  </si>
  <si>
    <t>장유.주촌면</t>
    <phoneticPr fontId="3" type="noConversion"/>
  </si>
  <si>
    <t>진영읍</t>
    <phoneticPr fontId="3" type="noConversion"/>
  </si>
  <si>
    <t>진례면</t>
    <phoneticPr fontId="3" type="noConversion"/>
  </si>
  <si>
    <t>한림면</t>
    <phoneticPr fontId="3" type="noConversion"/>
  </si>
  <si>
    <t>생림면</t>
    <phoneticPr fontId="3" type="noConversion"/>
  </si>
  <si>
    <t>상동면</t>
    <phoneticPr fontId="3" type="noConversion"/>
  </si>
  <si>
    <t>대동면</t>
    <phoneticPr fontId="3" type="noConversion"/>
  </si>
  <si>
    <t>김해시</t>
    <phoneticPr fontId="3" type="noConversion"/>
  </si>
  <si>
    <t>장유1동</t>
    <phoneticPr fontId="3" type="noConversion"/>
  </si>
  <si>
    <t>시가지</t>
    <phoneticPr fontId="3" type="noConversion"/>
  </si>
  <si>
    <t xml:space="preserve">화목 </t>
    <phoneticPr fontId="3" type="noConversion"/>
  </si>
  <si>
    <t>장유동</t>
    <phoneticPr fontId="3" type="noConversion"/>
  </si>
  <si>
    <t>장유</t>
  </si>
  <si>
    <t>대동면</t>
    <phoneticPr fontId="3" type="noConversion"/>
  </si>
  <si>
    <t>대동</t>
    <phoneticPr fontId="3" type="noConversion"/>
  </si>
  <si>
    <t>진영읍</t>
    <phoneticPr fontId="3" type="noConversion"/>
  </si>
  <si>
    <t>진영</t>
  </si>
  <si>
    <t>진례면</t>
    <phoneticPr fontId="3" type="noConversion"/>
  </si>
  <si>
    <t>진례</t>
  </si>
  <si>
    <t>한림면</t>
    <phoneticPr fontId="3" type="noConversion"/>
  </si>
  <si>
    <t>한림</t>
  </si>
  <si>
    <t xml:space="preserve">상동면 </t>
    <phoneticPr fontId="3" type="noConversion"/>
  </si>
  <si>
    <t>상동</t>
    <phoneticPr fontId="3" type="noConversion"/>
  </si>
  <si>
    <t>생림면</t>
    <phoneticPr fontId="3" type="noConversion"/>
  </si>
  <si>
    <t>생림</t>
  </si>
  <si>
    <t>우수
토실</t>
    <phoneticPr fontId="3" type="noConversion"/>
  </si>
  <si>
    <r>
      <t xml:space="preserve">5. </t>
    </r>
    <r>
      <rPr>
        <b/>
        <sz val="12"/>
        <color rgb="FF0070C0"/>
        <rFont val="굴림체"/>
        <family val="3"/>
        <charset val="129"/>
      </rPr>
      <t>유수지 및 배수펌프장</t>
    </r>
    <phoneticPr fontId="3" type="noConversion"/>
  </si>
  <si>
    <r>
      <t xml:space="preserve">3.2 </t>
    </r>
    <r>
      <rPr>
        <b/>
        <sz val="12"/>
        <color rgb="FF0070C0"/>
        <rFont val="굴림체"/>
        <family val="3"/>
        <charset val="129"/>
      </rPr>
      <t>관경별 현황</t>
    </r>
    <phoneticPr fontId="3" type="noConversion"/>
  </si>
  <si>
    <r>
      <t xml:space="preserve">3.2 </t>
    </r>
    <r>
      <rPr>
        <b/>
        <sz val="12"/>
        <color rgb="FF0070C0"/>
        <rFont val="굴림체"/>
        <family val="3"/>
        <charset val="129"/>
      </rPr>
      <t>관종별 현황</t>
    </r>
    <phoneticPr fontId="3" type="noConversion"/>
  </si>
  <si>
    <r>
      <t xml:space="preserve">1. </t>
    </r>
    <r>
      <rPr>
        <b/>
        <sz val="12"/>
        <color rgb="FF0070C0"/>
        <rFont val="굴림체"/>
        <family val="3"/>
        <charset val="129"/>
      </rPr>
      <t>하수도 보급률</t>
    </r>
    <phoneticPr fontId="3" type="noConversion"/>
  </si>
  <si>
    <r>
      <t xml:space="preserve">2. </t>
    </r>
    <r>
      <rPr>
        <b/>
        <sz val="11"/>
        <color rgb="FF0070C0"/>
        <rFont val="굴림체"/>
        <family val="3"/>
        <charset val="129"/>
      </rPr>
      <t>하수 및 분뇨발생량</t>
    </r>
    <phoneticPr fontId="3" type="noConversion"/>
  </si>
  <si>
    <r>
      <t xml:space="preserve">   3.1 </t>
    </r>
    <r>
      <rPr>
        <b/>
        <sz val="11"/>
        <color rgb="FF0070C0"/>
        <rFont val="굴림체"/>
        <family val="3"/>
        <charset val="129"/>
      </rPr>
      <t>시설현황</t>
    </r>
    <phoneticPr fontId="3" type="noConversion"/>
  </si>
  <si>
    <r>
      <t xml:space="preserve">   3.1.1 </t>
    </r>
    <r>
      <rPr>
        <b/>
        <sz val="11"/>
        <color rgb="FF0070C0"/>
        <rFont val="굴림체"/>
        <family val="3"/>
        <charset val="129"/>
      </rPr>
      <t>하수처리시설별 하수관로 설치현황</t>
    </r>
    <phoneticPr fontId="3" type="noConversion"/>
  </si>
  <si>
    <t>전하펌프장</t>
  </si>
  <si>
    <t xml:space="preserve"> 봉황동 81-12</t>
  </si>
  <si>
    <t>99. 5.1</t>
  </si>
  <si>
    <t>삼정펌프장</t>
  </si>
  <si>
    <t>삼정동 450-3</t>
  </si>
  <si>
    <t>칠산펌프장</t>
  </si>
  <si>
    <t>화목동 433</t>
  </si>
  <si>
    <t>유하펌프장</t>
  </si>
  <si>
    <t>장유면 내덕리 69</t>
  </si>
  <si>
    <t>04.9.1</t>
  </si>
  <si>
    <t>신문펌프장</t>
  </si>
  <si>
    <t>장유면 신문리 437-14</t>
  </si>
  <si>
    <t>11.4.1</t>
  </si>
  <si>
    <t>부평펌프장</t>
  </si>
  <si>
    <t>진영읍 여래리 889-1</t>
  </si>
  <si>
    <t>00.1.1</t>
  </si>
  <si>
    <t>서부펌프장</t>
  </si>
  <si>
    <t>진영읍 889-1</t>
  </si>
  <si>
    <t>부곡펌프장</t>
  </si>
  <si>
    <t>진영읍 608-8</t>
  </si>
  <si>
    <t>좌곤펌프장</t>
  </si>
  <si>
    <t>진영읍 좌곤리 417-1</t>
  </si>
  <si>
    <t>00.4.1</t>
  </si>
  <si>
    <t>여래1펌프장</t>
  </si>
  <si>
    <t>진영읍 신용리 222-3</t>
  </si>
  <si>
    <t>여래2펌프장</t>
  </si>
  <si>
    <t>진영읍 신용리 276-9</t>
  </si>
  <si>
    <t>하수도 
사용료</t>
    <phoneticPr fontId="3" type="noConversion"/>
  </si>
  <si>
    <t>원인자 
부담금</t>
    <phoneticPr fontId="3" type="noConversion"/>
  </si>
  <si>
    <t>기타
잡수입</t>
    <phoneticPr fontId="3" type="noConversion"/>
  </si>
  <si>
    <t>김해시</t>
    <phoneticPr fontId="3" type="noConversion"/>
  </si>
  <si>
    <t>김해시</t>
    <phoneticPr fontId="3" type="noConversion"/>
  </si>
  <si>
    <t>김해분뇨처리장</t>
    <phoneticPr fontId="3" type="noConversion"/>
  </si>
  <si>
    <t>방류수
( 하수연계처리 )</t>
    <phoneticPr fontId="3" type="noConversion"/>
  </si>
  <si>
    <t>김해시</t>
    <phoneticPr fontId="3" type="noConversion"/>
  </si>
  <si>
    <r>
      <t xml:space="preserve">10.1 </t>
    </r>
    <r>
      <rPr>
        <b/>
        <sz val="12"/>
        <color rgb="FF0070C0"/>
        <rFont val="굴림체"/>
        <family val="3"/>
        <charset val="129"/>
      </rPr>
      <t>하수도재정 결산</t>
    </r>
    <phoneticPr fontId="3" type="noConversion"/>
  </si>
  <si>
    <t>김해시</t>
    <phoneticPr fontId="3" type="noConversion"/>
  </si>
  <si>
    <t>김해시</t>
    <phoneticPr fontId="3" type="noConversion"/>
  </si>
  <si>
    <r>
      <t xml:space="preserve">10.2 </t>
    </r>
    <r>
      <rPr>
        <b/>
        <sz val="12"/>
        <color rgb="FF0070C0"/>
        <rFont val="굴림체"/>
        <family val="3"/>
        <charset val="129"/>
      </rPr>
      <t>하수도 요금</t>
    </r>
    <phoneticPr fontId="3" type="noConversion"/>
  </si>
  <si>
    <r>
      <t xml:space="preserve">10.3 </t>
    </r>
    <r>
      <rPr>
        <b/>
        <sz val="12"/>
        <color rgb="FF0070C0"/>
        <rFont val="돋움체"/>
        <family val="3"/>
        <charset val="129"/>
      </rPr>
      <t>업종별 하수도 사용료</t>
    </r>
    <phoneticPr fontId="3" type="noConversion"/>
  </si>
  <si>
    <r>
      <t xml:space="preserve">10.4 </t>
    </r>
    <r>
      <rPr>
        <b/>
        <sz val="12"/>
        <color rgb="FF0070C0"/>
        <rFont val="굴림체"/>
        <family val="3"/>
        <charset val="129"/>
      </rPr>
      <t>하수도 원인자부담금</t>
    </r>
    <phoneticPr fontId="3" type="noConversion"/>
  </si>
  <si>
    <t>김해시</t>
    <phoneticPr fontId="3" type="noConversion"/>
  </si>
  <si>
    <t>-</t>
    <phoneticPr fontId="3" type="noConversion"/>
  </si>
  <si>
    <t>회현동</t>
  </si>
  <si>
    <t>내외동</t>
  </si>
  <si>
    <t>북부동</t>
  </si>
  <si>
    <t>칠산서부동</t>
  </si>
  <si>
    <t>활천동</t>
  </si>
  <si>
    <t>삼안동</t>
  </si>
  <si>
    <t>장유1동</t>
  </si>
  <si>
    <t>김해시</t>
    <phoneticPr fontId="3" type="noConversion"/>
  </si>
  <si>
    <t>-</t>
    <phoneticPr fontId="3" type="noConversion"/>
  </si>
  <si>
    <r>
      <t xml:space="preserve">9.1 </t>
    </r>
    <r>
      <rPr>
        <b/>
        <sz val="12"/>
        <color rgb="FF0070C0"/>
        <rFont val="굴림체"/>
        <family val="3"/>
        <charset val="129"/>
      </rPr>
      <t>오수처리시설</t>
    </r>
    <phoneticPr fontId="3" type="noConversion"/>
  </si>
  <si>
    <t>김해시</t>
    <phoneticPr fontId="3" type="noConversion"/>
  </si>
  <si>
    <t>김해시</t>
    <phoneticPr fontId="3" type="noConversion"/>
  </si>
  <si>
    <r>
      <t>1과</t>
    </r>
    <r>
      <rPr>
        <sz val="11"/>
        <color indexed="8"/>
        <rFont val="돋움체"/>
        <family val="3"/>
        <charset val="129"/>
      </rPr>
      <t xml:space="preserve"> 6담당</t>
    </r>
    <phoneticPr fontId="3" type="noConversion"/>
  </si>
  <si>
    <t>오수관리팀</t>
    <phoneticPr fontId="3" type="noConversion"/>
  </si>
  <si>
    <t>-</t>
    <phoneticPr fontId="3" type="noConversion"/>
  </si>
  <si>
    <t>김해시</t>
    <phoneticPr fontId="3" type="noConversion"/>
  </si>
  <si>
    <t>-</t>
    <phoneticPr fontId="3" type="noConversion"/>
  </si>
  <si>
    <t>II</t>
  </si>
  <si>
    <t>&lt;30</t>
  </si>
  <si>
    <t>상동</t>
  </si>
  <si>
    <t>안하</t>
  </si>
  <si>
    <t>독산</t>
  </si>
  <si>
    <t>신안안양</t>
  </si>
  <si>
    <t>우계</t>
  </si>
  <si>
    <t>낙산</t>
  </si>
  <si>
    <t>모정</t>
  </si>
  <si>
    <t>생철성포</t>
  </si>
  <si>
    <t>용산</t>
  </si>
  <si>
    <t>하사촌</t>
  </si>
  <si>
    <t>송촌</t>
  </si>
  <si>
    <t>여차</t>
  </si>
  <si>
    <t>내오서</t>
  </si>
  <si>
    <t>외오서</t>
  </si>
  <si>
    <t>가달</t>
  </si>
  <si>
    <t>주중</t>
    <phoneticPr fontId="3" type="noConversion"/>
  </si>
  <si>
    <t>시례</t>
    <phoneticPr fontId="3" type="noConversion"/>
  </si>
  <si>
    <t>김해시</t>
    <phoneticPr fontId="3" type="noConversion"/>
  </si>
  <si>
    <t>화목</t>
    <phoneticPr fontId="3" type="noConversion"/>
  </si>
  <si>
    <t>장유</t>
    <phoneticPr fontId="3" type="noConversion"/>
  </si>
  <si>
    <t>대동</t>
    <phoneticPr fontId="3" type="noConversion"/>
  </si>
  <si>
    <t>진영</t>
    <phoneticPr fontId="3" type="noConversion"/>
  </si>
  <si>
    <t>진례</t>
    <phoneticPr fontId="3" type="noConversion"/>
  </si>
  <si>
    <t>산본</t>
    <phoneticPr fontId="3" type="noConversion"/>
  </si>
  <si>
    <t>대리</t>
    <phoneticPr fontId="3" type="noConversion"/>
  </si>
  <si>
    <t>주중</t>
    <phoneticPr fontId="3" type="noConversion"/>
  </si>
  <si>
    <t>시례</t>
    <phoneticPr fontId="3" type="noConversion"/>
  </si>
  <si>
    <t>&gt;300,000</t>
  </si>
  <si>
    <t>화목</t>
    <phoneticPr fontId="3" type="noConversion"/>
  </si>
  <si>
    <t>장유</t>
    <phoneticPr fontId="3" type="noConversion"/>
  </si>
  <si>
    <t>대동</t>
    <phoneticPr fontId="3" type="noConversion"/>
  </si>
  <si>
    <t>진례</t>
    <phoneticPr fontId="3" type="noConversion"/>
  </si>
  <si>
    <t>공기업</t>
    <phoneticPr fontId="3" type="noConversion"/>
  </si>
  <si>
    <t>장유통합운영</t>
    <phoneticPr fontId="3" type="noConversion"/>
  </si>
  <si>
    <t>공기업</t>
  </si>
  <si>
    <t>유</t>
    <phoneticPr fontId="3" type="noConversion"/>
  </si>
  <si>
    <t>77~83</t>
    <phoneticPr fontId="3" type="noConversion"/>
  </si>
  <si>
    <t>진영</t>
    <phoneticPr fontId="3" type="noConversion"/>
  </si>
  <si>
    <t>한림</t>
    <phoneticPr fontId="3" type="noConversion"/>
  </si>
  <si>
    <t>생림</t>
    <phoneticPr fontId="3" type="noConversion"/>
  </si>
  <si>
    <t>상동</t>
    <phoneticPr fontId="3" type="noConversion"/>
  </si>
  <si>
    <t>안하</t>
    <phoneticPr fontId="3" type="noConversion"/>
  </si>
  <si>
    <t>1~3</t>
    <phoneticPr fontId="3" type="noConversion"/>
  </si>
  <si>
    <t>김해시</t>
    <phoneticPr fontId="3" type="noConversion"/>
  </si>
  <si>
    <t>김해분뇨처리장</t>
    <phoneticPr fontId="3" type="noConversion"/>
  </si>
  <si>
    <t>연계처리</t>
    <phoneticPr fontId="3" type="noConversion"/>
  </si>
  <si>
    <t>김해시</t>
    <phoneticPr fontId="3" type="noConversion"/>
  </si>
  <si>
    <t>대상</t>
  </si>
  <si>
    <t>1994.7.13</t>
    <phoneticPr fontId="3" type="noConversion"/>
  </si>
  <si>
    <t>1998.2.9</t>
    <phoneticPr fontId="3" type="noConversion"/>
  </si>
  <si>
    <t>2009.3.12</t>
    <phoneticPr fontId="3" type="noConversion"/>
  </si>
  <si>
    <t>1996.8.8</t>
  </si>
  <si>
    <t>2003.9.30</t>
  </si>
  <si>
    <t>2007.11.01</t>
  </si>
  <si>
    <t>2007.01.11</t>
  </si>
  <si>
    <t>2014.10.08</t>
  </si>
  <si>
    <t>2015.07.01</t>
  </si>
  <si>
    <t xml:space="preserve"> 김해시</t>
    <phoneticPr fontId="3" type="noConversion"/>
  </si>
  <si>
    <t>상동면 대감리 1045</t>
    <phoneticPr fontId="3" type="noConversion"/>
  </si>
  <si>
    <t>07.9월</t>
    <phoneticPr fontId="3" type="noConversion"/>
  </si>
  <si>
    <t>공공청사</t>
    <phoneticPr fontId="3" type="noConversion"/>
  </si>
  <si>
    <t>미대상</t>
    <phoneticPr fontId="3" type="noConversion"/>
  </si>
  <si>
    <t>롯데자이언츠
(김해상동야구장)</t>
    <phoneticPr fontId="3" type="noConversion"/>
  </si>
  <si>
    <t xml:space="preserve">화목 </t>
    <phoneticPr fontId="3" type="noConversion"/>
  </si>
  <si>
    <t>김해대로 
2272번길 642</t>
    <phoneticPr fontId="3" type="noConversion"/>
  </si>
  <si>
    <t>진영읍 본산리</t>
  </si>
  <si>
    <t>진례면 고모리</t>
  </si>
  <si>
    <t>한림면 장방리</t>
  </si>
  <si>
    <t>상동면 대감리</t>
  </si>
  <si>
    <t>한림면 안하리</t>
  </si>
  <si>
    <t>생림면 봉림리</t>
  </si>
  <si>
    <t>생림면 마사리</t>
  </si>
  <si>
    <t>안양</t>
  </si>
  <si>
    <t>생림면 안양리</t>
  </si>
  <si>
    <t>상동면 우계리</t>
  </si>
  <si>
    <t>한림면 병동리</t>
  </si>
  <si>
    <t>한림면 금곡리</t>
  </si>
  <si>
    <t>상동면 여차리</t>
  </si>
  <si>
    <t>산본</t>
  </si>
  <si>
    <t>진례면 산본리</t>
  </si>
  <si>
    <t>생림면 사촌리</t>
  </si>
  <si>
    <t>한림면 명동리</t>
  </si>
  <si>
    <t>생림면 생철리</t>
  </si>
  <si>
    <t>대동면 예안리</t>
    <phoneticPr fontId="3" type="noConversion"/>
  </si>
  <si>
    <t>주촌면 원지리</t>
    <phoneticPr fontId="3" type="noConversion"/>
  </si>
  <si>
    <t>대동면 주중리</t>
    <phoneticPr fontId="3" type="noConversion"/>
  </si>
  <si>
    <t>DNR+모래여과</t>
    <phoneticPr fontId="3" type="noConversion"/>
  </si>
  <si>
    <t>DNR+사여과</t>
  </si>
  <si>
    <t>HANT+Dyna Sand Filter</t>
    <phoneticPr fontId="3" type="noConversion"/>
  </si>
  <si>
    <t>VIP,HANT</t>
  </si>
  <si>
    <t>BCS+디스크필터</t>
  </si>
  <si>
    <r>
      <t>BCS</t>
    </r>
    <r>
      <rPr>
        <sz val="8"/>
        <color theme="1"/>
        <rFont val="함초롬바탕"/>
        <family val="1"/>
        <charset val="129"/>
      </rPr>
      <t>Ⅱ</t>
    </r>
    <r>
      <rPr>
        <sz val="8"/>
        <color theme="1"/>
        <rFont val="굴림체"/>
        <family val="3"/>
        <charset val="129"/>
      </rPr>
      <t>+DAF</t>
    </r>
  </si>
  <si>
    <t>KSMBR</t>
  </si>
  <si>
    <t>AOSB</t>
  </si>
  <si>
    <t>고효율합
병정화조</t>
  </si>
  <si>
    <t>JASSFR</t>
  </si>
  <si>
    <t>IC/SBR</t>
  </si>
  <si>
    <t>JASSFR</t>
    <phoneticPr fontId="3" type="noConversion"/>
  </si>
  <si>
    <t>055-329-6051</t>
    <phoneticPr fontId="3" type="noConversion"/>
  </si>
  <si>
    <t>2000.3.31</t>
  </si>
  <si>
    <t>055-329-6052</t>
    <phoneticPr fontId="3" type="noConversion"/>
  </si>
  <si>
    <t>2004.12.31</t>
    <phoneticPr fontId="3" type="noConversion"/>
  </si>
  <si>
    <t>055-329-6054</t>
    <phoneticPr fontId="3" type="noConversion"/>
  </si>
  <si>
    <t>2013.9.26</t>
    <phoneticPr fontId="3" type="noConversion"/>
  </si>
  <si>
    <t>055-346-0452</t>
  </si>
  <si>
    <t>2000.4.16
(2009.12.9)</t>
    <phoneticPr fontId="3" type="noConversion"/>
  </si>
  <si>
    <t>055-346-1415</t>
  </si>
  <si>
    <t>2007.12.17</t>
  </si>
  <si>
    <t>055-345-0452</t>
  </si>
  <si>
    <t>055-321-6208</t>
  </si>
  <si>
    <t>055-346-0457</t>
  </si>
  <si>
    <t>055-326-0543</t>
  </si>
  <si>
    <t>2004.8.7</t>
  </si>
  <si>
    <t>2006.12.31</t>
  </si>
  <si>
    <t>2007.5.13</t>
  </si>
  <si>
    <t>1999.5.29</t>
  </si>
  <si>
    <t>2003.8.7</t>
  </si>
  <si>
    <t>2003.8.31</t>
  </si>
  <si>
    <t>2011.2.28</t>
  </si>
  <si>
    <t>2002.5.4</t>
  </si>
  <si>
    <t>2004.10.20</t>
  </si>
  <si>
    <t>2009.4.30</t>
  </si>
  <si>
    <t>2009.11.13</t>
  </si>
  <si>
    <t>2009.4.29</t>
  </si>
  <si>
    <t>2009.4.28</t>
  </si>
  <si>
    <t>2009.04.30</t>
  </si>
  <si>
    <t>2008.8.7</t>
    <phoneticPr fontId="3" type="noConversion"/>
  </si>
  <si>
    <t>055-329-6053</t>
    <phoneticPr fontId="3" type="noConversion"/>
  </si>
  <si>
    <t>2013.5.1</t>
    <phoneticPr fontId="3" type="noConversion"/>
  </si>
  <si>
    <t>2014.1.17</t>
    <phoneticPr fontId="3" type="noConversion"/>
  </si>
  <si>
    <t>김해시도시개발공사</t>
    <phoneticPr fontId="3" type="noConversion"/>
  </si>
  <si>
    <t>2003.7~현재</t>
  </si>
  <si>
    <t>시설물
전반</t>
  </si>
  <si>
    <t>2004.12~현재</t>
    <phoneticPr fontId="3" type="noConversion"/>
  </si>
  <si>
    <t>시설물
전반</t>
    <phoneticPr fontId="3" type="noConversion"/>
  </si>
  <si>
    <t>2013.09~현재</t>
    <phoneticPr fontId="3" type="noConversion"/>
  </si>
  <si>
    <t>김해시도시개발공사</t>
  </si>
  <si>
    <t>2007.10~현재</t>
  </si>
  <si>
    <t>2014.10~현재</t>
  </si>
  <si>
    <t>2014.7~현재</t>
  </si>
  <si>
    <t>2007.3~현재</t>
  </si>
  <si>
    <t>2004.8~현재</t>
  </si>
  <si>
    <t>염소</t>
  </si>
  <si>
    <t>2006.12~현재</t>
  </si>
  <si>
    <t>2007.5~현재</t>
  </si>
  <si>
    <t>2003.8~현재</t>
  </si>
  <si>
    <t>2011.2~현재</t>
  </si>
  <si>
    <t>2004.10~현재</t>
  </si>
  <si>
    <t>2009.4~현재</t>
  </si>
  <si>
    <t>2009.11~현재</t>
  </si>
  <si>
    <t>2008.8~현재</t>
    <phoneticPr fontId="3" type="noConversion"/>
  </si>
  <si>
    <t>2013.5~현재</t>
    <phoneticPr fontId="3" type="noConversion"/>
  </si>
  <si>
    <t>2014.1~현재</t>
    <phoneticPr fontId="3" type="noConversion"/>
  </si>
  <si>
    <t>Ⅱ</t>
    <phoneticPr fontId="3" type="noConversion"/>
  </si>
  <si>
    <t>서낙동강</t>
    <phoneticPr fontId="3" type="noConversion"/>
  </si>
  <si>
    <t>낙동강</t>
    <phoneticPr fontId="3" type="noConversion"/>
  </si>
  <si>
    <t>용성천</t>
  </si>
  <si>
    <t xml:space="preserve">II </t>
  </si>
  <si>
    <t>사촌천</t>
  </si>
  <si>
    <t>안양천</t>
  </si>
  <si>
    <t>여차천</t>
  </si>
  <si>
    <t>산본천</t>
  </si>
  <si>
    <t>원지천</t>
    <phoneticPr fontId="3" type="noConversion"/>
  </si>
  <si>
    <t>구거</t>
    <phoneticPr fontId="3" type="noConversion"/>
  </si>
  <si>
    <t>예안천</t>
    <phoneticPr fontId="3" type="noConversion"/>
  </si>
  <si>
    <t>(㎥/일)</t>
    <phoneticPr fontId="3" type="noConversion"/>
  </si>
  <si>
    <t>지역구분</t>
    <phoneticPr fontId="3" type="noConversion"/>
  </si>
  <si>
    <t>연간총전력사용량
(㎾h/년)</t>
    <phoneticPr fontId="3" type="noConversion"/>
  </si>
  <si>
    <r>
      <t>하수처리량당 
CO</t>
    </r>
    <r>
      <rPr>
        <vertAlign val="subscript"/>
        <sz val="8"/>
        <color rgb="FFFF0000"/>
        <rFont val="굴림체"/>
        <family val="3"/>
        <charset val="129"/>
      </rPr>
      <t>2</t>
    </r>
    <r>
      <rPr>
        <sz val="8"/>
        <color rgb="FFFF0000"/>
        <rFont val="굴림체"/>
        <family val="3"/>
        <charset val="129"/>
      </rPr>
      <t>배출량
(kgCO</t>
    </r>
    <r>
      <rPr>
        <vertAlign val="subscript"/>
        <sz val="8"/>
        <color rgb="FFFF0000"/>
        <rFont val="굴림체"/>
        <family val="3"/>
        <charset val="129"/>
      </rPr>
      <t>2</t>
    </r>
    <r>
      <rPr>
        <sz val="8"/>
        <color rgb="FFFF0000"/>
        <rFont val="굴림체"/>
        <family val="3"/>
        <charset val="129"/>
      </rPr>
      <t>/㎥)</t>
    </r>
    <phoneticPr fontId="3" type="noConversion"/>
  </si>
  <si>
    <t>전처리후 
소화조 직투입 또는 1차침전지 분배조</t>
    <phoneticPr fontId="3" type="noConversion"/>
  </si>
  <si>
    <t>해당사항 없음</t>
    <phoneticPr fontId="3" type="noConversion"/>
  </si>
  <si>
    <t xml:space="preserve"> </t>
    <phoneticPr fontId="3" type="noConversion"/>
  </si>
  <si>
    <t>12.2 하수 및 분뇨찌꺼기(슬러지)</t>
    <phoneticPr fontId="3" type="noConversion"/>
  </si>
  <si>
    <t>12.3 분뇨찌꺼기(슬러지) 처리현황</t>
    <phoneticPr fontId="3" type="noConversion"/>
  </si>
  <si>
    <t>0</t>
    <phoneticPr fontId="3" type="noConversion"/>
  </si>
  <si>
    <t>처리량(500㎥/일 이상/미만)</t>
    <phoneticPr fontId="3" type="noConversion"/>
  </si>
  <si>
    <t>김해시</t>
    <phoneticPr fontId="3" type="noConversion"/>
  </si>
  <si>
    <t>총 시설연장 
대비 준설율
(%)</t>
    <phoneticPr fontId="3" type="noConversion"/>
  </si>
</sst>
</file>

<file path=xl/styles.xml><?xml version="1.0" encoding="utf-8"?>
<styleSheet xmlns="http://schemas.openxmlformats.org/spreadsheetml/2006/main">
  <numFmts count="39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0.0_ "/>
    <numFmt numFmtId="178" formatCode="_-* #,##0.00_-;\-* #,##0.00_-;_-* &quot;-&quot;_-;_-@_-"/>
    <numFmt numFmtId="179" formatCode="#,##0_);[Red]\(#,##0\)"/>
    <numFmt numFmtId="180" formatCode="#,##0.0_ "/>
    <numFmt numFmtId="181" formatCode="_-* #,##0.0_-;\-* #,##0.0_-;_-* &quot;-&quot;_-;_-@_-"/>
    <numFmt numFmtId="182" formatCode="0.00_ "/>
    <numFmt numFmtId="183" formatCode="#,##0;[Red]#,##0"/>
    <numFmt numFmtId="184" formatCode="_-* #,##0.0_-;\-* #,##0.0_-;_-* &quot;-&quot;?_-;_-@_-"/>
    <numFmt numFmtId="185" formatCode="#,##0.00_);[Red]\(#,##0.00\)"/>
    <numFmt numFmtId="186" formatCode="_-* #,##0_-;\-* #,##0_-;_-* &quot;-&quot;??_-;_-@_-"/>
    <numFmt numFmtId="187" formatCode="0.0_);[Red]\(0.0\)"/>
    <numFmt numFmtId="188" formatCode="0.0%"/>
    <numFmt numFmtId="189" formatCode="_-* #,##0.0_-;\-* #,##0_-;_-* &quot;-&quot;_-;_-@_-"/>
    <numFmt numFmtId="190" formatCode="#,##0_);\(#,##0\)"/>
    <numFmt numFmtId="191" formatCode="0_ "/>
    <numFmt numFmtId="192" formatCode="0_);[Red]\(0\)"/>
    <numFmt numFmtId="193" formatCode="yy&quot;-&quot;m&quot;-&quot;d;@"/>
    <numFmt numFmtId="194" formatCode="_-* #,##0.00_-;\-* #,##0_-;_-* &quot;-&quot;_-;_-@_-"/>
    <numFmt numFmtId="195" formatCode="0&quot;개소&quot;"/>
    <numFmt numFmtId="196" formatCode="yy/mm/dd"/>
    <numFmt numFmtId="197" formatCode="0.000_ "/>
    <numFmt numFmtId="198" formatCode="yyyy/mm"/>
    <numFmt numFmtId="199" formatCode="yyyy/m/d"/>
    <numFmt numFmtId="200" formatCode="yyyy&quot;.&quot;m&quot;.&quot;d"/>
    <numFmt numFmtId="201" formatCode="_-* #,##0.000_-;\-* #,##0.00_-;_-* &quot;-&quot;_-;_-@_-"/>
    <numFmt numFmtId="202" formatCode="#,##0.0_);\(#,##0.0\)"/>
    <numFmt numFmtId="203" formatCode="#,##0.00_);\(#,##0.00\)"/>
    <numFmt numFmtId="204" formatCode="0&quot;개&quot;&quot;소&quot;"/>
    <numFmt numFmtId="205" formatCode="_-* #,##0_-;\-* #,##0_-;_-* &quot;-&quot;?_-;_-@_-"/>
    <numFmt numFmtId="206" formatCode="_-* #,##0.000_-;\-* #,##0.000_-;_-* &quot;-&quot;_-;_-@_-"/>
    <numFmt numFmtId="207" formatCode="0.000_);[Red]\(0.000\)"/>
    <numFmt numFmtId="208" formatCode="#,##0.0_);[Red]\(#,##0.0\)"/>
    <numFmt numFmtId="209" formatCode="#,##0.000_ "/>
    <numFmt numFmtId="210" formatCode="#,##0.0"/>
    <numFmt numFmtId="211" formatCode="#,##0.000"/>
  </numFmts>
  <fonts count="14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u/>
      <sz val="11"/>
      <color indexed="12"/>
      <name val="돋움"/>
      <family val="3"/>
      <charset val="129"/>
    </font>
    <font>
      <sz val="10"/>
      <name val="굴림체"/>
      <family val="3"/>
      <charset val="129"/>
    </font>
    <font>
      <b/>
      <sz val="12"/>
      <name val="휴먼옛체"/>
      <family val="1"/>
      <charset val="129"/>
    </font>
    <font>
      <b/>
      <sz val="10"/>
      <name val="굴림체"/>
      <family val="3"/>
      <charset val="129"/>
    </font>
    <font>
      <sz val="9"/>
      <name val="굴림체"/>
      <family val="3"/>
      <charset val="129"/>
    </font>
    <font>
      <b/>
      <sz val="11"/>
      <name val="굴림체"/>
      <family val="3"/>
      <charset val="129"/>
    </font>
    <font>
      <b/>
      <sz val="12"/>
      <name val="굴림"/>
      <family val="3"/>
      <charset val="129"/>
    </font>
    <font>
      <sz val="10"/>
      <color indexed="8"/>
      <name val="굴림체"/>
      <family val="3"/>
      <charset val="129"/>
    </font>
    <font>
      <sz val="8"/>
      <name val="굴림체"/>
      <family val="3"/>
      <charset val="129"/>
    </font>
    <font>
      <sz val="9"/>
      <color indexed="10"/>
      <name val="굴림체"/>
      <family val="3"/>
      <charset val="129"/>
    </font>
    <font>
      <sz val="8"/>
      <color indexed="10"/>
      <name val="굴림체"/>
      <family val="3"/>
      <charset val="129"/>
    </font>
    <font>
      <sz val="9"/>
      <color indexed="10"/>
      <name val="굴림체"/>
      <family val="3"/>
      <charset val="129"/>
    </font>
    <font>
      <sz val="10"/>
      <color indexed="10"/>
      <name val="굴림체"/>
      <family val="3"/>
      <charset val="129"/>
    </font>
    <font>
      <b/>
      <sz val="10"/>
      <color indexed="10"/>
      <name val="굴림체"/>
      <family val="3"/>
      <charset val="129"/>
    </font>
    <font>
      <sz val="10"/>
      <color indexed="10"/>
      <name val="돋움"/>
      <family val="3"/>
      <charset val="129"/>
    </font>
    <font>
      <b/>
      <sz val="12"/>
      <color indexed="10"/>
      <name val="휴먼옛체"/>
      <family val="1"/>
      <charset val="129"/>
    </font>
    <font>
      <b/>
      <sz val="14"/>
      <color indexed="10"/>
      <name val="돋움"/>
      <family val="3"/>
      <charset val="129"/>
    </font>
    <font>
      <sz val="10"/>
      <name val="돋움"/>
      <family val="3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sz val="11"/>
      <name val="돋움체"/>
      <family val="3"/>
      <charset val="129"/>
    </font>
    <font>
      <sz val="11"/>
      <color indexed="8"/>
      <name val="돋움체"/>
      <family val="3"/>
      <charset val="129"/>
    </font>
    <font>
      <sz val="11"/>
      <color indexed="10"/>
      <name val="돋움체"/>
      <family val="3"/>
      <charset val="129"/>
    </font>
    <font>
      <b/>
      <sz val="11"/>
      <color indexed="8"/>
      <name val="휴먼옛체"/>
      <family val="1"/>
      <charset val="129"/>
    </font>
    <font>
      <b/>
      <sz val="11"/>
      <name val="휴먼옛체"/>
      <family val="1"/>
      <charset val="129"/>
    </font>
    <font>
      <sz val="11"/>
      <name val="굴림체"/>
      <family val="3"/>
      <charset val="129"/>
    </font>
    <font>
      <sz val="10"/>
      <color indexed="8"/>
      <name val="굴림체"/>
      <family val="3"/>
      <charset val="129"/>
    </font>
    <font>
      <sz val="11"/>
      <color indexed="8"/>
      <name val="돋움체"/>
      <family val="3"/>
      <charset val="129"/>
    </font>
    <font>
      <sz val="9"/>
      <color indexed="8"/>
      <name val="굴림체"/>
      <family val="3"/>
      <charset val="129"/>
    </font>
    <font>
      <sz val="10"/>
      <name val="가을체"/>
      <family val="1"/>
      <charset val="129"/>
    </font>
    <font>
      <sz val="9"/>
      <name val="돋움"/>
      <family val="3"/>
      <charset val="129"/>
    </font>
    <font>
      <sz val="10"/>
      <color indexed="12"/>
      <name val="굴림체"/>
      <family val="3"/>
      <charset val="129"/>
    </font>
    <font>
      <b/>
      <sz val="10"/>
      <color indexed="8"/>
      <name val="굴림체"/>
      <family val="3"/>
      <charset val="129"/>
    </font>
    <font>
      <sz val="11"/>
      <color indexed="10"/>
      <name val="돋움"/>
      <family val="3"/>
      <charset val="129"/>
    </font>
    <font>
      <sz val="11"/>
      <name val="가을체"/>
      <family val="1"/>
      <charset val="129"/>
    </font>
    <font>
      <sz val="11"/>
      <color indexed="8"/>
      <name val="돋움"/>
      <family val="3"/>
      <charset val="129"/>
    </font>
    <font>
      <sz val="10"/>
      <color indexed="8"/>
      <name val="굴림"/>
      <family val="3"/>
      <charset val="129"/>
    </font>
    <font>
      <sz val="11"/>
      <name val="굴림"/>
      <family val="3"/>
      <charset val="129"/>
    </font>
    <font>
      <sz val="8"/>
      <color indexed="8"/>
      <name val="굴림체"/>
      <family val="3"/>
      <charset val="129"/>
    </font>
    <font>
      <b/>
      <sz val="11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indexed="8"/>
      <name val="돋움체"/>
      <family val="3"/>
      <charset val="129"/>
    </font>
    <font>
      <sz val="11"/>
      <color indexed="8"/>
      <name val="돋움체"/>
      <family val="3"/>
      <charset val="129"/>
    </font>
    <font>
      <sz val="10"/>
      <color indexed="8"/>
      <name val="굴림체"/>
      <family val="3"/>
      <charset val="129"/>
    </font>
    <font>
      <vertAlign val="superscript"/>
      <sz val="11"/>
      <color indexed="10"/>
      <name val="돋움체"/>
      <family val="3"/>
      <charset val="129"/>
    </font>
    <font>
      <b/>
      <sz val="8"/>
      <name val="굴림체"/>
      <family val="3"/>
      <charset val="129"/>
    </font>
    <font>
      <sz val="8"/>
      <color indexed="12"/>
      <name val="굴림체"/>
      <family val="3"/>
      <charset val="129"/>
    </font>
    <font>
      <b/>
      <sz val="8"/>
      <color indexed="8"/>
      <name val="굴림체"/>
      <family val="3"/>
      <charset val="129"/>
    </font>
    <font>
      <sz val="8"/>
      <color indexed="40"/>
      <name val="굴림체"/>
      <family val="3"/>
      <charset val="129"/>
    </font>
    <font>
      <vertAlign val="superscript"/>
      <sz val="8"/>
      <name val="굴림체"/>
      <family val="3"/>
      <charset val="129"/>
    </font>
    <font>
      <sz val="8"/>
      <name val="맑은 고딕"/>
      <family val="3"/>
      <charset val="129"/>
    </font>
    <font>
      <u/>
      <sz val="8"/>
      <name val="굴림체"/>
      <family val="3"/>
      <charset val="129"/>
    </font>
    <font>
      <b/>
      <sz val="9"/>
      <color indexed="81"/>
      <name val="Tahoma"/>
      <family val="2"/>
    </font>
    <font>
      <vertAlign val="superscript"/>
      <sz val="11"/>
      <name val="돋움체"/>
      <family val="3"/>
      <charset val="129"/>
    </font>
    <font>
      <sz val="10"/>
      <color indexed="81"/>
      <name val="돋움"/>
      <family val="3"/>
      <charset val="129"/>
    </font>
    <font>
      <sz val="10"/>
      <color indexed="81"/>
      <name val="Tahoma"/>
      <family val="2"/>
    </font>
    <font>
      <sz val="11"/>
      <color indexed="81"/>
      <name val="돋움"/>
      <family val="3"/>
      <charset val="129"/>
    </font>
    <font>
      <b/>
      <sz val="12"/>
      <name val="굴림체"/>
      <family val="3"/>
      <charset val="129"/>
    </font>
    <font>
      <sz val="11"/>
      <color indexed="8"/>
      <name val="굴림체"/>
      <family val="3"/>
      <charset val="129"/>
    </font>
    <font>
      <b/>
      <sz val="14"/>
      <color indexed="10"/>
      <name val="돋움체"/>
      <family val="3"/>
      <charset val="129"/>
    </font>
    <font>
      <sz val="11"/>
      <color indexed="10"/>
      <name val="맑은 고딕"/>
      <family val="3"/>
      <charset val="129"/>
    </font>
    <font>
      <sz val="11"/>
      <color indexed="8"/>
      <name val="돋움체"/>
      <family val="3"/>
      <charset val="129"/>
    </font>
    <font>
      <sz val="11"/>
      <name val="맑은 고딕"/>
      <family val="3"/>
      <charset val="129"/>
    </font>
    <font>
      <sz val="8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12"/>
      <color indexed="8"/>
      <name val="휴먼옛체"/>
      <family val="1"/>
      <charset val="129"/>
    </font>
    <font>
      <b/>
      <sz val="11"/>
      <color indexed="8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10"/>
      <color indexed="10"/>
      <name val="굴림체"/>
      <family val="3"/>
      <charset val="129"/>
    </font>
    <font>
      <b/>
      <sz val="11"/>
      <color indexed="8"/>
      <name val="돋움체"/>
      <family val="3"/>
      <charset val="129"/>
    </font>
    <font>
      <sz val="9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b/>
      <sz val="12"/>
      <color indexed="8"/>
      <name val="돋움체"/>
      <family val="3"/>
      <charset val="129"/>
    </font>
    <font>
      <sz val="11"/>
      <color indexed="8"/>
      <name val="굴림체"/>
      <family val="3"/>
      <charset val="129"/>
    </font>
    <font>
      <b/>
      <sz val="12"/>
      <color indexed="8"/>
      <name val="굴림"/>
      <family val="3"/>
      <charset val="129"/>
    </font>
    <font>
      <vertAlign val="superscript"/>
      <sz val="11"/>
      <color indexed="8"/>
      <name val="굴림체"/>
      <family val="3"/>
      <charset val="129"/>
    </font>
    <font>
      <sz val="10.5"/>
      <name val="굴림"/>
      <family val="3"/>
      <charset val="129"/>
    </font>
    <font>
      <vertAlign val="superscript"/>
      <sz val="11"/>
      <name val="굴림체"/>
      <family val="3"/>
      <charset val="129"/>
    </font>
    <font>
      <sz val="14"/>
      <color indexed="81"/>
      <name val="돋움"/>
      <family val="3"/>
      <charset val="129"/>
    </font>
    <font>
      <sz val="14"/>
      <color indexed="81"/>
      <name val="Tahoma"/>
      <family val="2"/>
    </font>
    <font>
      <b/>
      <sz val="14"/>
      <name val="굴림체"/>
      <family val="3"/>
      <charset val="129"/>
    </font>
    <font>
      <b/>
      <sz val="12"/>
      <color indexed="81"/>
      <name val="돋움"/>
      <family val="3"/>
      <charset val="129"/>
    </font>
    <font>
      <b/>
      <sz val="12"/>
      <color indexed="81"/>
      <name val="Tahoma"/>
      <family val="2"/>
    </font>
    <font>
      <sz val="10"/>
      <name val="돋움체"/>
      <family val="3"/>
      <charset val="129"/>
    </font>
    <font>
      <b/>
      <sz val="10"/>
      <name val="돋움체"/>
      <family val="3"/>
      <charset val="129"/>
    </font>
    <font>
      <sz val="8"/>
      <name val="맑은 고딕"/>
      <family val="3"/>
      <charset val="129"/>
    </font>
    <font>
      <sz val="8"/>
      <color indexed="8"/>
      <name val="돋움체"/>
      <family val="3"/>
      <charset val="129"/>
    </font>
    <font>
      <sz val="9"/>
      <color indexed="81"/>
      <name val="돋움"/>
      <family val="3"/>
      <charset val="129"/>
    </font>
    <font>
      <sz val="10"/>
      <color indexed="81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theme="1"/>
      <name val="돋움체"/>
      <family val="3"/>
      <charset val="129"/>
    </font>
    <font>
      <sz val="10"/>
      <color rgb="FFFF0000"/>
      <name val="굴림체"/>
      <family val="3"/>
      <charset val="129"/>
    </font>
    <font>
      <sz val="11"/>
      <color rgb="FFFF0000"/>
      <name val="돋움체"/>
      <family val="3"/>
      <charset val="129"/>
    </font>
    <font>
      <sz val="11"/>
      <color rgb="FFFF0000"/>
      <name val="굴림체"/>
      <family val="3"/>
      <charset val="129"/>
    </font>
    <font>
      <b/>
      <sz val="12"/>
      <color rgb="FFFF0000"/>
      <name val="굴림체"/>
      <family val="3"/>
      <charset val="129"/>
    </font>
    <font>
      <sz val="11"/>
      <color rgb="FFFF0000"/>
      <name val="돋움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돋움"/>
      <family val="3"/>
      <charset val="129"/>
    </font>
    <font>
      <sz val="11"/>
      <color rgb="FF0070C0"/>
      <name val="돋움체"/>
      <family val="3"/>
      <charset val="129"/>
    </font>
    <font>
      <sz val="8"/>
      <color rgb="FFFF0000"/>
      <name val="굴림체"/>
      <family val="3"/>
      <charset val="129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aj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b/>
      <sz val="11"/>
      <color rgb="FFFF0000"/>
      <name val="굴림체"/>
      <family val="3"/>
      <charset val="129"/>
    </font>
    <font>
      <sz val="10"/>
      <color theme="1"/>
      <name val="굴림체"/>
      <family val="3"/>
      <charset val="129"/>
    </font>
    <font>
      <sz val="8"/>
      <color theme="1"/>
      <name val="굴림체"/>
      <family val="3"/>
      <charset val="129"/>
    </font>
    <font>
      <b/>
      <sz val="11"/>
      <color rgb="FFFF0000"/>
      <name val="돋움체"/>
      <family val="3"/>
      <charset val="129"/>
    </font>
    <font>
      <b/>
      <sz val="11"/>
      <color theme="1"/>
      <name val="굴림체"/>
      <family val="3"/>
      <charset val="129"/>
    </font>
    <font>
      <sz val="11"/>
      <color indexed="8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1"/>
      <color rgb="FF002060"/>
      <name val="돋움체"/>
      <family val="3"/>
      <charset val="129"/>
    </font>
    <font>
      <sz val="11"/>
      <color rgb="FF002060"/>
      <name val="돋움"/>
      <family val="3"/>
      <charset val="129"/>
    </font>
    <font>
      <b/>
      <sz val="11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rgb="FF002060"/>
      <name val="굴림체"/>
      <family val="3"/>
      <charset val="129"/>
    </font>
    <font>
      <sz val="10"/>
      <color indexed="8"/>
      <name val="돋움체"/>
      <family val="3"/>
      <charset val="129"/>
    </font>
    <font>
      <b/>
      <sz val="12"/>
      <color rgb="FF0070C0"/>
      <name val="굴림체"/>
      <family val="3"/>
      <charset val="129"/>
    </font>
    <font>
      <b/>
      <sz val="11"/>
      <color rgb="FF0070C0"/>
      <name val="굴림체"/>
      <family val="3"/>
      <charset val="129"/>
    </font>
    <font>
      <b/>
      <sz val="12"/>
      <color rgb="FF0070C0"/>
      <name val="돋움체"/>
      <family val="3"/>
      <charset val="129"/>
    </font>
    <font>
      <sz val="10"/>
      <color theme="1"/>
      <name val="돋움체"/>
      <family val="3"/>
      <charset val="129"/>
    </font>
    <font>
      <sz val="11"/>
      <color theme="1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rgb="FF002060"/>
      <name val="돋움체"/>
      <family val="3"/>
      <charset val="129"/>
    </font>
    <font>
      <sz val="8"/>
      <name val="굴림"/>
      <family val="3"/>
      <charset val="129"/>
    </font>
    <font>
      <sz val="8"/>
      <color theme="1"/>
      <name val="굴림"/>
      <family val="3"/>
      <charset val="129"/>
    </font>
    <font>
      <sz val="8"/>
      <color theme="1"/>
      <name val="함초롬바탕"/>
      <family val="1"/>
      <charset val="129"/>
    </font>
    <font>
      <vertAlign val="subscript"/>
      <sz val="8"/>
      <color rgb="FFFF0000"/>
      <name val="굴림체"/>
      <family val="3"/>
      <charset val="129"/>
    </font>
    <font>
      <sz val="9"/>
      <name val="돋움체"/>
      <family val="3"/>
      <charset val="129"/>
    </font>
    <font>
      <sz val="9"/>
      <color rgb="FF3D3D3D"/>
      <name val="돋움"/>
      <family val="3"/>
      <charset val="129"/>
    </font>
    <font>
      <b/>
      <sz val="11"/>
      <color theme="1"/>
      <name val="돋움체"/>
      <family val="3"/>
      <charset val="129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C5D9F1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rgb="FF000000"/>
      </right>
      <top/>
      <bottom style="thin">
        <color rgb="FF000000"/>
      </bottom>
      <diagonal/>
    </border>
  </borders>
  <cellStyleXfs count="24">
    <xf numFmtId="0" fontId="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186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9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96" fillId="10" borderId="67" applyNumberFormat="0" applyAlignment="0" applyProtection="0">
      <alignment vertical="center"/>
    </xf>
  </cellStyleXfs>
  <cellXfs count="2133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8" fillId="0" borderId="0" xfId="0" applyFont="1"/>
    <xf numFmtId="0" fontId="15" fillId="0" borderId="0" xfId="0" applyFont="1" applyAlignment="1"/>
    <xf numFmtId="0" fontId="0" fillId="0" borderId="1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1" fillId="0" borderId="9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/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30" fillId="0" borderId="0" xfId="0" applyFont="1" applyFill="1"/>
    <xf numFmtId="41" fontId="31" fillId="0" borderId="1" xfId="3" applyNumberFormat="1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41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4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1" fontId="5" fillId="0" borderId="0" xfId="0" applyNumberFormat="1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/>
    </xf>
    <xf numFmtId="0" fontId="30" fillId="0" borderId="0" xfId="0" applyFont="1" applyFill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vertical="center" wrapText="1"/>
    </xf>
    <xf numFmtId="0" fontId="5" fillId="0" borderId="14" xfId="0" applyFont="1" applyBorder="1" applyAlignment="1">
      <alignment horizontal="center" vertical="center" wrapText="1"/>
    </xf>
    <xf numFmtId="41" fontId="0" fillId="0" borderId="1" xfId="3" applyFont="1" applyBorder="1" applyAlignment="1">
      <alignment horizontal="right" vertical="center"/>
    </xf>
    <xf numFmtId="41" fontId="33" fillId="0" borderId="1" xfId="3" applyFont="1" applyBorder="1" applyAlignment="1">
      <alignment horizontal="right" vertical="center" wrapText="1"/>
    </xf>
    <xf numFmtId="41" fontId="11" fillId="0" borderId="1" xfId="3" applyFont="1" applyBorder="1" applyAlignment="1">
      <alignment vertical="center" wrapText="1"/>
    </xf>
    <xf numFmtId="41" fontId="11" fillId="0" borderId="1" xfId="3" applyFont="1" applyBorder="1" applyAlignment="1">
      <alignment horizontal="right" vertical="center" wrapText="1"/>
    </xf>
    <xf numFmtId="41" fontId="11" fillId="0" borderId="7" xfId="3" applyFont="1" applyBorder="1" applyAlignment="1">
      <alignment horizontal="right" vertical="center" wrapText="1"/>
    </xf>
    <xf numFmtId="41" fontId="47" fillId="0" borderId="10" xfId="0" applyNumberFormat="1" applyFont="1" applyFill="1" applyBorder="1" applyAlignment="1">
      <alignment horizontal="center" vertical="center" wrapText="1"/>
    </xf>
    <xf numFmtId="189" fontId="47" fillId="0" borderId="16" xfId="0" applyNumberFormat="1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center" vertical="center" wrapText="1"/>
    </xf>
    <xf numFmtId="41" fontId="47" fillId="0" borderId="1" xfId="0" applyNumberFormat="1" applyFont="1" applyFill="1" applyBorder="1" applyAlignment="1">
      <alignment horizontal="center" vertical="center" wrapText="1"/>
    </xf>
    <xf numFmtId="189" fontId="47" fillId="0" borderId="5" xfId="0" applyNumberFormat="1" applyFont="1" applyFill="1" applyBorder="1" applyAlignment="1">
      <alignment horizontal="center" vertical="center" wrapText="1"/>
    </xf>
    <xf numFmtId="41" fontId="47" fillId="0" borderId="1" xfId="3" applyNumberFormat="1" applyFont="1" applyFill="1" applyBorder="1" applyAlignment="1">
      <alignment horizontal="center" vertical="center" wrapText="1"/>
    </xf>
    <xf numFmtId="189" fontId="47" fillId="0" borderId="5" xfId="3" applyNumberFormat="1" applyFont="1" applyFill="1" applyBorder="1" applyAlignment="1">
      <alignment horizontal="center" vertical="center" wrapText="1"/>
    </xf>
    <xf numFmtId="41" fontId="47" fillId="0" borderId="1" xfId="0" applyNumberFormat="1" applyFont="1" applyFill="1" applyBorder="1" applyAlignment="1">
      <alignment horizontal="center" vertical="center"/>
    </xf>
    <xf numFmtId="41" fontId="47" fillId="0" borderId="1" xfId="3" applyNumberFormat="1" applyFont="1" applyFill="1" applyBorder="1" applyAlignment="1">
      <alignment horizontal="center" vertical="center"/>
    </xf>
    <xf numFmtId="189" fontId="47" fillId="0" borderId="5" xfId="0" applyNumberFormat="1" applyFont="1" applyFill="1" applyBorder="1" applyAlignment="1">
      <alignment horizontal="center" vertical="center"/>
    </xf>
    <xf numFmtId="189" fontId="47" fillId="0" borderId="5" xfId="3" applyNumberFormat="1" applyFont="1" applyFill="1" applyBorder="1" applyAlignment="1">
      <alignment horizontal="center" vertical="center"/>
    </xf>
    <xf numFmtId="0" fontId="47" fillId="0" borderId="4" xfId="3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41" fontId="11" fillId="2" borderId="1" xfId="3" applyFont="1" applyFill="1" applyBorder="1" applyAlignment="1">
      <alignment horizontal="center" vertical="center" wrapText="1"/>
    </xf>
    <xf numFmtId="41" fontId="11" fillId="2" borderId="1" xfId="3" applyFont="1" applyFill="1" applyBorder="1" applyAlignment="1">
      <alignment vertical="center" wrapText="1"/>
    </xf>
    <xf numFmtId="41" fontId="11" fillId="2" borderId="5" xfId="3" applyFont="1" applyFill="1" applyBorder="1" applyAlignment="1">
      <alignment horizontal="center" vertical="center" wrapText="1"/>
    </xf>
    <xf numFmtId="41" fontId="0" fillId="0" borderId="1" xfId="3" applyFont="1" applyBorder="1"/>
    <xf numFmtId="41" fontId="11" fillId="0" borderId="1" xfId="3" applyFont="1" applyBorder="1" applyAlignment="1">
      <alignment wrapText="1"/>
    </xf>
    <xf numFmtId="41" fontId="11" fillId="0" borderId="1" xfId="3" applyFont="1" applyBorder="1" applyAlignment="1">
      <alignment horizontal="center" wrapText="1"/>
    </xf>
    <xf numFmtId="41" fontId="11" fillId="0" borderId="5" xfId="3" applyFont="1" applyBorder="1" applyAlignment="1">
      <alignment horizontal="center" wrapText="1"/>
    </xf>
    <xf numFmtId="176" fontId="5" fillId="3" borderId="1" xfId="0" applyNumberFormat="1" applyFont="1" applyFill="1" applyBorder="1" applyAlignment="1">
      <alignment vertical="center" wrapText="1"/>
    </xf>
    <xf numFmtId="0" fontId="11" fillId="0" borderId="17" xfId="0" applyFont="1" applyBorder="1" applyAlignment="1">
      <alignment horizontal="center" vertical="center" wrapText="1"/>
    </xf>
    <xf numFmtId="41" fontId="35" fillId="0" borderId="18" xfId="3" applyFont="1" applyBorder="1" applyAlignment="1">
      <alignment horizontal="center" vertical="center" wrapText="1"/>
    </xf>
    <xf numFmtId="41" fontId="35" fillId="0" borderId="19" xfId="3" applyFont="1" applyBorder="1" applyAlignment="1">
      <alignment horizontal="center" vertical="center" wrapText="1"/>
    </xf>
    <xf numFmtId="41" fontId="35" fillId="0" borderId="20" xfId="3" applyFont="1" applyBorder="1" applyAlignment="1">
      <alignment horizontal="center" vertical="center" wrapText="1"/>
    </xf>
    <xf numFmtId="41" fontId="11" fillId="0" borderId="1" xfId="3" applyFont="1" applyBorder="1" applyAlignment="1">
      <alignment horizontal="center" vertical="center" wrapText="1"/>
    </xf>
    <xf numFmtId="41" fontId="11" fillId="0" borderId="4" xfId="3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41" fontId="0" fillId="0" borderId="0" xfId="0" applyNumberFormat="1"/>
    <xf numFmtId="183" fontId="11" fillId="0" borderId="4" xfId="0" applyNumberFormat="1" applyFont="1" applyBorder="1" applyAlignment="1">
      <alignment horizontal="center" vertical="center" wrapText="1"/>
    </xf>
    <xf numFmtId="183" fontId="11" fillId="0" borderId="1" xfId="0" applyNumberFormat="1" applyFont="1" applyBorder="1" applyAlignment="1">
      <alignment horizontal="center" vertical="center" wrapText="1"/>
    </xf>
    <xf numFmtId="41" fontId="36" fillId="0" borderId="9" xfId="3" applyFont="1" applyBorder="1" applyAlignment="1">
      <alignment horizontal="center" vertical="center" wrapText="1"/>
    </xf>
    <xf numFmtId="41" fontId="36" fillId="0" borderId="10" xfId="3" applyFont="1" applyBorder="1" applyAlignment="1">
      <alignment horizontal="right" vertical="center" wrapText="1"/>
    </xf>
    <xf numFmtId="41" fontId="16" fillId="0" borderId="1" xfId="3" applyFont="1" applyBorder="1" applyAlignment="1">
      <alignment horizontal="right" vertical="center" wrapText="1"/>
    </xf>
    <xf numFmtId="41" fontId="37" fillId="0" borderId="1" xfId="3" applyFont="1" applyBorder="1" applyAlignment="1">
      <alignment horizontal="right" vertical="center"/>
    </xf>
    <xf numFmtId="41" fontId="0" fillId="0" borderId="4" xfId="3" applyFont="1" applyBorder="1" applyAlignment="1">
      <alignment horizontal="center" vertical="center"/>
    </xf>
    <xf numFmtId="41" fontId="33" fillId="0" borderId="4" xfId="3" applyFont="1" applyBorder="1" applyAlignment="1">
      <alignment horizontal="center" vertical="center" wrapText="1"/>
    </xf>
    <xf numFmtId="41" fontId="38" fillId="0" borderId="1" xfId="3" applyFont="1" applyBorder="1" applyAlignment="1">
      <alignment horizontal="right" vertical="center"/>
    </xf>
    <xf numFmtId="41" fontId="5" fillId="0" borderId="4" xfId="3" applyFont="1" applyBorder="1" applyAlignment="1">
      <alignment horizontal="center" vertical="center" shrinkToFit="1"/>
    </xf>
    <xf numFmtId="41" fontId="5" fillId="0" borderId="1" xfId="3" applyFont="1" applyBorder="1" applyAlignment="1">
      <alignment horizontal="right" vertical="center" shrinkToFit="1"/>
    </xf>
    <xf numFmtId="41" fontId="11" fillId="0" borderId="1" xfId="3" applyFont="1" applyBorder="1" applyAlignment="1">
      <alignment horizontal="right" vertical="center"/>
    </xf>
    <xf numFmtId="41" fontId="11" fillId="4" borderId="4" xfId="3" applyFont="1" applyFill="1" applyBorder="1" applyAlignment="1">
      <alignment horizontal="center" vertical="center" wrapText="1"/>
    </xf>
    <xf numFmtId="41" fontId="29" fillId="0" borderId="1" xfId="3" applyFont="1" applyBorder="1" applyAlignment="1">
      <alignment horizontal="right" vertical="center"/>
    </xf>
    <xf numFmtId="41" fontId="39" fillId="0" borderId="1" xfId="3" applyFont="1" applyBorder="1" applyAlignment="1">
      <alignment horizontal="right" vertical="center"/>
    </xf>
    <xf numFmtId="41" fontId="40" fillId="0" borderId="1" xfId="3" applyFont="1" applyBorder="1" applyAlignment="1">
      <alignment horizontal="right" vertical="center" wrapText="1"/>
    </xf>
    <xf numFmtId="41" fontId="41" fillId="0" borderId="1" xfId="3" applyFont="1" applyBorder="1" applyAlignment="1">
      <alignment horizontal="right" vertical="center"/>
    </xf>
    <xf numFmtId="41" fontId="11" fillId="0" borderId="6" xfId="3" applyFont="1" applyBorder="1" applyAlignment="1">
      <alignment horizontal="center" vertical="center" wrapText="1"/>
    </xf>
    <xf numFmtId="41" fontId="0" fillId="0" borderId="7" xfId="3" applyFont="1" applyBorder="1" applyAlignment="1">
      <alignment horizontal="right" vertical="center"/>
    </xf>
    <xf numFmtId="0" fontId="42" fillId="0" borderId="13" xfId="0" applyFont="1" applyBorder="1" applyAlignment="1">
      <alignment horizontal="center" vertical="center" wrapText="1"/>
    </xf>
    <xf numFmtId="0" fontId="42" fillId="0" borderId="21" xfId="0" applyFont="1" applyBorder="1" applyAlignment="1">
      <alignment horizontal="center" vertical="center" wrapText="1"/>
    </xf>
    <xf numFmtId="177" fontId="42" fillId="0" borderId="21" xfId="0" applyNumberFormat="1" applyFont="1" applyBorder="1" applyAlignment="1">
      <alignment horizontal="center" vertical="center" wrapText="1"/>
    </xf>
    <xf numFmtId="177" fontId="42" fillId="0" borderId="22" xfId="0" applyNumberFormat="1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177" fontId="42" fillId="0" borderId="1" xfId="0" applyNumberFormat="1" applyFont="1" applyBorder="1" applyAlignment="1">
      <alignment horizontal="center" vertical="center" wrapText="1"/>
    </xf>
    <xf numFmtId="177" fontId="42" fillId="0" borderId="5" xfId="0" applyNumberFormat="1" applyFont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179" fontId="42" fillId="0" borderId="1" xfId="0" applyNumberFormat="1" applyFont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91" fontId="3" fillId="0" borderId="1" xfId="0" applyNumberFormat="1" applyFont="1" applyBorder="1" applyAlignment="1">
      <alignment horizontal="center" vertical="center"/>
    </xf>
    <xf numFmtId="191" fontId="3" fillId="0" borderId="5" xfId="0" applyNumberFormat="1" applyFont="1" applyBorder="1" applyAlignment="1">
      <alignment horizontal="center" vertical="center"/>
    </xf>
    <xf numFmtId="41" fontId="42" fillId="0" borderId="1" xfId="3" applyFont="1" applyBorder="1" applyAlignment="1">
      <alignment horizontal="center" vertical="center" wrapText="1"/>
    </xf>
    <xf numFmtId="176" fontId="42" fillId="0" borderId="1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77" fontId="12" fillId="0" borderId="1" xfId="0" applyNumberFormat="1" applyFont="1" applyBorder="1" applyAlignment="1">
      <alignment horizontal="center" vertical="center" wrapText="1"/>
    </xf>
    <xf numFmtId="177" fontId="12" fillId="0" borderId="5" xfId="0" applyNumberFormat="1" applyFont="1" applyBorder="1" applyAlignment="1">
      <alignment horizontal="center" vertical="center" wrapText="1"/>
    </xf>
    <xf numFmtId="0" fontId="12" fillId="0" borderId="4" xfId="12" applyFont="1" applyBorder="1" applyAlignment="1">
      <alignment horizontal="center" vertical="center" wrapText="1"/>
    </xf>
    <xf numFmtId="41" fontId="12" fillId="0" borderId="1" xfId="3" applyFont="1" applyBorder="1" applyAlignment="1">
      <alignment horizontal="center" vertical="center" wrapText="1"/>
    </xf>
    <xf numFmtId="180" fontId="42" fillId="0" borderId="1" xfId="0" applyNumberFormat="1" applyFont="1" applyBorder="1" applyAlignment="1">
      <alignment horizontal="center" vertical="center" wrapText="1"/>
    </xf>
    <xf numFmtId="180" fontId="14" fillId="0" borderId="1" xfId="0" applyNumberFormat="1" applyFont="1" applyBorder="1" applyAlignment="1">
      <alignment horizontal="center" vertical="center" wrapText="1"/>
    </xf>
    <xf numFmtId="180" fontId="42" fillId="0" borderId="5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5" xfId="0" applyFont="1" applyFill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177" fontId="42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1" fontId="32" fillId="2" borderId="4" xfId="3" applyFont="1" applyFill="1" applyBorder="1" applyAlignment="1">
      <alignment horizontal="center" vertical="center" wrapText="1"/>
    </xf>
    <xf numFmtId="41" fontId="32" fillId="2" borderId="1" xfId="3" applyFont="1" applyFill="1" applyBorder="1" applyAlignment="1">
      <alignment horizontal="right" vertical="center" wrapText="1"/>
    </xf>
    <xf numFmtId="41" fontId="32" fillId="2" borderId="5" xfId="3" applyFont="1" applyFill="1" applyBorder="1" applyAlignment="1">
      <alignment horizontal="right" vertical="center" wrapText="1"/>
    </xf>
    <xf numFmtId="41" fontId="32" fillId="0" borderId="4" xfId="3" applyFont="1" applyBorder="1" applyAlignment="1">
      <alignment horizontal="center" vertical="center" wrapText="1"/>
    </xf>
    <xf numFmtId="41" fontId="32" fillId="0" borderId="1" xfId="3" applyFont="1" applyBorder="1" applyAlignment="1">
      <alignment horizontal="right" vertical="center" wrapText="1"/>
    </xf>
    <xf numFmtId="41" fontId="32" fillId="0" borderId="5" xfId="3" applyFont="1" applyBorder="1" applyAlignment="1">
      <alignment horizontal="right" vertical="center" wrapText="1"/>
    </xf>
    <xf numFmtId="41" fontId="34" fillId="0" borderId="4" xfId="3" applyFont="1" applyBorder="1" applyAlignment="1">
      <alignment horizontal="center" vertical="center" wrapText="1"/>
    </xf>
    <xf numFmtId="41" fontId="34" fillId="0" borderId="1" xfId="3" applyFont="1" applyBorder="1" applyAlignment="1">
      <alignment horizontal="right" vertical="center" wrapText="1"/>
    </xf>
    <xf numFmtId="41" fontId="34" fillId="0" borderId="5" xfId="3" applyFont="1" applyBorder="1" applyAlignment="1">
      <alignment horizontal="right" vertical="center" wrapText="1"/>
    </xf>
    <xf numFmtId="181" fontId="34" fillId="0" borderId="1" xfId="3" applyNumberFormat="1" applyFont="1" applyBorder="1" applyAlignment="1">
      <alignment horizontal="right" vertical="center" wrapText="1"/>
    </xf>
    <xf numFmtId="41" fontId="34" fillId="0" borderId="6" xfId="3" applyFont="1" applyBorder="1" applyAlignment="1">
      <alignment horizontal="center" vertical="center" wrapText="1"/>
    </xf>
    <xf numFmtId="41" fontId="34" fillId="0" borderId="7" xfId="3" applyFont="1" applyBorder="1" applyAlignment="1">
      <alignment horizontal="right" vertical="center" wrapText="1"/>
    </xf>
    <xf numFmtId="41" fontId="32" fillId="0" borderId="7" xfId="3" applyFont="1" applyBorder="1" applyAlignment="1">
      <alignment horizontal="right" vertical="center" wrapText="1"/>
    </xf>
    <xf numFmtId="41" fontId="32" fillId="0" borderId="8" xfId="3" applyFont="1" applyBorder="1" applyAlignment="1">
      <alignment horizontal="right" vertical="center" wrapText="1"/>
    </xf>
    <xf numFmtId="0" fontId="36" fillId="5" borderId="9" xfId="0" applyFont="1" applyFill="1" applyBorder="1" applyAlignment="1">
      <alignment horizontal="center" vertical="center" wrapText="1"/>
    </xf>
    <xf numFmtId="178" fontId="36" fillId="5" borderId="10" xfId="3" applyNumberFormat="1" applyFont="1" applyFill="1" applyBorder="1" applyAlignment="1">
      <alignment horizontal="center" wrapText="1"/>
    </xf>
    <xf numFmtId="178" fontId="36" fillId="5" borderId="10" xfId="3" applyNumberFormat="1" applyFont="1" applyFill="1" applyBorder="1" applyAlignment="1">
      <alignment wrapText="1"/>
    </xf>
    <xf numFmtId="178" fontId="36" fillId="5" borderId="16" xfId="3" applyNumberFormat="1" applyFont="1" applyFill="1" applyBorder="1" applyAlignment="1">
      <alignment wrapText="1"/>
    </xf>
    <xf numFmtId="0" fontId="36" fillId="6" borderId="13" xfId="0" applyFont="1" applyFill="1" applyBorder="1" applyAlignment="1">
      <alignment horizontal="center" vertical="center" wrapText="1"/>
    </xf>
    <xf numFmtId="178" fontId="36" fillId="6" borderId="21" xfId="3" applyNumberFormat="1" applyFont="1" applyFill="1" applyBorder="1" applyAlignment="1">
      <alignment horizontal="center" wrapText="1"/>
    </xf>
    <xf numFmtId="178" fontId="36" fillId="6" borderId="21" xfId="3" applyNumberFormat="1" applyFont="1" applyFill="1" applyBorder="1" applyAlignment="1">
      <alignment wrapText="1"/>
    </xf>
    <xf numFmtId="178" fontId="43" fillId="6" borderId="21" xfId="3" applyNumberFormat="1" applyFont="1" applyFill="1" applyBorder="1"/>
    <xf numFmtId="178" fontId="36" fillId="6" borderId="22" xfId="3" applyNumberFormat="1" applyFont="1" applyFill="1" applyBorder="1" applyAlignment="1">
      <alignment wrapText="1"/>
    </xf>
    <xf numFmtId="178" fontId="11" fillId="0" borderId="1" xfId="3" applyNumberFormat="1" applyFont="1" applyBorder="1" applyAlignment="1">
      <alignment horizontal="center" wrapText="1"/>
    </xf>
    <xf numFmtId="178" fontId="11" fillId="0" borderId="1" xfId="3" applyNumberFormat="1" applyFont="1" applyBorder="1" applyAlignment="1">
      <alignment wrapText="1"/>
    </xf>
    <xf numFmtId="178" fontId="11" fillId="0" borderId="5" xfId="3" applyNumberFormat="1" applyFont="1" applyBorder="1" applyAlignment="1">
      <alignment horizontal="center" wrapText="1"/>
    </xf>
    <xf numFmtId="178" fontId="0" fillId="0" borderId="1" xfId="3" applyNumberFormat="1" applyFont="1" applyBorder="1"/>
    <xf numFmtId="179" fontId="11" fillId="0" borderId="4" xfId="0" applyNumberFormat="1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178" fontId="11" fillId="0" borderId="7" xfId="3" applyNumberFormat="1" applyFont="1" applyBorder="1" applyAlignment="1">
      <alignment horizontal="center" wrapText="1"/>
    </xf>
    <xf numFmtId="178" fontId="11" fillId="0" borderId="7" xfId="3" applyNumberFormat="1" applyFont="1" applyBorder="1" applyAlignment="1">
      <alignment wrapText="1"/>
    </xf>
    <xf numFmtId="178" fontId="11" fillId="0" borderId="8" xfId="3" applyNumberFormat="1" applyFont="1" applyBorder="1" applyAlignment="1">
      <alignment horizontal="center" wrapText="1"/>
    </xf>
    <xf numFmtId="0" fontId="36" fillId="6" borderId="13" xfId="0" applyFont="1" applyFill="1" applyBorder="1" applyAlignment="1">
      <alignment horizontal="center" vertical="center"/>
    </xf>
    <xf numFmtId="178" fontId="36" fillId="6" borderId="21" xfId="3" applyNumberFormat="1" applyFont="1" applyFill="1" applyBorder="1" applyAlignment="1">
      <alignment horizontal="center" vertical="center"/>
    </xf>
    <xf numFmtId="178" fontId="36" fillId="6" borderId="1" xfId="3" applyNumberFormat="1" applyFont="1" applyFill="1" applyBorder="1" applyAlignment="1">
      <alignment horizontal="center" vertical="center"/>
    </xf>
    <xf numFmtId="178" fontId="36" fillId="6" borderId="5" xfId="3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78" fontId="11" fillId="0" borderId="1" xfId="3" applyNumberFormat="1" applyFont="1" applyBorder="1" applyAlignment="1">
      <alignment horizontal="center" vertical="center"/>
    </xf>
    <xf numFmtId="178" fontId="0" fillId="0" borderId="1" xfId="3" applyNumberFormat="1" applyFont="1" applyBorder="1" applyAlignment="1">
      <alignment horizontal="center" vertical="center"/>
    </xf>
    <xf numFmtId="178" fontId="11" fillId="0" borderId="5" xfId="3" applyNumberFormat="1" applyFont="1" applyBorder="1" applyAlignment="1">
      <alignment horizontal="center" vertical="center" wrapText="1"/>
    </xf>
    <xf numFmtId="182" fontId="11" fillId="0" borderId="4" xfId="0" applyNumberFormat="1" applyFont="1" applyBorder="1" applyAlignment="1">
      <alignment horizontal="center" vertical="center"/>
    </xf>
    <xf numFmtId="178" fontId="11" fillId="0" borderId="1" xfId="3" applyNumberFormat="1" applyFont="1" applyBorder="1" applyAlignment="1">
      <alignment horizontal="center" vertical="center" wrapText="1"/>
    </xf>
    <xf numFmtId="181" fontId="11" fillId="0" borderId="4" xfId="3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78" fontId="11" fillId="0" borderId="7" xfId="3" applyNumberFormat="1" applyFont="1" applyBorder="1" applyAlignment="1">
      <alignment horizontal="center" vertical="center"/>
    </xf>
    <xf numFmtId="178" fontId="11" fillId="0" borderId="8" xfId="3" applyNumberFormat="1" applyFont="1" applyBorder="1" applyAlignment="1">
      <alignment horizontal="center" vertical="center" wrapText="1"/>
    </xf>
    <xf numFmtId="0" fontId="44" fillId="7" borderId="9" xfId="0" applyFont="1" applyFill="1" applyBorder="1" applyAlignment="1">
      <alignment horizontal="center" vertical="center"/>
    </xf>
    <xf numFmtId="184" fontId="44" fillId="7" borderId="10" xfId="0" applyNumberFormat="1" applyFont="1" applyFill="1" applyBorder="1" applyAlignment="1">
      <alignment horizontal="center" vertical="center"/>
    </xf>
    <xf numFmtId="181" fontId="44" fillId="7" borderId="10" xfId="3" applyNumberFormat="1" applyFont="1" applyFill="1" applyBorder="1" applyAlignment="1">
      <alignment horizontal="center" vertical="center"/>
    </xf>
    <xf numFmtId="0" fontId="32" fillId="8" borderId="4" xfId="0" applyFont="1" applyFill="1" applyBorder="1" applyAlignment="1">
      <alignment horizontal="center" vertical="center"/>
    </xf>
    <xf numFmtId="181" fontId="32" fillId="8" borderId="1" xfId="0" applyNumberFormat="1" applyFont="1" applyFill="1" applyBorder="1" applyAlignment="1">
      <alignment horizontal="center" vertical="center"/>
    </xf>
    <xf numFmtId="181" fontId="32" fillId="8" borderId="5" xfId="0" applyNumberFormat="1" applyFont="1" applyFill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81" fontId="32" fillId="0" borderId="21" xfId="3" applyNumberFormat="1" applyFont="1" applyBorder="1" applyAlignment="1">
      <alignment horizontal="center" vertical="center"/>
    </xf>
    <xf numFmtId="181" fontId="32" fillId="0" borderId="22" xfId="3" applyNumberFormat="1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81" fontId="32" fillId="0" borderId="1" xfId="3" applyNumberFormat="1" applyFont="1" applyBorder="1" applyAlignment="1">
      <alignment horizontal="center" vertical="center"/>
    </xf>
    <xf numFmtId="181" fontId="8" fillId="0" borderId="1" xfId="3" applyNumberFormat="1" applyFont="1" applyBorder="1" applyAlignment="1">
      <alignment horizontal="center" vertical="center"/>
    </xf>
    <xf numFmtId="181" fontId="8" fillId="0" borderId="5" xfId="3" applyNumberFormat="1" applyFont="1" applyBorder="1" applyAlignment="1">
      <alignment horizontal="center" vertical="center"/>
    </xf>
    <xf numFmtId="181" fontId="32" fillId="0" borderId="5" xfId="3" applyNumberFormat="1" applyFont="1" applyBorder="1" applyAlignment="1">
      <alignment horizontal="center" vertical="center"/>
    </xf>
    <xf numFmtId="181" fontId="32" fillId="0" borderId="4" xfId="0" applyNumberFormat="1" applyFont="1" applyBorder="1" applyAlignment="1">
      <alignment horizontal="center" vertical="center"/>
    </xf>
    <xf numFmtId="181" fontId="34" fillId="0" borderId="1" xfId="0" applyNumberFormat="1" applyFont="1" applyBorder="1" applyAlignment="1">
      <alignment horizontal="center" vertical="center"/>
    </xf>
    <xf numFmtId="181" fontId="34" fillId="0" borderId="5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81" fontId="13" fillId="0" borderId="1" xfId="3" applyNumberFormat="1" applyFont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181" fontId="32" fillId="0" borderId="1" xfId="3" applyNumberFormat="1" applyFont="1" applyFill="1" applyBorder="1" applyAlignment="1">
      <alignment horizontal="center" vertical="center"/>
    </xf>
    <xf numFmtId="181" fontId="32" fillId="0" borderId="5" xfId="3" applyNumberFormat="1" applyFont="1" applyFill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181" fontId="32" fillId="0" borderId="7" xfId="3" applyNumberFormat="1" applyFont="1" applyBorder="1" applyAlignment="1">
      <alignment horizontal="center" vertical="center"/>
    </xf>
    <xf numFmtId="181" fontId="32" fillId="0" borderId="8" xfId="3" applyNumberFormat="1" applyFont="1" applyBorder="1" applyAlignment="1">
      <alignment horizontal="center" vertical="center"/>
    </xf>
    <xf numFmtId="0" fontId="11" fillId="8" borderId="4" xfId="0" applyNumberFormat="1" applyFont="1" applyFill="1" applyBorder="1" applyAlignment="1">
      <alignment horizontal="center" vertical="center" wrapText="1"/>
    </xf>
    <xf numFmtId="3" fontId="11" fillId="8" borderId="1" xfId="0" applyNumberFormat="1" applyFont="1" applyFill="1" applyBorder="1" applyAlignment="1">
      <alignment horizontal="center" vertical="center" wrapText="1"/>
    </xf>
    <xf numFmtId="3" fontId="11" fillId="8" borderId="5" xfId="0" applyNumberFormat="1" applyFont="1" applyFill="1" applyBorder="1" applyAlignment="1">
      <alignment horizontal="center" vertical="center" wrapText="1"/>
    </xf>
    <xf numFmtId="0" fontId="11" fillId="3" borderId="4" xfId="0" applyNumberFormat="1" applyFont="1" applyFill="1" applyBorder="1" applyAlignment="1">
      <alignment horizontal="center" vertical="center" wrapText="1"/>
    </xf>
    <xf numFmtId="3" fontId="11" fillId="3" borderId="1" xfId="0" applyNumberFormat="1" applyFont="1" applyFill="1" applyBorder="1" applyAlignment="1">
      <alignment horizontal="center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3" fontId="11" fillId="0" borderId="1" xfId="14" applyNumberFormat="1" applyFont="1" applyFill="1" applyBorder="1" applyAlignment="1">
      <alignment horizontal="center" vertical="center" wrapText="1"/>
    </xf>
    <xf numFmtId="3" fontId="2" fillId="0" borderId="1" xfId="14" applyNumberForma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/>
    </xf>
    <xf numFmtId="3" fontId="11" fillId="0" borderId="5" xfId="14" applyNumberFormat="1" applyFont="1" applyFill="1" applyBorder="1" applyAlignment="1">
      <alignment horizontal="center" vertical="center" wrapText="1"/>
    </xf>
    <xf numFmtId="0" fontId="11" fillId="0" borderId="4" xfId="3" applyNumberFormat="1" applyFont="1" applyFill="1" applyBorder="1" applyAlignment="1">
      <alignment horizontal="center" vertical="center" wrapText="1"/>
    </xf>
    <xf numFmtId="3" fontId="11" fillId="0" borderId="1" xfId="3" applyNumberFormat="1" applyFont="1" applyFill="1" applyBorder="1" applyAlignment="1">
      <alignment horizontal="center" vertical="center" wrapText="1"/>
    </xf>
    <xf numFmtId="3" fontId="2" fillId="0" borderId="1" xfId="3" applyNumberFormat="1" applyFill="1" applyBorder="1" applyAlignment="1">
      <alignment horizontal="center" vertical="center"/>
    </xf>
    <xf numFmtId="3" fontId="21" fillId="0" borderId="1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 wrapText="1"/>
    </xf>
    <xf numFmtId="3" fontId="11" fillId="0" borderId="7" xfId="0" applyNumberFormat="1" applyFont="1" applyFill="1" applyBorder="1" applyAlignment="1">
      <alignment horizontal="center" vertical="center" wrapText="1"/>
    </xf>
    <xf numFmtId="3" fontId="11" fillId="0" borderId="7" xfId="14" applyNumberFormat="1" applyFont="1" applyFill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/>
    </xf>
    <xf numFmtId="3" fontId="11" fillId="0" borderId="8" xfId="14" applyNumberFormat="1" applyFont="1" applyFill="1" applyBorder="1" applyAlignment="1">
      <alignment horizontal="center" vertical="center" wrapText="1"/>
    </xf>
    <xf numFmtId="179" fontId="32" fillId="8" borderId="23" xfId="0" applyNumberFormat="1" applyFont="1" applyFill="1" applyBorder="1" applyAlignment="1">
      <alignment horizontal="center" vertical="center" wrapText="1"/>
    </xf>
    <xf numFmtId="179" fontId="32" fillId="8" borderId="24" xfId="0" applyNumberFormat="1" applyFont="1" applyFill="1" applyBorder="1" applyAlignment="1">
      <alignment horizontal="right" vertical="center" wrapText="1"/>
    </xf>
    <xf numFmtId="179" fontId="32" fillId="8" borderId="25" xfId="0" applyNumberFormat="1" applyFont="1" applyFill="1" applyBorder="1" applyAlignment="1">
      <alignment horizontal="right" vertical="center" wrapText="1"/>
    </xf>
    <xf numFmtId="179" fontId="8" fillId="8" borderId="25" xfId="0" applyNumberFormat="1" applyFont="1" applyFill="1" applyBorder="1" applyAlignment="1">
      <alignment horizontal="right" vertical="center"/>
    </xf>
    <xf numFmtId="179" fontId="8" fillId="3" borderId="23" xfId="0" applyNumberFormat="1" applyFont="1" applyFill="1" applyBorder="1" applyAlignment="1">
      <alignment horizontal="center" vertical="center"/>
    </xf>
    <xf numFmtId="179" fontId="8" fillId="3" borderId="24" xfId="0" applyNumberFormat="1" applyFont="1" applyFill="1" applyBorder="1" applyAlignment="1">
      <alignment horizontal="right" vertical="center"/>
    </xf>
    <xf numFmtId="179" fontId="8" fillId="3" borderId="25" xfId="0" applyNumberFormat="1" applyFont="1" applyFill="1" applyBorder="1" applyAlignment="1">
      <alignment horizontal="right" vertical="center"/>
    </xf>
    <xf numFmtId="179" fontId="8" fillId="3" borderId="23" xfId="0" applyNumberFormat="1" applyFont="1" applyFill="1" applyBorder="1" applyAlignment="1">
      <alignment horizontal="right" vertical="center"/>
    </xf>
    <xf numFmtId="179" fontId="8" fillId="9" borderId="23" xfId="0" applyNumberFormat="1" applyFont="1" applyFill="1" applyBorder="1" applyAlignment="1">
      <alignment horizontal="center" vertical="center"/>
    </xf>
    <xf numFmtId="179" fontId="8" fillId="9" borderId="24" xfId="0" applyNumberFormat="1" applyFont="1" applyFill="1" applyBorder="1" applyAlignment="1">
      <alignment horizontal="right" vertical="center"/>
    </xf>
    <xf numFmtId="179" fontId="8" fillId="9" borderId="25" xfId="0" applyNumberFormat="1" applyFont="1" applyFill="1" applyBorder="1" applyAlignment="1">
      <alignment horizontal="right" vertical="center"/>
    </xf>
    <xf numFmtId="179" fontId="8" fillId="9" borderId="25" xfId="0" applyNumberFormat="1" applyFont="1" applyFill="1" applyBorder="1" applyAlignment="1">
      <alignment vertical="center"/>
    </xf>
    <xf numFmtId="179" fontId="8" fillId="0" borderId="23" xfId="0" applyNumberFormat="1" applyFont="1" applyBorder="1" applyAlignment="1">
      <alignment horizontal="center" vertical="center"/>
    </xf>
    <xf numFmtId="179" fontId="32" fillId="0" borderId="24" xfId="0" applyNumberFormat="1" applyFont="1" applyBorder="1" applyAlignment="1">
      <alignment horizontal="right" vertical="center" wrapText="1"/>
    </xf>
    <xf numFmtId="179" fontId="8" fillId="0" borderId="24" xfId="0" applyNumberFormat="1" applyFont="1" applyBorder="1" applyAlignment="1">
      <alignment horizontal="right" vertical="center"/>
    </xf>
    <xf numFmtId="179" fontId="8" fillId="0" borderId="25" xfId="0" applyNumberFormat="1" applyFont="1" applyBorder="1" applyAlignment="1">
      <alignment horizontal="right" vertical="center"/>
    </xf>
    <xf numFmtId="179" fontId="8" fillId="0" borderId="23" xfId="0" applyNumberFormat="1" applyFont="1" applyBorder="1" applyAlignment="1">
      <alignment vertical="center"/>
    </xf>
    <xf numFmtId="179" fontId="8" fillId="0" borderId="24" xfId="0" applyNumberFormat="1" applyFont="1" applyBorder="1" applyAlignment="1">
      <alignment vertical="center"/>
    </xf>
    <xf numFmtId="179" fontId="8" fillId="0" borderId="25" xfId="0" applyNumberFormat="1" applyFont="1" applyBorder="1" applyAlignment="1">
      <alignment vertical="center"/>
    </xf>
    <xf numFmtId="179" fontId="32" fillId="0" borderId="24" xfId="3" applyNumberFormat="1" applyFont="1" applyBorder="1" applyAlignment="1">
      <alignment horizontal="right" vertical="center" wrapText="1"/>
    </xf>
    <xf numFmtId="179" fontId="32" fillId="0" borderId="25" xfId="3" applyNumberFormat="1" applyFont="1" applyBorder="1" applyAlignment="1">
      <alignment horizontal="right" vertical="center" wrapText="1"/>
    </xf>
    <xf numFmtId="179" fontId="32" fillId="0" borderId="25" xfId="0" applyNumberFormat="1" applyFont="1" applyBorder="1" applyAlignment="1">
      <alignment horizontal="right" vertical="center" wrapText="1"/>
    </xf>
    <xf numFmtId="179" fontId="8" fillId="0" borderId="23" xfId="0" applyNumberFormat="1" applyFont="1" applyBorder="1" applyAlignment="1">
      <alignment horizontal="right" vertical="center"/>
    </xf>
    <xf numFmtId="179" fontId="8" fillId="0" borderId="26" xfId="0" applyNumberFormat="1" applyFont="1" applyBorder="1" applyAlignment="1">
      <alignment horizontal="center" vertical="center"/>
    </xf>
    <xf numFmtId="179" fontId="8" fillId="0" borderId="27" xfId="0" applyNumberFormat="1" applyFont="1" applyBorder="1" applyAlignment="1">
      <alignment horizontal="right" vertical="center"/>
    </xf>
    <xf numFmtId="179" fontId="8" fillId="0" borderId="28" xfId="0" applyNumberFormat="1" applyFont="1" applyBorder="1" applyAlignment="1">
      <alignment horizontal="right" vertical="center"/>
    </xf>
    <xf numFmtId="179" fontId="8" fillId="0" borderId="26" xfId="0" applyNumberFormat="1" applyFont="1" applyBorder="1" applyAlignment="1">
      <alignment vertical="center"/>
    </xf>
    <xf numFmtId="179" fontId="8" fillId="0" borderId="27" xfId="0" applyNumberFormat="1" applyFont="1" applyBorder="1" applyAlignment="1">
      <alignment vertical="center"/>
    </xf>
    <xf numFmtId="179" fontId="8" fillId="0" borderId="28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shrinkToFit="1"/>
    </xf>
    <xf numFmtId="178" fontId="5" fillId="5" borderId="1" xfId="3" applyNumberFormat="1" applyFont="1" applyFill="1" applyBorder="1" applyAlignment="1">
      <alignment horizontal="right" vertical="center" shrinkToFit="1"/>
    </xf>
    <xf numFmtId="178" fontId="5" fillId="0" borderId="1" xfId="3" applyNumberFormat="1" applyFont="1" applyBorder="1" applyAlignment="1">
      <alignment horizontal="right" vertical="center" shrinkToFit="1"/>
    </xf>
    <xf numFmtId="178" fontId="5" fillId="0" borderId="1" xfId="3" applyNumberFormat="1" applyFont="1" applyBorder="1" applyAlignment="1">
      <alignment horizontal="right" shrinkToFit="1"/>
    </xf>
    <xf numFmtId="179" fontId="5" fillId="0" borderId="1" xfId="0" applyNumberFormat="1" applyFont="1" applyBorder="1" applyAlignment="1">
      <alignment horizontal="center" vertical="center" wrapText="1"/>
    </xf>
    <xf numFmtId="178" fontId="2" fillId="0" borderId="1" xfId="3" applyNumberFormat="1" applyFont="1" applyBorder="1" applyAlignment="1">
      <alignment horizontal="right" vertical="center" shrinkToFit="1"/>
    </xf>
    <xf numFmtId="0" fontId="5" fillId="0" borderId="1" xfId="0" applyNumberFormat="1" applyFont="1" applyBorder="1" applyAlignment="1">
      <alignment horizontal="center" vertical="center" wrapText="1"/>
    </xf>
    <xf numFmtId="176" fontId="5" fillId="0" borderId="1" xfId="3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3" fontId="0" fillId="0" borderId="1" xfId="0" applyNumberFormat="1" applyBorder="1"/>
    <xf numFmtId="3" fontId="0" fillId="0" borderId="5" xfId="0" applyNumberFormat="1" applyBorder="1"/>
    <xf numFmtId="176" fontId="2" fillId="0" borderId="5" xfId="3" applyNumberFormat="1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176" fontId="5" fillId="0" borderId="1" xfId="3" applyNumberFormat="1" applyFont="1" applyBorder="1" applyAlignment="1">
      <alignment vertical="center" wrapText="1"/>
    </xf>
    <xf numFmtId="176" fontId="2" fillId="0" borderId="1" xfId="3" applyNumberFormat="1" applyFont="1" applyBorder="1" applyAlignment="1">
      <alignment vertical="center"/>
    </xf>
    <xf numFmtId="0" fontId="5" fillId="0" borderId="29" xfId="0" applyFont="1" applyFill="1" applyBorder="1" applyAlignment="1">
      <alignment horizontal="center" vertical="center" wrapText="1"/>
    </xf>
    <xf numFmtId="41" fontId="47" fillId="0" borderId="1" xfId="3" applyNumberFormat="1" applyFont="1" applyFill="1" applyBorder="1" applyAlignment="1">
      <alignment horizontal="center" vertical="center" shrinkToFit="1"/>
    </xf>
    <xf numFmtId="41" fontId="47" fillId="0" borderId="1" xfId="3" applyNumberFormat="1" applyFont="1" applyFill="1" applyBorder="1" applyAlignment="1" applyProtection="1">
      <alignment horizontal="center" vertical="center"/>
      <protection locked="0"/>
    </xf>
    <xf numFmtId="0" fontId="26" fillId="0" borderId="14" xfId="0" applyFont="1" applyBorder="1" applyAlignment="1">
      <alignment horizontal="center" vertical="center" wrapText="1"/>
    </xf>
    <xf numFmtId="0" fontId="47" fillId="0" borderId="4" xfId="0" applyNumberFormat="1" applyFont="1" applyFill="1" applyBorder="1" applyAlignment="1">
      <alignment horizontal="center" vertical="center" wrapText="1"/>
    </xf>
    <xf numFmtId="41" fontId="47" fillId="0" borderId="1" xfId="0" applyNumberFormat="1" applyFont="1" applyFill="1" applyBorder="1" applyAlignment="1">
      <alignment horizontal="center" vertical="center" shrinkToFit="1"/>
    </xf>
    <xf numFmtId="0" fontId="47" fillId="0" borderId="4" xfId="0" applyNumberFormat="1" applyFont="1" applyFill="1" applyBorder="1" applyAlignment="1">
      <alignment horizontal="center" vertical="center" shrinkToFit="1"/>
    </xf>
    <xf numFmtId="0" fontId="47" fillId="0" borderId="4" xfId="0" applyNumberFormat="1" applyFont="1" applyFill="1" applyBorder="1" applyAlignment="1">
      <alignment horizontal="center" vertical="center"/>
    </xf>
    <xf numFmtId="41" fontId="47" fillId="0" borderId="7" xfId="0" applyNumberFormat="1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41" fontId="47" fillId="0" borderId="1" xfId="0" applyNumberFormat="1" applyFont="1" applyFill="1" applyBorder="1" applyAlignment="1" applyProtection="1">
      <alignment horizontal="center" vertical="center"/>
      <protection locked="0"/>
    </xf>
    <xf numFmtId="189" fontId="47" fillId="0" borderId="5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1" xfId="3" applyNumberFormat="1" applyFont="1" applyFill="1" applyBorder="1" applyAlignment="1">
      <alignment horizontal="center" vertical="center" wrapText="1"/>
    </xf>
    <xf numFmtId="0" fontId="47" fillId="0" borderId="1" xfId="0" applyNumberFormat="1" applyFont="1" applyFill="1" applyBorder="1" applyAlignment="1">
      <alignment horizontal="center" vertical="center" wrapText="1"/>
    </xf>
    <xf numFmtId="0" fontId="47" fillId="0" borderId="1" xfId="3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12" xfId="0" applyNumberFormat="1" applyFont="1" applyFill="1" applyBorder="1" applyAlignment="1">
      <alignment horizontal="center" vertical="center"/>
    </xf>
    <xf numFmtId="0" fontId="47" fillId="0" borderId="13" xfId="0" applyNumberFormat="1" applyFont="1" applyFill="1" applyBorder="1" applyAlignment="1">
      <alignment horizontal="center" vertical="center"/>
    </xf>
    <xf numFmtId="0" fontId="47" fillId="0" borderId="9" xfId="0" applyNumberFormat="1" applyFont="1" applyFill="1" applyBorder="1" applyAlignment="1">
      <alignment horizontal="center" vertical="center" wrapText="1"/>
    </xf>
    <xf numFmtId="0" fontId="47" fillId="0" borderId="1" xfId="0" applyNumberFormat="1" applyFont="1" applyFill="1" applyBorder="1" applyAlignment="1">
      <alignment horizontal="center" vertical="center" shrinkToFit="1"/>
    </xf>
    <xf numFmtId="0" fontId="47" fillId="0" borderId="12" xfId="0" applyNumberFormat="1" applyFont="1" applyFill="1" applyBorder="1" applyAlignment="1">
      <alignment horizontal="center" vertical="center" wrapText="1"/>
    </xf>
    <xf numFmtId="0" fontId="47" fillId="0" borderId="30" xfId="0" applyNumberFormat="1" applyFont="1" applyFill="1" applyBorder="1" applyAlignment="1">
      <alignment horizontal="center" vertical="center" wrapText="1"/>
    </xf>
    <xf numFmtId="0" fontId="47" fillId="0" borderId="13" xfId="0" applyNumberFormat="1" applyFont="1" applyFill="1" applyBorder="1" applyAlignment="1">
      <alignment horizontal="center" vertical="center" wrapText="1"/>
    </xf>
    <xf numFmtId="189" fontId="47" fillId="0" borderId="5" xfId="0" applyNumberFormat="1" applyFont="1" applyFill="1" applyBorder="1" applyAlignment="1">
      <alignment horizontal="center" vertical="center" shrinkToFit="1"/>
    </xf>
    <xf numFmtId="41" fontId="47" fillId="0" borderId="1" xfId="0" quotePrefix="1" applyNumberFormat="1" applyFont="1" applyFill="1" applyBorder="1" applyAlignment="1">
      <alignment horizontal="center" vertical="center" wrapText="1"/>
    </xf>
    <xf numFmtId="0" fontId="47" fillId="0" borderId="12" xfId="3" applyNumberFormat="1" applyFont="1" applyFill="1" applyBorder="1" applyAlignment="1">
      <alignment horizontal="center" vertical="center"/>
    </xf>
    <xf numFmtId="0" fontId="47" fillId="0" borderId="30" xfId="3" applyNumberFormat="1" applyFont="1" applyFill="1" applyBorder="1" applyAlignment="1">
      <alignment horizontal="center" vertical="center"/>
    </xf>
    <xf numFmtId="0" fontId="47" fillId="0" borderId="13" xfId="3" applyNumberFormat="1" applyFont="1" applyFill="1" applyBorder="1" applyAlignment="1">
      <alignment horizontal="center" vertical="center"/>
    </xf>
    <xf numFmtId="189" fontId="47" fillId="0" borderId="5" xfId="14" applyNumberFormat="1" applyFont="1" applyFill="1" applyBorder="1" applyAlignment="1" applyProtection="1">
      <alignment horizontal="center" vertical="center"/>
      <protection locked="0"/>
    </xf>
    <xf numFmtId="41" fontId="47" fillId="0" borderId="1" xfId="14" applyNumberFormat="1" applyFont="1" applyFill="1" applyBorder="1" applyAlignment="1" applyProtection="1">
      <alignment horizontal="center" vertical="center"/>
      <protection locked="0"/>
    </xf>
    <xf numFmtId="189" fontId="47" fillId="0" borderId="5" xfId="1" applyNumberFormat="1" applyFont="1" applyFill="1" applyBorder="1" applyAlignment="1" applyProtection="1">
      <alignment horizontal="center" vertical="center"/>
      <protection locked="0"/>
    </xf>
    <xf numFmtId="0" fontId="47" fillId="0" borderId="1" xfId="3" applyNumberFormat="1" applyFont="1" applyFill="1" applyBorder="1" applyAlignment="1" applyProtection="1">
      <alignment horizontal="center" vertical="center" wrapText="1"/>
      <protection locked="0"/>
    </xf>
    <xf numFmtId="189" fontId="47" fillId="0" borderId="5" xfId="3" applyNumberFormat="1" applyFont="1" applyFill="1" applyBorder="1" applyAlignment="1" applyProtection="1">
      <alignment horizontal="center" vertical="center"/>
      <protection locked="0"/>
    </xf>
    <xf numFmtId="0" fontId="47" fillId="0" borderId="1" xfId="16" applyNumberFormat="1" applyFont="1" applyFill="1" applyBorder="1" applyAlignment="1">
      <alignment horizontal="center" vertical="center" wrapText="1"/>
    </xf>
    <xf numFmtId="41" fontId="47" fillId="0" borderId="1" xfId="16" applyNumberFormat="1" applyFont="1" applyFill="1" applyBorder="1" applyAlignment="1">
      <alignment horizontal="center" vertical="center" wrapText="1"/>
    </xf>
    <xf numFmtId="189" fontId="47" fillId="0" borderId="5" xfId="16" applyNumberFormat="1" applyFont="1" applyFill="1" applyBorder="1" applyAlignment="1">
      <alignment horizontal="center" vertical="center" wrapText="1"/>
    </xf>
    <xf numFmtId="189" fontId="47" fillId="0" borderId="8" xfId="0" applyNumberFormat="1" applyFont="1" applyFill="1" applyBorder="1" applyAlignment="1">
      <alignment horizontal="center" vertical="center" wrapText="1"/>
    </xf>
    <xf numFmtId="41" fontId="47" fillId="0" borderId="11" xfId="3" applyNumberFormat="1" applyFont="1" applyFill="1" applyBorder="1" applyAlignment="1">
      <alignment horizontal="center" vertical="center" shrinkToFit="1"/>
    </xf>
    <xf numFmtId="0" fontId="47" fillId="0" borderId="12" xfId="3" applyNumberFormat="1" applyFont="1" applyFill="1" applyBorder="1" applyAlignment="1">
      <alignment horizontal="center" vertical="center" wrapText="1"/>
    </xf>
    <xf numFmtId="0" fontId="47" fillId="0" borderId="12" xfId="3" applyNumberFormat="1" applyFont="1" applyFill="1" applyBorder="1" applyAlignment="1">
      <alignment horizontal="center" vertical="center" shrinkToFit="1"/>
    </xf>
    <xf numFmtId="0" fontId="47" fillId="0" borderId="13" xfId="3" applyNumberFormat="1" applyFont="1" applyFill="1" applyBorder="1" applyAlignment="1">
      <alignment horizontal="center" vertical="center" shrinkToFit="1"/>
    </xf>
    <xf numFmtId="0" fontId="47" fillId="0" borderId="11" xfId="3" applyNumberFormat="1" applyFont="1" applyFill="1" applyBorder="1" applyAlignment="1">
      <alignment horizontal="center" vertical="center" wrapText="1"/>
    </xf>
    <xf numFmtId="0" fontId="47" fillId="0" borderId="30" xfId="3" applyNumberFormat="1" applyFont="1" applyFill="1" applyBorder="1" applyAlignment="1">
      <alignment horizontal="center" vertical="center" wrapText="1"/>
    </xf>
    <xf numFmtId="0" fontId="47" fillId="0" borderId="13" xfId="3" applyNumberFormat="1" applyFont="1" applyFill="1" applyBorder="1" applyAlignment="1">
      <alignment horizontal="center" vertical="center" wrapText="1"/>
    </xf>
    <xf numFmtId="0" fontId="47" fillId="0" borderId="11" xfId="0" applyNumberFormat="1" applyFont="1" applyFill="1" applyBorder="1" applyAlignment="1">
      <alignment horizontal="center" vertical="center" wrapText="1"/>
    </xf>
    <xf numFmtId="0" fontId="47" fillId="0" borderId="11" xfId="0" applyNumberFormat="1" applyFont="1" applyFill="1" applyBorder="1" applyAlignment="1">
      <alignment horizontal="center" vertical="center" shrinkToFit="1"/>
    </xf>
    <xf numFmtId="0" fontId="47" fillId="0" borderId="11" xfId="3" applyNumberFormat="1" applyFont="1" applyFill="1" applyBorder="1" applyAlignment="1">
      <alignment horizontal="center" vertical="center" shrinkToFit="1"/>
    </xf>
    <xf numFmtId="0" fontId="47" fillId="0" borderId="31" xfId="3" applyNumberFormat="1" applyFont="1" applyFill="1" applyBorder="1" applyAlignment="1">
      <alignment horizontal="center" vertical="center" wrapText="1"/>
    </xf>
    <xf numFmtId="0" fontId="47" fillId="0" borderId="30" xfId="3" applyNumberFormat="1" applyFont="1" applyFill="1" applyBorder="1" applyAlignment="1">
      <alignment horizontal="center" vertical="center" shrinkToFit="1"/>
    </xf>
    <xf numFmtId="0" fontId="47" fillId="0" borderId="32" xfId="3" applyNumberFormat="1" applyFont="1" applyFill="1" applyBorder="1" applyAlignment="1">
      <alignment horizontal="center" vertical="center" shrinkToFit="1"/>
    </xf>
    <xf numFmtId="0" fontId="47" fillId="0" borderId="11" xfId="3" applyNumberFormat="1" applyFont="1" applyFill="1" applyBorder="1" applyAlignment="1">
      <alignment horizontal="center" vertical="center"/>
    </xf>
    <xf numFmtId="0" fontId="47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12" xfId="0" applyNumberFormat="1" applyFont="1" applyFill="1" applyBorder="1" applyAlignment="1" applyProtection="1">
      <alignment horizontal="center" vertical="center"/>
      <protection locked="0"/>
    </xf>
    <xf numFmtId="0" fontId="47" fillId="0" borderId="13" xfId="0" applyNumberFormat="1" applyFont="1" applyFill="1" applyBorder="1" applyAlignment="1" applyProtection="1">
      <alignment horizontal="center" vertical="center"/>
      <protection locked="0"/>
    </xf>
    <xf numFmtId="0" fontId="47" fillId="0" borderId="30" xfId="0" applyNumberFormat="1" applyFont="1" applyFill="1" applyBorder="1" applyAlignment="1" applyProtection="1">
      <alignment horizontal="center" vertical="center"/>
      <protection locked="0"/>
    </xf>
    <xf numFmtId="0" fontId="47" fillId="0" borderId="12" xfId="3" applyNumberFormat="1" applyFont="1" applyFill="1" applyBorder="1" applyAlignment="1" applyProtection="1">
      <alignment horizontal="center" vertical="center"/>
      <protection locked="0"/>
    </xf>
    <xf numFmtId="0" fontId="47" fillId="0" borderId="30" xfId="16" applyNumberFormat="1" applyFont="1" applyFill="1" applyBorder="1" applyAlignment="1">
      <alignment horizontal="center" vertical="center" wrapText="1"/>
    </xf>
    <xf numFmtId="195" fontId="47" fillId="0" borderId="1" xfId="3" applyNumberFormat="1" applyFont="1" applyFill="1" applyBorder="1" applyAlignment="1">
      <alignment horizontal="center" vertical="center" wrapText="1"/>
    </xf>
    <xf numFmtId="195" fontId="47" fillId="0" borderId="1" xfId="0" applyNumberFormat="1" applyFont="1" applyFill="1" applyBorder="1" applyAlignment="1">
      <alignment horizontal="center" vertical="center" wrapText="1"/>
    </xf>
    <xf numFmtId="195" fontId="47" fillId="0" borderId="1" xfId="3" quotePrefix="1" applyNumberFormat="1" applyFont="1" applyFill="1" applyBorder="1" applyAlignment="1">
      <alignment horizontal="center" vertical="center" wrapText="1"/>
    </xf>
    <xf numFmtId="195" fontId="47" fillId="0" borderId="11" xfId="3" applyNumberFormat="1" applyFont="1" applyFill="1" applyBorder="1" applyAlignment="1">
      <alignment horizontal="center" vertical="center" wrapText="1"/>
    </xf>
    <xf numFmtId="195" fontId="47" fillId="0" borderId="1" xfId="0" applyNumberFormat="1" applyFont="1" applyFill="1" applyBorder="1" applyAlignment="1">
      <alignment horizontal="center" vertical="center"/>
    </xf>
    <xf numFmtId="195" fontId="47" fillId="0" borderId="1" xfId="0" applyNumberFormat="1" applyFont="1" applyFill="1" applyBorder="1" applyAlignment="1" applyProtection="1">
      <alignment horizontal="center" vertical="center" wrapText="1"/>
      <protection locked="0"/>
    </xf>
    <xf numFmtId="195" fontId="47" fillId="0" borderId="1" xfId="0" applyNumberFormat="1" applyFont="1" applyFill="1" applyBorder="1" applyAlignment="1">
      <alignment horizontal="center" vertical="center" shrinkToFit="1"/>
    </xf>
    <xf numFmtId="195" fontId="47" fillId="0" borderId="10" xfId="0" applyNumberFormat="1" applyFont="1" applyFill="1" applyBorder="1" applyAlignment="1">
      <alignment horizontal="center" vertical="center" wrapText="1"/>
    </xf>
    <xf numFmtId="0" fontId="47" fillId="0" borderId="33" xfId="0" applyNumberFormat="1" applyFont="1" applyFill="1" applyBorder="1" applyAlignment="1">
      <alignment horizontal="center" vertical="center" wrapText="1"/>
    </xf>
    <xf numFmtId="0" fontId="47" fillId="0" borderId="34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8" fillId="0" borderId="3" xfId="0" applyNumberFormat="1" applyFont="1" applyFill="1" applyBorder="1" applyAlignment="1">
      <alignment horizontal="center" vertical="center" wrapText="1"/>
    </xf>
    <xf numFmtId="41" fontId="48" fillId="0" borderId="10" xfId="0" applyNumberFormat="1" applyFont="1" applyFill="1" applyBorder="1" applyAlignment="1">
      <alignment horizontal="center" vertical="center" wrapText="1"/>
    </xf>
    <xf numFmtId="41" fontId="48" fillId="0" borderId="16" xfId="0" applyNumberFormat="1" applyFont="1" applyFill="1" applyBorder="1" applyAlignment="1">
      <alignment horizontal="center" vertical="center" wrapText="1"/>
    </xf>
    <xf numFmtId="0" fontId="48" fillId="0" borderId="4" xfId="3" applyNumberFormat="1" applyFont="1" applyFill="1" applyBorder="1" applyAlignment="1">
      <alignment horizontal="center" vertical="center" wrapText="1"/>
    </xf>
    <xf numFmtId="41" fontId="48" fillId="0" borderId="1" xfId="3" applyNumberFormat="1" applyFont="1" applyFill="1" applyBorder="1" applyAlignment="1">
      <alignment horizontal="center" vertical="center" wrapText="1"/>
    </xf>
    <xf numFmtId="41" fontId="48" fillId="0" borderId="5" xfId="3" applyNumberFormat="1" applyFont="1" applyFill="1" applyBorder="1" applyAlignment="1">
      <alignment horizontal="center" vertical="center" wrapText="1"/>
    </xf>
    <xf numFmtId="0" fontId="48" fillId="0" borderId="12" xfId="0" applyNumberFormat="1" applyFont="1" applyFill="1" applyBorder="1" applyAlignment="1">
      <alignment horizontal="center" vertical="center" wrapText="1"/>
    </xf>
    <xf numFmtId="41" fontId="48" fillId="0" borderId="1" xfId="0" applyNumberFormat="1" applyFont="1" applyFill="1" applyBorder="1" applyAlignment="1">
      <alignment horizontal="center" vertical="center" wrapText="1"/>
    </xf>
    <xf numFmtId="41" fontId="48" fillId="0" borderId="5" xfId="0" applyNumberFormat="1" applyFont="1" applyFill="1" applyBorder="1" applyAlignment="1">
      <alignment horizontal="center" vertical="center" wrapText="1"/>
    </xf>
    <xf numFmtId="0" fontId="48" fillId="0" borderId="30" xfId="0" applyNumberFormat="1" applyFont="1" applyFill="1" applyBorder="1" applyAlignment="1">
      <alignment horizontal="center" vertical="center" wrapText="1"/>
    </xf>
    <xf numFmtId="0" fontId="48" fillId="0" borderId="13" xfId="0" applyNumberFormat="1" applyFont="1" applyFill="1" applyBorder="1" applyAlignment="1">
      <alignment horizontal="center" vertical="center" wrapText="1"/>
    </xf>
    <xf numFmtId="0" fontId="48" fillId="0" borderId="4" xfId="0" applyNumberFormat="1" applyFont="1" applyFill="1" applyBorder="1" applyAlignment="1">
      <alignment horizontal="center" vertical="center" wrapText="1"/>
    </xf>
    <xf numFmtId="0" fontId="48" fillId="0" borderId="12" xfId="3" applyNumberFormat="1" applyFont="1" applyFill="1" applyBorder="1" applyAlignment="1">
      <alignment horizontal="center" vertical="center" wrapText="1"/>
    </xf>
    <xf numFmtId="0" fontId="48" fillId="0" borderId="30" xfId="3" applyNumberFormat="1" applyFont="1" applyFill="1" applyBorder="1" applyAlignment="1">
      <alignment horizontal="center" vertical="center" wrapText="1"/>
    </xf>
    <xf numFmtId="0" fontId="48" fillId="0" borderId="13" xfId="3" applyNumberFormat="1" applyFont="1" applyFill="1" applyBorder="1" applyAlignment="1">
      <alignment horizontal="center" vertical="center" wrapText="1"/>
    </xf>
    <xf numFmtId="0" fontId="48" fillId="0" borderId="30" xfId="3" applyNumberFormat="1" applyFont="1" applyFill="1" applyBorder="1" applyAlignment="1">
      <alignment horizontal="center" vertical="center" shrinkToFit="1"/>
    </xf>
    <xf numFmtId="41" fontId="48" fillId="0" borderId="1" xfId="3" applyNumberFormat="1" applyFont="1" applyFill="1" applyBorder="1" applyAlignment="1">
      <alignment horizontal="center" vertical="center" shrinkToFit="1"/>
    </xf>
    <xf numFmtId="41" fontId="48" fillId="0" borderId="5" xfId="3" applyNumberFormat="1" applyFont="1" applyFill="1" applyBorder="1" applyAlignment="1">
      <alignment horizontal="center" vertical="center" shrinkToFit="1"/>
    </xf>
    <xf numFmtId="0" fontId="48" fillId="0" borderId="12" xfId="3" applyNumberFormat="1" applyFont="1" applyFill="1" applyBorder="1" applyAlignment="1">
      <alignment horizontal="center" vertical="center" shrinkToFit="1"/>
    </xf>
    <xf numFmtId="41" fontId="48" fillId="0" borderId="1" xfId="3" applyNumberFormat="1" applyFont="1" applyFill="1" applyBorder="1" applyAlignment="1">
      <alignment horizontal="center" vertical="center"/>
    </xf>
    <xf numFmtId="0" fontId="48" fillId="0" borderId="4" xfId="0" applyNumberFormat="1" applyFont="1" applyFill="1" applyBorder="1" applyAlignment="1">
      <alignment horizontal="center" vertical="center" shrinkToFit="1"/>
    </xf>
    <xf numFmtId="41" fontId="48" fillId="0" borderId="1" xfId="0" applyNumberFormat="1" applyFont="1" applyFill="1" applyBorder="1" applyAlignment="1">
      <alignment horizontal="center" vertical="center" shrinkToFit="1"/>
    </xf>
    <xf numFmtId="41" fontId="48" fillId="0" borderId="5" xfId="0" applyNumberFormat="1" applyFont="1" applyFill="1" applyBorder="1" applyAlignment="1">
      <alignment horizontal="center" vertical="center" shrinkToFit="1"/>
    </xf>
    <xf numFmtId="0" fontId="48" fillId="0" borderId="12" xfId="0" applyNumberFormat="1" applyFont="1" applyFill="1" applyBorder="1" applyAlignment="1">
      <alignment horizontal="center" vertical="center" shrinkToFit="1"/>
    </xf>
    <xf numFmtId="0" fontId="48" fillId="0" borderId="30" xfId="0" applyNumberFormat="1" applyFont="1" applyFill="1" applyBorder="1" applyAlignment="1">
      <alignment horizontal="center" vertical="center" shrinkToFit="1"/>
    </xf>
    <xf numFmtId="0" fontId="48" fillId="0" borderId="13" xfId="0" applyNumberFormat="1" applyFont="1" applyFill="1" applyBorder="1" applyAlignment="1">
      <alignment horizontal="center" vertical="center" shrinkToFit="1"/>
    </xf>
    <xf numFmtId="0" fontId="48" fillId="0" borderId="11" xfId="3" applyNumberFormat="1" applyFont="1" applyFill="1" applyBorder="1" applyAlignment="1">
      <alignment horizontal="center" vertical="center" wrapText="1"/>
    </xf>
    <xf numFmtId="0" fontId="48" fillId="0" borderId="13" xfId="0" applyNumberFormat="1" applyFont="1" applyFill="1" applyBorder="1" applyAlignment="1">
      <alignment horizontal="center" vertical="center"/>
    </xf>
    <xf numFmtId="41" fontId="48" fillId="0" borderId="1" xfId="0" applyNumberFormat="1" applyFont="1" applyFill="1" applyBorder="1" applyAlignment="1">
      <alignment horizontal="center" vertical="center"/>
    </xf>
    <xf numFmtId="41" fontId="48" fillId="0" borderId="5" xfId="0" applyNumberFormat="1" applyFont="1" applyFill="1" applyBorder="1" applyAlignment="1">
      <alignment horizontal="center" vertical="center"/>
    </xf>
    <xf numFmtId="0" fontId="48" fillId="0" borderId="4" xfId="0" applyNumberFormat="1" applyFont="1" applyFill="1" applyBorder="1" applyAlignment="1">
      <alignment horizontal="center" vertical="center"/>
    </xf>
    <xf numFmtId="0" fontId="48" fillId="0" borderId="12" xfId="0" applyNumberFormat="1" applyFont="1" applyFill="1" applyBorder="1" applyAlignment="1">
      <alignment horizontal="center" vertical="center"/>
    </xf>
    <xf numFmtId="0" fontId="48" fillId="0" borderId="4" xfId="3" applyNumberFormat="1" applyFont="1" applyFill="1" applyBorder="1" applyAlignment="1" applyProtection="1">
      <alignment horizontal="center" vertical="center" wrapText="1"/>
      <protection locked="0"/>
    </xf>
    <xf numFmtId="41" fontId="48" fillId="0" borderId="1" xfId="3" applyNumberFormat="1" applyFont="1" applyFill="1" applyBorder="1" applyAlignment="1" applyProtection="1">
      <alignment horizontal="center" vertical="center" wrapText="1"/>
      <protection locked="0"/>
    </xf>
    <xf numFmtId="41" fontId="48" fillId="0" borderId="5" xfId="3" applyNumberFormat="1" applyFont="1" applyFill="1" applyBorder="1" applyAlignment="1" applyProtection="1">
      <alignment horizontal="center" vertical="center" wrapText="1"/>
      <protection locked="0"/>
    </xf>
    <xf numFmtId="0" fontId="48" fillId="0" borderId="12" xfId="3" applyNumberFormat="1" applyFont="1" applyFill="1" applyBorder="1" applyAlignment="1" applyProtection="1">
      <alignment horizontal="center" vertical="center" wrapText="1"/>
      <protection locked="0"/>
    </xf>
    <xf numFmtId="0" fontId="48" fillId="0" borderId="30" xfId="3" applyNumberFormat="1" applyFont="1" applyFill="1" applyBorder="1" applyAlignment="1" applyProtection="1">
      <alignment horizontal="center" vertical="center" wrapText="1"/>
      <protection locked="0"/>
    </xf>
    <xf numFmtId="0" fontId="48" fillId="0" borderId="13" xfId="3" applyNumberFormat="1" applyFont="1" applyFill="1" applyBorder="1" applyAlignment="1" applyProtection="1">
      <alignment horizontal="center" vertical="center" wrapText="1"/>
      <protection locked="0"/>
    </xf>
    <xf numFmtId="41" fontId="48" fillId="0" borderId="1" xfId="0" applyNumberFormat="1" applyFont="1" applyFill="1" applyBorder="1" applyAlignment="1" applyProtection="1">
      <alignment horizontal="center" vertical="center" wrapText="1"/>
    </xf>
    <xf numFmtId="41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41" fontId="48" fillId="0" borderId="1" xfId="3" applyNumberFormat="1" applyFont="1" applyFill="1" applyBorder="1" applyAlignment="1" applyProtection="1">
      <alignment horizontal="center" vertical="center" wrapText="1"/>
    </xf>
    <xf numFmtId="41" fontId="4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30" xfId="16" applyNumberFormat="1" applyFont="1" applyFill="1" applyBorder="1" applyAlignment="1">
      <alignment horizontal="center" vertical="center" wrapText="1"/>
    </xf>
    <xf numFmtId="41" fontId="48" fillId="0" borderId="1" xfId="16" applyNumberFormat="1" applyFont="1" applyFill="1" applyBorder="1" applyAlignment="1">
      <alignment horizontal="center" vertical="center" wrapText="1"/>
    </xf>
    <xf numFmtId="41" fontId="48" fillId="0" borderId="5" xfId="3" quotePrefix="1" applyNumberFormat="1" applyFont="1" applyFill="1" applyBorder="1" applyAlignment="1">
      <alignment horizontal="center" vertical="center" wrapText="1"/>
    </xf>
    <xf numFmtId="0" fontId="48" fillId="0" borderId="34" xfId="0" applyNumberFormat="1" applyFont="1" applyFill="1" applyBorder="1" applyAlignment="1">
      <alignment horizontal="center" vertical="center" wrapText="1"/>
    </xf>
    <xf numFmtId="41" fontId="48" fillId="0" borderId="7" xfId="0" applyNumberFormat="1" applyFont="1" applyFill="1" applyBorder="1" applyAlignment="1">
      <alignment horizontal="center" vertical="center" wrapText="1"/>
    </xf>
    <xf numFmtId="41" fontId="48" fillId="0" borderId="8" xfId="0" applyNumberFormat="1" applyFont="1" applyFill="1" applyBorder="1" applyAlignment="1">
      <alignment horizontal="center" vertical="center" wrapText="1"/>
    </xf>
    <xf numFmtId="0" fontId="49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48" fillId="0" borderId="1" xfId="3" applyNumberFormat="1" applyFont="1" applyFill="1" applyBorder="1" applyAlignment="1">
      <alignment horizontal="center" vertical="center" wrapText="1"/>
    </xf>
    <xf numFmtId="0" fontId="48" fillId="0" borderId="1" xfId="0" applyNumberFormat="1" applyFont="1" applyFill="1" applyBorder="1" applyAlignment="1">
      <alignment horizontal="center" vertical="center" wrapText="1"/>
    </xf>
    <xf numFmtId="0" fontId="48" fillId="0" borderId="11" xfId="0" applyNumberFormat="1" applyFont="1" applyFill="1" applyBorder="1" applyAlignment="1">
      <alignment horizontal="center" vertical="center" wrapText="1"/>
    </xf>
    <xf numFmtId="0" fontId="48" fillId="0" borderId="11" xfId="0" applyNumberFormat="1" applyFont="1" applyFill="1" applyBorder="1" applyAlignment="1">
      <alignment horizontal="center" vertical="center" shrinkToFit="1"/>
    </xf>
    <xf numFmtId="0" fontId="48" fillId="0" borderId="1" xfId="3" applyNumberFormat="1" applyFont="1" applyFill="1" applyBorder="1" applyAlignment="1">
      <alignment horizontal="center" vertical="center" shrinkToFit="1"/>
    </xf>
    <xf numFmtId="0" fontId="48" fillId="0" borderId="1" xfId="0" applyNumberFormat="1" applyFont="1" applyFill="1" applyBorder="1" applyAlignment="1">
      <alignment horizontal="center" vertical="center" shrinkToFit="1"/>
    </xf>
    <xf numFmtId="0" fontId="48" fillId="0" borderId="1" xfId="0" applyNumberFormat="1" applyFont="1" applyFill="1" applyBorder="1" applyAlignment="1">
      <alignment horizontal="center" vertical="center"/>
    </xf>
    <xf numFmtId="0" fontId="48" fillId="0" borderId="11" xfId="0" applyNumberFormat="1" applyFont="1" applyFill="1" applyBorder="1" applyAlignment="1">
      <alignment horizontal="center" vertical="center"/>
    </xf>
    <xf numFmtId="0" fontId="48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8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48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16" applyNumberFormat="1" applyFont="1" applyFill="1" applyBorder="1" applyAlignment="1">
      <alignment horizontal="center" vertical="center" wrapText="1"/>
    </xf>
    <xf numFmtId="0" fontId="48" fillId="0" borderId="33" xfId="0" applyNumberFormat="1" applyFont="1" applyFill="1" applyBorder="1" applyAlignment="1">
      <alignment horizontal="center" vertical="center" wrapText="1"/>
    </xf>
    <xf numFmtId="195" fontId="48" fillId="0" borderId="10" xfId="0" applyNumberFormat="1" applyFont="1" applyFill="1" applyBorder="1" applyAlignment="1">
      <alignment horizontal="center" vertical="center" wrapText="1"/>
    </xf>
    <xf numFmtId="195" fontId="48" fillId="0" borderId="11" xfId="3" applyNumberFormat="1" applyFont="1" applyFill="1" applyBorder="1" applyAlignment="1">
      <alignment horizontal="center" vertical="center" wrapText="1"/>
    </xf>
    <xf numFmtId="195" fontId="48" fillId="0" borderId="1" xfId="0" applyNumberFormat="1" applyFont="1" applyFill="1" applyBorder="1" applyAlignment="1">
      <alignment horizontal="center" vertical="center" wrapText="1"/>
    </xf>
    <xf numFmtId="195" fontId="48" fillId="0" borderId="11" xfId="0" applyNumberFormat="1" applyFont="1" applyFill="1" applyBorder="1" applyAlignment="1">
      <alignment horizontal="center" vertical="center" wrapText="1"/>
    </xf>
    <xf numFmtId="195" fontId="48" fillId="0" borderId="1" xfId="3" applyNumberFormat="1" applyFont="1" applyFill="1" applyBorder="1" applyAlignment="1">
      <alignment horizontal="center" vertical="center" wrapText="1"/>
    </xf>
    <xf numFmtId="195" fontId="48" fillId="0" borderId="1" xfId="0" applyNumberFormat="1" applyFont="1" applyFill="1" applyBorder="1" applyAlignment="1">
      <alignment horizontal="center" vertical="center"/>
    </xf>
    <xf numFmtId="195" fontId="48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vertical="center" wrapText="1"/>
    </xf>
    <xf numFmtId="189" fontId="48" fillId="0" borderId="16" xfId="0" applyNumberFormat="1" applyFont="1" applyFill="1" applyBorder="1" applyAlignment="1">
      <alignment horizontal="center" vertical="center" wrapText="1"/>
    </xf>
    <xf numFmtId="189" fontId="48" fillId="0" borderId="5" xfId="0" applyNumberFormat="1" applyFont="1" applyFill="1" applyBorder="1" applyAlignment="1">
      <alignment horizontal="center" vertical="center" wrapText="1"/>
    </xf>
    <xf numFmtId="189" fontId="48" fillId="0" borderId="5" xfId="3" applyNumberFormat="1" applyFont="1" applyFill="1" applyBorder="1" applyAlignment="1">
      <alignment horizontal="center" vertical="center" wrapText="1"/>
    </xf>
    <xf numFmtId="189" fontId="48" fillId="0" borderId="8" xfId="0" applyNumberFormat="1" applyFont="1" applyFill="1" applyBorder="1" applyAlignment="1">
      <alignment horizontal="center" vertical="center" wrapText="1"/>
    </xf>
    <xf numFmtId="41" fontId="48" fillId="0" borderId="7" xfId="3" applyNumberFormat="1" applyFont="1" applyFill="1" applyBorder="1" applyAlignment="1">
      <alignment horizontal="center" vertical="center" wrapText="1"/>
    </xf>
    <xf numFmtId="41" fontId="5" fillId="0" borderId="1" xfId="3" applyNumberFormat="1" applyFont="1" applyBorder="1" applyAlignment="1">
      <alignment horizontal="center" vertical="center" wrapText="1"/>
    </xf>
    <xf numFmtId="41" fontId="5" fillId="0" borderId="1" xfId="3" applyNumberFormat="1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48" fillId="0" borderId="9" xfId="0" applyFont="1" applyFill="1" applyBorder="1" applyAlignment="1">
      <alignment horizontal="center" vertical="center" wrapText="1"/>
    </xf>
    <xf numFmtId="179" fontId="48" fillId="0" borderId="4" xfId="0" applyNumberFormat="1" applyFont="1" applyFill="1" applyBorder="1" applyAlignment="1">
      <alignment horizontal="center" vertical="center" wrapText="1"/>
    </xf>
    <xf numFmtId="41" fontId="48" fillId="0" borderId="1" xfId="0" applyNumberFormat="1" applyFont="1" applyFill="1" applyBorder="1" applyAlignment="1">
      <alignment horizontal="center" vertical="center" wrapText="1" shrinkToFit="1"/>
    </xf>
    <xf numFmtId="41" fontId="48" fillId="0" borderId="12" xfId="3" applyFont="1" applyFill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48" fillId="0" borderId="6" xfId="0" applyFont="1" applyFill="1" applyBorder="1" applyAlignment="1">
      <alignment horizontal="center" vertical="center" wrapText="1"/>
    </xf>
    <xf numFmtId="41" fontId="48" fillId="0" borderId="4" xfId="3" applyFont="1" applyFill="1" applyBorder="1" applyAlignment="1">
      <alignment horizontal="center" vertical="center" wrapText="1"/>
    </xf>
    <xf numFmtId="192" fontId="48" fillId="0" borderId="4" xfId="0" applyNumberFormat="1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>
      <alignment horizontal="center" vertical="center" wrapText="1"/>
    </xf>
    <xf numFmtId="41" fontId="48" fillId="0" borderId="4" xfId="3" applyFont="1" applyFill="1" applyBorder="1" applyAlignment="1">
      <alignment horizontal="center" vertical="center"/>
    </xf>
    <xf numFmtId="41" fontId="48" fillId="0" borderId="14" xfId="3" applyNumberFormat="1" applyFont="1" applyFill="1" applyBorder="1" applyAlignment="1">
      <alignment horizontal="center" vertical="center" wrapText="1"/>
    </xf>
    <xf numFmtId="0" fontId="26" fillId="0" borderId="35" xfId="0" applyFont="1" applyBorder="1" applyAlignment="1">
      <alignment horizontal="center" vertical="center" wrapText="1"/>
    </xf>
    <xf numFmtId="176" fontId="48" fillId="0" borderId="4" xfId="0" applyNumberFormat="1" applyFont="1" applyFill="1" applyBorder="1" applyAlignment="1">
      <alignment horizontal="center" vertical="center" wrapText="1"/>
    </xf>
    <xf numFmtId="183" fontId="48" fillId="0" borderId="4" xfId="0" applyNumberFormat="1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/>
    </xf>
    <xf numFmtId="189" fontId="48" fillId="0" borderId="5" xfId="3" applyNumberFormat="1" applyFont="1" applyFill="1" applyBorder="1" applyAlignment="1" applyProtection="1">
      <alignment horizontal="center" vertical="center" wrapText="1"/>
      <protection locked="0"/>
    </xf>
    <xf numFmtId="41" fontId="5" fillId="0" borderId="1" xfId="0" applyNumberFormat="1" applyFont="1" applyBorder="1" applyAlignment="1">
      <alignment horizontal="center" vertical="center" wrapText="1"/>
    </xf>
    <xf numFmtId="189" fontId="48" fillId="0" borderId="15" xfId="3" applyNumberFormat="1" applyFont="1" applyFill="1" applyBorder="1" applyAlignment="1">
      <alignment horizontal="center" vertical="center" wrapText="1"/>
    </xf>
    <xf numFmtId="189" fontId="5" fillId="0" borderId="5" xfId="0" applyNumberFormat="1" applyFont="1" applyBorder="1" applyAlignment="1">
      <alignment horizontal="center" vertical="center" wrapText="1"/>
    </xf>
    <xf numFmtId="0" fontId="26" fillId="0" borderId="14" xfId="0" applyNumberFormat="1" applyFont="1" applyBorder="1" applyAlignment="1">
      <alignment horizontal="center" vertical="center" wrapText="1"/>
    </xf>
    <xf numFmtId="0" fontId="26" fillId="0" borderId="35" xfId="0" applyNumberFormat="1" applyFont="1" applyBorder="1" applyAlignment="1">
      <alignment horizontal="center" vertical="center" wrapText="1"/>
    </xf>
    <xf numFmtId="0" fontId="25" fillId="0" borderId="12" xfId="0" applyNumberFormat="1" applyFont="1" applyFill="1" applyBorder="1" applyAlignment="1">
      <alignment horizontal="center" vertical="center" wrapText="1"/>
    </xf>
    <xf numFmtId="0" fontId="25" fillId="0" borderId="4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wrapText="1"/>
    </xf>
    <xf numFmtId="41" fontId="12" fillId="0" borderId="36" xfId="0" applyNumberFormat="1" applyFont="1" applyFill="1" applyBorder="1" applyAlignment="1">
      <alignment horizontal="center" vertical="center" wrapText="1"/>
    </xf>
    <xf numFmtId="41" fontId="12" fillId="0" borderId="37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49" fontId="12" fillId="0" borderId="14" xfId="0" applyNumberFormat="1" applyFont="1" applyFill="1" applyBorder="1" applyAlignment="1">
      <alignment horizontal="center" vertical="center" wrapText="1"/>
    </xf>
    <xf numFmtId="41" fontId="12" fillId="0" borderId="14" xfId="0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49" fontId="51" fillId="0" borderId="4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3" quotePrefix="1" applyNumberFormat="1" applyFont="1" applyFill="1" applyBorder="1" applyAlignment="1">
      <alignment horizontal="center" vertical="center" wrapText="1"/>
    </xf>
    <xf numFmtId="41" fontId="12" fillId="0" borderId="1" xfId="3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 wrapText="1"/>
    </xf>
    <xf numFmtId="41" fontId="12" fillId="0" borderId="5" xfId="3" applyFont="1" applyFill="1" applyBorder="1" applyAlignment="1">
      <alignment horizontal="center" vertical="center" wrapText="1"/>
    </xf>
    <xf numFmtId="183" fontId="12" fillId="0" borderId="1" xfId="0" applyNumberFormat="1" applyFont="1" applyFill="1" applyBorder="1" applyAlignment="1">
      <alignment horizontal="center" vertical="center" wrapText="1"/>
    </xf>
    <xf numFmtId="183" fontId="12" fillId="0" borderId="5" xfId="0" applyNumberFormat="1" applyFont="1" applyFill="1" applyBorder="1" applyAlignment="1">
      <alignment horizontal="center" vertical="center" wrapText="1"/>
    </xf>
    <xf numFmtId="183" fontId="12" fillId="0" borderId="1" xfId="0" quotePrefix="1" applyNumberFormat="1" applyFont="1" applyFill="1" applyBorder="1" applyAlignment="1">
      <alignment horizontal="center" vertical="center" wrapText="1"/>
    </xf>
    <xf numFmtId="183" fontId="12" fillId="0" borderId="1" xfId="0" applyNumberFormat="1" applyFont="1" applyFill="1" applyBorder="1" applyAlignment="1">
      <alignment horizontal="center" vertical="center" shrinkToFit="1"/>
    </xf>
    <xf numFmtId="183" fontId="12" fillId="0" borderId="1" xfId="0" quotePrefix="1" applyNumberFormat="1" applyFont="1" applyFill="1" applyBorder="1" applyAlignment="1">
      <alignment horizontal="center" vertical="center" shrinkToFit="1"/>
    </xf>
    <xf numFmtId="49" fontId="42" fillId="0" borderId="1" xfId="0" applyNumberFormat="1" applyFont="1" applyFill="1" applyBorder="1" applyAlignment="1">
      <alignment horizontal="center" vertical="center"/>
    </xf>
    <xf numFmtId="0" fontId="42" fillId="0" borderId="1" xfId="15" applyFont="1" applyFill="1" applyBorder="1" applyAlignment="1">
      <alignment horizontal="center" vertical="center" wrapText="1" shrinkToFit="1"/>
    </xf>
    <xf numFmtId="176" fontId="42" fillId="0" borderId="1" xfId="0" applyNumberFormat="1" applyFont="1" applyFill="1" applyBorder="1" applyAlignment="1">
      <alignment horizontal="center" vertical="center" wrapText="1"/>
    </xf>
    <xf numFmtId="0" fontId="42" fillId="0" borderId="1" xfId="15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 shrinkToFit="1"/>
    </xf>
    <xf numFmtId="179" fontId="12" fillId="0" borderId="1" xfId="0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 shrinkToFit="1"/>
    </xf>
    <xf numFmtId="0" fontId="12" fillId="0" borderId="5" xfId="0" applyFont="1" applyFill="1" applyBorder="1" applyAlignment="1">
      <alignment horizontal="center" vertical="center" shrinkToFit="1"/>
    </xf>
    <xf numFmtId="41" fontId="12" fillId="0" borderId="1" xfId="0" applyNumberFormat="1" applyFont="1" applyFill="1" applyBorder="1" applyAlignment="1">
      <alignment horizontal="center" vertical="center" shrinkToFit="1"/>
    </xf>
    <xf numFmtId="0" fontId="42" fillId="0" borderId="1" xfId="0" quotePrefix="1" applyFont="1" applyFill="1" applyBorder="1" applyAlignment="1">
      <alignment horizontal="center" vertical="center" wrapText="1"/>
    </xf>
    <xf numFmtId="179" fontId="42" fillId="0" borderId="1" xfId="0" applyNumberFormat="1" applyFont="1" applyFill="1" applyBorder="1" applyAlignment="1">
      <alignment horizontal="center" vertical="center" wrapText="1"/>
    </xf>
    <xf numFmtId="179" fontId="42" fillId="0" borderId="5" xfId="0" applyNumberFormat="1" applyFont="1" applyFill="1" applyBorder="1" applyAlignment="1">
      <alignment horizontal="center" vertical="center" wrapText="1"/>
    </xf>
    <xf numFmtId="41" fontId="42" fillId="0" borderId="1" xfId="0" applyNumberFormat="1" applyFont="1" applyFill="1" applyBorder="1" applyAlignment="1">
      <alignment horizontal="center" vertical="center" wrapText="1" shrinkToFit="1"/>
    </xf>
    <xf numFmtId="0" fontId="42" fillId="0" borderId="1" xfId="0" applyNumberFormat="1" applyFont="1" applyFill="1" applyBorder="1" applyAlignment="1">
      <alignment horizontal="center" vertical="center" wrapText="1" shrinkToFit="1"/>
    </xf>
    <xf numFmtId="0" fontId="42" fillId="0" borderId="1" xfId="0" applyNumberFormat="1" applyFont="1" applyFill="1" applyBorder="1" applyAlignment="1">
      <alignment horizontal="center" vertical="center" wrapText="1"/>
    </xf>
    <xf numFmtId="41" fontId="42" fillId="0" borderId="1" xfId="0" applyNumberFormat="1" applyFont="1" applyFill="1" applyBorder="1" applyAlignment="1">
      <alignment horizontal="center" vertical="center" shrinkToFit="1"/>
    </xf>
    <xf numFmtId="0" fontId="42" fillId="0" borderId="1" xfId="0" quotePrefix="1" applyNumberFormat="1" applyFont="1" applyFill="1" applyBorder="1" applyAlignment="1">
      <alignment horizontal="center" vertical="center"/>
    </xf>
    <xf numFmtId="3" fontId="42" fillId="0" borderId="1" xfId="0" quotePrefix="1" applyNumberFormat="1" applyFont="1" applyFill="1" applyBorder="1" applyAlignment="1">
      <alignment horizontal="center" vertical="center"/>
    </xf>
    <xf numFmtId="0" fontId="42" fillId="0" borderId="1" xfId="0" applyNumberFormat="1" applyFont="1" applyFill="1" applyBorder="1" applyAlignment="1">
      <alignment horizontal="center" vertical="center"/>
    </xf>
    <xf numFmtId="0" fontId="42" fillId="0" borderId="5" xfId="0" applyNumberFormat="1" applyFont="1" applyFill="1" applyBorder="1" applyAlignment="1">
      <alignment horizontal="center" vertical="center"/>
    </xf>
    <xf numFmtId="3" fontId="42" fillId="0" borderId="1" xfId="0" quotePrefix="1" applyNumberFormat="1" applyFont="1" applyFill="1" applyBorder="1" applyAlignment="1">
      <alignment horizontal="center" vertical="center" wrapText="1"/>
    </xf>
    <xf numFmtId="3" fontId="42" fillId="0" borderId="1" xfId="0" applyNumberFormat="1" applyFont="1" applyFill="1" applyBorder="1" applyAlignment="1">
      <alignment horizontal="center" vertical="center"/>
    </xf>
    <xf numFmtId="41" fontId="42" fillId="0" borderId="1" xfId="3" applyFont="1" applyFill="1" applyBorder="1" applyAlignment="1">
      <alignment horizontal="center" vertical="center" wrapText="1"/>
    </xf>
    <xf numFmtId="41" fontId="12" fillId="0" borderId="1" xfId="0" applyNumberFormat="1" applyFont="1" applyFill="1" applyBorder="1" applyAlignment="1">
      <alignment horizontal="center" vertical="center"/>
    </xf>
    <xf numFmtId="41" fontId="12" fillId="0" borderId="1" xfId="0" applyNumberFormat="1" applyFont="1" applyFill="1" applyBorder="1" applyAlignment="1">
      <alignment horizontal="center" vertical="center" wrapText="1"/>
    </xf>
    <xf numFmtId="14" fontId="42" fillId="0" borderId="1" xfId="0" applyNumberFormat="1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79" fontId="12" fillId="0" borderId="5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4" fontId="42" fillId="0" borderId="1" xfId="0" applyNumberFormat="1" applyFont="1" applyFill="1" applyBorder="1" applyAlignment="1">
      <alignment horizontal="center" vertical="center" wrapText="1" shrinkToFit="1"/>
    </xf>
    <xf numFmtId="4" fontId="42" fillId="0" borderId="1" xfId="0" applyNumberFormat="1" applyFont="1" applyFill="1" applyBorder="1" applyAlignment="1">
      <alignment horizontal="center" vertical="center" wrapText="1"/>
    </xf>
    <xf numFmtId="3" fontId="42" fillId="0" borderId="1" xfId="0" applyNumberFormat="1" applyFont="1" applyFill="1" applyBorder="1" applyAlignment="1">
      <alignment horizontal="center" vertical="center" wrapText="1"/>
    </xf>
    <xf numFmtId="49" fontId="12" fillId="0" borderId="1" xfId="13" applyNumberFormat="1" applyFont="1" applyFill="1" applyBorder="1" applyAlignment="1">
      <alignment horizontal="center" vertical="center"/>
    </xf>
    <xf numFmtId="0" fontId="12" fillId="0" borderId="1" xfId="13" applyFont="1" applyFill="1" applyBorder="1" applyAlignment="1">
      <alignment horizontal="center" vertical="center" wrapText="1"/>
    </xf>
    <xf numFmtId="0" fontId="12" fillId="0" borderId="5" xfId="13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shrinkToFit="1"/>
    </xf>
    <xf numFmtId="14" fontId="12" fillId="0" borderId="1" xfId="0" applyNumberFormat="1" applyFont="1" applyFill="1" applyBorder="1" applyAlignment="1">
      <alignment horizontal="center" vertical="center" wrapText="1" shrinkToFit="1"/>
    </xf>
    <xf numFmtId="0" fontId="12" fillId="0" borderId="5" xfId="0" applyFont="1" applyFill="1" applyBorder="1" applyAlignment="1">
      <alignment horizontal="center" vertical="center" wrapText="1" shrinkToFi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3" fontId="12" fillId="0" borderId="1" xfId="0" applyNumberFormat="1" applyFont="1" applyFill="1" applyBorder="1" applyAlignment="1">
      <alignment horizontal="center" vertical="center" wrapText="1" shrinkToFit="1"/>
    </xf>
    <xf numFmtId="4" fontId="12" fillId="0" borderId="1" xfId="0" applyNumberFormat="1" applyFont="1" applyFill="1" applyBorder="1" applyAlignment="1">
      <alignment horizontal="center" vertical="center" wrapText="1" shrinkToFit="1"/>
    </xf>
    <xf numFmtId="0" fontId="12" fillId="0" borderId="1" xfId="0" quotePrefix="1" applyFont="1" applyFill="1" applyBorder="1" applyAlignment="1">
      <alignment horizontal="center" vertical="center" wrapText="1" shrinkToFi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quotePrefix="1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/>
    </xf>
    <xf numFmtId="49" fontId="12" fillId="0" borderId="1" xfId="3" applyNumberFormat="1" applyFont="1" applyFill="1" applyBorder="1" applyAlignment="1">
      <alignment horizontal="center" vertical="center" wrapText="1"/>
    </xf>
    <xf numFmtId="49" fontId="42" fillId="0" borderId="1" xfId="3" applyNumberFormat="1" applyFont="1" applyFill="1" applyBorder="1" applyAlignment="1">
      <alignment horizontal="center" vertical="center" shrinkToFit="1"/>
    </xf>
    <xf numFmtId="49" fontId="12" fillId="0" borderId="1" xfId="3" applyNumberFormat="1" applyFont="1" applyFill="1" applyBorder="1" applyAlignment="1">
      <alignment horizontal="center" vertical="center" shrinkToFit="1"/>
    </xf>
    <xf numFmtId="176" fontId="12" fillId="0" borderId="1" xfId="0" applyNumberFormat="1" applyFont="1" applyFill="1" applyBorder="1" applyAlignment="1">
      <alignment horizontal="center" vertical="center" shrinkToFit="1"/>
    </xf>
    <xf numFmtId="176" fontId="12" fillId="0" borderId="5" xfId="0" applyNumberFormat="1" applyFont="1" applyFill="1" applyBorder="1" applyAlignment="1">
      <alignment horizontal="center" vertical="center" shrinkToFit="1"/>
    </xf>
    <xf numFmtId="41" fontId="12" fillId="0" borderId="1" xfId="3" quotePrefix="1" applyFont="1" applyFill="1" applyBorder="1" applyAlignment="1">
      <alignment horizontal="center" vertical="center" wrapText="1"/>
    </xf>
    <xf numFmtId="49" fontId="42" fillId="0" borderId="1" xfId="3" applyNumberFormat="1" applyFont="1" applyFill="1" applyBorder="1" applyAlignment="1">
      <alignment horizontal="center" vertical="center"/>
    </xf>
    <xf numFmtId="41" fontId="42" fillId="0" borderId="1" xfId="3" quotePrefix="1" applyFont="1" applyFill="1" applyBorder="1" applyAlignment="1">
      <alignment horizontal="center" vertical="center" wrapText="1"/>
    </xf>
    <xf numFmtId="41" fontId="42" fillId="0" borderId="5" xfId="3" applyFont="1" applyFill="1" applyBorder="1" applyAlignment="1">
      <alignment horizontal="center" vertical="center" wrapText="1"/>
    </xf>
    <xf numFmtId="176" fontId="12" fillId="0" borderId="5" xfId="0" applyNumberFormat="1" applyFont="1" applyFill="1" applyBorder="1" applyAlignment="1">
      <alignment horizontal="center" vertical="center"/>
    </xf>
    <xf numFmtId="176" fontId="12" fillId="0" borderId="1" xfId="3" applyNumberFormat="1" applyFont="1" applyFill="1" applyBorder="1" applyAlignment="1">
      <alignment horizontal="center" vertical="center"/>
    </xf>
    <xf numFmtId="176" fontId="12" fillId="0" borderId="1" xfId="3" quotePrefix="1" applyNumberFormat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179" fontId="12" fillId="0" borderId="1" xfId="0" applyNumberFormat="1" applyFont="1" applyFill="1" applyBorder="1" applyAlignment="1">
      <alignment horizontal="center" vertical="center"/>
    </xf>
    <xf numFmtId="179" fontId="12" fillId="0" borderId="5" xfId="0" applyNumberFormat="1" applyFont="1" applyFill="1" applyBorder="1" applyAlignment="1">
      <alignment horizontal="center" vertical="center"/>
    </xf>
    <xf numFmtId="176" fontId="42" fillId="0" borderId="1" xfId="0" applyNumberFormat="1" applyFont="1" applyFill="1" applyBorder="1" applyAlignment="1">
      <alignment horizontal="center" vertical="center"/>
    </xf>
    <xf numFmtId="176" fontId="42" fillId="0" borderId="1" xfId="0" quotePrefix="1" applyNumberFormat="1" applyFont="1" applyFill="1" applyBorder="1" applyAlignment="1">
      <alignment horizontal="center" vertical="center"/>
    </xf>
    <xf numFmtId="176" fontId="12" fillId="0" borderId="5" xfId="3" applyNumberFormat="1" applyFont="1" applyFill="1" applyBorder="1" applyAlignment="1">
      <alignment horizontal="center" vertical="center"/>
    </xf>
    <xf numFmtId="176" fontId="54" fillId="0" borderId="1" xfId="0" applyNumberFormat="1" applyFont="1" applyFill="1" applyBorder="1" applyAlignment="1">
      <alignment horizontal="center" vertical="center"/>
    </xf>
    <xf numFmtId="49" fontId="12" fillId="0" borderId="1" xfId="14" applyNumberFormat="1" applyFont="1" applyFill="1" applyBorder="1" applyAlignment="1" applyProtection="1">
      <alignment horizontal="center" vertical="center"/>
      <protection locked="0"/>
    </xf>
    <xf numFmtId="0" fontId="12" fillId="0" borderId="1" xfId="14" applyFont="1" applyFill="1" applyBorder="1" applyAlignment="1" applyProtection="1">
      <alignment horizontal="center" vertical="center" wrapText="1"/>
      <protection locked="0"/>
    </xf>
    <xf numFmtId="0" fontId="12" fillId="0" borderId="5" xfId="14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Fill="1" applyBorder="1" applyAlignment="1" applyProtection="1">
      <alignment horizontal="center" vertical="center" wrapText="1" shrinkToFi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quotePrefix="1" applyFont="1" applyFill="1" applyBorder="1" applyAlignment="1" applyProtection="1">
      <alignment horizontal="center" vertical="center" wrapText="1"/>
      <protection locked="0"/>
    </xf>
    <xf numFmtId="17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87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 shrinkToFit="1"/>
      <protection locked="0"/>
    </xf>
    <xf numFmtId="41" fontId="12" fillId="0" borderId="1" xfId="0" applyNumberFormat="1" applyFont="1" applyFill="1" applyBorder="1" applyAlignment="1" applyProtection="1">
      <alignment horizontal="center" vertical="center" shrinkToFit="1"/>
      <protection locked="0"/>
    </xf>
    <xf numFmtId="41" fontId="12" fillId="0" borderId="1" xfId="3" applyFont="1" applyFill="1" applyBorder="1" applyAlignment="1" applyProtection="1">
      <alignment horizontal="center" vertical="center" shrinkToFit="1"/>
      <protection locked="0"/>
    </xf>
    <xf numFmtId="41" fontId="12" fillId="0" borderId="5" xfId="0" applyNumberFormat="1" applyFont="1" applyFill="1" applyBorder="1" applyAlignment="1" applyProtection="1">
      <alignment horizontal="center" vertical="center" shrinkToFit="1"/>
      <protection locked="0"/>
    </xf>
    <xf numFmtId="179" fontId="12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79" fontId="1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quotePrefix="1" applyFont="1" applyFill="1" applyBorder="1" applyAlignment="1" applyProtection="1">
      <alignment horizontal="center" vertical="center"/>
      <protection locked="0"/>
    </xf>
    <xf numFmtId="199" fontId="12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98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4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quotePrefix="1" applyNumberFormat="1" applyFont="1" applyFill="1" applyBorder="1" applyAlignment="1" applyProtection="1">
      <alignment horizontal="center" vertical="center" shrinkToFit="1"/>
      <protection locked="0"/>
    </xf>
    <xf numFmtId="193" fontId="12" fillId="0" borderId="1" xfId="0" applyNumberFormat="1" applyFont="1" applyFill="1" applyBorder="1" applyAlignment="1" applyProtection="1">
      <alignment horizontal="center" vertical="center" shrinkToFit="1"/>
      <protection locked="0"/>
    </xf>
    <xf numFmtId="179" fontId="12" fillId="0" borderId="1" xfId="0" quotePrefix="1" applyNumberFormat="1" applyFont="1" applyFill="1" applyBorder="1" applyAlignment="1">
      <alignment horizontal="center" vertical="center" wrapText="1"/>
    </xf>
    <xf numFmtId="179" fontId="12" fillId="0" borderId="1" xfId="16" applyNumberFormat="1" applyFont="1" applyFill="1" applyBorder="1" applyAlignment="1">
      <alignment horizontal="center" vertical="center" wrapText="1"/>
    </xf>
    <xf numFmtId="179" fontId="12" fillId="0" borderId="1" xfId="3" applyNumberFormat="1" applyFont="1" applyFill="1" applyBorder="1" applyAlignment="1">
      <alignment horizontal="center" vertical="center" wrapText="1"/>
    </xf>
    <xf numFmtId="179" fontId="12" fillId="0" borderId="5" xfId="16" applyNumberFormat="1" applyFont="1" applyFill="1" applyBorder="1" applyAlignment="1">
      <alignment horizontal="center" vertical="center" wrapText="1"/>
    </xf>
    <xf numFmtId="179" fontId="12" fillId="0" borderId="5" xfId="0" applyNumberFormat="1" applyFont="1" applyFill="1" applyBorder="1" applyAlignment="1">
      <alignment horizontal="center" vertical="center" shrinkToFit="1"/>
    </xf>
    <xf numFmtId="179" fontId="12" fillId="0" borderId="1" xfId="0" applyNumberFormat="1" applyFont="1" applyFill="1" applyBorder="1" applyAlignment="1">
      <alignment horizontal="center" vertical="center" wrapText="1" shrinkToFit="1"/>
    </xf>
    <xf numFmtId="200" fontId="12" fillId="0" borderId="1" xfId="0" applyNumberFormat="1" applyFont="1" applyFill="1" applyBorder="1" applyAlignment="1">
      <alignment horizontal="center" vertical="center" wrapText="1"/>
    </xf>
    <xf numFmtId="179" fontId="12" fillId="0" borderId="5" xfId="0" quotePrefix="1" applyNumberFormat="1" applyFont="1" applyFill="1" applyBorder="1" applyAlignment="1">
      <alignment horizontal="center" vertical="center" wrapText="1"/>
    </xf>
    <xf numFmtId="200" fontId="12" fillId="0" borderId="1" xfId="0" applyNumberFormat="1" applyFont="1" applyFill="1" applyBorder="1" applyAlignment="1">
      <alignment horizontal="center" vertical="center"/>
    </xf>
    <xf numFmtId="41" fontId="12" fillId="0" borderId="1" xfId="11" applyNumberFormat="1" applyFont="1" applyFill="1" applyBorder="1" applyAlignment="1">
      <alignment horizontal="center" vertical="center" wrapText="1"/>
    </xf>
    <xf numFmtId="196" fontId="12" fillId="0" borderId="1" xfId="0" applyNumberFormat="1" applyFont="1" applyFill="1" applyBorder="1" applyAlignment="1">
      <alignment horizontal="center" vertical="center" wrapText="1"/>
    </xf>
    <xf numFmtId="41" fontId="12" fillId="0" borderId="5" xfId="0" applyNumberFormat="1" applyFont="1" applyFill="1" applyBorder="1" applyAlignment="1">
      <alignment horizontal="center" vertical="center" wrapText="1"/>
    </xf>
    <xf numFmtId="41" fontId="12" fillId="0" borderId="1" xfId="0" applyNumberFormat="1" applyFont="1" applyFill="1" applyBorder="1" applyAlignment="1">
      <alignment horizontal="center" vertical="center" wrapText="1" shrinkToFit="1"/>
    </xf>
    <xf numFmtId="192" fontId="12" fillId="0" borderId="1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49" fontId="51" fillId="0" borderId="12" xfId="0" applyNumberFormat="1" applyFont="1" applyFill="1" applyBorder="1" applyAlignment="1">
      <alignment horizontal="center" vertical="center"/>
    </xf>
    <xf numFmtId="49" fontId="51" fillId="0" borderId="13" xfId="0" applyNumberFormat="1" applyFont="1" applyFill="1" applyBorder="1" applyAlignment="1">
      <alignment horizontal="center" vertical="center"/>
    </xf>
    <xf numFmtId="49" fontId="51" fillId="0" borderId="30" xfId="0" applyNumberFormat="1" applyFont="1" applyFill="1" applyBorder="1" applyAlignment="1">
      <alignment horizontal="center" vertical="center"/>
    </xf>
    <xf numFmtId="49" fontId="53" fillId="0" borderId="13" xfId="0" applyNumberFormat="1" applyFont="1" applyFill="1" applyBorder="1" applyAlignment="1">
      <alignment horizontal="center" vertical="center"/>
    </xf>
    <xf numFmtId="49" fontId="53" fillId="0" borderId="12" xfId="0" applyNumberFormat="1" applyFont="1" applyFill="1" applyBorder="1" applyAlignment="1">
      <alignment horizontal="center" vertical="center"/>
    </xf>
    <xf numFmtId="49" fontId="53" fillId="0" borderId="30" xfId="0" applyNumberFormat="1" applyFont="1" applyFill="1" applyBorder="1" applyAlignment="1">
      <alignment horizontal="center" vertical="center"/>
    </xf>
    <xf numFmtId="49" fontId="51" fillId="0" borderId="13" xfId="0" applyNumberFormat="1" applyFont="1" applyFill="1" applyBorder="1" applyAlignment="1">
      <alignment horizontal="center" vertical="center" shrinkToFit="1"/>
    </xf>
    <xf numFmtId="49" fontId="51" fillId="0" borderId="30" xfId="13" applyNumberFormat="1" applyFont="1" applyFill="1" applyBorder="1" applyAlignment="1">
      <alignment horizontal="center" vertical="center"/>
    </xf>
    <xf numFmtId="49" fontId="51" fillId="0" borderId="12" xfId="0" applyNumberFormat="1" applyFont="1" applyFill="1" applyBorder="1" applyAlignment="1">
      <alignment horizontal="center" vertical="center" shrinkToFit="1"/>
    </xf>
    <xf numFmtId="49" fontId="51" fillId="0" borderId="30" xfId="0" applyNumberFormat="1" applyFont="1" applyFill="1" applyBorder="1" applyAlignment="1">
      <alignment horizontal="center" vertical="center" shrinkToFit="1"/>
    </xf>
    <xf numFmtId="49" fontId="51" fillId="0" borderId="13" xfId="3" applyNumberFormat="1" applyFont="1" applyFill="1" applyBorder="1" applyAlignment="1">
      <alignment horizontal="center" vertical="center"/>
    </xf>
    <xf numFmtId="49" fontId="51" fillId="0" borderId="12" xfId="3" applyNumberFormat="1" applyFont="1" applyFill="1" applyBorder="1" applyAlignment="1">
      <alignment horizontal="center" vertical="center"/>
    </xf>
    <xf numFmtId="49" fontId="51" fillId="0" borderId="30" xfId="3" applyNumberFormat="1" applyFont="1" applyFill="1" applyBorder="1" applyAlignment="1">
      <alignment horizontal="center" vertical="center"/>
    </xf>
    <xf numFmtId="49" fontId="51" fillId="0" borderId="30" xfId="0" quotePrefix="1" applyNumberFormat="1" applyFont="1" applyFill="1" applyBorder="1" applyAlignment="1">
      <alignment horizontal="center" vertical="center"/>
    </xf>
    <xf numFmtId="49" fontId="53" fillId="0" borderId="12" xfId="0" applyNumberFormat="1" applyFont="1" applyFill="1" applyBorder="1" applyAlignment="1">
      <alignment horizontal="center" vertical="center" shrinkToFit="1"/>
    </xf>
    <xf numFmtId="49" fontId="53" fillId="0" borderId="30" xfId="0" applyNumberFormat="1" applyFont="1" applyFill="1" applyBorder="1" applyAlignment="1">
      <alignment horizontal="center" vertical="center" shrinkToFit="1"/>
    </xf>
    <xf numFmtId="49" fontId="53" fillId="0" borderId="12" xfId="3" applyNumberFormat="1" applyFont="1" applyFill="1" applyBorder="1" applyAlignment="1">
      <alignment horizontal="center" vertical="center"/>
    </xf>
    <xf numFmtId="49" fontId="53" fillId="0" borderId="30" xfId="3" applyNumberFormat="1" applyFont="1" applyFill="1" applyBorder="1" applyAlignment="1">
      <alignment horizontal="center" vertical="center"/>
    </xf>
    <xf numFmtId="49" fontId="51" fillId="0" borderId="12" xfId="14" applyNumberFormat="1" applyFont="1" applyFill="1" applyBorder="1" applyAlignment="1" applyProtection="1">
      <alignment horizontal="center" vertical="center"/>
      <protection locked="0"/>
    </xf>
    <xf numFmtId="49" fontId="51" fillId="0" borderId="30" xfId="14" applyNumberFormat="1" applyFont="1" applyFill="1" applyBorder="1" applyAlignment="1" applyProtection="1">
      <alignment horizontal="center" vertical="center"/>
      <protection locked="0"/>
    </xf>
    <xf numFmtId="49" fontId="51" fillId="0" borderId="13" xfId="0" applyNumberFormat="1" applyFont="1" applyFill="1" applyBorder="1" applyAlignment="1" applyProtection="1">
      <alignment horizontal="center" vertical="center"/>
      <protection locked="0"/>
    </xf>
    <xf numFmtId="49" fontId="51" fillId="0" borderId="12" xfId="0" applyNumberFormat="1" applyFont="1" applyFill="1" applyBorder="1" applyAlignment="1" applyProtection="1">
      <alignment horizontal="center" vertical="center" shrinkToFit="1"/>
      <protection locked="0"/>
    </xf>
    <xf numFmtId="49" fontId="51" fillId="0" borderId="30" xfId="0" applyNumberFormat="1" applyFont="1" applyFill="1" applyBorder="1" applyAlignment="1" applyProtection="1">
      <alignment horizontal="center" vertical="center" shrinkToFit="1"/>
      <protection locked="0"/>
    </xf>
    <xf numFmtId="49" fontId="51" fillId="0" borderId="12" xfId="0" applyNumberFormat="1" applyFont="1" applyFill="1" applyBorder="1" applyAlignment="1" applyProtection="1">
      <alignment horizontal="center" vertical="center"/>
      <protection locked="0"/>
    </xf>
    <xf numFmtId="49" fontId="51" fillId="0" borderId="30" xfId="0" applyNumberFormat="1" applyFont="1" applyFill="1" applyBorder="1" applyAlignment="1" applyProtection="1">
      <alignment horizontal="center" vertical="center"/>
      <protection locked="0"/>
    </xf>
    <xf numFmtId="49" fontId="51" fillId="0" borderId="12" xfId="16" applyNumberFormat="1" applyFont="1" applyFill="1" applyBorder="1" applyAlignment="1">
      <alignment horizontal="center" vertical="center"/>
    </xf>
    <xf numFmtId="49" fontId="51" fillId="0" borderId="30" xfId="16" applyNumberFormat="1" applyFont="1" applyFill="1" applyBorder="1" applyAlignment="1">
      <alignment horizontal="center" vertical="center"/>
    </xf>
    <xf numFmtId="49" fontId="51" fillId="0" borderId="34" xfId="0" applyNumberFormat="1" applyFont="1" applyFill="1" applyBorder="1" applyAlignment="1">
      <alignment horizontal="center" vertical="center"/>
    </xf>
    <xf numFmtId="192" fontId="51" fillId="0" borderId="9" xfId="0" applyNumberFormat="1" applyFont="1" applyFill="1" applyBorder="1" applyAlignment="1">
      <alignment horizontal="center" vertical="center"/>
    </xf>
    <xf numFmtId="49" fontId="42" fillId="0" borderId="21" xfId="0" applyNumberFormat="1" applyFont="1" applyFill="1" applyBorder="1" applyAlignment="1">
      <alignment horizontal="center" vertical="center"/>
    </xf>
    <xf numFmtId="49" fontId="12" fillId="0" borderId="14" xfId="0" applyNumberFormat="1" applyFont="1" applyFill="1" applyBorder="1" applyAlignment="1">
      <alignment horizontal="center" vertical="center"/>
    </xf>
    <xf numFmtId="49" fontId="12" fillId="0" borderId="29" xfId="0" applyNumberFormat="1" applyFont="1" applyFill="1" applyBorder="1" applyAlignment="1">
      <alignment horizontal="center" vertical="center"/>
    </xf>
    <xf numFmtId="49" fontId="12" fillId="0" borderId="21" xfId="0" applyNumberFormat="1" applyFont="1" applyFill="1" applyBorder="1" applyAlignment="1">
      <alignment horizontal="center" vertical="center"/>
    </xf>
    <xf numFmtId="49" fontId="42" fillId="0" borderId="14" xfId="0" applyNumberFormat="1" applyFont="1" applyFill="1" applyBorder="1" applyAlignment="1">
      <alignment horizontal="center" vertical="center"/>
    </xf>
    <xf numFmtId="49" fontId="42" fillId="0" borderId="29" xfId="0" applyNumberFormat="1" applyFont="1" applyFill="1" applyBorder="1" applyAlignment="1">
      <alignment horizontal="center" vertical="center"/>
    </xf>
    <xf numFmtId="195" fontId="47" fillId="0" borderId="1" xfId="3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14" fontId="12" fillId="0" borderId="1" xfId="3" applyNumberFormat="1" applyFont="1" applyFill="1" applyBorder="1" applyAlignment="1">
      <alignment horizontal="center" vertical="center" wrapText="1"/>
    </xf>
    <xf numFmtId="198" fontId="42" fillId="0" borderId="1" xfId="0" applyNumberFormat="1" applyFont="1" applyFill="1" applyBorder="1" applyAlignment="1">
      <alignment horizontal="center" vertical="center" wrapText="1"/>
    </xf>
    <xf numFmtId="49" fontId="12" fillId="0" borderId="1" xfId="0" quotePrefix="1" applyNumberFormat="1" applyFont="1" applyFill="1" applyBorder="1" applyAlignment="1">
      <alignment horizontal="center" vertical="center" wrapText="1"/>
    </xf>
    <xf numFmtId="179" fontId="12" fillId="0" borderId="1" xfId="0" quotePrefix="1" applyNumberFormat="1" applyFont="1" applyFill="1" applyBorder="1" applyAlignment="1">
      <alignment horizontal="center" vertical="center" wrapText="1" shrinkToFit="1"/>
    </xf>
    <xf numFmtId="179" fontId="12" fillId="0" borderId="1" xfId="0" quotePrefix="1" applyNumberFormat="1" applyFont="1" applyFill="1" applyBorder="1" applyAlignment="1">
      <alignment horizontal="center" vertical="center" shrinkToFit="1"/>
    </xf>
    <xf numFmtId="185" fontId="12" fillId="0" borderId="1" xfId="0" applyNumberFormat="1" applyFont="1" applyFill="1" applyBorder="1" applyAlignment="1">
      <alignment horizontal="center" vertical="center" wrapText="1"/>
    </xf>
    <xf numFmtId="41" fontId="25" fillId="0" borderId="1" xfId="3" applyNumberFormat="1" applyFont="1" applyFill="1" applyBorder="1" applyAlignment="1">
      <alignment horizontal="center" vertical="center" wrapText="1"/>
    </xf>
    <xf numFmtId="41" fontId="25" fillId="0" borderId="5" xfId="3" applyNumberFormat="1" applyFont="1" applyFill="1" applyBorder="1" applyAlignment="1">
      <alignment horizontal="center" vertical="center" wrapText="1"/>
    </xf>
    <xf numFmtId="41" fontId="25" fillId="0" borderId="14" xfId="3" applyNumberFormat="1" applyFont="1" applyFill="1" applyBorder="1" applyAlignment="1">
      <alignment horizontal="center" vertical="center" wrapText="1"/>
    </xf>
    <xf numFmtId="41" fontId="24" fillId="0" borderId="1" xfId="3" applyNumberFormat="1" applyFont="1" applyFill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41" fontId="12" fillId="0" borderId="39" xfId="0" applyNumberFormat="1" applyFont="1" applyFill="1" applyBorder="1" applyAlignment="1">
      <alignment horizontal="center" vertical="center" wrapText="1"/>
    </xf>
    <xf numFmtId="41" fontId="25" fillId="0" borderId="1" xfId="0" applyNumberFormat="1" applyFont="1" applyFill="1" applyBorder="1" applyAlignment="1">
      <alignment horizontal="center" vertical="center" wrapText="1"/>
    </xf>
    <xf numFmtId="41" fontId="25" fillId="0" borderId="5" xfId="0" applyNumberFormat="1" applyFont="1" applyFill="1" applyBorder="1" applyAlignment="1">
      <alignment horizontal="center" vertical="center" wrapText="1"/>
    </xf>
    <xf numFmtId="41" fontId="67" fillId="0" borderId="5" xfId="0" applyNumberFormat="1" applyFont="1" applyFill="1" applyBorder="1" applyAlignment="1">
      <alignment horizontal="center" vertical="center" wrapText="1"/>
    </xf>
    <xf numFmtId="41" fontId="67" fillId="0" borderId="5" xfId="3" applyNumberFormat="1" applyFont="1" applyFill="1" applyBorder="1" applyAlignment="1">
      <alignment horizontal="center" vertical="center" wrapText="1"/>
    </xf>
    <xf numFmtId="41" fontId="67" fillId="0" borderId="1" xfId="3" applyNumberFormat="1" applyFont="1" applyFill="1" applyBorder="1" applyAlignment="1">
      <alignment horizontal="center" vertical="center" wrapText="1"/>
    </xf>
    <xf numFmtId="41" fontId="25" fillId="0" borderId="7" xfId="3" applyNumberFormat="1" applyFont="1" applyFill="1" applyBorder="1" applyAlignment="1">
      <alignment horizontal="center" vertical="center" wrapText="1"/>
    </xf>
    <xf numFmtId="49" fontId="12" fillId="0" borderId="31" xfId="0" applyNumberFormat="1" applyFont="1" applyFill="1" applyBorder="1" applyAlignment="1">
      <alignment horizontal="center" vertical="center"/>
    </xf>
    <xf numFmtId="49" fontId="12" fillId="0" borderId="32" xfId="0" applyNumberFormat="1" applyFont="1" applyFill="1" applyBorder="1" applyAlignment="1">
      <alignment horizontal="center" vertical="center"/>
    </xf>
    <xf numFmtId="49" fontId="12" fillId="0" borderId="11" xfId="0" applyNumberFormat="1" applyFont="1" applyFill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1" fontId="68" fillId="0" borderId="1" xfId="0" applyNumberFormat="1" applyFont="1" applyBorder="1"/>
    <xf numFmtId="41" fontId="68" fillId="0" borderId="7" xfId="0" applyNumberFormat="1" applyFont="1" applyBorder="1"/>
    <xf numFmtId="0" fontId="68" fillId="0" borderId="11" xfId="0" applyFont="1" applyBorder="1"/>
    <xf numFmtId="0" fontId="68" fillId="0" borderId="33" xfId="0" applyFont="1" applyBorder="1"/>
    <xf numFmtId="0" fontId="68" fillId="0" borderId="37" xfId="0" applyFont="1" applyBorder="1"/>
    <xf numFmtId="41" fontId="68" fillId="0" borderId="10" xfId="0" applyNumberFormat="1" applyFont="1" applyBorder="1"/>
    <xf numFmtId="0" fontId="68" fillId="0" borderId="14" xfId="0" applyFont="1" applyBorder="1" applyAlignment="1">
      <alignment horizontal="center" vertical="center"/>
    </xf>
    <xf numFmtId="0" fontId="68" fillId="0" borderId="15" xfId="0" applyFont="1" applyBorder="1" applyAlignment="1">
      <alignment horizontal="center" vertical="center"/>
    </xf>
    <xf numFmtId="41" fontId="68" fillId="0" borderId="14" xfId="0" applyNumberFormat="1" applyFont="1" applyBorder="1"/>
    <xf numFmtId="0" fontId="68" fillId="0" borderId="31" xfId="0" applyFont="1" applyBorder="1"/>
    <xf numFmtId="41" fontId="12" fillId="0" borderId="1" xfId="3" applyNumberFormat="1" applyFont="1" applyFill="1" applyBorder="1" applyAlignment="1">
      <alignment horizontal="center" vertical="center" wrapText="1"/>
    </xf>
    <xf numFmtId="41" fontId="42" fillId="0" borderId="1" xfId="3" applyNumberFormat="1" applyFont="1" applyFill="1" applyBorder="1" applyAlignment="1">
      <alignment horizontal="center" vertical="center" shrinkToFit="1"/>
    </xf>
    <xf numFmtId="41" fontId="12" fillId="0" borderId="1" xfId="3" applyNumberFormat="1" applyFont="1" applyFill="1" applyBorder="1" applyAlignment="1">
      <alignment horizontal="center" vertical="center" shrinkToFit="1"/>
    </xf>
    <xf numFmtId="41" fontId="42" fillId="0" borderId="1" xfId="3" applyNumberFormat="1" applyFont="1" applyFill="1" applyBorder="1" applyAlignment="1">
      <alignment horizontal="center" vertical="center" wrapText="1"/>
    </xf>
    <xf numFmtId="41" fontId="12" fillId="0" borderId="1" xfId="3" applyNumberFormat="1" applyFont="1" applyFill="1" applyBorder="1" applyAlignment="1">
      <alignment horizontal="center" vertical="center"/>
    </xf>
    <xf numFmtId="41" fontId="12" fillId="0" borderId="1" xfId="14" applyNumberFormat="1" applyFont="1" applyFill="1" applyBorder="1" applyAlignment="1" applyProtection="1">
      <alignment horizontal="center" vertical="center" wrapText="1"/>
      <protection locked="0"/>
    </xf>
    <xf numFmtId="41" fontId="12" fillId="0" borderId="1" xfId="3" applyNumberFormat="1" applyFont="1" applyFill="1" applyBorder="1" applyAlignment="1" applyProtection="1">
      <alignment horizontal="center" vertical="center" wrapText="1"/>
      <protection locked="0"/>
    </xf>
    <xf numFmtId="41" fontId="12" fillId="0" borderId="1" xfId="0" applyNumberFormat="1" applyFont="1" applyFill="1" applyBorder="1" applyAlignment="1" applyProtection="1">
      <alignment horizontal="center" vertical="center"/>
      <protection locked="0"/>
    </xf>
    <xf numFmtId="41" fontId="12" fillId="0" borderId="1" xfId="3" applyNumberFormat="1" applyFont="1" applyFill="1" applyBorder="1" applyAlignment="1" applyProtection="1">
      <alignment horizontal="center" vertical="center" shrinkToFit="1"/>
      <protection locked="0"/>
    </xf>
    <xf numFmtId="41" fontId="12" fillId="0" borderId="1" xfId="3" applyNumberFormat="1" applyFont="1" applyFill="1" applyBorder="1" applyAlignment="1" applyProtection="1">
      <alignment horizontal="center" vertical="center"/>
      <protection locked="0"/>
    </xf>
    <xf numFmtId="41" fontId="12" fillId="0" borderId="1" xfId="13" applyNumberFormat="1" applyFont="1" applyFill="1" applyBorder="1" applyAlignment="1">
      <alignment horizontal="center" vertical="center" wrapText="1"/>
    </xf>
    <xf numFmtId="41" fontId="42" fillId="0" borderId="1" xfId="0" applyNumberFormat="1" applyFont="1" applyFill="1" applyBorder="1" applyAlignment="1">
      <alignment horizontal="center" vertical="center" wrapText="1"/>
    </xf>
    <xf numFmtId="41" fontId="42" fillId="0" borderId="7" xfId="0" applyNumberFormat="1" applyFont="1" applyFill="1" applyBorder="1" applyAlignment="1">
      <alignment horizontal="center" vertical="center" wrapText="1"/>
    </xf>
    <xf numFmtId="41" fontId="42" fillId="0" borderId="1" xfId="0" applyNumberFormat="1" applyFont="1" applyFill="1" applyBorder="1" applyAlignment="1">
      <alignment horizontal="center" vertical="center"/>
    </xf>
    <xf numFmtId="41" fontId="12" fillId="0" borderId="1" xfId="3" applyNumberFormat="1" applyFont="1" applyFill="1" applyBorder="1" applyAlignment="1">
      <alignment horizontal="center" vertical="center" wrapText="1" shrinkToFit="1"/>
    </xf>
    <xf numFmtId="41" fontId="12" fillId="0" borderId="40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189" fontId="12" fillId="0" borderId="10" xfId="0" applyNumberFormat="1" applyFont="1" applyFill="1" applyBorder="1" applyAlignment="1">
      <alignment horizontal="center" vertical="center" wrapText="1"/>
    </xf>
    <xf numFmtId="41" fontId="12" fillId="0" borderId="10" xfId="0" applyNumberFormat="1" applyFont="1" applyFill="1" applyBorder="1" applyAlignment="1">
      <alignment horizontal="center" vertical="center" wrapText="1"/>
    </xf>
    <xf numFmtId="189" fontId="12" fillId="0" borderId="1" xfId="0" applyNumberFormat="1" applyFont="1" applyFill="1" applyBorder="1" applyAlignment="1">
      <alignment horizontal="center" vertical="center" wrapText="1"/>
    </xf>
    <xf numFmtId="189" fontId="12" fillId="0" borderId="1" xfId="3" applyNumberFormat="1" applyFont="1" applyFill="1" applyBorder="1" applyAlignment="1">
      <alignment horizontal="center" vertical="center" wrapText="1"/>
    </xf>
    <xf numFmtId="189" fontId="12" fillId="0" borderId="1" xfId="1" applyNumberFormat="1" applyFont="1" applyFill="1" applyBorder="1" applyAlignment="1">
      <alignment horizontal="center" vertical="center" wrapText="1"/>
    </xf>
    <xf numFmtId="189" fontId="42" fillId="0" borderId="1" xfId="3" applyNumberFormat="1" applyFont="1" applyFill="1" applyBorder="1" applyAlignment="1">
      <alignment horizontal="center" vertical="center" wrapText="1" shrinkToFit="1"/>
    </xf>
    <xf numFmtId="189" fontId="12" fillId="0" borderId="1" xfId="3" applyNumberFormat="1" applyFont="1" applyFill="1" applyBorder="1" applyAlignment="1">
      <alignment horizontal="center" vertical="center" wrapText="1" shrinkToFit="1"/>
    </xf>
    <xf numFmtId="189" fontId="42" fillId="0" borderId="1" xfId="3" applyNumberFormat="1" applyFont="1" applyFill="1" applyBorder="1" applyAlignment="1">
      <alignment horizontal="center" vertical="center" wrapText="1"/>
    </xf>
    <xf numFmtId="189" fontId="42" fillId="0" borderId="1" xfId="1" applyNumberFormat="1" applyFont="1" applyFill="1" applyBorder="1" applyAlignment="1">
      <alignment horizontal="center" vertical="center" wrapText="1"/>
    </xf>
    <xf numFmtId="189" fontId="12" fillId="0" borderId="1" xfId="13" applyNumberFormat="1" applyFont="1" applyFill="1" applyBorder="1" applyAlignment="1">
      <alignment horizontal="center" vertical="center" wrapText="1"/>
    </xf>
    <xf numFmtId="189" fontId="12" fillId="0" borderId="1" xfId="0" applyNumberFormat="1" applyFont="1" applyFill="1" applyBorder="1" applyAlignment="1">
      <alignment horizontal="center" vertical="center" wrapText="1" shrinkToFit="1"/>
    </xf>
    <xf numFmtId="189" fontId="12" fillId="0" borderId="1" xfId="0" quotePrefix="1" applyNumberFormat="1" applyFont="1" applyFill="1" applyBorder="1" applyAlignment="1">
      <alignment horizontal="center" vertical="center" wrapText="1"/>
    </xf>
    <xf numFmtId="41" fontId="12" fillId="0" borderId="1" xfId="0" quotePrefix="1" applyNumberFormat="1" applyFont="1" applyFill="1" applyBorder="1" applyAlignment="1">
      <alignment horizontal="center" vertical="center" wrapText="1"/>
    </xf>
    <xf numFmtId="41" fontId="54" fillId="0" borderId="1" xfId="0" applyNumberFormat="1" applyFont="1" applyFill="1" applyBorder="1" applyAlignment="1">
      <alignment horizontal="center" vertical="center" wrapText="1"/>
    </xf>
    <xf numFmtId="41" fontId="14" fillId="0" borderId="1" xfId="0" applyNumberFormat="1" applyFont="1" applyFill="1" applyBorder="1" applyAlignment="1">
      <alignment horizontal="center" vertical="center" wrapText="1"/>
    </xf>
    <xf numFmtId="189" fontId="69" fillId="0" borderId="1" xfId="0" applyNumberFormat="1" applyFont="1" applyFill="1" applyBorder="1" applyAlignment="1">
      <alignment horizontal="center" vertical="center" wrapText="1"/>
    </xf>
    <xf numFmtId="41" fontId="69" fillId="0" borderId="1" xfId="0" applyNumberFormat="1" applyFont="1" applyFill="1" applyBorder="1" applyAlignment="1">
      <alignment horizontal="center" vertical="center" wrapText="1"/>
    </xf>
    <xf numFmtId="189" fontId="12" fillId="0" borderId="1" xfId="3" applyNumberFormat="1" applyFont="1" applyFill="1" applyBorder="1" applyAlignment="1" applyProtection="1">
      <alignment horizontal="center" vertical="center" wrapText="1"/>
      <protection locked="0"/>
    </xf>
    <xf numFmtId="189" fontId="12" fillId="0" borderId="1" xfId="3" applyNumberFormat="1" applyFont="1" applyFill="1" applyBorder="1" applyAlignment="1" applyProtection="1">
      <alignment horizontal="center" vertical="center" wrapText="1" shrinkToFit="1"/>
      <protection locked="0"/>
    </xf>
    <xf numFmtId="18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89" fontId="42" fillId="0" borderId="1" xfId="0" applyNumberFormat="1" applyFont="1" applyFill="1" applyBorder="1" applyAlignment="1">
      <alignment horizontal="center" vertical="center" wrapText="1"/>
    </xf>
    <xf numFmtId="189" fontId="52" fillId="0" borderId="1" xfId="0" applyNumberFormat="1" applyFont="1" applyFill="1" applyBorder="1" applyAlignment="1">
      <alignment horizontal="center" vertical="center" wrapText="1" shrinkToFit="1"/>
    </xf>
    <xf numFmtId="189" fontId="12" fillId="0" borderId="7" xfId="0" applyNumberFormat="1" applyFont="1" applyFill="1" applyBorder="1" applyAlignment="1">
      <alignment horizontal="center" vertical="center" wrapText="1"/>
    </xf>
    <xf numFmtId="41" fontId="12" fillId="0" borderId="7" xfId="0" applyNumberFormat="1" applyFont="1" applyFill="1" applyBorder="1" applyAlignment="1">
      <alignment horizontal="center" vertical="center" wrapText="1"/>
    </xf>
    <xf numFmtId="189" fontId="7" fillId="0" borderId="0" xfId="0" applyNumberFormat="1" applyFont="1" applyAlignment="1">
      <alignment horizontal="center" vertical="center" wrapText="1"/>
    </xf>
    <xf numFmtId="189" fontId="5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shrinkToFit="1"/>
    </xf>
    <xf numFmtId="0" fontId="12" fillId="0" borderId="37" xfId="0" applyFont="1" applyFill="1" applyBorder="1" applyAlignment="1">
      <alignment horizontal="center" vertical="center" wrapText="1"/>
    </xf>
    <xf numFmtId="41" fontId="12" fillId="0" borderId="40" xfId="3" applyNumberFormat="1" applyFont="1" applyFill="1" applyBorder="1" applyAlignment="1">
      <alignment horizontal="center" vertical="center" wrapText="1"/>
    </xf>
    <xf numFmtId="41" fontId="12" fillId="0" borderId="11" xfId="3" applyFont="1" applyFill="1" applyBorder="1" applyAlignment="1">
      <alignment horizontal="center" vertical="center" wrapText="1"/>
    </xf>
    <xf numFmtId="41" fontId="52" fillId="0" borderId="1" xfId="3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183" fontId="12" fillId="0" borderId="11" xfId="0" applyNumberFormat="1" applyFont="1" applyFill="1" applyBorder="1" applyAlignment="1">
      <alignment horizontal="center" vertical="center" wrapText="1"/>
    </xf>
    <xf numFmtId="183" fontId="12" fillId="0" borderId="1" xfId="0" applyNumberFormat="1" applyFont="1" applyFill="1" applyBorder="1" applyAlignment="1">
      <alignment horizontal="center" vertical="center" wrapText="1" shrinkToFit="1"/>
    </xf>
    <xf numFmtId="49" fontId="42" fillId="0" borderId="11" xfId="0" applyNumberFormat="1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 shrinkToFit="1"/>
    </xf>
    <xf numFmtId="41" fontId="42" fillId="0" borderId="40" xfId="3" applyNumberFormat="1" applyFont="1" applyFill="1" applyBorder="1" applyAlignment="1">
      <alignment horizontal="center" vertical="center" shrinkToFit="1"/>
    </xf>
    <xf numFmtId="0" fontId="42" fillId="0" borderId="11" xfId="15" applyFont="1" applyFill="1" applyBorder="1" applyAlignment="1">
      <alignment horizontal="center" vertical="center" wrapText="1"/>
    </xf>
    <xf numFmtId="0" fontId="42" fillId="0" borderId="11" xfId="15" applyFont="1" applyFill="1" applyBorder="1" applyAlignment="1">
      <alignment horizontal="center" vertical="center" wrapText="1" shrinkToFit="1"/>
    </xf>
    <xf numFmtId="0" fontId="42" fillId="0" borderId="11" xfId="0" applyFont="1" applyFill="1" applyBorder="1" applyAlignment="1">
      <alignment horizontal="center" vertical="center" wrapText="1"/>
    </xf>
    <xf numFmtId="41" fontId="12" fillId="0" borderId="40" xfId="3" applyNumberFormat="1" applyFont="1" applyFill="1" applyBorder="1" applyAlignment="1">
      <alignment horizontal="center" vertical="center" shrinkToFit="1"/>
    </xf>
    <xf numFmtId="41" fontId="42" fillId="0" borderId="11" xfId="0" applyNumberFormat="1" applyFont="1" applyFill="1" applyBorder="1" applyAlignment="1">
      <alignment horizontal="center" vertical="center" shrinkToFit="1"/>
    </xf>
    <xf numFmtId="41" fontId="42" fillId="0" borderId="11" xfId="3" applyFont="1" applyFill="1" applyBorder="1" applyAlignment="1">
      <alignment horizontal="center" vertical="center"/>
    </xf>
    <xf numFmtId="41" fontId="42" fillId="0" borderId="11" xfId="3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 shrinkToFit="1"/>
    </xf>
    <xf numFmtId="179" fontId="12" fillId="0" borderId="11" xfId="0" applyNumberFormat="1" applyFont="1" applyFill="1" applyBorder="1" applyAlignment="1">
      <alignment horizontal="center" vertical="center" wrapText="1"/>
    </xf>
    <xf numFmtId="41" fontId="42" fillId="0" borderId="1" xfId="3" quotePrefix="1" applyNumberFormat="1" applyFont="1" applyFill="1" applyBorder="1" applyAlignment="1">
      <alignment horizontal="center" vertical="center" shrinkToFit="1"/>
    </xf>
    <xf numFmtId="179" fontId="42" fillId="0" borderId="1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 shrinkToFit="1"/>
    </xf>
    <xf numFmtId="41" fontId="12" fillId="0" borderId="40" xfId="0" applyNumberFormat="1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center" vertical="center" wrapText="1" shrinkToFit="1"/>
    </xf>
    <xf numFmtId="41" fontId="12" fillId="0" borderId="40" xfId="0" applyNumberFormat="1" applyFont="1" applyFill="1" applyBorder="1" applyAlignment="1">
      <alignment horizontal="center" vertical="center"/>
    </xf>
    <xf numFmtId="41" fontId="12" fillId="0" borderId="11" xfId="3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center" vertical="center" shrinkToFit="1"/>
    </xf>
    <xf numFmtId="49" fontId="42" fillId="0" borderId="1" xfId="3" applyNumberFormat="1" applyFont="1" applyFill="1" applyBorder="1" applyAlignment="1">
      <alignment horizontal="center" vertical="center" wrapText="1"/>
    </xf>
    <xf numFmtId="41" fontId="12" fillId="0" borderId="11" xfId="0" applyNumberFormat="1" applyFont="1" applyFill="1" applyBorder="1" applyAlignment="1">
      <alignment horizontal="center" vertical="center" wrapText="1"/>
    </xf>
    <xf numFmtId="41" fontId="42" fillId="0" borderId="11" xfId="0" applyNumberFormat="1" applyFont="1" applyFill="1" applyBorder="1" applyAlignment="1">
      <alignment horizontal="center" vertical="center" wrapText="1"/>
    </xf>
    <xf numFmtId="41" fontId="12" fillId="0" borderId="11" xfId="0" applyNumberFormat="1" applyFont="1" applyFill="1" applyBorder="1" applyAlignment="1">
      <alignment horizontal="center" vertical="center" shrinkToFit="1"/>
    </xf>
    <xf numFmtId="41" fontId="12" fillId="0" borderId="1" xfId="3" quotePrefix="1" applyNumberFormat="1" applyFont="1" applyFill="1" applyBorder="1" applyAlignment="1">
      <alignment horizontal="center" vertical="center" wrapText="1"/>
    </xf>
    <xf numFmtId="41" fontId="42" fillId="0" borderId="40" xfId="3" applyNumberFormat="1" applyFont="1" applyFill="1" applyBorder="1" applyAlignment="1">
      <alignment horizontal="center" vertical="center" wrapText="1"/>
    </xf>
    <xf numFmtId="41" fontId="12" fillId="0" borderId="11" xfId="3" applyNumberFormat="1" applyFont="1" applyFill="1" applyBorder="1" applyAlignment="1">
      <alignment horizontal="center" vertical="center" wrapText="1"/>
    </xf>
    <xf numFmtId="176" fontId="12" fillId="0" borderId="11" xfId="0" applyNumberFormat="1" applyFont="1" applyFill="1" applyBorder="1" applyAlignment="1">
      <alignment horizontal="center" vertical="center"/>
    </xf>
    <xf numFmtId="41" fontId="12" fillId="0" borderId="40" xfId="3" applyNumberFormat="1" applyFont="1" applyFill="1" applyBorder="1" applyAlignment="1">
      <alignment horizontal="center" vertical="center"/>
    </xf>
    <xf numFmtId="176" fontId="12" fillId="0" borderId="11" xfId="3" applyNumberFormat="1" applyFont="1" applyFill="1" applyBorder="1" applyAlignment="1">
      <alignment horizontal="center" vertical="center"/>
    </xf>
    <xf numFmtId="176" fontId="12" fillId="0" borderId="11" xfId="0" applyNumberFormat="1" applyFont="1" applyFill="1" applyBorder="1" applyAlignment="1">
      <alignment horizontal="center" vertical="center" wrapText="1"/>
    </xf>
    <xf numFmtId="179" fontId="12" fillId="0" borderId="11" xfId="0" applyNumberFormat="1" applyFont="1" applyFill="1" applyBorder="1" applyAlignment="1">
      <alignment horizontal="center" vertical="center"/>
    </xf>
    <xf numFmtId="176" fontId="42" fillId="0" borderId="11" xfId="0" applyNumberFormat="1" applyFont="1" applyFill="1" applyBorder="1" applyAlignment="1">
      <alignment horizontal="center" vertical="center"/>
    </xf>
    <xf numFmtId="41" fontId="69" fillId="0" borderId="1" xfId="0" applyNumberFormat="1" applyFont="1" applyFill="1" applyBorder="1" applyAlignment="1">
      <alignment horizontal="center" vertical="center"/>
    </xf>
    <xf numFmtId="41" fontId="69" fillId="0" borderId="40" xfId="0" applyNumberFormat="1" applyFont="1" applyFill="1" applyBorder="1" applyAlignment="1">
      <alignment horizontal="center" vertical="center"/>
    </xf>
    <xf numFmtId="49" fontId="12" fillId="0" borderId="1" xfId="14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4" applyNumberFormat="1" applyFont="1" applyFill="1" applyBorder="1" applyAlignment="1" applyProtection="1">
      <alignment horizontal="center" vertical="center" shrinkToFit="1"/>
      <protection locked="0"/>
    </xf>
    <xf numFmtId="41" fontId="12" fillId="0" borderId="40" xfId="3" applyNumberFormat="1" applyFont="1" applyFill="1" applyBorder="1" applyAlignment="1" applyProtection="1">
      <alignment horizontal="center" vertical="center" wrapText="1"/>
      <protection locked="0"/>
    </xf>
    <xf numFmtId="0" fontId="12" fillId="0" borderId="11" xfId="14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41" fontId="12" fillId="0" borderId="40" xfId="3" applyNumberFormat="1" applyFont="1" applyFill="1" applyBorder="1" applyAlignment="1" applyProtection="1">
      <alignment horizontal="center" vertical="center" shrinkToFit="1"/>
      <protection locked="0"/>
    </xf>
    <xf numFmtId="0" fontId="12" fillId="0" borderId="11" xfId="0" applyFont="1" applyFill="1" applyBorder="1" applyAlignment="1" applyProtection="1">
      <alignment horizontal="center" vertical="center" wrapText="1" shrinkToFit="1"/>
      <protection locked="0"/>
    </xf>
    <xf numFmtId="0" fontId="12" fillId="0" borderId="11" xfId="0" applyFont="1" applyFill="1" applyBorder="1" applyAlignment="1" applyProtection="1">
      <alignment horizontal="center" vertical="center" wrapText="1"/>
      <protection locked="0"/>
    </xf>
    <xf numFmtId="41" fontId="12" fillId="0" borderId="11" xfId="3" applyFont="1" applyFill="1" applyBorder="1" applyAlignment="1" applyProtection="1">
      <alignment horizontal="center" vertical="center" wrapText="1" shrinkToFit="1"/>
      <protection locked="0"/>
    </xf>
    <xf numFmtId="179" fontId="12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1" xfId="0" applyFont="1" applyFill="1" applyBorder="1" applyAlignment="1" applyProtection="1">
      <alignment horizontal="center" vertical="center"/>
      <protection locked="0"/>
    </xf>
    <xf numFmtId="41" fontId="12" fillId="0" borderId="40" xfId="3" applyNumberFormat="1" applyFont="1" applyFill="1" applyBorder="1" applyAlignment="1" applyProtection="1">
      <alignment horizontal="center" vertical="center"/>
      <protection locked="0"/>
    </xf>
    <xf numFmtId="41" fontId="12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11" xfId="18" applyFont="1" applyFill="1" applyBorder="1" applyAlignment="1" applyProtection="1">
      <alignment horizontal="center" vertical="center" wrapText="1"/>
      <protection locked="0"/>
    </xf>
    <xf numFmtId="41" fontId="12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41" fontId="12" fillId="0" borderId="40" xfId="3" quotePrefix="1" applyNumberFormat="1" applyFont="1" applyFill="1" applyBorder="1" applyAlignment="1" applyProtection="1">
      <alignment horizontal="center" vertical="center" wrapText="1"/>
      <protection locked="0"/>
    </xf>
    <xf numFmtId="41" fontId="12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6" applyNumberFormat="1" applyFont="1" applyFill="1" applyBorder="1" applyAlignment="1">
      <alignment horizontal="center" vertical="center" wrapText="1"/>
    </xf>
    <xf numFmtId="49" fontId="12" fillId="0" borderId="1" xfId="16" applyNumberFormat="1" applyFont="1" applyFill="1" applyBorder="1" applyAlignment="1">
      <alignment horizontal="center" vertical="center" shrinkToFit="1"/>
    </xf>
    <xf numFmtId="41" fontId="12" fillId="0" borderId="1" xfId="16" applyNumberFormat="1" applyFont="1" applyFill="1" applyBorder="1" applyAlignment="1">
      <alignment horizontal="center" vertical="center" wrapText="1"/>
    </xf>
    <xf numFmtId="41" fontId="12" fillId="0" borderId="40" xfId="16" applyNumberFormat="1" applyFont="1" applyFill="1" applyBorder="1" applyAlignment="1">
      <alignment horizontal="center" vertical="center" wrapText="1"/>
    </xf>
    <xf numFmtId="179" fontId="12" fillId="0" borderId="11" xfId="16" applyNumberFormat="1" applyFont="1" applyFill="1" applyBorder="1" applyAlignment="1">
      <alignment horizontal="center" vertical="center" wrapText="1"/>
    </xf>
    <xf numFmtId="41" fontId="12" fillId="0" borderId="40" xfId="0" applyNumberFormat="1" applyFont="1" applyFill="1" applyBorder="1" applyAlignment="1">
      <alignment horizontal="center" vertical="center" shrinkToFit="1"/>
    </xf>
    <xf numFmtId="179" fontId="12" fillId="0" borderId="11" xfId="0" applyNumberFormat="1" applyFont="1" applyFill="1" applyBorder="1" applyAlignment="1">
      <alignment horizontal="center" vertical="center" wrapText="1" shrinkToFit="1"/>
    </xf>
    <xf numFmtId="179" fontId="12" fillId="0" borderId="11" xfId="0" applyNumberFormat="1" applyFont="1" applyFill="1" applyBorder="1" applyAlignment="1">
      <alignment horizontal="center" vertical="center" shrinkToFit="1"/>
    </xf>
    <xf numFmtId="179" fontId="12" fillId="0" borderId="11" xfId="3" applyNumberFormat="1" applyFont="1" applyFill="1" applyBorder="1" applyAlignment="1">
      <alignment horizontal="center" vertical="center" wrapText="1"/>
    </xf>
    <xf numFmtId="41" fontId="52" fillId="0" borderId="1" xfId="3" applyNumberFormat="1" applyFont="1" applyFill="1" applyBorder="1" applyAlignment="1">
      <alignment horizontal="center" vertical="center" shrinkToFit="1"/>
    </xf>
    <xf numFmtId="49" fontId="12" fillId="0" borderId="31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shrinkToFit="1"/>
    </xf>
    <xf numFmtId="49" fontId="12" fillId="0" borderId="21" xfId="0" applyNumberFormat="1" applyFont="1" applyFill="1" applyBorder="1" applyAlignment="1">
      <alignment horizontal="center" vertical="center" wrapText="1"/>
    </xf>
    <xf numFmtId="41" fontId="12" fillId="0" borderId="11" xfId="0" applyNumberFormat="1" applyFont="1" applyFill="1" applyBorder="1" applyAlignment="1">
      <alignment horizontal="center" vertical="center" wrapText="1" shrinkToFit="1"/>
    </xf>
    <xf numFmtId="0" fontId="12" fillId="0" borderId="11" xfId="0" applyNumberFormat="1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/>
    </xf>
    <xf numFmtId="41" fontId="42" fillId="0" borderId="40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 wrapText="1"/>
    </xf>
    <xf numFmtId="49" fontId="12" fillId="0" borderId="7" xfId="0" applyNumberFormat="1" applyFont="1" applyFill="1" applyBorder="1" applyAlignment="1">
      <alignment horizontal="center" vertical="center" shrinkToFit="1"/>
    </xf>
    <xf numFmtId="41" fontId="12" fillId="0" borderId="41" xfId="0" applyNumberFormat="1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68" fillId="0" borderId="32" xfId="0" applyFont="1" applyBorder="1"/>
    <xf numFmtId="41" fontId="68" fillId="0" borderId="21" xfId="0" applyNumberFormat="1" applyFont="1" applyBorder="1"/>
    <xf numFmtId="49" fontId="12" fillId="0" borderId="32" xfId="0" applyNumberFormat="1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25" fillId="0" borderId="1" xfId="3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 wrapText="1" shrinkToFit="1"/>
    </xf>
    <xf numFmtId="41" fontId="25" fillId="0" borderId="1" xfId="0" applyNumberFormat="1" applyFont="1" applyFill="1" applyBorder="1" applyAlignment="1">
      <alignment horizontal="center" vertical="center"/>
    </xf>
    <xf numFmtId="41" fontId="25" fillId="0" borderId="1" xfId="0" applyNumberFormat="1" applyFont="1" applyFill="1" applyBorder="1" applyAlignment="1" applyProtection="1">
      <alignment horizontal="center" vertical="center" wrapText="1"/>
      <protection locked="0"/>
    </xf>
    <xf numFmtId="189" fontId="25" fillId="0" borderId="1" xfId="3" applyNumberFormat="1" applyFont="1" applyFill="1" applyBorder="1" applyAlignment="1">
      <alignment horizontal="center" vertical="center" wrapText="1"/>
    </xf>
    <xf numFmtId="0" fontId="25" fillId="0" borderId="9" xfId="0" applyNumberFormat="1" applyFont="1" applyFill="1" applyBorder="1" applyAlignment="1">
      <alignment horizontal="center" vertical="center" wrapText="1"/>
    </xf>
    <xf numFmtId="195" fontId="25" fillId="0" borderId="10" xfId="0" applyNumberFormat="1" applyFont="1" applyFill="1" applyBorder="1" applyAlignment="1">
      <alignment horizontal="center" vertical="center" wrapText="1"/>
    </xf>
    <xf numFmtId="41" fontId="25" fillId="0" borderId="10" xfId="0" applyNumberFormat="1" applyFont="1" applyFill="1" applyBorder="1" applyAlignment="1">
      <alignment horizontal="center" vertical="center" wrapText="1"/>
    </xf>
    <xf numFmtId="195" fontId="25" fillId="0" borderId="1" xfId="0" applyNumberFormat="1" applyFont="1" applyFill="1" applyBorder="1" applyAlignment="1">
      <alignment horizontal="center" vertical="center" wrapText="1"/>
    </xf>
    <xf numFmtId="0" fontId="25" fillId="0" borderId="11" xfId="0" applyNumberFormat="1" applyFont="1" applyFill="1" applyBorder="1" applyAlignment="1">
      <alignment horizontal="center" vertical="center" wrapText="1"/>
    </xf>
    <xf numFmtId="0" fontId="25" fillId="0" borderId="30" xfId="0" applyNumberFormat="1" applyFont="1" applyFill="1" applyBorder="1" applyAlignment="1">
      <alignment horizontal="center" vertical="center" wrapText="1"/>
    </xf>
    <xf numFmtId="0" fontId="25" fillId="0" borderId="13" xfId="0" applyNumberFormat="1" applyFont="1" applyFill="1" applyBorder="1" applyAlignment="1">
      <alignment horizontal="center" vertical="center" wrapText="1"/>
    </xf>
    <xf numFmtId="0" fontId="25" fillId="0" borderId="4" xfId="3" applyNumberFormat="1" applyFont="1" applyFill="1" applyBorder="1" applyAlignment="1">
      <alignment horizontal="center" vertical="center" wrapText="1"/>
    </xf>
    <xf numFmtId="195" fontId="25" fillId="0" borderId="11" xfId="3" applyNumberFormat="1" applyFont="1" applyFill="1" applyBorder="1" applyAlignment="1">
      <alignment horizontal="center" vertical="center" wrapText="1"/>
    </xf>
    <xf numFmtId="0" fontId="25" fillId="0" borderId="13" xfId="3" applyNumberFormat="1" applyFont="1" applyFill="1" applyBorder="1" applyAlignment="1">
      <alignment horizontal="center" vertical="center" wrapText="1"/>
    </xf>
    <xf numFmtId="0" fontId="25" fillId="0" borderId="12" xfId="3" applyNumberFormat="1" applyFont="1" applyFill="1" applyBorder="1" applyAlignment="1">
      <alignment horizontal="center" vertical="center" wrapText="1"/>
    </xf>
    <xf numFmtId="0" fontId="25" fillId="0" borderId="11" xfId="3" applyNumberFormat="1" applyFont="1" applyFill="1" applyBorder="1" applyAlignment="1">
      <alignment horizontal="center" vertical="center" wrapText="1"/>
    </xf>
    <xf numFmtId="0" fontId="25" fillId="0" borderId="30" xfId="3" applyNumberFormat="1" applyFont="1" applyFill="1" applyBorder="1" applyAlignment="1">
      <alignment horizontal="center" vertical="center" wrapText="1"/>
    </xf>
    <xf numFmtId="41" fontId="25" fillId="0" borderId="1" xfId="3" applyNumberFormat="1" applyFont="1" applyFill="1" applyBorder="1" applyAlignment="1">
      <alignment horizontal="center" vertical="center" shrinkToFit="1"/>
    </xf>
    <xf numFmtId="41" fontId="25" fillId="0" borderId="5" xfId="0" applyNumberFormat="1" applyFont="1" applyFill="1" applyBorder="1" applyAlignment="1">
      <alignment horizontal="center" vertical="center"/>
    </xf>
    <xf numFmtId="41" fontId="25" fillId="0" borderId="1" xfId="3" applyNumberFormat="1" applyFont="1" applyFill="1" applyBorder="1" applyAlignment="1">
      <alignment horizontal="center" vertical="center"/>
    </xf>
    <xf numFmtId="41" fontId="25" fillId="0" borderId="7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89" fontId="25" fillId="0" borderId="1" xfId="0" applyNumberFormat="1" applyFont="1" applyFill="1" applyBorder="1" applyAlignment="1">
      <alignment horizontal="center" vertical="center" wrapText="1"/>
    </xf>
    <xf numFmtId="189" fontId="25" fillId="0" borderId="5" xfId="0" applyNumberFormat="1" applyFont="1" applyFill="1" applyBorder="1" applyAlignment="1">
      <alignment horizontal="center" vertical="center" wrapText="1"/>
    </xf>
    <xf numFmtId="189" fontId="25" fillId="0" borderId="7" xfId="0" applyNumberFormat="1" applyFont="1" applyFill="1" applyBorder="1" applyAlignment="1">
      <alignment horizontal="center" vertical="center" wrapText="1"/>
    </xf>
    <xf numFmtId="189" fontId="25" fillId="0" borderId="8" xfId="0" applyNumberFormat="1" applyFont="1" applyFill="1" applyBorder="1" applyAlignment="1">
      <alignment horizontal="center" vertical="center" wrapText="1"/>
    </xf>
    <xf numFmtId="0" fontId="25" fillId="0" borderId="4" xfId="0" applyNumberFormat="1" applyFont="1" applyFill="1" applyBorder="1" applyAlignment="1">
      <alignment horizontal="center" vertical="center" wrapText="1" shrinkToFit="1"/>
    </xf>
    <xf numFmtId="0" fontId="30" fillId="0" borderId="0" xfId="0" applyFont="1" applyFill="1" applyAlignment="1">
      <alignment horizontal="right"/>
    </xf>
    <xf numFmtId="41" fontId="42" fillId="0" borderId="1" xfId="3" applyNumberFormat="1" applyFont="1" applyFill="1" applyBorder="1" applyAlignment="1">
      <alignment horizontal="center" vertical="center"/>
    </xf>
    <xf numFmtId="41" fontId="25" fillId="0" borderId="1" xfId="16" applyNumberFormat="1" applyFont="1" applyFill="1" applyBorder="1" applyAlignment="1">
      <alignment horizontal="center" vertical="center" wrapText="1"/>
    </xf>
    <xf numFmtId="41" fontId="25" fillId="0" borderId="5" xfId="16" applyNumberFormat="1" applyFont="1" applyFill="1" applyBorder="1" applyAlignment="1">
      <alignment horizontal="center" vertical="center" wrapText="1"/>
    </xf>
    <xf numFmtId="41" fontId="25" fillId="0" borderId="1" xfId="3" applyNumberFormat="1" applyFont="1" applyFill="1" applyBorder="1" applyAlignment="1" applyProtection="1">
      <alignment horizontal="center" vertical="center"/>
      <protection locked="0"/>
    </xf>
    <xf numFmtId="41" fontId="25" fillId="0" borderId="5" xfId="3" applyNumberFormat="1" applyFont="1" applyFill="1" applyBorder="1" applyAlignment="1">
      <alignment horizontal="center" vertical="center" shrinkToFit="1"/>
    </xf>
    <xf numFmtId="41" fontId="25" fillId="0" borderId="1" xfId="3" applyNumberFormat="1" applyFont="1" applyFill="1" applyBorder="1" applyAlignment="1" applyProtection="1">
      <alignment horizontal="center" vertical="center" wrapText="1"/>
      <protection locked="0"/>
    </xf>
    <xf numFmtId="41" fontId="25" fillId="0" borderId="5" xfId="3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41" fontId="25" fillId="0" borderId="1" xfId="0" applyNumberFormat="1" applyFont="1" applyFill="1" applyBorder="1" applyAlignment="1" applyProtection="1">
      <alignment horizontal="center" vertical="center"/>
      <protection locked="0"/>
    </xf>
    <xf numFmtId="41" fontId="25" fillId="0" borderId="1" xfId="14" applyNumberFormat="1" applyFont="1" applyFill="1" applyBorder="1" applyAlignment="1" applyProtection="1">
      <alignment horizontal="center" vertical="center"/>
      <protection locked="0"/>
    </xf>
    <xf numFmtId="41" fontId="25" fillId="0" borderId="11" xfId="0" applyNumberFormat="1" applyFont="1" applyFill="1" applyBorder="1" applyAlignment="1">
      <alignment vertical="center" wrapText="1"/>
    </xf>
    <xf numFmtId="189" fontId="25" fillId="0" borderId="7" xfId="3" applyNumberFormat="1" applyFont="1" applyFill="1" applyBorder="1" applyAlignment="1">
      <alignment horizontal="center" vertical="center" wrapText="1"/>
    </xf>
    <xf numFmtId="0" fontId="67" fillId="0" borderId="5" xfId="0" applyNumberFormat="1" applyFont="1" applyBorder="1" applyAlignment="1">
      <alignment horizontal="right" vertical="center" wrapText="1"/>
    </xf>
    <xf numFmtId="0" fontId="67" fillId="0" borderId="8" xfId="0" applyNumberFormat="1" applyFont="1" applyBorder="1" applyAlignment="1">
      <alignment horizontal="right" vertical="center" wrapText="1"/>
    </xf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>
      <alignment vertical="center" wrapText="1"/>
    </xf>
    <xf numFmtId="0" fontId="67" fillId="0" borderId="1" xfId="0" applyNumberFormat="1" applyFont="1" applyBorder="1" applyAlignment="1">
      <alignment horizontal="center" vertical="center" wrapText="1"/>
    </xf>
    <xf numFmtId="0" fontId="67" fillId="0" borderId="7" xfId="0" applyNumberFormat="1" applyFont="1" applyBorder="1" applyAlignment="1">
      <alignment horizontal="center" vertical="center" wrapText="1"/>
    </xf>
    <xf numFmtId="41" fontId="25" fillId="0" borderId="4" xfId="3" applyFont="1" applyFill="1" applyBorder="1" applyAlignment="1">
      <alignment horizontal="center" vertical="center" wrapText="1"/>
    </xf>
    <xf numFmtId="197" fontId="5" fillId="0" borderId="0" xfId="0" applyNumberFormat="1" applyFont="1" applyAlignment="1">
      <alignment vertical="center" wrapText="1"/>
    </xf>
    <xf numFmtId="197" fontId="24" fillId="0" borderId="10" xfId="0" applyNumberFormat="1" applyFont="1" applyBorder="1" applyAlignment="1">
      <alignment horizontal="center" vertical="center" wrapText="1"/>
    </xf>
    <xf numFmtId="201" fontId="67" fillId="0" borderId="1" xfId="3" applyNumberFormat="1" applyFont="1" applyBorder="1" applyAlignment="1">
      <alignment horizontal="right" vertical="center" wrapText="1"/>
    </xf>
    <xf numFmtId="201" fontId="70" fillId="0" borderId="0" xfId="0" applyNumberFormat="1" applyFont="1" applyAlignment="1">
      <alignment vertical="center" wrapText="1"/>
    </xf>
    <xf numFmtId="41" fontId="12" fillId="0" borderId="1" xfId="3" applyFont="1" applyFill="1" applyBorder="1" applyAlignment="1">
      <alignment horizontal="center" vertical="center"/>
    </xf>
    <xf numFmtId="189" fontId="12" fillId="0" borderId="14" xfId="0" applyNumberFormat="1" applyFont="1" applyFill="1" applyBorder="1" applyAlignment="1">
      <alignment horizontal="center" vertical="center" wrapText="1"/>
    </xf>
    <xf numFmtId="189" fontId="42" fillId="0" borderId="1" xfId="3" applyNumberFormat="1" applyFont="1" applyFill="1" applyBorder="1" applyAlignment="1">
      <alignment horizontal="center" vertical="center" shrinkToFit="1"/>
    </xf>
    <xf numFmtId="189" fontId="12" fillId="0" borderId="1" xfId="3" applyNumberFormat="1" applyFont="1" applyFill="1" applyBorder="1" applyAlignment="1">
      <alignment horizontal="center" vertical="center" shrinkToFit="1"/>
    </xf>
    <xf numFmtId="189" fontId="42" fillId="0" borderId="1" xfId="3" quotePrefix="1" applyNumberFormat="1" applyFont="1" applyFill="1" applyBorder="1" applyAlignment="1">
      <alignment horizontal="center" vertical="center" shrinkToFit="1"/>
    </xf>
    <xf numFmtId="189" fontId="54" fillId="0" borderId="1" xfId="0" applyNumberFormat="1" applyFont="1" applyFill="1" applyBorder="1" applyAlignment="1">
      <alignment horizontal="center" vertical="center" wrapText="1" shrinkToFit="1"/>
    </xf>
    <xf numFmtId="189" fontId="12" fillId="0" borderId="1" xfId="0" applyNumberFormat="1" applyFont="1" applyFill="1" applyBorder="1" applyAlignment="1">
      <alignment horizontal="center" vertical="center" shrinkToFit="1"/>
    </xf>
    <xf numFmtId="189" fontId="54" fillId="0" borderId="1" xfId="0" applyNumberFormat="1" applyFont="1" applyFill="1" applyBorder="1" applyAlignment="1">
      <alignment horizontal="center" vertical="center" wrapText="1"/>
    </xf>
    <xf numFmtId="189" fontId="12" fillId="0" borderId="1" xfId="0" applyNumberFormat="1" applyFont="1" applyFill="1" applyBorder="1" applyAlignment="1">
      <alignment horizontal="center" vertical="center"/>
    </xf>
    <xf numFmtId="189" fontId="12" fillId="0" borderId="1" xfId="3" applyNumberFormat="1" applyFont="1" applyFill="1" applyBorder="1" applyAlignment="1">
      <alignment horizontal="center" vertical="center"/>
    </xf>
    <xf numFmtId="189" fontId="12" fillId="0" borderId="1" xfId="14" applyNumberFormat="1" applyFont="1" applyFill="1" applyBorder="1" applyAlignment="1" applyProtection="1">
      <alignment horizontal="center" vertical="center" wrapText="1"/>
      <protection locked="0"/>
    </xf>
    <xf numFmtId="189" fontId="12" fillId="0" borderId="1" xfId="0" applyNumberFormat="1" applyFont="1" applyFill="1" applyBorder="1" applyAlignment="1" applyProtection="1">
      <alignment horizontal="center" vertical="center" shrinkToFit="1"/>
      <protection locked="0"/>
    </xf>
    <xf numFmtId="189" fontId="12" fillId="0" borderId="1" xfId="16" applyNumberFormat="1" applyFont="1" applyFill="1" applyBorder="1" applyAlignment="1">
      <alignment horizontal="center" vertical="center" wrapText="1"/>
    </xf>
    <xf numFmtId="41" fontId="66" fillId="0" borderId="10" xfId="0" applyNumberFormat="1" applyFont="1" applyBorder="1"/>
    <xf numFmtId="41" fontId="66" fillId="0" borderId="1" xfId="0" applyNumberFormat="1" applyFont="1" applyBorder="1"/>
    <xf numFmtId="41" fontId="66" fillId="0" borderId="14" xfId="0" applyNumberFormat="1" applyFont="1" applyBorder="1"/>
    <xf numFmtId="41" fontId="66" fillId="0" borderId="7" xfId="0" applyNumberFormat="1" applyFont="1" applyBorder="1"/>
    <xf numFmtId="41" fontId="66" fillId="0" borderId="21" xfId="0" applyNumberFormat="1" applyFont="1" applyBorder="1"/>
    <xf numFmtId="189" fontId="12" fillId="0" borderId="1" xfId="0" applyNumberFormat="1" applyFont="1" applyFill="1" applyBorder="1" applyAlignment="1">
      <alignment horizontal="right" vertical="center" wrapText="1"/>
    </xf>
    <xf numFmtId="189" fontId="12" fillId="0" borderId="1" xfId="0" applyNumberFormat="1" applyFont="1" applyFill="1" applyBorder="1" applyAlignment="1">
      <alignment horizontal="right" vertical="center" shrinkToFit="1"/>
    </xf>
    <xf numFmtId="189" fontId="12" fillId="0" borderId="1" xfId="3" applyNumberFormat="1" applyFont="1" applyFill="1" applyBorder="1" applyAlignment="1">
      <alignment horizontal="right" vertical="center" wrapText="1"/>
    </xf>
    <xf numFmtId="189" fontId="12" fillId="0" borderId="1" xfId="0" quotePrefix="1" applyNumberFormat="1" applyFont="1" applyFill="1" applyBorder="1" applyAlignment="1">
      <alignment horizontal="right" vertical="center" wrapText="1"/>
    </xf>
    <xf numFmtId="189" fontId="42" fillId="0" borderId="1" xfId="0" applyNumberFormat="1" applyFont="1" applyFill="1" applyBorder="1" applyAlignment="1">
      <alignment horizontal="right" vertical="center" wrapText="1"/>
    </xf>
    <xf numFmtId="189" fontId="54" fillId="0" borderId="1" xfId="0" applyNumberFormat="1" applyFont="1" applyFill="1" applyBorder="1" applyAlignment="1">
      <alignment horizontal="right" vertical="center" wrapText="1"/>
    </xf>
    <xf numFmtId="189" fontId="42" fillId="0" borderId="1" xfId="3" applyNumberFormat="1" applyFont="1" applyFill="1" applyBorder="1" applyAlignment="1">
      <alignment horizontal="right" vertical="center" wrapText="1"/>
    </xf>
    <xf numFmtId="189" fontId="12" fillId="0" borderId="1" xfId="0" applyNumberFormat="1" applyFont="1" applyFill="1" applyBorder="1" applyAlignment="1">
      <alignment horizontal="right" vertical="center"/>
    </xf>
    <xf numFmtId="189" fontId="12" fillId="0" borderId="1" xfId="3" applyNumberFormat="1" applyFont="1" applyFill="1" applyBorder="1" applyAlignment="1">
      <alignment horizontal="right" vertical="center"/>
    </xf>
    <xf numFmtId="189" fontId="12" fillId="0" borderId="1" xfId="14" applyNumberFormat="1" applyFont="1" applyFill="1" applyBorder="1" applyAlignment="1" applyProtection="1">
      <alignment horizontal="right" vertical="center" wrapText="1"/>
      <protection locked="0"/>
    </xf>
    <xf numFmtId="189" fontId="12" fillId="0" borderId="1" xfId="0" applyNumberFormat="1" applyFont="1" applyFill="1" applyBorder="1" applyAlignment="1" applyProtection="1">
      <alignment horizontal="right" vertical="center" shrinkToFit="1"/>
      <protection locked="0"/>
    </xf>
    <xf numFmtId="189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189" fontId="12" fillId="0" borderId="1" xfId="3" applyNumberFormat="1" applyFont="1" applyFill="1" applyBorder="1" applyAlignment="1">
      <alignment horizontal="right" vertical="center" shrinkToFit="1"/>
    </xf>
    <xf numFmtId="189" fontId="12" fillId="0" borderId="1" xfId="16" applyNumberFormat="1" applyFont="1" applyFill="1" applyBorder="1" applyAlignment="1">
      <alignment horizontal="right" vertical="center" wrapText="1"/>
    </xf>
    <xf numFmtId="189" fontId="12" fillId="0" borderId="7" xfId="0" applyNumberFormat="1" applyFont="1" applyFill="1" applyBorder="1" applyAlignment="1">
      <alignment horizontal="right" vertical="center" wrapText="1"/>
    </xf>
    <xf numFmtId="189" fontId="42" fillId="0" borderId="1" xfId="3" applyNumberFormat="1" applyFont="1" applyFill="1" applyBorder="1" applyAlignment="1">
      <alignment horizontal="right" vertical="center" shrinkToFit="1"/>
    </xf>
    <xf numFmtId="189" fontId="42" fillId="0" borderId="1" xfId="3" quotePrefix="1" applyNumberFormat="1" applyFont="1" applyFill="1" applyBorder="1" applyAlignment="1">
      <alignment horizontal="right" vertical="center" shrinkToFit="1"/>
    </xf>
    <xf numFmtId="189" fontId="12" fillId="0" borderId="1" xfId="13" applyNumberFormat="1" applyFont="1" applyFill="1" applyBorder="1" applyAlignment="1">
      <alignment horizontal="right" vertical="center" wrapText="1"/>
    </xf>
    <xf numFmtId="189" fontId="12" fillId="0" borderId="1" xfId="0" applyNumberFormat="1" applyFont="1" applyFill="1" applyBorder="1" applyAlignment="1">
      <alignment horizontal="right" vertical="center" wrapText="1" shrinkToFit="1"/>
    </xf>
    <xf numFmtId="189" fontId="54" fillId="0" borderId="1" xfId="0" applyNumberFormat="1" applyFont="1" applyFill="1" applyBorder="1" applyAlignment="1">
      <alignment horizontal="right" vertical="center" wrapText="1" shrinkToFit="1"/>
    </xf>
    <xf numFmtId="189" fontId="12" fillId="0" borderId="1" xfId="3" applyNumberFormat="1" applyFont="1" applyFill="1" applyBorder="1" applyAlignment="1">
      <alignment horizontal="right" vertical="center" wrapText="1" shrinkToFit="1"/>
    </xf>
    <xf numFmtId="41" fontId="66" fillId="0" borderId="16" xfId="0" applyNumberFormat="1" applyFont="1" applyBorder="1"/>
    <xf numFmtId="41" fontId="66" fillId="0" borderId="5" xfId="0" applyNumberFormat="1" applyFont="1" applyBorder="1"/>
    <xf numFmtId="41" fontId="66" fillId="0" borderId="15" xfId="0" applyNumberFormat="1" applyFont="1" applyBorder="1"/>
    <xf numFmtId="41" fontId="66" fillId="0" borderId="8" xfId="0" applyNumberFormat="1" applyFont="1" applyBorder="1"/>
    <xf numFmtId="41" fontId="66" fillId="0" borderId="22" xfId="0" applyNumberFormat="1" applyFont="1" applyBorder="1"/>
    <xf numFmtId="189" fontId="25" fillId="0" borderId="16" xfId="0" applyNumberFormat="1" applyFont="1" applyFill="1" applyBorder="1" applyAlignment="1">
      <alignment horizontal="center" vertical="center" wrapText="1"/>
    </xf>
    <xf numFmtId="189" fontId="25" fillId="0" borderId="10" xfId="0" applyNumberFormat="1" applyFont="1" applyFill="1" applyBorder="1" applyAlignment="1">
      <alignment horizontal="center" vertical="center" wrapText="1"/>
    </xf>
    <xf numFmtId="195" fontId="47" fillId="0" borderId="11" xfId="0" applyNumberFormat="1" applyFont="1" applyFill="1" applyBorder="1" applyAlignment="1">
      <alignment horizontal="center" vertical="center" wrapText="1"/>
    </xf>
    <xf numFmtId="0" fontId="25" fillId="0" borderId="11" xfId="3" applyNumberFormat="1" applyFont="1" applyFill="1" applyBorder="1" applyAlignment="1">
      <alignment horizontal="center" vertical="center" wrapText="1" shrinkToFit="1"/>
    </xf>
    <xf numFmtId="0" fontId="25" fillId="0" borderId="14" xfId="3" applyNumberFormat="1" applyFont="1" applyFill="1" applyBorder="1" applyAlignment="1">
      <alignment horizontal="center" vertical="center" wrapText="1" shrinkToFit="1"/>
    </xf>
    <xf numFmtId="0" fontId="47" fillId="0" borderId="21" xfId="3" applyNumberFormat="1" applyFont="1" applyFill="1" applyBorder="1" applyAlignment="1">
      <alignment horizontal="center" vertical="center" wrapText="1" shrinkToFit="1"/>
    </xf>
    <xf numFmtId="0" fontId="47" fillId="0" borderId="43" xfId="0" applyNumberFormat="1" applyFont="1" applyFill="1" applyBorder="1" applyAlignment="1">
      <alignment horizontal="center" vertical="center" wrapText="1"/>
    </xf>
    <xf numFmtId="0" fontId="47" fillId="0" borderId="44" xfId="0" applyNumberFormat="1" applyFont="1" applyFill="1" applyBorder="1" applyAlignment="1">
      <alignment horizontal="center" vertical="center" wrapText="1"/>
    </xf>
    <xf numFmtId="41" fontId="47" fillId="0" borderId="11" xfId="0" applyNumberFormat="1" applyFont="1" applyFill="1" applyBorder="1" applyAlignment="1">
      <alignment horizontal="center" vertical="center" wrapText="1"/>
    </xf>
    <xf numFmtId="0" fontId="47" fillId="0" borderId="21" xfId="0" applyNumberFormat="1" applyFont="1" applyFill="1" applyBorder="1" applyAlignment="1">
      <alignment horizontal="center" vertical="center" wrapText="1"/>
    </xf>
    <xf numFmtId="0" fontId="47" fillId="0" borderId="14" xfId="0" applyNumberFormat="1" applyFont="1" applyFill="1" applyBorder="1" applyAlignment="1">
      <alignment horizontal="center" vertical="center" wrapText="1"/>
    </xf>
    <xf numFmtId="0" fontId="47" fillId="0" borderId="11" xfId="14" applyNumberFormat="1" applyFont="1" applyFill="1" applyBorder="1" applyAlignment="1" applyProtection="1">
      <alignment horizontal="center" vertical="center" wrapText="1"/>
      <protection locked="0"/>
    </xf>
    <xf numFmtId="0" fontId="47" fillId="0" borderId="12" xfId="14" applyNumberFormat="1" applyFont="1" applyFill="1" applyBorder="1" applyAlignment="1" applyProtection="1">
      <alignment horizontal="center" vertical="center"/>
      <protection locked="0"/>
    </xf>
    <xf numFmtId="0" fontId="47" fillId="0" borderId="13" xfId="14" applyNumberFormat="1" applyFont="1" applyFill="1" applyBorder="1" applyAlignment="1" applyProtection="1">
      <alignment horizontal="center" vertical="center"/>
      <protection locked="0"/>
    </xf>
    <xf numFmtId="0" fontId="47" fillId="0" borderId="30" xfId="3" applyNumberFormat="1" applyFont="1" applyFill="1" applyBorder="1" applyAlignment="1" applyProtection="1">
      <alignment horizontal="center" vertical="center"/>
      <protection locked="0"/>
    </xf>
    <xf numFmtId="0" fontId="2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Alignment="1">
      <alignment vertical="center" wrapText="1"/>
    </xf>
    <xf numFmtId="0" fontId="25" fillId="0" borderId="31" xfId="0" applyNumberFormat="1" applyFont="1" applyFill="1" applyBorder="1" applyAlignment="1">
      <alignment horizontal="center" vertical="center" wrapText="1"/>
    </xf>
    <xf numFmtId="0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13" xfId="0" applyNumberFormat="1" applyFont="1" applyFill="1" applyBorder="1" applyAlignment="1" applyProtection="1">
      <alignment horizontal="center" vertical="center"/>
      <protection locked="0"/>
    </xf>
    <xf numFmtId="0" fontId="25" fillId="0" borderId="12" xfId="0" applyNumberFormat="1" applyFont="1" applyFill="1" applyBorder="1" applyAlignment="1">
      <alignment horizontal="center" vertical="center" wrapText="1" shrinkToFit="1"/>
    </xf>
    <xf numFmtId="0" fontId="25" fillId="0" borderId="11" xfId="0" applyNumberFormat="1" applyFont="1" applyFill="1" applyBorder="1" applyAlignment="1">
      <alignment horizontal="center" vertical="center" wrapText="1" shrinkToFit="1"/>
    </xf>
    <xf numFmtId="0" fontId="25" fillId="0" borderId="30" xfId="0" applyNumberFormat="1" applyFont="1" applyFill="1" applyBorder="1" applyAlignment="1">
      <alignment horizontal="center" vertical="center" wrapText="1" shrinkToFit="1"/>
    </xf>
    <xf numFmtId="195" fontId="25" fillId="0" borderId="1" xfId="3" applyNumberFormat="1" applyFont="1" applyFill="1" applyBorder="1" applyAlignment="1">
      <alignment horizontal="center" vertical="center" wrapText="1" shrinkToFit="1"/>
    </xf>
    <xf numFmtId="0" fontId="25" fillId="0" borderId="13" xfId="0" applyNumberFormat="1" applyFont="1" applyFill="1" applyBorder="1" applyAlignment="1">
      <alignment horizontal="center" vertical="center" wrapText="1" shrinkToFit="1"/>
    </xf>
    <xf numFmtId="195" fontId="25" fillId="0" borderId="11" xfId="0" applyNumberFormat="1" applyFont="1" applyFill="1" applyBorder="1" applyAlignment="1">
      <alignment horizontal="center" vertical="center" wrapText="1"/>
    </xf>
    <xf numFmtId="0" fontId="25" fillId="0" borderId="12" xfId="0" applyNumberFormat="1" applyFont="1" applyFill="1" applyBorder="1" applyAlignment="1">
      <alignment horizontal="center" vertical="top" wrapText="1"/>
    </xf>
    <xf numFmtId="0" fontId="25" fillId="0" borderId="30" xfId="0" applyNumberFormat="1" applyFont="1" applyFill="1" applyBorder="1" applyAlignment="1">
      <alignment horizontal="center" vertical="top" wrapText="1"/>
    </xf>
    <xf numFmtId="0" fontId="25" fillId="0" borderId="4" xfId="14" applyNumberFormat="1" applyFont="1" applyFill="1" applyBorder="1" applyAlignment="1">
      <alignment horizontal="center" vertical="center" wrapText="1"/>
    </xf>
    <xf numFmtId="195" fontId="25" fillId="0" borderId="1" xfId="14" applyNumberFormat="1" applyFont="1" applyFill="1" applyBorder="1" applyAlignment="1">
      <alignment horizontal="center" vertical="center" wrapText="1"/>
    </xf>
    <xf numFmtId="0" fontId="25" fillId="0" borderId="1" xfId="14" applyNumberFormat="1" applyFont="1" applyFill="1" applyBorder="1" applyAlignment="1">
      <alignment horizontal="center" vertical="center" wrapText="1"/>
    </xf>
    <xf numFmtId="0" fontId="25" fillId="0" borderId="13" xfId="0" applyNumberFormat="1" applyFont="1" applyFill="1" applyBorder="1" applyAlignment="1">
      <alignment vertical="center" wrapText="1"/>
    </xf>
    <xf numFmtId="0" fontId="25" fillId="0" borderId="4" xfId="16" applyNumberFormat="1" applyFont="1" applyFill="1" applyBorder="1" applyAlignment="1">
      <alignment horizontal="center" vertical="center" wrapText="1"/>
    </xf>
    <xf numFmtId="0" fontId="25" fillId="0" borderId="1" xfId="16" applyNumberFormat="1" applyFont="1" applyFill="1" applyBorder="1" applyAlignment="1">
      <alignment horizontal="center" vertical="center" wrapText="1"/>
    </xf>
    <xf numFmtId="195" fontId="25" fillId="0" borderId="11" xfId="0" applyNumberFormat="1" applyFont="1" applyFill="1" applyBorder="1" applyAlignment="1">
      <alignment horizontal="center" vertical="center" wrapText="1" shrinkToFit="1"/>
    </xf>
    <xf numFmtId="0" fontId="25" fillId="0" borderId="34" xfId="0" applyNumberFormat="1" applyFont="1" applyFill="1" applyBorder="1" applyAlignment="1">
      <alignment horizontal="center" vertical="center" wrapText="1" shrinkToFit="1"/>
    </xf>
    <xf numFmtId="0" fontId="25" fillId="0" borderId="33" xfId="0" applyNumberFormat="1" applyFont="1" applyFill="1" applyBorder="1" applyAlignment="1">
      <alignment horizontal="center" vertical="center" wrapText="1" shrinkToFit="1"/>
    </xf>
    <xf numFmtId="0" fontId="67" fillId="0" borderId="4" xfId="3" applyNumberFormat="1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left" wrapText="1"/>
    </xf>
    <xf numFmtId="0" fontId="70" fillId="0" borderId="0" xfId="0" applyFont="1" applyFill="1" applyAlignment="1">
      <alignment wrapText="1"/>
    </xf>
    <xf numFmtId="41" fontId="70" fillId="0" borderId="0" xfId="0" applyNumberFormat="1" applyFont="1" applyFill="1" applyAlignment="1">
      <alignment horizontal="center" wrapText="1"/>
    </xf>
    <xf numFmtId="189" fontId="70" fillId="0" borderId="0" xfId="0" applyNumberFormat="1" applyFont="1" applyFill="1" applyAlignment="1">
      <alignment horizontal="center" wrapText="1"/>
    </xf>
    <xf numFmtId="189" fontId="71" fillId="0" borderId="0" xfId="0" applyNumberFormat="1" applyFont="1" applyFill="1" applyAlignment="1">
      <alignment horizontal="center" wrapText="1"/>
    </xf>
    <xf numFmtId="41" fontId="71" fillId="0" borderId="0" xfId="0" applyNumberFormat="1" applyFont="1" applyFill="1" applyAlignment="1">
      <alignment horizontal="center" wrapText="1"/>
    </xf>
    <xf numFmtId="0" fontId="71" fillId="0" borderId="0" xfId="0" applyFont="1" applyFill="1" applyAlignment="1">
      <alignment wrapText="1"/>
    </xf>
    <xf numFmtId="189" fontId="72" fillId="0" borderId="0" xfId="0" applyNumberFormat="1" applyFont="1" applyFill="1" applyAlignment="1">
      <alignment horizontal="center" wrapText="1"/>
    </xf>
    <xf numFmtId="41" fontId="72" fillId="0" borderId="0" xfId="0" applyNumberFormat="1" applyFont="1" applyFill="1" applyAlignment="1">
      <alignment horizontal="center" wrapText="1"/>
    </xf>
    <xf numFmtId="0" fontId="72" fillId="0" borderId="0" xfId="0" applyFont="1" applyFill="1" applyAlignment="1">
      <alignment wrapText="1"/>
    </xf>
    <xf numFmtId="0" fontId="73" fillId="0" borderId="0" xfId="0" applyFont="1" applyFill="1" applyAlignment="1">
      <alignment wrapText="1"/>
    </xf>
    <xf numFmtId="41" fontId="73" fillId="0" borderId="0" xfId="0" applyNumberFormat="1" applyFont="1" applyFill="1" applyAlignment="1">
      <alignment horizontal="center" wrapText="1"/>
    </xf>
    <xf numFmtId="189" fontId="73" fillId="0" borderId="0" xfId="0" applyNumberFormat="1" applyFont="1" applyFill="1" applyAlignment="1">
      <alignment horizontal="center" wrapText="1"/>
    </xf>
    <xf numFmtId="0" fontId="70" fillId="0" borderId="0" xfId="0" applyFont="1" applyFill="1" applyAlignment="1">
      <alignment horizontal="center" vertical="center" wrapText="1"/>
    </xf>
    <xf numFmtId="41" fontId="67" fillId="0" borderId="1" xfId="0" applyNumberFormat="1" applyFont="1" applyFill="1" applyBorder="1" applyAlignment="1">
      <alignment horizontal="center" vertical="center" wrapText="1"/>
    </xf>
    <xf numFmtId="0" fontId="70" fillId="0" borderId="0" xfId="0" applyFont="1" applyFill="1" applyAlignment="1">
      <alignment vertical="center" wrapText="1"/>
    </xf>
    <xf numFmtId="0" fontId="70" fillId="0" borderId="0" xfId="0" applyNumberFormat="1" applyFont="1" applyFill="1" applyAlignment="1">
      <alignment vertical="center" wrapText="1"/>
    </xf>
    <xf numFmtId="0" fontId="67" fillId="0" borderId="11" xfId="3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41" fontId="24" fillId="0" borderId="4" xfId="3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89" fontId="6" fillId="0" borderId="0" xfId="0" applyNumberFormat="1" applyFont="1" applyFill="1" applyAlignment="1">
      <alignment horizontal="center" wrapText="1"/>
    </xf>
    <xf numFmtId="41" fontId="6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189" fontId="9" fillId="0" borderId="0" xfId="0" applyNumberFormat="1" applyFont="1" applyFill="1" applyAlignment="1">
      <alignment horizontal="center" wrapText="1"/>
    </xf>
    <xf numFmtId="41" fontId="9" fillId="0" borderId="0" xfId="0" applyNumberFormat="1" applyFont="1" applyFill="1" applyAlignment="1">
      <alignment horizontal="center" wrapText="1"/>
    </xf>
    <xf numFmtId="0" fontId="9" fillId="0" borderId="0" xfId="0" applyFont="1" applyFill="1" applyAlignment="1">
      <alignment wrapText="1"/>
    </xf>
    <xf numFmtId="189" fontId="24" fillId="0" borderId="1" xfId="3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  <xf numFmtId="0" fontId="24" fillId="0" borderId="14" xfId="0" applyNumberFormat="1" applyFont="1" applyFill="1" applyBorder="1" applyAlignment="1">
      <alignment horizontal="center" vertical="center" wrapText="1"/>
    </xf>
    <xf numFmtId="0" fontId="24" fillId="0" borderId="35" xfId="0" applyNumberFormat="1" applyFont="1" applyFill="1" applyBorder="1" applyAlignment="1">
      <alignment horizontal="center" vertical="center" wrapText="1"/>
    </xf>
    <xf numFmtId="0" fontId="24" fillId="0" borderId="11" xfId="3" applyNumberFormat="1" applyFont="1" applyFill="1" applyBorder="1" applyAlignment="1">
      <alignment horizontal="center" vertical="center" wrapText="1"/>
    </xf>
    <xf numFmtId="41" fontId="12" fillId="0" borderId="7" xfId="3" applyNumberFormat="1" applyFont="1" applyFill="1" applyBorder="1" applyAlignment="1">
      <alignment horizontal="center" vertical="center" wrapText="1"/>
    </xf>
    <xf numFmtId="188" fontId="12" fillId="0" borderId="1" xfId="1" applyNumberFormat="1" applyFont="1" applyFill="1" applyBorder="1" applyAlignment="1">
      <alignment horizontal="right" vertical="center" wrapText="1"/>
    </xf>
    <xf numFmtId="188" fontId="71" fillId="0" borderId="0" xfId="0" applyNumberFormat="1" applyFont="1" applyFill="1" applyAlignment="1">
      <alignment horizontal="center" wrapText="1"/>
    </xf>
    <xf numFmtId="188" fontId="72" fillId="0" borderId="0" xfId="0" applyNumberFormat="1" applyFont="1" applyFill="1" applyAlignment="1">
      <alignment horizontal="center" wrapText="1"/>
    </xf>
    <xf numFmtId="188" fontId="5" fillId="0" borderId="0" xfId="0" applyNumberFormat="1" applyFont="1" applyAlignment="1">
      <alignment horizontal="center" vertical="center" wrapText="1"/>
    </xf>
    <xf numFmtId="188" fontId="12" fillId="0" borderId="10" xfId="0" applyNumberFormat="1" applyFont="1" applyFill="1" applyBorder="1" applyAlignment="1">
      <alignment horizontal="right" vertical="center" wrapText="1"/>
    </xf>
    <xf numFmtId="188" fontId="12" fillId="0" borderId="1" xfId="0" applyNumberFormat="1" applyFont="1" applyFill="1" applyBorder="1" applyAlignment="1">
      <alignment horizontal="right" vertical="center" wrapText="1"/>
    </xf>
    <xf numFmtId="188" fontId="12" fillId="0" borderId="1" xfId="3" applyNumberFormat="1" applyFont="1" applyFill="1" applyBorder="1" applyAlignment="1">
      <alignment horizontal="right" vertical="center" wrapText="1"/>
    </xf>
    <xf numFmtId="188" fontId="42" fillId="0" borderId="1" xfId="3" applyNumberFormat="1" applyFont="1" applyFill="1" applyBorder="1" applyAlignment="1">
      <alignment horizontal="right" vertical="center" wrapText="1" shrinkToFit="1"/>
    </xf>
    <xf numFmtId="188" fontId="12" fillId="0" borderId="1" xfId="3" applyNumberFormat="1" applyFont="1" applyFill="1" applyBorder="1" applyAlignment="1">
      <alignment horizontal="right" vertical="center" wrapText="1" shrinkToFit="1"/>
    </xf>
    <xf numFmtId="188" fontId="42" fillId="0" borderId="1" xfId="3" applyNumberFormat="1" applyFont="1" applyFill="1" applyBorder="1" applyAlignment="1">
      <alignment horizontal="right" vertical="center" wrapText="1"/>
    </xf>
    <xf numFmtId="188" fontId="42" fillId="0" borderId="1" xfId="1" applyNumberFormat="1" applyFont="1" applyFill="1" applyBorder="1" applyAlignment="1">
      <alignment horizontal="right" vertical="center" wrapText="1"/>
    </xf>
    <xf numFmtId="188" fontId="12" fillId="0" borderId="1" xfId="13" applyNumberFormat="1" applyFont="1" applyFill="1" applyBorder="1" applyAlignment="1">
      <alignment horizontal="right" vertical="center" wrapText="1"/>
    </xf>
    <xf numFmtId="188" fontId="12" fillId="0" borderId="1" xfId="0" applyNumberFormat="1" applyFont="1" applyFill="1" applyBorder="1" applyAlignment="1">
      <alignment horizontal="right" vertical="center" wrapText="1" shrinkToFit="1"/>
    </xf>
    <xf numFmtId="188" fontId="12" fillId="0" borderId="1" xfId="0" quotePrefix="1" applyNumberFormat="1" applyFont="1" applyFill="1" applyBorder="1" applyAlignment="1">
      <alignment horizontal="right" vertical="center" wrapText="1"/>
    </xf>
    <xf numFmtId="188" fontId="12" fillId="0" borderId="1" xfId="3" applyNumberFormat="1" applyFont="1" applyFill="1" applyBorder="1" applyAlignment="1" applyProtection="1">
      <alignment horizontal="right" vertical="center" wrapText="1"/>
      <protection locked="0"/>
    </xf>
    <xf numFmtId="188" fontId="12" fillId="0" borderId="1" xfId="3" applyNumberFormat="1" applyFont="1" applyFill="1" applyBorder="1" applyAlignment="1" applyProtection="1">
      <alignment horizontal="right" vertical="center" wrapText="1" shrinkToFit="1"/>
      <protection locked="0"/>
    </xf>
    <xf numFmtId="188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188" fontId="5" fillId="0" borderId="0" xfId="0" applyNumberFormat="1" applyFont="1" applyAlignment="1">
      <alignment horizontal="right" vertical="center" wrapText="1"/>
    </xf>
    <xf numFmtId="188" fontId="42" fillId="0" borderId="1" xfId="0" applyNumberFormat="1" applyFont="1" applyFill="1" applyBorder="1" applyAlignment="1">
      <alignment horizontal="right" vertical="center" wrapText="1"/>
    </xf>
    <xf numFmtId="188" fontId="52" fillId="0" borderId="1" xfId="0" applyNumberFormat="1" applyFont="1" applyFill="1" applyBorder="1" applyAlignment="1">
      <alignment horizontal="right" vertical="center" wrapText="1" shrinkToFit="1"/>
    </xf>
    <xf numFmtId="188" fontId="12" fillId="0" borderId="7" xfId="0" applyNumberFormat="1" applyFont="1" applyFill="1" applyBorder="1" applyAlignment="1">
      <alignment horizontal="right" vertical="center" wrapText="1"/>
    </xf>
    <xf numFmtId="201" fontId="67" fillId="0" borderId="7" xfId="3" applyNumberFormat="1" applyFont="1" applyBorder="1" applyAlignment="1">
      <alignment horizontal="right" vertical="center" wrapText="1"/>
    </xf>
    <xf numFmtId="201" fontId="67" fillId="0" borderId="10" xfId="0" applyNumberFormat="1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horizontal="left" vertical="center" wrapText="1" indent="1"/>
    </xf>
    <xf numFmtId="0" fontId="71" fillId="0" borderId="0" xfId="0" applyFont="1" applyFill="1" applyAlignment="1">
      <alignment horizontal="left" vertical="center" wrapText="1" inden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7" fillId="4" borderId="4" xfId="3" applyNumberFormat="1" applyFont="1" applyFill="1" applyBorder="1" applyAlignment="1">
      <alignment horizontal="center" vertical="center" wrapText="1"/>
    </xf>
    <xf numFmtId="0" fontId="67" fillId="4" borderId="1" xfId="3" applyNumberFormat="1" applyFont="1" applyFill="1" applyBorder="1" applyAlignment="1">
      <alignment horizontal="center" vertical="center" wrapText="1"/>
    </xf>
    <xf numFmtId="41" fontId="67" fillId="4" borderId="1" xfId="3" applyNumberFormat="1" applyFont="1" applyFill="1" applyBorder="1" applyAlignment="1">
      <alignment horizontal="center" vertical="center" wrapText="1"/>
    </xf>
    <xf numFmtId="194" fontId="67" fillId="4" borderId="1" xfId="0" applyNumberFormat="1" applyFont="1" applyFill="1" applyBorder="1" applyAlignment="1">
      <alignment horizontal="center" vertical="center" wrapText="1"/>
    </xf>
    <xf numFmtId="41" fontId="67" fillId="4" borderId="1" xfId="0" applyNumberFormat="1" applyFont="1" applyFill="1" applyBorder="1" applyAlignment="1">
      <alignment horizontal="center" vertical="center" wrapText="1"/>
    </xf>
    <xf numFmtId="0" fontId="70" fillId="4" borderId="0" xfId="0" applyFont="1" applyFill="1" applyAlignment="1">
      <alignment wrapText="1"/>
    </xf>
    <xf numFmtId="194" fontId="67" fillId="9" borderId="1" xfId="3" applyNumberFormat="1" applyFont="1" applyFill="1" applyBorder="1" applyAlignment="1">
      <alignment horizontal="center" vertical="center" wrapText="1"/>
    </xf>
    <xf numFmtId="41" fontId="67" fillId="9" borderId="1" xfId="3" applyNumberFormat="1" applyFont="1" applyFill="1" applyBorder="1" applyAlignment="1">
      <alignment horizontal="center" vertical="center" wrapText="1"/>
    </xf>
    <xf numFmtId="194" fontId="67" fillId="9" borderId="40" xfId="3" applyNumberFormat="1" applyFont="1" applyFill="1" applyBorder="1" applyAlignment="1">
      <alignment horizontal="center" vertical="center" wrapText="1"/>
    </xf>
    <xf numFmtId="41" fontId="31" fillId="4" borderId="1" xfId="0" applyNumberFormat="1" applyFont="1" applyFill="1" applyBorder="1" applyAlignment="1">
      <alignment horizontal="center" vertical="center"/>
    </xf>
    <xf numFmtId="0" fontId="13" fillId="0" borderId="0" xfId="0" applyFont="1" applyAlignment="1"/>
    <xf numFmtId="41" fontId="75" fillId="4" borderId="1" xfId="0" applyNumberFormat="1" applyFont="1" applyFill="1" applyBorder="1" applyAlignment="1">
      <alignment horizontal="center" vertical="center" wrapText="1"/>
    </xf>
    <xf numFmtId="0" fontId="76" fillId="0" borderId="0" xfId="0" applyFont="1" applyAlignment="1"/>
    <xf numFmtId="0" fontId="76" fillId="0" borderId="0" xfId="0" applyFont="1"/>
    <xf numFmtId="0" fontId="11" fillId="0" borderId="0" xfId="0" applyFont="1" applyFill="1" applyAlignment="1">
      <alignment vertical="center" wrapText="1"/>
    </xf>
    <xf numFmtId="0" fontId="31" fillId="0" borderId="41" xfId="0" applyFont="1" applyFill="1" applyBorder="1" applyAlignment="1">
      <alignment horizontal="center" vertical="center" wrapText="1"/>
    </xf>
    <xf numFmtId="49" fontId="12" fillId="4" borderId="1" xfId="0" applyNumberFormat="1" applyFont="1" applyFill="1" applyBorder="1" applyAlignment="1">
      <alignment horizontal="center" vertical="center"/>
    </xf>
    <xf numFmtId="49" fontId="12" fillId="4" borderId="1" xfId="3" applyNumberFormat="1" applyFont="1" applyFill="1" applyBorder="1" applyAlignment="1">
      <alignment horizontal="center" vertical="center" shrinkToFit="1"/>
    </xf>
    <xf numFmtId="41" fontId="12" fillId="4" borderId="40" xfId="3" applyNumberFormat="1" applyFont="1" applyFill="1" applyBorder="1" applyAlignment="1">
      <alignment horizontal="center" vertical="center" wrapText="1"/>
    </xf>
    <xf numFmtId="41" fontId="75" fillId="9" borderId="1" xfId="0" applyNumberFormat="1" applyFont="1" applyFill="1" applyBorder="1" applyAlignment="1">
      <alignment horizontal="center" vertical="center" wrapText="1"/>
    </xf>
    <xf numFmtId="41" fontId="31" fillId="9" borderId="1" xfId="3" applyNumberFormat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 wrapText="1"/>
    </xf>
    <xf numFmtId="41" fontId="31" fillId="4" borderId="5" xfId="0" applyNumberFormat="1" applyFont="1" applyFill="1" applyBorder="1" applyAlignment="1">
      <alignment horizontal="center" vertical="center"/>
    </xf>
    <xf numFmtId="0" fontId="47" fillId="4" borderId="4" xfId="0" applyFont="1" applyFill="1" applyBorder="1" applyAlignment="1">
      <alignment horizontal="center" vertical="center" wrapText="1"/>
    </xf>
    <xf numFmtId="41" fontId="47" fillId="4" borderId="1" xfId="0" applyNumberFormat="1" applyFont="1" applyFill="1" applyBorder="1" applyAlignment="1">
      <alignment horizontal="center" vertical="center" wrapText="1"/>
    </xf>
    <xf numFmtId="189" fontId="47" fillId="9" borderId="1" xfId="3" applyNumberFormat="1" applyFont="1" applyFill="1" applyBorder="1" applyAlignment="1">
      <alignment horizontal="center" vertical="center" wrapText="1"/>
    </xf>
    <xf numFmtId="189" fontId="47" fillId="9" borderId="5" xfId="3" applyNumberFormat="1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41" fontId="47" fillId="9" borderId="1" xfId="3" applyNumberFormat="1" applyFont="1" applyFill="1" applyBorder="1" applyAlignment="1">
      <alignment horizontal="center" vertical="center" wrapText="1"/>
    </xf>
    <xf numFmtId="189" fontId="67" fillId="9" borderId="1" xfId="0" applyNumberFormat="1" applyFont="1" applyFill="1" applyBorder="1" applyAlignment="1">
      <alignment horizontal="center" vertical="center" wrapText="1"/>
    </xf>
    <xf numFmtId="41" fontId="67" fillId="9" borderId="1" xfId="0" applyNumberFormat="1" applyFont="1" applyFill="1" applyBorder="1" applyAlignment="1">
      <alignment horizontal="center" vertical="center" shrinkToFit="1"/>
    </xf>
    <xf numFmtId="41" fontId="31" fillId="9" borderId="21" xfId="3" applyNumberFormat="1" applyFont="1" applyFill="1" applyBorder="1" applyAlignment="1">
      <alignment horizontal="center" vertical="center" wrapText="1"/>
    </xf>
    <xf numFmtId="189" fontId="24" fillId="9" borderId="5" xfId="0" applyNumberFormat="1" applyFont="1" applyFill="1" applyBorder="1" applyAlignment="1">
      <alignment horizontal="center" vertical="center" wrapText="1"/>
    </xf>
    <xf numFmtId="41" fontId="48" fillId="9" borderId="1" xfId="3" applyNumberFormat="1" applyFont="1" applyFill="1" applyBorder="1" applyAlignment="1">
      <alignment horizontal="center" vertical="center" wrapText="1"/>
    </xf>
    <xf numFmtId="41" fontId="48" fillId="9" borderId="1" xfId="0" applyNumberFormat="1" applyFont="1" applyFill="1" applyBorder="1" applyAlignment="1">
      <alignment horizontal="center" vertical="center"/>
    </xf>
    <xf numFmtId="41" fontId="24" fillId="9" borderId="1" xfId="0" applyNumberFormat="1" applyFont="1" applyFill="1" applyBorder="1" applyAlignment="1">
      <alignment horizontal="center" vertical="center" wrapText="1"/>
    </xf>
    <xf numFmtId="41" fontId="48" fillId="9" borderId="1" xfId="0" applyNumberFormat="1" applyFont="1" applyFill="1" applyBorder="1" applyAlignment="1">
      <alignment horizontal="center" vertical="center" wrapText="1"/>
    </xf>
    <xf numFmtId="201" fontId="67" fillId="0" borderId="21" xfId="3" applyNumberFormat="1" applyFont="1" applyBorder="1" applyAlignment="1">
      <alignment horizontal="right" vertical="center" wrapText="1"/>
    </xf>
    <xf numFmtId="0" fontId="67" fillId="0" borderId="22" xfId="0" applyNumberFormat="1" applyFont="1" applyBorder="1" applyAlignment="1">
      <alignment horizontal="right" vertical="center" wrapText="1"/>
    </xf>
    <xf numFmtId="0" fontId="67" fillId="0" borderId="10" xfId="0" applyFont="1" applyBorder="1" applyAlignment="1">
      <alignment horizontal="center" vertical="center" wrapText="1"/>
    </xf>
    <xf numFmtId="0" fontId="67" fillId="0" borderId="14" xfId="0" applyNumberFormat="1" applyFont="1" applyBorder="1" applyAlignment="1">
      <alignment horizontal="center" vertical="center" wrapText="1"/>
    </xf>
    <xf numFmtId="41" fontId="67" fillId="0" borderId="40" xfId="3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4" fillId="0" borderId="0" xfId="0" applyFont="1"/>
    <xf numFmtId="0" fontId="65" fillId="0" borderId="0" xfId="0" applyFont="1"/>
    <xf numFmtId="0" fontId="25" fillId="0" borderId="9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wrapText="1"/>
    </xf>
    <xf numFmtId="0" fontId="29" fillId="0" borderId="7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41" fontId="25" fillId="9" borderId="1" xfId="3" applyNumberFormat="1" applyFont="1" applyFill="1" applyBorder="1" applyAlignment="1">
      <alignment horizontal="center" vertical="center" wrapText="1"/>
    </xf>
    <xf numFmtId="0" fontId="79" fillId="0" borderId="0" xfId="0" applyFont="1" applyFill="1" applyAlignment="1">
      <alignment horizontal="center" vertical="center" wrapText="1"/>
    </xf>
    <xf numFmtId="0" fontId="79" fillId="0" borderId="0" xfId="0" applyFont="1" applyFill="1" applyAlignment="1">
      <alignment vertical="center" wrapText="1"/>
    </xf>
    <xf numFmtId="0" fontId="73" fillId="0" borderId="0" xfId="0" applyFont="1" applyFill="1" applyBorder="1" applyAlignment="1">
      <alignment wrapText="1"/>
    </xf>
    <xf numFmtId="0" fontId="39" fillId="0" borderId="0" xfId="7" applyNumberFormat="1" applyFont="1" applyFill="1" applyBorder="1" applyAlignment="1">
      <alignment horizontal="center" vertical="center" wrapText="1"/>
    </xf>
    <xf numFmtId="202" fontId="39" fillId="0" borderId="0" xfId="7" applyNumberFormat="1" applyFont="1" applyFill="1" applyBorder="1" applyAlignment="1">
      <alignment horizontal="right" vertical="center" wrapText="1"/>
    </xf>
    <xf numFmtId="0" fontId="39" fillId="0" borderId="0" xfId="7" applyNumberFormat="1" applyFont="1" applyFill="1" applyBorder="1" applyAlignment="1">
      <alignment horizontal="right" vertical="center" wrapText="1"/>
    </xf>
    <xf numFmtId="187" fontId="39" fillId="0" borderId="0" xfId="7" applyNumberFormat="1" applyFont="1" applyFill="1" applyBorder="1" applyAlignment="1">
      <alignment horizontal="right" vertical="center" wrapText="1"/>
    </xf>
    <xf numFmtId="41" fontId="24" fillId="11" borderId="1" xfId="0" applyNumberFormat="1" applyFont="1" applyFill="1" applyBorder="1" applyAlignment="1">
      <alignment horizontal="center" vertical="center" wrapText="1"/>
    </xf>
    <xf numFmtId="0" fontId="97" fillId="0" borderId="0" xfId="0" applyFont="1" applyFill="1" applyAlignment="1">
      <alignment horizontal="center" vertical="center" wrapText="1"/>
    </xf>
    <xf numFmtId="0" fontId="97" fillId="0" borderId="7" xfId="0" applyFont="1" applyBorder="1" applyAlignment="1">
      <alignment horizontal="center" vertical="center"/>
    </xf>
    <xf numFmtId="41" fontId="97" fillId="4" borderId="1" xfId="0" applyNumberFormat="1" applyFont="1" applyFill="1" applyBorder="1" applyAlignment="1">
      <alignment horizontal="center" vertical="center"/>
    </xf>
    <xf numFmtId="0" fontId="98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 indent="1"/>
    </xf>
    <xf numFmtId="0" fontId="63" fillId="0" borderId="0" xfId="0" applyFont="1" applyFill="1" applyAlignment="1">
      <alignment horizontal="left" vertical="center" wrapText="1" indent="1"/>
    </xf>
    <xf numFmtId="41" fontId="25" fillId="9" borderId="1" xfId="0" applyNumberFormat="1" applyFont="1" applyFill="1" applyBorder="1" applyAlignment="1" applyProtection="1">
      <alignment horizontal="center" vertical="center" wrapText="1"/>
    </xf>
    <xf numFmtId="41" fontId="67" fillId="0" borderId="4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0" fontId="8" fillId="0" borderId="0" xfId="0" applyFont="1" applyFill="1"/>
    <xf numFmtId="0" fontId="7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29" fillId="0" borderId="8" xfId="0" applyFont="1" applyBorder="1" applyAlignment="1">
      <alignment horizontal="center" vertical="center" wrapText="1"/>
    </xf>
    <xf numFmtId="0" fontId="100" fillId="0" borderId="0" xfId="0" applyFont="1" applyBorder="1" applyAlignment="1">
      <alignment horizontal="center" vertical="center" wrapText="1"/>
    </xf>
    <xf numFmtId="0" fontId="101" fillId="0" borderId="0" xfId="0" applyFont="1" applyFill="1" applyAlignment="1">
      <alignment horizontal="left" vertical="center" wrapText="1" indent="1"/>
    </xf>
    <xf numFmtId="0" fontId="102" fillId="0" borderId="0" xfId="0" applyFont="1"/>
    <xf numFmtId="43" fontId="29" fillId="5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29" fillId="0" borderId="10" xfId="0" applyFont="1" applyFill="1" applyBorder="1" applyAlignment="1">
      <alignment horizontal="center" vertical="center" wrapText="1"/>
    </xf>
    <xf numFmtId="0" fontId="24" fillId="4" borderId="7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203" fontId="2" fillId="0" borderId="1" xfId="17" applyNumberFormat="1" applyFont="1" applyFill="1" applyBorder="1" applyAlignment="1">
      <alignment horizontal="center" vertical="center" wrapText="1"/>
    </xf>
    <xf numFmtId="0" fontId="103" fillId="0" borderId="1" xfId="0" applyFont="1" applyFill="1" applyBorder="1" applyAlignment="1">
      <alignment horizontal="center" vertical="center" wrapText="1"/>
    </xf>
    <xf numFmtId="0" fontId="104" fillId="0" borderId="1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vertical="center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43" fontId="105" fillId="9" borderId="1" xfId="3" applyNumberFormat="1" applyFont="1" applyFill="1" applyBorder="1" applyAlignment="1">
      <alignment horizontal="center" vertical="center" wrapText="1"/>
    </xf>
    <xf numFmtId="41" fontId="31" fillId="13" borderId="21" xfId="3" applyNumberFormat="1" applyFont="1" applyFill="1" applyBorder="1" applyAlignment="1">
      <alignment horizontal="center" vertical="center" wrapText="1"/>
    </xf>
    <xf numFmtId="0" fontId="99" fillId="0" borderId="10" xfId="0" applyNumberFormat="1" applyFont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63" fillId="0" borderId="0" xfId="0" applyFont="1" applyAlignment="1">
      <alignment vertical="center" wrapText="1"/>
    </xf>
    <xf numFmtId="0" fontId="25" fillId="4" borderId="21" xfId="3" applyNumberFormat="1" applyFont="1" applyFill="1" applyBorder="1" applyAlignment="1">
      <alignment horizontal="center" vertical="center" wrapText="1"/>
    </xf>
    <xf numFmtId="41" fontId="31" fillId="9" borderId="7" xfId="3" applyNumberFormat="1" applyFont="1" applyFill="1" applyBorder="1" applyAlignment="1">
      <alignment horizontal="center" vertical="center" wrapText="1"/>
    </xf>
    <xf numFmtId="41" fontId="31" fillId="13" borderId="10" xfId="3" applyNumberFormat="1" applyFont="1" applyFill="1" applyBorder="1" applyAlignment="1">
      <alignment horizontal="center" vertical="center" wrapText="1"/>
    </xf>
    <xf numFmtId="41" fontId="31" fillId="4" borderId="10" xfId="3" applyNumberFormat="1" applyFont="1" applyFill="1" applyBorder="1" applyAlignment="1">
      <alignment horizontal="center" vertical="center" wrapText="1"/>
    </xf>
    <xf numFmtId="41" fontId="97" fillId="4" borderId="10" xfId="3" applyNumberFormat="1" applyFont="1" applyFill="1" applyBorder="1" applyAlignment="1">
      <alignment horizontal="center" vertical="center" wrapText="1"/>
    </xf>
    <xf numFmtId="41" fontId="31" fillId="4" borderId="16" xfId="3" applyNumberFormat="1" applyFont="1" applyFill="1" applyBorder="1" applyAlignment="1">
      <alignment horizontal="center" vertical="center" wrapText="1"/>
    </xf>
    <xf numFmtId="41" fontId="31" fillId="13" borderId="42" xfId="3" applyNumberFormat="1" applyFont="1" applyFill="1" applyBorder="1" applyAlignment="1">
      <alignment horizontal="center" vertical="center" wrapText="1"/>
    </xf>
    <xf numFmtId="41" fontId="31" fillId="0" borderId="7" xfId="3" applyNumberFormat="1" applyFont="1" applyFill="1" applyBorder="1" applyAlignment="1">
      <alignment horizontal="center" vertical="center" wrapText="1"/>
    </xf>
    <xf numFmtId="41" fontId="97" fillId="0" borderId="7" xfId="0" applyNumberFormat="1" applyFont="1" applyFill="1" applyBorder="1" applyAlignment="1">
      <alignment horizontal="center" vertical="center"/>
    </xf>
    <xf numFmtId="41" fontId="97" fillId="0" borderId="7" xfId="3" applyNumberFormat="1" applyFont="1" applyFill="1" applyBorder="1" applyAlignment="1">
      <alignment horizontal="center" vertical="center" wrapText="1"/>
    </xf>
    <xf numFmtId="41" fontId="31" fillId="0" borderId="8" xfId="3" applyNumberFormat="1" applyFont="1" applyFill="1" applyBorder="1" applyAlignment="1">
      <alignment horizontal="center" vertical="center" wrapText="1"/>
    </xf>
    <xf numFmtId="41" fontId="31" fillId="9" borderId="9" xfId="3" applyNumberFormat="1" applyFont="1" applyFill="1" applyBorder="1" applyAlignment="1">
      <alignment horizontal="center" vertical="center" wrapText="1"/>
    </xf>
    <xf numFmtId="41" fontId="31" fillId="9" borderId="10" xfId="3" applyNumberFormat="1" applyFont="1" applyFill="1" applyBorder="1" applyAlignment="1">
      <alignment horizontal="center" vertical="center" wrapText="1"/>
    </xf>
    <xf numFmtId="41" fontId="31" fillId="9" borderId="42" xfId="3" applyNumberFormat="1" applyFont="1" applyFill="1" applyBorder="1" applyAlignment="1">
      <alignment horizontal="center" vertical="center" wrapText="1"/>
    </xf>
    <xf numFmtId="41" fontId="31" fillId="0" borderId="7" xfId="0" applyNumberFormat="1" applyFont="1" applyFill="1" applyBorder="1" applyAlignment="1">
      <alignment horizontal="center" vertical="center"/>
    </xf>
    <xf numFmtId="0" fontId="25" fillId="0" borderId="40" xfId="0" applyFont="1" applyBorder="1" applyAlignment="1">
      <alignment horizontal="center" wrapText="1"/>
    </xf>
    <xf numFmtId="0" fontId="70" fillId="0" borderId="0" xfId="0" applyFont="1" applyFill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41" xfId="0" applyBorder="1" applyAlignment="1">
      <alignment vertical="center"/>
    </xf>
    <xf numFmtId="0" fontId="70" fillId="0" borderId="0" xfId="0" applyFont="1" applyFill="1" applyAlignment="1">
      <alignment horizontal="center" vertical="center"/>
    </xf>
    <xf numFmtId="0" fontId="70" fillId="0" borderId="0" xfId="0" applyFont="1" applyFill="1" applyAlignment="1">
      <alignment vertical="center"/>
    </xf>
    <xf numFmtId="0" fontId="95" fillId="0" borderId="0" xfId="9">
      <alignment vertical="center"/>
    </xf>
    <xf numFmtId="41" fontId="108" fillId="0" borderId="0" xfId="9" applyNumberFormat="1" applyFont="1" applyFill="1" applyAlignment="1">
      <alignment horizontal="left" vertical="center" indent="1"/>
    </xf>
    <xf numFmtId="41" fontId="89" fillId="14" borderId="50" xfId="9" applyNumberFormat="1" applyFont="1" applyFill="1" applyBorder="1" applyAlignment="1">
      <alignment horizontal="center" vertical="center" wrapText="1"/>
    </xf>
    <xf numFmtId="41" fontId="90" fillId="14" borderId="51" xfId="9" applyNumberFormat="1" applyFont="1" applyFill="1" applyBorder="1" applyAlignment="1">
      <alignment horizontal="center" vertical="center" wrapText="1"/>
    </xf>
    <xf numFmtId="0" fontId="95" fillId="14" borderId="1" xfId="9" applyFill="1" applyBorder="1">
      <alignment vertical="center"/>
    </xf>
    <xf numFmtId="41" fontId="89" fillId="15" borderId="47" xfId="9" applyNumberFormat="1" applyFont="1" applyFill="1" applyBorder="1" applyAlignment="1">
      <alignment horizontal="center" vertical="center" wrapText="1"/>
    </xf>
    <xf numFmtId="41" fontId="89" fillId="15" borderId="48" xfId="9" applyNumberFormat="1" applyFont="1" applyFill="1" applyBorder="1" applyAlignment="1">
      <alignment horizontal="center" vertical="center" wrapText="1"/>
    </xf>
    <xf numFmtId="41" fontId="89" fillId="15" borderId="49" xfId="9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left" vertical="center" wrapText="1" indent="1"/>
    </xf>
    <xf numFmtId="0" fontId="110" fillId="0" borderId="0" xfId="0" applyFont="1" applyFill="1" applyAlignment="1">
      <alignment horizontal="center" wrapText="1"/>
    </xf>
    <xf numFmtId="184" fontId="110" fillId="0" borderId="0" xfId="0" applyNumberFormat="1" applyFont="1" applyFill="1" applyAlignment="1">
      <alignment horizontal="center" wrapText="1"/>
    </xf>
    <xf numFmtId="0" fontId="109" fillId="0" borderId="0" xfId="0" applyFont="1" applyFill="1" applyAlignment="1">
      <alignment vertical="center" wrapText="1"/>
    </xf>
    <xf numFmtId="184" fontId="109" fillId="0" borderId="0" xfId="0" applyNumberFormat="1" applyFont="1" applyFill="1" applyAlignment="1">
      <alignment vertical="center" wrapText="1"/>
    </xf>
    <xf numFmtId="41" fontId="111" fillId="0" borderId="1" xfId="3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184" fontId="111" fillId="0" borderId="5" xfId="0" applyNumberFormat="1" applyFont="1" applyFill="1" applyBorder="1" applyAlignment="1">
      <alignment vertical="center" wrapText="1"/>
    </xf>
    <xf numFmtId="181" fontId="111" fillId="12" borderId="1" xfId="3" applyNumberFormat="1" applyFont="1" applyFill="1" applyBorder="1" applyAlignment="1">
      <alignment horizontal="center" vertical="center" wrapText="1"/>
    </xf>
    <xf numFmtId="41" fontId="111" fillId="12" borderId="1" xfId="3" applyFont="1" applyFill="1" applyBorder="1" applyAlignment="1">
      <alignment horizontal="center" vertical="center" wrapText="1"/>
    </xf>
    <xf numFmtId="41" fontId="111" fillId="12" borderId="7" xfId="3" applyFont="1" applyFill="1" applyBorder="1" applyAlignment="1">
      <alignment horizontal="center" vertical="center" wrapText="1"/>
    </xf>
    <xf numFmtId="181" fontId="111" fillId="12" borderId="5" xfId="3" applyNumberFormat="1" applyFont="1" applyFill="1" applyBorder="1" applyAlignment="1">
      <alignment horizontal="center" vertical="center" wrapText="1"/>
    </xf>
    <xf numFmtId="184" fontId="111" fillId="0" borderId="5" xfId="0" applyNumberFormat="1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vertical="center" wrapText="1"/>
    </xf>
    <xf numFmtId="0" fontId="31" fillId="0" borderId="8" xfId="0" applyFont="1" applyFill="1" applyBorder="1" applyAlignment="1">
      <alignment vertical="center" wrapText="1"/>
    </xf>
    <xf numFmtId="41" fontId="31" fillId="4" borderId="39" xfId="3" applyNumberFormat="1" applyFont="1" applyFill="1" applyBorder="1" applyAlignment="1">
      <alignment horizontal="center" vertical="center" wrapText="1"/>
    </xf>
    <xf numFmtId="41" fontId="31" fillId="4" borderId="40" xfId="0" applyNumberFormat="1" applyFont="1" applyFill="1" applyBorder="1" applyAlignment="1">
      <alignment horizontal="center" vertical="center"/>
    </xf>
    <xf numFmtId="41" fontId="31" fillId="0" borderId="41" xfId="0" applyNumberFormat="1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vertical="center" wrapText="1"/>
    </xf>
    <xf numFmtId="41" fontId="31" fillId="9" borderId="4" xfId="3" applyNumberFormat="1" applyFont="1" applyFill="1" applyBorder="1" applyAlignment="1">
      <alignment horizontal="center" vertical="center" wrapText="1"/>
    </xf>
    <xf numFmtId="41" fontId="31" fillId="9" borderId="6" xfId="3" applyNumberFormat="1" applyFont="1" applyFill="1" applyBorder="1" applyAlignment="1">
      <alignment horizontal="center" vertical="center" wrapText="1"/>
    </xf>
    <xf numFmtId="41" fontId="31" fillId="4" borderId="21" xfId="3" applyNumberFormat="1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vertical="center" wrapText="1"/>
    </xf>
    <xf numFmtId="0" fontId="31" fillId="0" borderId="22" xfId="0" applyFont="1" applyFill="1" applyBorder="1" applyAlignment="1">
      <alignment vertical="center" wrapText="1"/>
    </xf>
    <xf numFmtId="0" fontId="24" fillId="0" borderId="5" xfId="0" applyNumberFormat="1" applyFont="1" applyBorder="1" applyAlignment="1">
      <alignment horizontal="center" vertical="center" wrapText="1"/>
    </xf>
    <xf numFmtId="41" fontId="75" fillId="9" borderId="5" xfId="0" applyNumberFormat="1" applyFont="1" applyFill="1" applyBorder="1" applyAlignment="1">
      <alignment horizontal="center" vertical="center" wrapText="1"/>
    </xf>
    <xf numFmtId="0" fontId="99" fillId="0" borderId="1" xfId="0" applyNumberFormat="1" applyFont="1" applyBorder="1" applyAlignment="1">
      <alignment horizontal="center" vertical="center" wrapText="1"/>
    </xf>
    <xf numFmtId="0" fontId="77" fillId="0" borderId="0" xfId="0" applyFont="1" applyFill="1" applyAlignment="1">
      <alignment horizontal="left" vertical="center" wrapText="1" indent="1"/>
    </xf>
    <xf numFmtId="0" fontId="101" fillId="0" borderId="0" xfId="0" applyFont="1" applyFill="1" applyAlignment="1">
      <alignment horizontal="left" vertical="center" indent="1"/>
    </xf>
    <xf numFmtId="0" fontId="112" fillId="0" borderId="0" xfId="0" applyFont="1" applyFill="1" applyAlignment="1">
      <alignment horizontal="left" vertical="center" indent="1"/>
    </xf>
    <xf numFmtId="0" fontId="63" fillId="0" borderId="0" xfId="0" applyFont="1" applyFill="1" applyAlignment="1">
      <alignment vertical="center" wrapText="1"/>
    </xf>
    <xf numFmtId="41" fontId="67" fillId="0" borderId="54" xfId="3" applyNumberFormat="1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left" vertical="center" indent="1"/>
    </xf>
    <xf numFmtId="0" fontId="29" fillId="0" borderId="10" xfId="0" applyFont="1" applyFill="1" applyBorder="1" applyAlignment="1">
      <alignment horizontal="center" vertical="top" wrapText="1"/>
    </xf>
    <xf numFmtId="0" fontId="29" fillId="0" borderId="37" xfId="0" applyFont="1" applyFill="1" applyBorder="1" applyAlignment="1">
      <alignment horizontal="center" vertical="top" wrapText="1"/>
    </xf>
    <xf numFmtId="0" fontId="0" fillId="0" borderId="10" xfId="0" applyFont="1" applyFill="1" applyBorder="1" applyAlignment="1">
      <alignment horizontal="center" vertical="top" wrapText="1"/>
    </xf>
    <xf numFmtId="0" fontId="77" fillId="0" borderId="0" xfId="0" applyFont="1" applyFill="1" applyAlignment="1">
      <alignment vertical="center" wrapText="1"/>
    </xf>
    <xf numFmtId="184" fontId="2" fillId="12" borderId="1" xfId="3" applyNumberFormat="1" applyFont="1" applyFill="1" applyBorder="1" applyAlignment="1">
      <alignment vertical="center"/>
    </xf>
    <xf numFmtId="184" fontId="2" fillId="12" borderId="7" xfId="3" applyNumberFormat="1" applyFont="1" applyFill="1" applyBorder="1" applyAlignment="1">
      <alignment vertical="center"/>
    </xf>
    <xf numFmtId="0" fontId="31" fillId="0" borderId="5" xfId="0" applyFont="1" applyFill="1" applyBorder="1" applyAlignment="1">
      <alignment vertical="center"/>
    </xf>
    <xf numFmtId="0" fontId="31" fillId="0" borderId="33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left" vertical="center" wrapText="1"/>
    </xf>
    <xf numFmtId="41" fontId="31" fillId="0" borderId="7" xfId="0" applyNumberFormat="1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vertical="center"/>
    </xf>
    <xf numFmtId="0" fontId="31" fillId="0" borderId="8" xfId="0" applyFont="1" applyFill="1" applyBorder="1" applyAlignment="1">
      <alignment vertical="center"/>
    </xf>
    <xf numFmtId="41" fontId="107" fillId="0" borderId="0" xfId="9" applyNumberFormat="1" applyFont="1" applyFill="1" applyAlignment="1">
      <alignment horizontal="left" vertical="center" wrapText="1" indent="1"/>
    </xf>
    <xf numFmtId="0" fontId="24" fillId="0" borderId="11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189" fontId="99" fillId="9" borderId="1" xfId="0" applyNumberFormat="1" applyFont="1" applyFill="1" applyBorder="1" applyAlignment="1">
      <alignment horizontal="center" vertical="center" wrapText="1"/>
    </xf>
    <xf numFmtId="41" fontId="99" fillId="9" borderId="1" xfId="3" applyNumberFormat="1" applyFont="1" applyFill="1" applyBorder="1" applyAlignment="1">
      <alignment horizontal="center" vertical="center" wrapText="1"/>
    </xf>
    <xf numFmtId="0" fontId="77" fillId="0" borderId="0" xfId="0" applyFont="1" applyFill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24" fillId="0" borderId="42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41" fontId="67" fillId="9" borderId="7" xfId="3" applyNumberFormat="1" applyFont="1" applyFill="1" applyBorder="1" applyAlignment="1">
      <alignment horizontal="center" vertical="center" wrapText="1"/>
    </xf>
    <xf numFmtId="41" fontId="67" fillId="0" borderId="7" xfId="3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41" fontId="24" fillId="0" borderId="1" xfId="0" applyNumberFormat="1" applyFont="1" applyFill="1" applyBorder="1" applyAlignment="1">
      <alignment horizontal="center" vertical="center" wrapText="1"/>
    </xf>
    <xf numFmtId="41" fontId="24" fillId="0" borderId="7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1" xfId="0" applyBorder="1"/>
    <xf numFmtId="0" fontId="5" fillId="0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 wrapText="1"/>
    </xf>
    <xf numFmtId="0" fontId="97" fillId="0" borderId="14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41" fontId="12" fillId="0" borderId="14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41" fontId="24" fillId="0" borderId="14" xfId="0" applyNumberFormat="1" applyFont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111" fillId="0" borderId="1" xfId="0" applyFont="1" applyFill="1" applyBorder="1" applyAlignment="1">
      <alignment horizontal="center" vertical="center" wrapText="1"/>
    </xf>
    <xf numFmtId="0" fontId="111" fillId="0" borderId="11" xfId="0" applyFont="1" applyFill="1" applyBorder="1" applyAlignment="1">
      <alignment horizontal="center" vertical="center" wrapText="1"/>
    </xf>
    <xf numFmtId="0" fontId="111" fillId="0" borderId="4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203" fontId="2" fillId="0" borderId="1" xfId="4" applyNumberFormat="1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4" xfId="0" applyNumberFormat="1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41" fontId="67" fillId="4" borderId="7" xfId="3" applyNumberFormat="1" applyFont="1" applyFill="1" applyBorder="1" applyAlignment="1">
      <alignment horizontal="center" vertical="center" wrapText="1"/>
    </xf>
    <xf numFmtId="0" fontId="67" fillId="0" borderId="6" xfId="3" applyNumberFormat="1" applyFont="1" applyFill="1" applyBorder="1" applyAlignment="1">
      <alignment horizontal="center" vertical="center" wrapText="1"/>
    </xf>
    <xf numFmtId="41" fontId="67" fillId="0" borderId="7" xfId="0" applyNumberFormat="1" applyFont="1" applyFill="1" applyBorder="1" applyAlignment="1">
      <alignment horizontal="center" vertical="center" wrapText="1"/>
    </xf>
    <xf numFmtId="0" fontId="47" fillId="0" borderId="6" xfId="0" applyFont="1" applyFill="1" applyBorder="1" applyAlignment="1">
      <alignment horizontal="center" vertical="center" wrapText="1"/>
    </xf>
    <xf numFmtId="41" fontId="47" fillId="9" borderId="7" xfId="3" applyNumberFormat="1" applyFont="1" applyFill="1" applyBorder="1" applyAlignment="1">
      <alignment horizontal="center" vertical="center" wrapText="1"/>
    </xf>
    <xf numFmtId="41" fontId="47" fillId="0" borderId="7" xfId="3" applyNumberFormat="1" applyFont="1" applyFill="1" applyBorder="1" applyAlignment="1">
      <alignment horizontal="center" vertical="center" wrapText="1"/>
    </xf>
    <xf numFmtId="41" fontId="25" fillId="0" borderId="8" xfId="3" applyNumberFormat="1" applyFont="1" applyFill="1" applyBorder="1" applyAlignment="1">
      <alignment horizontal="center" vertical="center" wrapText="1"/>
    </xf>
    <xf numFmtId="41" fontId="67" fillId="9" borderId="7" xfId="0" applyNumberFormat="1" applyFont="1" applyFill="1" applyBorder="1" applyAlignment="1">
      <alignment horizontal="center" vertical="center" shrinkToFit="1"/>
    </xf>
    <xf numFmtId="189" fontId="67" fillId="9" borderId="7" xfId="0" applyNumberFormat="1" applyFont="1" applyFill="1" applyBorder="1" applyAlignment="1">
      <alignment horizontal="center" vertical="center" wrapText="1"/>
    </xf>
    <xf numFmtId="189" fontId="99" fillId="9" borderId="7" xfId="0" applyNumberFormat="1" applyFont="1" applyFill="1" applyBorder="1" applyAlignment="1">
      <alignment horizontal="center" vertical="center" wrapText="1"/>
    </xf>
    <xf numFmtId="41" fontId="99" fillId="9" borderId="7" xfId="3" applyNumberFormat="1" applyFont="1" applyFill="1" applyBorder="1" applyAlignment="1">
      <alignment horizontal="center" vertical="center" wrapText="1"/>
    </xf>
    <xf numFmtId="41" fontId="67" fillId="0" borderId="88" xfId="3" applyNumberFormat="1" applyFont="1" applyFill="1" applyBorder="1" applyAlignment="1">
      <alignment horizontal="center" vertical="center" wrapText="1"/>
    </xf>
    <xf numFmtId="41" fontId="67" fillId="0" borderId="41" xfId="3" applyNumberFormat="1" applyFont="1" applyFill="1" applyBorder="1" applyAlignment="1">
      <alignment horizontal="center" vertical="center" wrapText="1"/>
    </xf>
    <xf numFmtId="41" fontId="67" fillId="0" borderId="8" xfId="3" applyNumberFormat="1" applyFont="1" applyFill="1" applyBorder="1" applyAlignment="1">
      <alignment horizontal="center" vertical="center" wrapText="1"/>
    </xf>
    <xf numFmtId="41" fontId="25" fillId="0" borderId="7" xfId="0" applyNumberFormat="1" applyFont="1" applyFill="1" applyBorder="1" applyAlignment="1">
      <alignment horizontal="center" vertical="center"/>
    </xf>
    <xf numFmtId="181" fontId="111" fillId="12" borderId="7" xfId="3" applyNumberFormat="1" applyFont="1" applyFill="1" applyBorder="1" applyAlignment="1">
      <alignment horizontal="center" vertical="center" wrapText="1"/>
    </xf>
    <xf numFmtId="181" fontId="111" fillId="12" borderId="8" xfId="3" applyNumberFormat="1" applyFont="1" applyFill="1" applyBorder="1" applyAlignment="1">
      <alignment horizontal="center" vertical="center" wrapText="1"/>
    </xf>
    <xf numFmtId="183" fontId="47" fillId="0" borderId="6" xfId="0" applyNumberFormat="1" applyFont="1" applyFill="1" applyBorder="1" applyAlignment="1">
      <alignment horizontal="center" vertical="center" wrapText="1"/>
    </xf>
    <xf numFmtId="41" fontId="47" fillId="0" borderId="7" xfId="0" applyNumberFormat="1" applyFont="1" applyFill="1" applyBorder="1" applyAlignment="1">
      <alignment horizontal="center" vertical="center"/>
    </xf>
    <xf numFmtId="189" fontId="47" fillId="9" borderId="7" xfId="3" applyNumberFormat="1" applyFont="1" applyFill="1" applyBorder="1" applyAlignment="1">
      <alignment horizontal="center" vertical="center" wrapText="1"/>
    </xf>
    <xf numFmtId="189" fontId="47" fillId="9" borderId="8" xfId="3" applyNumberFormat="1" applyFont="1" applyFill="1" applyBorder="1" applyAlignment="1">
      <alignment horizontal="center" vertical="center" wrapText="1"/>
    </xf>
    <xf numFmtId="0" fontId="67" fillId="0" borderId="34" xfId="0" applyNumberFormat="1" applyFont="1" applyFill="1" applyBorder="1" applyAlignment="1">
      <alignment horizontal="center" vertical="center" wrapText="1"/>
    </xf>
    <xf numFmtId="195" fontId="67" fillId="0" borderId="7" xfId="0" applyNumberFormat="1" applyFont="1" applyFill="1" applyBorder="1" applyAlignment="1">
      <alignment horizontal="center" vertical="center" wrapText="1"/>
    </xf>
    <xf numFmtId="41" fontId="67" fillId="0" borderId="41" xfId="0" applyNumberFormat="1" applyFont="1" applyFill="1" applyBorder="1" applyAlignment="1">
      <alignment horizontal="center" vertical="center" wrapText="1"/>
    </xf>
    <xf numFmtId="41" fontId="67" fillId="0" borderId="8" xfId="0" applyNumberFormat="1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/>
    </xf>
    <xf numFmtId="0" fontId="0" fillId="12" borderId="16" xfId="0" applyFill="1" applyBorder="1" applyAlignment="1">
      <alignment horizontal="center" vertical="center"/>
    </xf>
    <xf numFmtId="0" fontId="48" fillId="0" borderId="6" xfId="3" applyNumberFormat="1" applyFont="1" applyFill="1" applyBorder="1" applyAlignment="1">
      <alignment horizontal="center" vertical="center" wrapText="1"/>
    </xf>
    <xf numFmtId="0" fontId="48" fillId="0" borderId="7" xfId="0" applyNumberFormat="1" applyFont="1" applyFill="1" applyBorder="1" applyAlignment="1">
      <alignment horizontal="center" vertical="center" wrapText="1"/>
    </xf>
    <xf numFmtId="41" fontId="48" fillId="9" borderId="7" xfId="3" applyNumberFormat="1" applyFont="1" applyFill="1" applyBorder="1" applyAlignment="1">
      <alignment horizontal="center" vertical="center" wrapText="1"/>
    </xf>
    <xf numFmtId="41" fontId="48" fillId="9" borderId="7" xfId="0" applyNumberFormat="1" applyFont="1" applyFill="1" applyBorder="1" applyAlignment="1">
      <alignment horizontal="center" vertical="center"/>
    </xf>
    <xf numFmtId="41" fontId="48" fillId="0" borderId="7" xfId="0" applyNumberFormat="1" applyFont="1" applyFill="1" applyBorder="1" applyAlignment="1">
      <alignment horizontal="center" vertical="center"/>
    </xf>
    <xf numFmtId="41" fontId="25" fillId="0" borderId="8" xfId="0" applyNumberFormat="1" applyFont="1" applyFill="1" applyBorder="1" applyAlignment="1">
      <alignment horizontal="center" vertical="center"/>
    </xf>
    <xf numFmtId="41" fontId="24" fillId="9" borderId="7" xfId="0" applyNumberFormat="1" applyFont="1" applyFill="1" applyBorder="1" applyAlignment="1">
      <alignment horizontal="center" vertical="center" wrapText="1"/>
    </xf>
    <xf numFmtId="41" fontId="48" fillId="9" borderId="7" xfId="0" applyNumberFormat="1" applyFont="1" applyFill="1" applyBorder="1" applyAlignment="1">
      <alignment horizontal="center" vertical="center" wrapText="1"/>
    </xf>
    <xf numFmtId="41" fontId="48" fillId="0" borderId="8" xfId="3" applyNumberFormat="1" applyFont="1" applyFill="1" applyBorder="1" applyAlignment="1">
      <alignment horizontal="center" vertical="center" wrapText="1"/>
    </xf>
    <xf numFmtId="3" fontId="24" fillId="0" borderId="6" xfId="0" applyNumberFormat="1" applyFont="1" applyFill="1" applyBorder="1" applyAlignment="1">
      <alignment horizontal="center" vertical="center" wrapText="1"/>
    </xf>
    <xf numFmtId="189" fontId="24" fillId="9" borderId="8" xfId="0" applyNumberFormat="1" applyFont="1" applyFill="1" applyBorder="1" applyAlignment="1">
      <alignment horizontal="center" vertical="center" wrapText="1"/>
    </xf>
    <xf numFmtId="0" fontId="67" fillId="4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49" fontId="29" fillId="0" borderId="13" xfId="0" applyNumberFormat="1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5" fillId="4" borderId="13" xfId="3" applyNumberFormat="1" applyFont="1" applyFill="1" applyBorder="1" applyAlignment="1">
      <alignment horizontal="center" vertical="center" wrapText="1"/>
    </xf>
    <xf numFmtId="0" fontId="25" fillId="4" borderId="21" xfId="0" applyNumberFormat="1" applyFont="1" applyFill="1" applyBorder="1" applyAlignment="1">
      <alignment horizontal="center" vertical="center" wrapText="1"/>
    </xf>
    <xf numFmtId="41" fontId="11" fillId="0" borderId="0" xfId="0" applyNumberFormat="1" applyFont="1" applyFill="1" applyAlignment="1">
      <alignment wrapText="1"/>
    </xf>
    <xf numFmtId="41" fontId="0" fillId="4" borderId="4" xfId="0" applyNumberFormat="1" applyFont="1" applyFill="1" applyBorder="1" applyAlignment="1">
      <alignment horizontal="center" vertical="center" wrapText="1"/>
    </xf>
    <xf numFmtId="0" fontId="25" fillId="4" borderId="1" xfId="3" applyNumberFormat="1" applyFont="1" applyFill="1" applyBorder="1" applyAlignment="1">
      <alignment horizontal="center" vertical="center" wrapText="1"/>
    </xf>
    <xf numFmtId="41" fontId="2" fillId="4" borderId="1" xfId="0" applyNumberFormat="1" applyFont="1" applyFill="1" applyBorder="1" applyAlignment="1">
      <alignment horizontal="center" vertical="center" wrapText="1"/>
    </xf>
    <xf numFmtId="0" fontId="25" fillId="4" borderId="1" xfId="0" applyNumberFormat="1" applyFont="1" applyFill="1" applyBorder="1" applyAlignment="1">
      <alignment horizontal="center" vertical="center" wrapText="1"/>
    </xf>
    <xf numFmtId="41" fontId="0" fillId="4" borderId="1" xfId="0" applyNumberFormat="1" applyFill="1" applyBorder="1" applyAlignment="1">
      <alignment horizontal="center" vertical="center" wrapText="1"/>
    </xf>
    <xf numFmtId="41" fontId="104" fillId="4" borderId="4" xfId="0" applyNumberFormat="1" applyFont="1" applyFill="1" applyBorder="1" applyAlignment="1">
      <alignment horizontal="center" vertical="center" wrapText="1"/>
    </xf>
    <xf numFmtId="41" fontId="104" fillId="4" borderId="6" xfId="0" applyNumberFormat="1" applyFont="1" applyFill="1" applyBorder="1" applyAlignment="1">
      <alignment horizontal="center" vertical="center" wrapText="1"/>
    </xf>
    <xf numFmtId="41" fontId="2" fillId="4" borderId="7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41" fontId="97" fillId="20" borderId="21" xfId="22" applyNumberFormat="1" applyFont="1" applyFill="1" applyBorder="1" applyAlignment="1">
      <alignment horizontal="center" vertical="center" wrapText="1"/>
    </xf>
    <xf numFmtId="41" fontId="97" fillId="20" borderId="1" xfId="22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43" fontId="29" fillId="0" borderId="1" xfId="0" applyNumberFormat="1" applyFont="1" applyFill="1" applyBorder="1" applyAlignment="1">
      <alignment horizontal="center" vertical="center" wrapText="1"/>
    </xf>
    <xf numFmtId="41" fontId="29" fillId="0" borderId="21" xfId="0" applyNumberFormat="1" applyFont="1" applyFill="1" applyBorder="1" applyAlignment="1">
      <alignment horizontal="center" vertical="center" wrapText="1"/>
    </xf>
    <xf numFmtId="49" fontId="116" fillId="0" borderId="4" xfId="3" applyNumberFormat="1" applyFont="1" applyFill="1" applyBorder="1" applyAlignment="1">
      <alignment horizontal="center" vertical="center" wrapText="1"/>
    </xf>
    <xf numFmtId="41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41" fontId="68" fillId="0" borderId="21" xfId="0" applyNumberFormat="1" applyFont="1" applyFill="1" applyBorder="1" applyAlignment="1">
      <alignment horizontal="center" vertical="center" wrapText="1"/>
    </xf>
    <xf numFmtId="41" fontId="25" fillId="9" borderId="21" xfId="0" applyNumberFormat="1" applyFont="1" applyFill="1" applyBorder="1" applyAlignment="1" applyProtection="1">
      <alignment horizontal="center" vertical="center" wrapText="1"/>
    </xf>
    <xf numFmtId="41" fontId="68" fillId="0" borderId="22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41" fontId="95" fillId="0" borderId="1" xfId="0" applyNumberFormat="1" applyFont="1" applyFill="1" applyBorder="1" applyAlignment="1">
      <alignment horizontal="center" vertical="center" wrapText="1"/>
    </xf>
    <xf numFmtId="41" fontId="109" fillId="0" borderId="1" xfId="0" applyNumberFormat="1" applyFont="1" applyFill="1" applyBorder="1" applyAlignment="1">
      <alignment horizontal="center" vertical="center" wrapText="1"/>
    </xf>
    <xf numFmtId="0" fontId="109" fillId="0" borderId="1" xfId="0" applyNumberFormat="1" applyFont="1" applyFill="1" applyBorder="1" applyAlignment="1">
      <alignment horizontal="center" vertical="center" wrapText="1"/>
    </xf>
    <xf numFmtId="41" fontId="68" fillId="0" borderId="1" xfId="0" applyNumberFormat="1" applyFont="1" applyFill="1" applyBorder="1" applyAlignment="1">
      <alignment horizontal="center" vertical="center" wrapText="1"/>
    </xf>
    <xf numFmtId="0" fontId="68" fillId="0" borderId="1" xfId="0" applyNumberFormat="1" applyFont="1" applyFill="1" applyBorder="1" applyAlignment="1">
      <alignment horizontal="center" vertical="center" wrapText="1"/>
    </xf>
    <xf numFmtId="41" fontId="68" fillId="0" borderId="1" xfId="3" applyFont="1" applyFill="1" applyBorder="1" applyAlignment="1">
      <alignment horizontal="right" vertical="center" wrapText="1"/>
    </xf>
    <xf numFmtId="41" fontId="68" fillId="0" borderId="5" xfId="0" applyNumberFormat="1" applyFont="1" applyFill="1" applyBorder="1" applyAlignment="1">
      <alignment horizontal="center" vertical="center" wrapText="1"/>
    </xf>
    <xf numFmtId="0" fontId="68" fillId="0" borderId="1" xfId="0" applyNumberFormat="1" applyFont="1" applyFill="1" applyBorder="1" applyAlignment="1">
      <alignment horizontal="right" vertical="center" wrapText="1"/>
    </xf>
    <xf numFmtId="0" fontId="95" fillId="0" borderId="1" xfId="0" applyFont="1" applyFill="1" applyBorder="1" applyAlignment="1">
      <alignment horizontal="center" vertical="center" wrapText="1"/>
    </xf>
    <xf numFmtId="0" fontId="109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41" fontId="68" fillId="0" borderId="1" xfId="3" applyFont="1" applyFill="1" applyBorder="1" applyAlignment="1">
      <alignment horizontal="center" vertical="center" wrapText="1"/>
    </xf>
    <xf numFmtId="0" fontId="68" fillId="0" borderId="1" xfId="0" applyNumberFormat="1" applyFont="1" applyFill="1" applyBorder="1" applyAlignment="1">
      <alignment horizontal="center" vertical="center"/>
    </xf>
    <xf numFmtId="43" fontId="68" fillId="0" borderId="1" xfId="0" applyNumberFormat="1" applyFont="1" applyFill="1" applyBorder="1" applyAlignment="1">
      <alignment horizontal="center" vertical="center" wrapText="1"/>
    </xf>
    <xf numFmtId="0" fontId="68" fillId="0" borderId="5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vertical="center" wrapText="1"/>
    </xf>
    <xf numFmtId="0" fontId="95" fillId="0" borderId="1" xfId="0" applyFont="1" applyFill="1" applyBorder="1" applyAlignment="1">
      <alignment horizontal="center" vertical="center" wrapText="1" shrinkToFit="1"/>
    </xf>
    <xf numFmtId="0" fontId="109" fillId="0" borderId="1" xfId="0" applyFont="1" applyFill="1" applyBorder="1" applyAlignment="1">
      <alignment horizontal="center" vertical="center" wrapText="1" shrinkToFit="1"/>
    </xf>
    <xf numFmtId="0" fontId="109" fillId="0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49" fontId="24" fillId="0" borderId="1" xfId="3" applyNumberFormat="1" applyFont="1" applyFill="1" applyBorder="1" applyAlignment="1">
      <alignment horizontal="center" vertical="center" wrapText="1"/>
    </xf>
    <xf numFmtId="0" fontId="24" fillId="0" borderId="1" xfId="3" applyNumberFormat="1" applyFont="1" applyFill="1" applyBorder="1" applyAlignment="1">
      <alignment horizontal="right" vertical="center" wrapText="1"/>
    </xf>
    <xf numFmtId="41" fontId="24" fillId="0" borderId="1" xfId="0" applyNumberFormat="1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center" vertical="center" wrapText="1" shrinkToFit="1"/>
    </xf>
    <xf numFmtId="0" fontId="117" fillId="0" borderId="1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41" fontId="25" fillId="0" borderId="1" xfId="3" applyFont="1" applyFill="1" applyBorder="1" applyAlignment="1">
      <alignment horizontal="center" vertical="center" wrapText="1"/>
    </xf>
    <xf numFmtId="49" fontId="25" fillId="0" borderId="1" xfId="3" applyNumberFormat="1" applyFont="1" applyFill="1" applyBorder="1" applyAlignment="1">
      <alignment horizontal="center" vertical="center" wrapText="1"/>
    </xf>
    <xf numFmtId="0" fontId="25" fillId="0" borderId="1" xfId="3" applyNumberFormat="1" applyFont="1" applyFill="1" applyBorder="1" applyAlignment="1">
      <alignment horizontal="right" vertical="center" wrapText="1"/>
    </xf>
    <xf numFmtId="41" fontId="95" fillId="0" borderId="7" xfId="0" applyNumberFormat="1" applyFont="1" applyFill="1" applyBorder="1" applyAlignment="1">
      <alignment horizontal="center" vertical="center" wrapText="1"/>
    </xf>
    <xf numFmtId="41" fontId="109" fillId="0" borderId="7" xfId="0" applyNumberFormat="1" applyFont="1" applyFill="1" applyBorder="1" applyAlignment="1">
      <alignment horizontal="center" vertical="center" wrapText="1"/>
    </xf>
    <xf numFmtId="0" fontId="109" fillId="0" borderId="7" xfId="0" applyNumberFormat="1" applyFont="1" applyFill="1" applyBorder="1" applyAlignment="1">
      <alignment horizontal="center" vertical="center" wrapText="1"/>
    </xf>
    <xf numFmtId="41" fontId="68" fillId="0" borderId="7" xfId="0" applyNumberFormat="1" applyFont="1" applyFill="1" applyBorder="1" applyAlignment="1">
      <alignment horizontal="center" vertical="center" wrapText="1"/>
    </xf>
    <xf numFmtId="0" fontId="68" fillId="0" borderId="7" xfId="0" applyNumberFormat="1" applyFont="1" applyFill="1" applyBorder="1" applyAlignment="1">
      <alignment horizontal="center" vertical="center" wrapText="1"/>
    </xf>
    <xf numFmtId="0" fontId="68" fillId="0" borderId="7" xfId="0" applyNumberFormat="1" applyFont="1" applyFill="1" applyBorder="1" applyAlignment="1">
      <alignment horizontal="right" vertical="center" wrapText="1"/>
    </xf>
    <xf numFmtId="41" fontId="25" fillId="9" borderId="7" xfId="0" applyNumberFormat="1" applyFont="1" applyFill="1" applyBorder="1" applyAlignment="1" applyProtection="1">
      <alignment horizontal="center" vertical="center" wrapText="1"/>
    </xf>
    <xf numFmtId="41" fontId="68" fillId="0" borderId="8" xfId="0" applyNumberFormat="1" applyFont="1" applyFill="1" applyBorder="1" applyAlignment="1">
      <alignment horizontal="center" vertical="center" wrapText="1"/>
    </xf>
    <xf numFmtId="0" fontId="68" fillId="0" borderId="1" xfId="3" applyNumberFormat="1" applyFont="1" applyFill="1" applyBorder="1" applyAlignment="1">
      <alignment horizontal="center" vertical="center" wrapText="1"/>
    </xf>
    <xf numFmtId="0" fontId="24" fillId="0" borderId="4" xfId="0" applyNumberFormat="1" applyFont="1" applyFill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center" vertical="center" wrapText="1"/>
    </xf>
    <xf numFmtId="41" fontId="118" fillId="0" borderId="1" xfId="0" applyNumberFormat="1" applyFont="1" applyBorder="1" applyAlignment="1">
      <alignment horizontal="center" vertical="center" wrapText="1"/>
    </xf>
    <xf numFmtId="41" fontId="118" fillId="0" borderId="1" xfId="0" applyNumberFormat="1" applyFont="1" applyBorder="1" applyAlignment="1">
      <alignment horizontal="left" vertical="center"/>
    </xf>
    <xf numFmtId="41" fontId="118" fillId="0" borderId="1" xfId="0" applyNumberFormat="1" applyFont="1" applyFill="1" applyBorder="1" applyAlignment="1">
      <alignment horizontal="center" vertical="center" wrapText="1"/>
    </xf>
    <xf numFmtId="181" fontId="118" fillId="0" borderId="1" xfId="0" applyNumberFormat="1" applyFont="1" applyFill="1" applyBorder="1" applyAlignment="1">
      <alignment horizontal="center" vertical="center" wrapText="1"/>
    </xf>
    <xf numFmtId="181" fontId="118" fillId="0" borderId="1" xfId="0" applyNumberFormat="1" applyFont="1" applyBorder="1" applyAlignment="1">
      <alignment horizontal="center" vertical="center" wrapText="1"/>
    </xf>
    <xf numFmtId="41" fontId="118" fillId="0" borderId="5" xfId="0" applyNumberFormat="1" applyFont="1" applyFill="1" applyBorder="1" applyAlignment="1">
      <alignment horizontal="center" vertical="center" wrapText="1"/>
    </xf>
    <xf numFmtId="49" fontId="118" fillId="0" borderId="1" xfId="0" applyNumberFormat="1" applyFont="1" applyBorder="1" applyAlignment="1">
      <alignment horizontal="center" vertical="center" wrapText="1"/>
    </xf>
    <xf numFmtId="178" fontId="103" fillId="20" borderId="21" xfId="3" applyNumberFormat="1" applyFont="1" applyFill="1" applyBorder="1" applyAlignment="1">
      <alignment horizontal="center" vertical="center" wrapText="1"/>
    </xf>
    <xf numFmtId="178" fontId="103" fillId="20" borderId="1" xfId="3" applyNumberFormat="1" applyFont="1" applyFill="1" applyBorder="1" applyAlignment="1">
      <alignment horizontal="center" vertical="center" wrapText="1"/>
    </xf>
    <xf numFmtId="178" fontId="103" fillId="20" borderId="5" xfId="3" applyNumberFormat="1" applyFont="1" applyFill="1" applyBorder="1" applyAlignment="1">
      <alignment horizontal="center" vertical="center" wrapText="1"/>
    </xf>
    <xf numFmtId="178" fontId="103" fillId="20" borderId="14" xfId="3" applyNumberFormat="1" applyFont="1" applyFill="1" applyBorder="1" applyAlignment="1">
      <alignment horizontal="center" vertical="center" wrapText="1"/>
    </xf>
    <xf numFmtId="178" fontId="103" fillId="20" borderId="15" xfId="3" applyNumberFormat="1" applyFont="1" applyFill="1" applyBorder="1" applyAlignment="1">
      <alignment horizontal="center" vertical="center" wrapText="1"/>
    </xf>
    <xf numFmtId="0" fontId="103" fillId="20" borderId="1" xfId="0" applyFont="1" applyFill="1" applyBorder="1" applyAlignment="1">
      <alignment vertical="center" wrapText="1"/>
    </xf>
    <xf numFmtId="186" fontId="97" fillId="20" borderId="21" xfId="22" applyNumberFormat="1" applyFont="1" applyFill="1" applyBorder="1" applyAlignment="1">
      <alignment horizontal="center" vertical="center" wrapText="1"/>
    </xf>
    <xf numFmtId="41" fontId="75" fillId="9" borderId="21" xfId="0" applyNumberFormat="1" applyFont="1" applyFill="1" applyBorder="1" applyAlignment="1">
      <alignment horizontal="center" vertical="center" wrapText="1"/>
    </xf>
    <xf numFmtId="41" fontId="121" fillId="4" borderId="1" xfId="0" applyNumberFormat="1" applyFont="1" applyFill="1" applyBorder="1" applyAlignment="1">
      <alignment horizontal="center" vertical="center" wrapText="1"/>
    </xf>
    <xf numFmtId="41" fontId="75" fillId="4" borderId="5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8" fillId="0" borderId="5" xfId="0" applyFont="1" applyFill="1" applyBorder="1"/>
    <xf numFmtId="41" fontId="75" fillId="9" borderId="7" xfId="0" applyNumberFormat="1" applyFont="1" applyFill="1" applyBorder="1" applyAlignment="1">
      <alignment horizontal="center" vertical="center" wrapText="1"/>
    </xf>
    <xf numFmtId="41" fontId="75" fillId="4" borderId="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/>
    <xf numFmtId="0" fontId="8" fillId="0" borderId="8" xfId="0" applyFont="1" applyFill="1" applyBorder="1"/>
    <xf numFmtId="41" fontId="25" fillId="9" borderId="10" xfId="3" applyNumberFormat="1" applyFont="1" applyFill="1" applyBorder="1" applyAlignment="1">
      <alignment horizontal="center" vertical="center" wrapText="1"/>
    </xf>
    <xf numFmtId="41" fontId="25" fillId="9" borderId="16" xfId="3" applyNumberFormat="1" applyFont="1" applyFill="1" applyBorder="1" applyAlignment="1">
      <alignment horizontal="center" vertical="center" wrapText="1"/>
    </xf>
    <xf numFmtId="41" fontId="122" fillId="0" borderId="1" xfId="0" applyNumberFormat="1" applyFont="1" applyFill="1" applyBorder="1" applyAlignment="1">
      <alignment horizontal="center" vertical="center" wrapText="1"/>
    </xf>
    <xf numFmtId="41" fontId="122" fillId="0" borderId="5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41" fontId="120" fillId="4" borderId="4" xfId="0" applyNumberFormat="1" applyFont="1" applyFill="1" applyBorder="1" applyAlignment="1">
      <alignment horizontal="center" vertical="center" wrapText="1"/>
    </xf>
    <xf numFmtId="41" fontId="123" fillId="20" borderId="1" xfId="0" applyNumberFormat="1" applyFont="1" applyFill="1" applyBorder="1" applyAlignment="1">
      <alignment horizontal="center" vertical="center" wrapText="1"/>
    </xf>
    <xf numFmtId="41" fontId="120" fillId="4" borderId="12" xfId="0" applyNumberFormat="1" applyFont="1" applyFill="1" applyBorder="1" applyAlignment="1">
      <alignment horizontal="center" vertical="center" wrapText="1"/>
    </xf>
    <xf numFmtId="41" fontId="120" fillId="4" borderId="1" xfId="0" applyNumberFormat="1" applyFont="1" applyFill="1" applyBorder="1" applyAlignment="1">
      <alignment horizontal="center" vertical="center" wrapText="1"/>
    </xf>
    <xf numFmtId="41" fontId="29" fillId="0" borderId="1" xfId="3" applyFont="1" applyFill="1" applyBorder="1" applyAlignment="1">
      <alignment horizontal="center" vertical="center" wrapText="1"/>
    </xf>
    <xf numFmtId="41" fontId="123" fillId="20" borderId="2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1" fontId="89" fillId="0" borderId="5" xfId="3" applyFont="1" applyFill="1" applyBorder="1" applyAlignment="1">
      <alignment horizontal="center"/>
    </xf>
    <xf numFmtId="41" fontId="89" fillId="0" borderId="5" xfId="3" applyFont="1" applyBorder="1" applyAlignment="1">
      <alignment horizontal="center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41" fontId="25" fillId="0" borderId="40" xfId="0" applyNumberFormat="1" applyFont="1" applyFill="1" applyBorder="1" applyAlignment="1">
      <alignment horizontal="center" vertical="center" wrapText="1"/>
    </xf>
    <xf numFmtId="41" fontId="25" fillId="0" borderId="40" xfId="3" applyNumberFormat="1" applyFont="1" applyFill="1" applyBorder="1" applyAlignment="1">
      <alignment horizontal="center" vertical="center" wrapText="1"/>
    </xf>
    <xf numFmtId="181" fontId="24" fillId="0" borderId="1" xfId="3" applyNumberFormat="1" applyFont="1" applyFill="1" applyBorder="1" applyAlignment="1">
      <alignment horizontal="center" vertical="center" wrapText="1"/>
    </xf>
    <xf numFmtId="0" fontId="25" fillId="0" borderId="14" xfId="0" applyNumberFormat="1" applyFont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41" fontId="25" fillId="0" borderId="11" xfId="3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 vertical="center" wrapText="1"/>
    </xf>
    <xf numFmtId="41" fontId="25" fillId="4" borderId="1" xfId="3" applyNumberFormat="1" applyFont="1" applyFill="1" applyBorder="1" applyAlignment="1">
      <alignment horizontal="center" vertical="center" wrapText="1"/>
    </xf>
    <xf numFmtId="189" fontId="25" fillId="9" borderId="1" xfId="3" applyNumberFormat="1" applyFont="1" applyFill="1" applyBorder="1" applyAlignment="1">
      <alignment horizontal="center" vertical="center" wrapText="1"/>
    </xf>
    <xf numFmtId="189" fontId="25" fillId="9" borderId="5" xfId="3" applyNumberFormat="1" applyFont="1" applyFill="1" applyBorder="1" applyAlignment="1">
      <alignment horizontal="center" vertical="center" wrapText="1"/>
    </xf>
    <xf numFmtId="0" fontId="111" fillId="0" borderId="11" xfId="0" applyFont="1" applyFill="1" applyBorder="1" applyAlignment="1">
      <alignment horizontal="center" vertical="center" wrapText="1"/>
    </xf>
    <xf numFmtId="0" fontId="111" fillId="0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41" fontId="110" fillId="21" borderId="4" xfId="0" applyNumberFormat="1" applyFont="1" applyFill="1" applyBorder="1" applyAlignment="1" applyProtection="1">
      <alignment horizontal="center" vertical="center" wrapText="1"/>
      <protection locked="0"/>
    </xf>
    <xf numFmtId="41" fontId="110" fillId="21" borderId="1" xfId="0" applyNumberFormat="1" applyFont="1" applyFill="1" applyBorder="1" applyAlignment="1" applyProtection="1">
      <alignment horizontal="center" vertical="center" wrapText="1"/>
      <protection locked="0"/>
    </xf>
    <xf numFmtId="41" fontId="109" fillId="0" borderId="4" xfId="0" applyNumberFormat="1" applyFont="1" applyBorder="1" applyAlignment="1" applyProtection="1">
      <alignment horizontal="center" vertical="center" wrapText="1"/>
      <protection locked="0"/>
    </xf>
    <xf numFmtId="41" fontId="109" fillId="9" borderId="1" xfId="0" applyNumberFormat="1" applyFont="1" applyFill="1" applyBorder="1" applyAlignment="1" applyProtection="1">
      <alignment horizontal="center" vertical="center" wrapText="1"/>
      <protection locked="0"/>
    </xf>
    <xf numFmtId="41" fontId="109" fillId="4" borderId="1" xfId="0" applyNumberFormat="1" applyFont="1" applyFill="1" applyBorder="1" applyAlignment="1" applyProtection="1">
      <alignment horizontal="center" vertical="center" wrapText="1"/>
      <protection locked="0"/>
    </xf>
    <xf numFmtId="41" fontId="109" fillId="4" borderId="1" xfId="0" applyNumberFormat="1" applyFont="1" applyFill="1" applyBorder="1" applyAlignment="1" applyProtection="1">
      <alignment horizontal="right" vertical="center" wrapText="1"/>
      <protection locked="0"/>
    </xf>
    <xf numFmtId="41" fontId="95" fillId="0" borderId="4" xfId="3" applyFont="1" applyBorder="1" applyAlignment="1">
      <alignment horizontal="center" vertical="center"/>
    </xf>
    <xf numFmtId="0" fontId="95" fillId="0" borderId="1" xfId="9" applyBorder="1">
      <alignment vertical="center"/>
    </xf>
    <xf numFmtId="0" fontId="109" fillId="15" borderId="1" xfId="0" applyFont="1" applyFill="1" applyBorder="1"/>
    <xf numFmtId="0" fontId="109" fillId="0" borderId="1" xfId="0" applyFont="1" applyBorder="1"/>
    <xf numFmtId="0" fontId="95" fillId="23" borderId="1" xfId="9" applyFont="1" applyFill="1" applyBorder="1">
      <alignment vertical="center"/>
    </xf>
    <xf numFmtId="0" fontId="95" fillId="18" borderId="1" xfId="9" applyFont="1" applyFill="1" applyBorder="1">
      <alignment vertical="center"/>
    </xf>
    <xf numFmtId="0" fontId="109" fillId="23" borderId="1" xfId="0" applyFont="1" applyFill="1" applyBorder="1"/>
    <xf numFmtId="0" fontId="95" fillId="0" borderId="1" xfId="9" applyFont="1" applyFill="1" applyBorder="1">
      <alignment vertical="center"/>
    </xf>
    <xf numFmtId="41" fontId="119" fillId="20" borderId="21" xfId="0" applyNumberFormat="1" applyFont="1" applyFill="1" applyBorder="1" applyAlignment="1">
      <alignment horizontal="center" vertical="center" wrapText="1"/>
    </xf>
    <xf numFmtId="194" fontId="119" fillId="20" borderId="21" xfId="3" applyNumberFormat="1" applyFont="1" applyFill="1" applyBorder="1" applyAlignment="1">
      <alignment horizontal="center" vertical="center" wrapText="1"/>
    </xf>
    <xf numFmtId="186" fontId="119" fillId="20" borderId="21" xfId="3" applyNumberFormat="1" applyFont="1" applyFill="1" applyBorder="1" applyAlignment="1">
      <alignment horizontal="center" vertical="center" wrapText="1"/>
    </xf>
    <xf numFmtId="41" fontId="119" fillId="20" borderId="21" xfId="3" applyNumberFormat="1" applyFont="1" applyFill="1" applyBorder="1" applyAlignment="1">
      <alignment horizontal="center" vertical="center" wrapText="1"/>
    </xf>
    <xf numFmtId="178" fontId="119" fillId="20" borderId="21" xfId="0" applyNumberFormat="1" applyFont="1" applyFill="1" applyBorder="1" applyAlignment="1">
      <alignment horizontal="center" vertical="center" wrapText="1"/>
    </xf>
    <xf numFmtId="41" fontId="119" fillId="20" borderId="1" xfId="3" applyNumberFormat="1" applyFont="1" applyFill="1" applyBorder="1" applyAlignment="1">
      <alignment horizontal="center" vertical="center" wrapText="1"/>
    </xf>
    <xf numFmtId="178" fontId="119" fillId="20" borderId="1" xfId="3" applyNumberFormat="1" applyFont="1" applyFill="1" applyBorder="1" applyAlignment="1">
      <alignment horizontal="center" vertical="center" wrapText="1"/>
    </xf>
    <xf numFmtId="194" fontId="119" fillId="20" borderId="46" xfId="3" applyNumberFormat="1" applyFont="1" applyFill="1" applyBorder="1" applyAlignment="1">
      <alignment horizontal="center" vertical="center" wrapText="1"/>
    </xf>
    <xf numFmtId="43" fontId="123" fillId="20" borderId="22" xfId="0" applyNumberFormat="1" applyFont="1" applyFill="1" applyBorder="1" applyAlignment="1">
      <alignment horizontal="center" vertical="center" wrapText="1"/>
    </xf>
    <xf numFmtId="41" fontId="119" fillId="20" borderId="1" xfId="0" applyNumberFormat="1" applyFont="1" applyFill="1" applyBorder="1" applyAlignment="1">
      <alignment horizontal="center" vertical="center" wrapText="1"/>
    </xf>
    <xf numFmtId="189" fontId="119" fillId="20" borderId="1" xfId="3" applyNumberFormat="1" applyFont="1" applyFill="1" applyBorder="1" applyAlignment="1">
      <alignment horizontal="center" vertical="center" wrapText="1"/>
    </xf>
    <xf numFmtId="178" fontId="120" fillId="20" borderId="1" xfId="0" applyNumberFormat="1" applyFont="1" applyFill="1" applyBorder="1" applyAlignment="1">
      <alignment horizontal="center" vertical="center" wrapText="1"/>
    </xf>
    <xf numFmtId="194" fontId="119" fillId="20" borderId="40" xfId="3" applyNumberFormat="1" applyFont="1" applyFill="1" applyBorder="1" applyAlignment="1">
      <alignment horizontal="center" vertical="center" wrapText="1"/>
    </xf>
    <xf numFmtId="43" fontId="123" fillId="20" borderId="5" xfId="0" applyNumberFormat="1" applyFont="1" applyFill="1" applyBorder="1" applyAlignment="1">
      <alignment horizontal="center" vertical="center" wrapText="1"/>
    </xf>
    <xf numFmtId="41" fontId="119" fillId="20" borderId="7" xfId="0" applyNumberFormat="1" applyFont="1" applyFill="1" applyBorder="1" applyAlignment="1">
      <alignment horizontal="center" vertical="center" wrapText="1"/>
    </xf>
    <xf numFmtId="189" fontId="119" fillId="20" borderId="7" xfId="3" applyNumberFormat="1" applyFont="1" applyFill="1" applyBorder="1" applyAlignment="1">
      <alignment horizontal="center" vertical="center" wrapText="1"/>
    </xf>
    <xf numFmtId="41" fontId="119" fillId="20" borderId="7" xfId="3" applyNumberFormat="1" applyFont="1" applyFill="1" applyBorder="1" applyAlignment="1">
      <alignment horizontal="center" vertical="center" wrapText="1"/>
    </xf>
    <xf numFmtId="178" fontId="120" fillId="20" borderId="7" xfId="0" applyNumberFormat="1" applyFont="1" applyFill="1" applyBorder="1" applyAlignment="1">
      <alignment horizontal="center" vertical="center" wrapText="1"/>
    </xf>
    <xf numFmtId="194" fontId="119" fillId="20" borderId="41" xfId="3" applyNumberFormat="1" applyFont="1" applyFill="1" applyBorder="1" applyAlignment="1">
      <alignment horizontal="center" vertical="center" wrapText="1"/>
    </xf>
    <xf numFmtId="43" fontId="123" fillId="20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1" fontId="25" fillId="9" borderId="1" xfId="3" applyFont="1" applyFill="1" applyBorder="1" applyAlignment="1">
      <alignment vertical="center" wrapText="1"/>
    </xf>
    <xf numFmtId="41" fontId="25" fillId="0" borderId="1" xfId="3" applyFont="1" applyBorder="1" applyAlignment="1">
      <alignment horizontal="center" vertical="center" wrapText="1"/>
    </xf>
    <xf numFmtId="41" fontId="25" fillId="0" borderId="1" xfId="3" applyFont="1" applyBorder="1" applyAlignment="1">
      <alignment vertical="center" wrapText="1"/>
    </xf>
    <xf numFmtId="41" fontId="25" fillId="9" borderId="40" xfId="3" applyFont="1" applyFill="1" applyBorder="1" applyAlignment="1">
      <alignment vertical="center" wrapText="1"/>
    </xf>
    <xf numFmtId="41" fontId="25" fillId="9" borderId="5" xfId="3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1" fontId="95" fillId="16" borderId="1" xfId="3" applyFont="1" applyFill="1" applyBorder="1" applyAlignment="1">
      <alignment vertical="center"/>
    </xf>
    <xf numFmtId="41" fontId="95" fillId="14" borderId="1" xfId="3" applyFont="1" applyFill="1" applyBorder="1" applyAlignment="1">
      <alignment vertical="center"/>
    </xf>
    <xf numFmtId="41" fontId="95" fillId="22" borderId="1" xfId="3" applyFont="1" applyFill="1" applyBorder="1" applyAlignment="1">
      <alignment vertical="center"/>
    </xf>
    <xf numFmtId="41" fontId="95" fillId="15" borderId="1" xfId="3" applyFont="1" applyFill="1" applyBorder="1" applyAlignment="1">
      <alignment vertical="center"/>
    </xf>
    <xf numFmtId="41" fontId="95" fillId="0" borderId="1" xfId="3" applyFont="1" applyFill="1" applyBorder="1" applyAlignment="1">
      <alignment vertical="center"/>
    </xf>
    <xf numFmtId="41" fontId="0" fillId="0" borderId="1" xfId="3" applyFont="1" applyFill="1" applyBorder="1" applyAlignment="1">
      <alignment horizontal="right"/>
    </xf>
    <xf numFmtId="41" fontId="95" fillId="0" borderId="1" xfId="3" applyFont="1" applyBorder="1" applyAlignment="1">
      <alignment vertical="center"/>
    </xf>
    <xf numFmtId="41" fontId="109" fillId="14" borderId="1" xfId="3" applyFont="1" applyFill="1" applyBorder="1" applyAlignment="1">
      <alignment vertical="center"/>
    </xf>
    <xf numFmtId="41" fontId="109" fillId="22" borderId="1" xfId="3" applyFont="1" applyFill="1" applyBorder="1" applyAlignment="1">
      <alignment vertical="center"/>
    </xf>
    <xf numFmtId="41" fontId="0" fillId="15" borderId="1" xfId="3" applyFont="1" applyFill="1" applyBorder="1" applyAlignment="1">
      <alignment horizontal="right"/>
    </xf>
    <xf numFmtId="41" fontId="109" fillId="14" borderId="1" xfId="3" applyFont="1" applyFill="1" applyBorder="1"/>
    <xf numFmtId="41" fontId="109" fillId="15" borderId="1" xfId="3" applyFont="1" applyFill="1" applyBorder="1"/>
    <xf numFmtId="41" fontId="109" fillId="0" borderId="1" xfId="3" applyFont="1" applyFill="1" applyBorder="1"/>
    <xf numFmtId="41" fontId="109" fillId="0" borderId="1" xfId="3" applyFont="1" applyBorder="1"/>
    <xf numFmtId="41" fontId="0" fillId="14" borderId="1" xfId="3" applyFont="1" applyFill="1" applyBorder="1" applyAlignment="1">
      <alignment horizontal="right"/>
    </xf>
    <xf numFmtId="41" fontId="109" fillId="22" borderId="1" xfId="3" applyFont="1" applyFill="1" applyBorder="1" applyAlignment="1">
      <alignment horizontal="right" vertical="center"/>
    </xf>
    <xf numFmtId="41" fontId="95" fillId="23" borderId="1" xfId="3" applyFont="1" applyFill="1" applyBorder="1" applyAlignment="1">
      <alignment vertical="center"/>
    </xf>
    <xf numFmtId="41" fontId="95" fillId="18" borderId="1" xfId="3" applyFont="1" applyFill="1" applyBorder="1" applyAlignment="1">
      <alignment vertical="center"/>
    </xf>
    <xf numFmtId="41" fontId="95" fillId="19" borderId="1" xfId="3" applyFont="1" applyFill="1" applyBorder="1" applyAlignment="1">
      <alignment vertical="center"/>
    </xf>
    <xf numFmtId="41" fontId="109" fillId="23" borderId="1" xfId="3" applyFont="1" applyFill="1" applyBorder="1"/>
    <xf numFmtId="41" fontId="25" fillId="9" borderId="1" xfId="0" applyNumberFormat="1" applyFont="1" applyFill="1" applyBorder="1" applyAlignment="1">
      <alignment horizontal="center" vertical="center"/>
    </xf>
    <xf numFmtId="189" fontId="24" fillId="0" borderId="1" xfId="0" applyNumberFormat="1" applyFont="1" applyFill="1" applyBorder="1" applyAlignment="1">
      <alignment horizontal="center" vertical="center" wrapText="1"/>
    </xf>
    <xf numFmtId="189" fontId="24" fillId="0" borderId="7" xfId="0" applyNumberFormat="1" applyFont="1" applyFill="1" applyBorder="1" applyAlignment="1">
      <alignment horizontal="center" vertical="center" wrapText="1"/>
    </xf>
    <xf numFmtId="41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1" fontId="12" fillId="0" borderId="1" xfId="3" applyNumberFormat="1" applyFont="1" applyFill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0" fillId="0" borderId="0" xfId="0"/>
    <xf numFmtId="0" fontId="24" fillId="0" borderId="42" xfId="0" applyFont="1" applyBorder="1" applyAlignment="1">
      <alignment horizontal="center" vertical="center" wrapText="1"/>
    </xf>
    <xf numFmtId="0" fontId="109" fillId="0" borderId="4" xfId="0" applyFont="1" applyFill="1" applyBorder="1" applyAlignment="1">
      <alignment horizontal="center" vertical="center" wrapText="1"/>
    </xf>
    <xf numFmtId="41" fontId="109" fillId="9" borderId="1" xfId="0" applyNumberFormat="1" applyFont="1" applyFill="1" applyBorder="1" applyAlignment="1">
      <alignment horizontal="center" vertical="center" wrapText="1"/>
    </xf>
    <xf numFmtId="41" fontId="109" fillId="0" borderId="5" xfId="0" applyNumberFormat="1" applyFont="1" applyFill="1" applyBorder="1" applyAlignment="1">
      <alignment horizontal="right" vertical="center" wrapText="1"/>
    </xf>
    <xf numFmtId="177" fontId="97" fillId="0" borderId="1" xfId="0" applyNumberFormat="1" applyFont="1" applyFill="1" applyBorder="1" applyAlignment="1">
      <alignment horizontal="center" vertical="center" wrapText="1"/>
    </xf>
    <xf numFmtId="197" fontId="97" fillId="0" borderId="1" xfId="0" applyNumberFormat="1" applyFont="1" applyFill="1" applyBorder="1" applyAlignment="1">
      <alignment horizontal="center" vertical="center" wrapText="1"/>
    </xf>
    <xf numFmtId="3" fontId="97" fillId="0" borderId="5" xfId="0" applyNumberFormat="1" applyFont="1" applyFill="1" applyBorder="1" applyAlignment="1">
      <alignment horizontal="center" vertical="center" wrapText="1"/>
    </xf>
    <xf numFmtId="0" fontId="97" fillId="0" borderId="5" xfId="0" applyFont="1" applyFill="1" applyBorder="1" applyAlignment="1">
      <alignment horizontal="center" vertical="center" wrapText="1"/>
    </xf>
    <xf numFmtId="208" fontId="97" fillId="0" borderId="1" xfId="0" applyNumberFormat="1" applyFont="1" applyFill="1" applyBorder="1" applyAlignment="1">
      <alignment horizontal="center" vertical="center" wrapText="1"/>
    </xf>
    <xf numFmtId="209" fontId="97" fillId="0" borderId="1" xfId="0" applyNumberFormat="1" applyFont="1" applyFill="1" applyBorder="1" applyAlignment="1">
      <alignment horizontal="center" vertical="center" wrapText="1"/>
    </xf>
    <xf numFmtId="179" fontId="97" fillId="0" borderId="5" xfId="0" applyNumberFormat="1" applyFont="1" applyFill="1" applyBorder="1" applyAlignment="1">
      <alignment horizontal="center" vertical="center" wrapText="1"/>
    </xf>
    <xf numFmtId="187" fontId="97" fillId="0" borderId="1" xfId="0" applyNumberFormat="1" applyFont="1" applyFill="1" applyBorder="1" applyAlignment="1">
      <alignment horizontal="center" vertical="center" wrapText="1"/>
    </xf>
    <xf numFmtId="208" fontId="97" fillId="0" borderId="7" xfId="0" applyNumberFormat="1" applyFont="1" applyFill="1" applyBorder="1" applyAlignment="1">
      <alignment horizontal="center" vertical="center" wrapText="1"/>
    </xf>
    <xf numFmtId="209" fontId="97" fillId="0" borderId="7" xfId="0" applyNumberFormat="1" applyFont="1" applyFill="1" applyBorder="1" applyAlignment="1">
      <alignment horizontal="center" vertical="center" wrapText="1"/>
    </xf>
    <xf numFmtId="179" fontId="97" fillId="0" borderId="8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197" fontId="24" fillId="0" borderId="0" xfId="0" applyNumberFormat="1" applyFont="1" applyBorder="1" applyAlignment="1">
      <alignment horizontal="center" vertical="center" wrapText="1"/>
    </xf>
    <xf numFmtId="180" fontId="97" fillId="3" borderId="21" xfId="0" applyNumberFormat="1" applyFont="1" applyFill="1" applyBorder="1" applyAlignment="1">
      <alignment horizontal="center" vertical="center" wrapText="1"/>
    </xf>
    <xf numFmtId="197" fontId="97" fillId="3" borderId="21" xfId="0" applyNumberFormat="1" applyFont="1" applyFill="1" applyBorder="1" applyAlignment="1">
      <alignment horizontal="center" vertical="center" wrapText="1"/>
    </xf>
    <xf numFmtId="3" fontId="97" fillId="3" borderId="22" xfId="0" applyNumberFormat="1" applyFont="1" applyFill="1" applyBorder="1" applyAlignment="1">
      <alignment horizontal="center" vertical="center" wrapText="1"/>
    </xf>
    <xf numFmtId="177" fontId="97" fillId="3" borderId="21" xfId="0" applyNumberFormat="1" applyFont="1" applyFill="1" applyBorder="1" applyAlignment="1">
      <alignment horizontal="center" vertical="center" wrapText="1"/>
    </xf>
    <xf numFmtId="0" fontId="97" fillId="3" borderId="22" xfId="0" applyFont="1" applyFill="1" applyBorder="1" applyAlignment="1">
      <alignment horizontal="center" vertical="center" wrapText="1"/>
    </xf>
    <xf numFmtId="189" fontId="24" fillId="0" borderId="5" xfId="0" applyNumberFormat="1" applyFont="1" applyFill="1" applyBorder="1" applyAlignment="1">
      <alignment horizontal="center" vertical="center" wrapText="1"/>
    </xf>
    <xf numFmtId="0" fontId="24" fillId="0" borderId="33" xfId="3" applyNumberFormat="1" applyFont="1" applyFill="1" applyBorder="1" applyAlignment="1">
      <alignment horizontal="center" vertical="center" wrapText="1"/>
    </xf>
    <xf numFmtId="41" fontId="24" fillId="0" borderId="7" xfId="3" applyNumberFormat="1" applyFont="1" applyFill="1" applyBorder="1" applyAlignment="1">
      <alignment horizontal="center" vertical="center" wrapText="1"/>
    </xf>
    <xf numFmtId="189" fontId="24" fillId="0" borderId="7" xfId="3" applyNumberFormat="1" applyFont="1" applyFill="1" applyBorder="1" applyAlignment="1">
      <alignment horizontal="center" vertical="center" wrapText="1"/>
    </xf>
    <xf numFmtId="181" fontId="24" fillId="0" borderId="7" xfId="3" applyNumberFormat="1" applyFont="1" applyFill="1" applyBorder="1" applyAlignment="1">
      <alignment horizontal="center" vertical="center" wrapText="1"/>
    </xf>
    <xf numFmtId="189" fontId="24" fillId="0" borderId="8" xfId="0" applyNumberFormat="1" applyFont="1" applyFill="1" applyBorder="1" applyAlignment="1">
      <alignment horizontal="center" vertical="center" wrapText="1"/>
    </xf>
    <xf numFmtId="41" fontId="119" fillId="9" borderId="1" xfId="0" applyNumberFormat="1" applyFont="1" applyFill="1" applyBorder="1" applyAlignment="1">
      <alignment horizontal="center" vertical="center" wrapText="1"/>
    </xf>
    <xf numFmtId="41" fontId="119" fillId="0" borderId="1" xfId="0" applyNumberFormat="1" applyFont="1" applyFill="1" applyBorder="1" applyAlignment="1">
      <alignment horizontal="center" vertical="center" wrapText="1"/>
    </xf>
    <xf numFmtId="41" fontId="97" fillId="0" borderId="1" xfId="3" applyFont="1" applyFill="1" applyBorder="1" applyAlignment="1">
      <alignment horizontal="center" vertical="center" wrapText="1"/>
    </xf>
    <xf numFmtId="41" fontId="97" fillId="0" borderId="1" xfId="0" applyNumberFormat="1" applyFont="1" applyFill="1" applyBorder="1" applyAlignment="1">
      <alignment horizontal="center" vertical="center" wrapText="1"/>
    </xf>
    <xf numFmtId="0" fontId="97" fillId="0" borderId="1" xfId="3" applyNumberFormat="1" applyFont="1" applyFill="1" applyBorder="1" applyAlignment="1">
      <alignment horizontal="center" vertical="center" wrapText="1"/>
    </xf>
    <xf numFmtId="41" fontId="97" fillId="0" borderId="1" xfId="3" applyNumberFormat="1" applyFont="1" applyFill="1" applyBorder="1" applyAlignment="1">
      <alignment horizontal="center" vertical="center" wrapText="1"/>
    </xf>
    <xf numFmtId="41" fontId="97" fillId="0" borderId="5" xfId="0" applyNumberFormat="1" applyFont="1" applyFill="1" applyBorder="1" applyAlignment="1">
      <alignment horizontal="center" vertical="center" wrapText="1"/>
    </xf>
    <xf numFmtId="177" fontId="97" fillId="0" borderId="1" xfId="3" applyNumberFormat="1" applyFont="1" applyFill="1" applyBorder="1" applyAlignment="1">
      <alignment horizontal="center" vertical="center" wrapText="1"/>
    </xf>
    <xf numFmtId="41" fontId="128" fillId="0" borderId="1" xfId="0" applyNumberFormat="1" applyFont="1" applyFill="1" applyBorder="1" applyAlignment="1">
      <alignment horizontal="center" vertical="center" wrapText="1"/>
    </xf>
    <xf numFmtId="41" fontId="97" fillId="0" borderId="7" xfId="3" applyFont="1" applyFill="1" applyBorder="1" applyAlignment="1">
      <alignment horizontal="center" vertical="center" wrapText="1"/>
    </xf>
    <xf numFmtId="41" fontId="97" fillId="0" borderId="7" xfId="0" applyNumberFormat="1" applyFont="1" applyFill="1" applyBorder="1" applyAlignment="1">
      <alignment horizontal="center" vertical="center" wrapText="1"/>
    </xf>
    <xf numFmtId="0" fontId="97" fillId="0" borderId="7" xfId="3" applyNumberFormat="1" applyFont="1" applyFill="1" applyBorder="1" applyAlignment="1">
      <alignment horizontal="center" vertical="center" wrapText="1"/>
    </xf>
    <xf numFmtId="41" fontId="97" fillId="0" borderId="8" xfId="0" applyNumberFormat="1" applyFont="1" applyFill="1" applyBorder="1" applyAlignment="1">
      <alignment horizontal="center" vertical="center" wrapText="1"/>
    </xf>
    <xf numFmtId="0" fontId="129" fillId="20" borderId="1" xfId="3" applyNumberFormat="1" applyFont="1" applyFill="1" applyBorder="1" applyAlignment="1" applyProtection="1">
      <alignment horizontal="center" vertical="center" wrapText="1"/>
      <protection locked="0"/>
    </xf>
    <xf numFmtId="0" fontId="129" fillId="20" borderId="1" xfId="0" applyFont="1" applyFill="1" applyBorder="1" applyAlignment="1" applyProtection="1">
      <alignment horizontal="center" vertical="center"/>
      <protection locked="0"/>
    </xf>
    <xf numFmtId="41" fontId="129" fillId="20" borderId="1" xfId="3" applyFont="1" applyFill="1" applyBorder="1" applyAlignment="1" applyProtection="1">
      <alignment vertical="center"/>
      <protection locked="0"/>
    </xf>
    <xf numFmtId="0" fontId="129" fillId="20" borderId="1" xfId="0" applyFont="1" applyFill="1" applyBorder="1" applyAlignment="1" applyProtection="1">
      <alignment vertical="center"/>
      <protection locked="0"/>
    </xf>
    <xf numFmtId="0" fontId="129" fillId="20" borderId="7" xfId="3" applyNumberFormat="1" applyFont="1" applyFill="1" applyBorder="1" applyAlignment="1" applyProtection="1">
      <alignment horizontal="center" vertical="center" wrapText="1"/>
      <protection locked="0"/>
    </xf>
    <xf numFmtId="0" fontId="129" fillId="20" borderId="7" xfId="0" applyFont="1" applyFill="1" applyBorder="1" applyAlignment="1" applyProtection="1">
      <alignment horizontal="center" vertical="center"/>
      <protection locked="0"/>
    </xf>
    <xf numFmtId="0" fontId="129" fillId="20" borderId="7" xfId="0" applyFont="1" applyFill="1" applyBorder="1" applyAlignment="1" applyProtection="1">
      <alignment vertical="center"/>
      <protection locked="0"/>
    </xf>
    <xf numFmtId="41" fontId="24" fillId="0" borderId="1" xfId="0" applyNumberFormat="1" applyFont="1" applyBorder="1" applyAlignment="1">
      <alignment horizontal="center" vertical="center" wrapText="1"/>
    </xf>
    <xf numFmtId="204" fontId="129" fillId="0" borderId="1" xfId="10" applyNumberFormat="1" applyFont="1" applyFill="1" applyBorder="1" applyAlignment="1">
      <alignment horizontal="center" vertical="center" wrapText="1"/>
    </xf>
    <xf numFmtId="41" fontId="131" fillId="0" borderId="1" xfId="3" applyNumberFormat="1" applyFont="1" applyFill="1" applyBorder="1" applyAlignment="1">
      <alignment horizontal="left" vertical="center" wrapText="1"/>
    </xf>
    <xf numFmtId="14" fontId="131" fillId="0" borderId="1" xfId="3" applyNumberFormat="1" applyFont="1" applyFill="1" applyBorder="1" applyAlignment="1">
      <alignment horizontal="center" vertical="center" wrapText="1"/>
    </xf>
    <xf numFmtId="190" fontId="131" fillId="0" borderId="1" xfId="17" applyNumberFormat="1" applyFont="1" applyFill="1" applyBorder="1" applyAlignment="1">
      <alignment horizontal="center" vertical="center" wrapText="1"/>
    </xf>
    <xf numFmtId="202" fontId="131" fillId="0" borderId="1" xfId="17" applyNumberFormat="1" applyFont="1" applyFill="1" applyBorder="1" applyAlignment="1">
      <alignment horizontal="center" vertical="center" wrapText="1"/>
    </xf>
    <xf numFmtId="184" fontId="131" fillId="0" borderId="1" xfId="17" applyNumberFormat="1" applyFont="1" applyFill="1" applyBorder="1" applyAlignment="1">
      <alignment horizontal="center" vertical="center" wrapText="1"/>
    </xf>
    <xf numFmtId="184" fontId="132" fillId="0" borderId="1" xfId="17" applyNumberFormat="1" applyFont="1" applyFill="1" applyBorder="1" applyAlignment="1">
      <alignment horizontal="center" vertical="center" wrapText="1"/>
    </xf>
    <xf numFmtId="190" fontId="132" fillId="0" borderId="1" xfId="17" applyNumberFormat="1" applyFont="1" applyFill="1" applyBorder="1" applyAlignment="1">
      <alignment horizontal="center" vertical="center" wrapText="1"/>
    </xf>
    <xf numFmtId="43" fontId="132" fillId="0" borderId="5" xfId="7" applyNumberFormat="1" applyFont="1" applyFill="1" applyBorder="1" applyAlignment="1">
      <alignment horizontal="center" vertical="center" wrapText="1"/>
    </xf>
    <xf numFmtId="0" fontId="119" fillId="0" borderId="4" xfId="3" applyNumberFormat="1" applyFont="1" applyFill="1" applyBorder="1" applyAlignment="1">
      <alignment horizontal="center" vertical="center" wrapText="1"/>
    </xf>
    <xf numFmtId="41" fontId="119" fillId="0" borderId="1" xfId="3" applyNumberFormat="1" applyFont="1" applyFill="1" applyBorder="1" applyAlignment="1">
      <alignment horizontal="center" vertical="center" wrapText="1"/>
    </xf>
    <xf numFmtId="181" fontId="119" fillId="0" borderId="1" xfId="3" applyNumberFormat="1" applyFont="1" applyFill="1" applyBorder="1" applyAlignment="1">
      <alignment horizontal="center" vertical="center" wrapText="1"/>
    </xf>
    <xf numFmtId="181" fontId="119" fillId="4" borderId="1" xfId="3" applyNumberFormat="1" applyFont="1" applyFill="1" applyBorder="1" applyAlignment="1">
      <alignment horizontal="center" vertical="center" wrapText="1"/>
    </xf>
    <xf numFmtId="41" fontId="119" fillId="0" borderId="40" xfId="3" applyNumberFormat="1" applyFont="1" applyFill="1" applyBorder="1" applyAlignment="1">
      <alignment horizontal="center" vertical="center" wrapText="1"/>
    </xf>
    <xf numFmtId="41" fontId="119" fillId="0" borderId="5" xfId="3" applyNumberFormat="1" applyFont="1" applyFill="1" applyBorder="1" applyAlignment="1">
      <alignment horizontal="center" vertical="center" wrapText="1"/>
    </xf>
    <xf numFmtId="0" fontId="133" fillId="0" borderId="11" xfId="3" applyNumberFormat="1" applyFont="1" applyFill="1" applyBorder="1" applyAlignment="1">
      <alignment horizontal="center" vertical="center" wrapText="1"/>
    </xf>
    <xf numFmtId="49" fontId="25" fillId="20" borderId="4" xfId="3" applyNumberFormat="1" applyFont="1" applyFill="1" applyBorder="1" applyAlignment="1">
      <alignment horizontal="center" vertical="center" wrapText="1"/>
    </xf>
    <xf numFmtId="41" fontId="25" fillId="20" borderId="1" xfId="3" applyNumberFormat="1" applyFont="1" applyFill="1" applyBorder="1" applyAlignment="1">
      <alignment horizontal="center" vertical="center"/>
    </xf>
    <xf numFmtId="178" fontId="25" fillId="20" borderId="1" xfId="0" applyNumberFormat="1" applyFont="1" applyFill="1" applyBorder="1" applyAlignment="1">
      <alignment horizontal="center" vertical="center"/>
    </xf>
    <xf numFmtId="189" fontId="25" fillId="20" borderId="1" xfId="0" applyNumberFormat="1" applyFont="1" applyFill="1" applyBorder="1" applyAlignment="1">
      <alignment horizontal="center" vertical="center"/>
    </xf>
    <xf numFmtId="181" fontId="25" fillId="20" borderId="1" xfId="3" applyNumberFormat="1" applyFont="1" applyFill="1" applyBorder="1" applyAlignment="1">
      <alignment horizontal="center" vertical="center"/>
    </xf>
    <xf numFmtId="189" fontId="25" fillId="20" borderId="5" xfId="0" applyNumberFormat="1" applyFont="1" applyFill="1" applyBorder="1" applyAlignment="1">
      <alignment horizontal="right" vertical="center"/>
    </xf>
    <xf numFmtId="41" fontId="119" fillId="20" borderId="1" xfId="3" applyNumberFormat="1" applyFont="1" applyFill="1" applyBorder="1" applyAlignment="1">
      <alignment horizontal="center" vertical="center"/>
    </xf>
    <xf numFmtId="184" fontId="39" fillId="20" borderId="1" xfId="0" applyNumberFormat="1" applyFont="1" applyFill="1" applyBorder="1" applyAlignment="1">
      <alignment vertical="center"/>
    </xf>
    <xf numFmtId="205" fontId="39" fillId="20" borderId="1" xfId="0" applyNumberFormat="1" applyFont="1" applyFill="1" applyBorder="1" applyAlignment="1">
      <alignment vertical="center"/>
    </xf>
    <xf numFmtId="205" fontId="120" fillId="20" borderId="1" xfId="0" applyNumberFormat="1" applyFont="1" applyFill="1" applyBorder="1" applyAlignment="1">
      <alignment vertical="center"/>
    </xf>
    <xf numFmtId="49" fontId="31" fillId="20" borderId="4" xfId="3" applyNumberFormat="1" applyFont="1" applyFill="1" applyBorder="1" applyAlignment="1">
      <alignment horizontal="center" vertical="center" wrapText="1"/>
    </xf>
    <xf numFmtId="41" fontId="31" fillId="20" borderId="1" xfId="3" applyNumberFormat="1" applyFont="1" applyFill="1" applyBorder="1" applyAlignment="1">
      <alignment horizontal="center" vertical="center"/>
    </xf>
    <xf numFmtId="189" fontId="31" fillId="20" borderId="1" xfId="0" applyNumberFormat="1" applyFont="1" applyFill="1" applyBorder="1" applyAlignment="1">
      <alignment horizontal="center" vertical="center"/>
    </xf>
    <xf numFmtId="189" fontId="31" fillId="20" borderId="1" xfId="3" applyNumberFormat="1" applyFont="1" applyFill="1" applyBorder="1" applyAlignment="1">
      <alignment horizontal="center" vertical="center"/>
    </xf>
    <xf numFmtId="41" fontId="31" fillId="20" borderId="1" xfId="0" applyNumberFormat="1" applyFont="1" applyFill="1" applyBorder="1" applyAlignment="1">
      <alignment horizontal="center" vertical="center"/>
    </xf>
    <xf numFmtId="189" fontId="31" fillId="20" borderId="5" xfId="0" applyNumberFormat="1" applyFont="1" applyFill="1" applyBorder="1" applyAlignment="1">
      <alignment horizontal="right" vertical="center"/>
    </xf>
    <xf numFmtId="49" fontId="124" fillId="20" borderId="4" xfId="3" applyNumberFormat="1" applyFont="1" applyFill="1" applyBorder="1" applyAlignment="1">
      <alignment horizontal="center" vertical="center" wrapText="1"/>
    </xf>
    <xf numFmtId="49" fontId="5" fillId="20" borderId="1" xfId="0" applyNumberFormat="1" applyFont="1" applyFill="1" applyBorder="1" applyAlignment="1">
      <alignment horizontal="center" vertical="center"/>
    </xf>
    <xf numFmtId="41" fontId="5" fillId="20" borderId="11" xfId="3" applyNumberFormat="1" applyFont="1" applyFill="1" applyBorder="1" applyAlignment="1">
      <alignment horizontal="center" vertical="center" wrapText="1"/>
    </xf>
    <xf numFmtId="206" fontId="89" fillId="20" borderId="1" xfId="3" applyNumberFormat="1" applyFont="1" applyFill="1" applyBorder="1" applyAlignment="1">
      <alignment vertical="center"/>
    </xf>
    <xf numFmtId="41" fontId="89" fillId="20" borderId="1" xfId="3" applyFont="1" applyFill="1" applyBorder="1" applyAlignment="1">
      <alignment vertical="center"/>
    </xf>
    <xf numFmtId="206" fontId="89" fillId="20" borderId="1" xfId="3" applyNumberFormat="1" applyFont="1" applyFill="1" applyBorder="1" applyAlignment="1">
      <alignment horizontal="center" vertical="center"/>
    </xf>
    <xf numFmtId="49" fontId="89" fillId="20" borderId="1" xfId="3" applyNumberFormat="1" applyFont="1" applyFill="1" applyBorder="1" applyAlignment="1">
      <alignment horizontal="center" vertical="center"/>
    </xf>
    <xf numFmtId="181" fontId="89" fillId="20" borderId="1" xfId="3" applyNumberFormat="1" applyFont="1" applyFill="1" applyBorder="1" applyAlignment="1">
      <alignment horizontal="center" vertical="center"/>
    </xf>
    <xf numFmtId="41" fontId="89" fillId="20" borderId="1" xfId="3" applyFont="1" applyFill="1" applyBorder="1" applyAlignment="1">
      <alignment horizontal="center" vertical="center"/>
    </xf>
    <xf numFmtId="178" fontId="89" fillId="20" borderId="1" xfId="3" applyNumberFormat="1" applyFont="1" applyFill="1" applyBorder="1" applyAlignment="1">
      <alignment vertical="center"/>
    </xf>
    <xf numFmtId="207" fontId="89" fillId="20" borderId="1" xfId="3" applyNumberFormat="1" applyFont="1" applyFill="1" applyBorder="1" applyAlignment="1">
      <alignment horizontal="center" vertical="center"/>
    </xf>
    <xf numFmtId="178" fontId="89" fillId="20" borderId="1" xfId="3" applyNumberFormat="1" applyFont="1" applyFill="1" applyBorder="1" applyAlignment="1">
      <alignment horizontal="center" vertical="center"/>
    </xf>
    <xf numFmtId="41" fontId="5" fillId="20" borderId="11" xfId="3" applyNumberFormat="1" applyFont="1" applyFill="1" applyBorder="1" applyAlignment="1">
      <alignment vertical="center" wrapText="1"/>
    </xf>
    <xf numFmtId="207" fontId="89" fillId="20" borderId="1" xfId="3" applyNumberFormat="1" applyFont="1" applyFill="1" applyBorder="1" applyAlignment="1">
      <alignment vertical="center"/>
    </xf>
    <xf numFmtId="181" fontId="89" fillId="20" borderId="1" xfId="3" applyNumberFormat="1" applyFont="1" applyFill="1" applyBorder="1" applyAlignment="1">
      <alignment vertical="center"/>
    </xf>
    <xf numFmtId="41" fontId="89" fillId="20" borderId="5" xfId="3" applyFont="1" applyFill="1" applyBorder="1" applyAlignment="1">
      <alignment vertical="center"/>
    </xf>
    <xf numFmtId="49" fontId="12" fillId="0" borderId="1" xfId="3" applyNumberFormat="1" applyFont="1" applyFill="1" applyBorder="1" applyAlignment="1">
      <alignment horizontal="center" vertical="center" wrapText="1" shrinkToFit="1"/>
    </xf>
    <xf numFmtId="49" fontId="134" fillId="0" borderId="1" xfId="3" applyNumberFormat="1" applyFont="1" applyFill="1" applyBorder="1" applyAlignment="1">
      <alignment horizontal="center" vertical="center" shrinkToFit="1"/>
    </xf>
    <xf numFmtId="49" fontId="114" fillId="0" borderId="1" xfId="0" applyNumberFormat="1" applyFont="1" applyFill="1" applyBorder="1" applyAlignment="1">
      <alignment horizontal="center" vertical="center"/>
    </xf>
    <xf numFmtId="49" fontId="135" fillId="0" borderId="1" xfId="3" applyNumberFormat="1" applyFont="1" applyFill="1" applyBorder="1" applyAlignment="1">
      <alignment horizontal="center" vertical="center" shrinkToFit="1"/>
    </xf>
    <xf numFmtId="41" fontId="114" fillId="0" borderId="1" xfId="3" applyNumberFormat="1" applyFont="1" applyFill="1" applyBorder="1" applyAlignment="1">
      <alignment horizontal="center" vertical="center" wrapText="1"/>
    </xf>
    <xf numFmtId="0" fontId="114" fillId="0" borderId="1" xfId="0" applyFont="1" applyFill="1" applyBorder="1" applyAlignment="1">
      <alignment horizontal="center" vertical="center" wrapText="1"/>
    </xf>
    <xf numFmtId="49" fontId="135" fillId="0" borderId="1" xfId="0" applyNumberFormat="1" applyFont="1" applyFill="1" applyBorder="1" applyAlignment="1">
      <alignment horizontal="center" vertical="center" wrapText="1"/>
    </xf>
    <xf numFmtId="49" fontId="134" fillId="0" borderId="1" xfId="0" applyNumberFormat="1" applyFont="1" applyFill="1" applyBorder="1" applyAlignment="1">
      <alignment horizontal="center" vertical="center" wrapText="1"/>
    </xf>
    <xf numFmtId="49" fontId="12" fillId="0" borderId="7" xfId="3" applyNumberFormat="1" applyFont="1" applyFill="1" applyBorder="1" applyAlignment="1">
      <alignment horizontal="center" vertical="center" shrinkToFit="1"/>
    </xf>
    <xf numFmtId="41" fontId="42" fillId="0" borderId="7" xfId="3" applyNumberFormat="1" applyFont="1" applyFill="1" applyBorder="1" applyAlignment="1">
      <alignment horizontal="center" vertical="center" wrapText="1"/>
    </xf>
    <xf numFmtId="41" fontId="114" fillId="0" borderId="7" xfId="3" applyNumberFormat="1" applyFont="1" applyFill="1" applyBorder="1" applyAlignment="1">
      <alignment horizontal="center" vertical="center" wrapText="1"/>
    </xf>
    <xf numFmtId="41" fontId="12" fillId="20" borderId="1" xfId="3" applyNumberFormat="1" applyFont="1" applyFill="1" applyBorder="1" applyAlignment="1">
      <alignment horizontal="center" vertical="center" wrapText="1"/>
    </xf>
    <xf numFmtId="41" fontId="114" fillId="0" borderId="1" xfId="3" applyFont="1" applyFill="1" applyBorder="1" applyAlignment="1">
      <alignment horizontal="center" vertical="center" wrapText="1"/>
    </xf>
    <xf numFmtId="41" fontId="114" fillId="0" borderId="7" xfId="3" applyFont="1" applyFill="1" applyBorder="1" applyAlignment="1">
      <alignment horizontal="center" vertical="center" wrapText="1"/>
    </xf>
    <xf numFmtId="189" fontId="114" fillId="0" borderId="1" xfId="3" applyNumberFormat="1" applyFont="1" applyFill="1" applyBorder="1" applyAlignment="1">
      <alignment horizontal="right" vertical="center" wrapText="1"/>
    </xf>
    <xf numFmtId="189" fontId="114" fillId="0" borderId="7" xfId="3" applyNumberFormat="1" applyFont="1" applyFill="1" applyBorder="1" applyAlignment="1">
      <alignment horizontal="right" vertical="center" wrapText="1"/>
    </xf>
    <xf numFmtId="0" fontId="114" fillId="0" borderId="1" xfId="3" applyNumberFormat="1" applyFont="1" applyFill="1" applyBorder="1" applyAlignment="1">
      <alignment horizontal="center" vertical="center" wrapText="1"/>
    </xf>
    <xf numFmtId="14" fontId="114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 shrinkToFit="1"/>
    </xf>
    <xf numFmtId="0" fontId="12" fillId="0" borderId="1" xfId="3" quotePrefix="1" applyNumberFormat="1" applyFont="1" applyFill="1" applyBorder="1" applyAlignment="1">
      <alignment horizontal="center" vertical="center" shrinkToFit="1"/>
    </xf>
    <xf numFmtId="0" fontId="114" fillId="0" borderId="1" xfId="3" quotePrefix="1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4" fillId="0" borderId="7" xfId="3" applyNumberFormat="1" applyFont="1" applyFill="1" applyBorder="1" applyAlignment="1">
      <alignment horizontal="center" vertical="center" wrapText="1"/>
    </xf>
    <xf numFmtId="0" fontId="114" fillId="0" borderId="7" xfId="0" applyFont="1" applyFill="1" applyBorder="1" applyAlignment="1">
      <alignment horizontal="center" vertical="center" wrapText="1"/>
    </xf>
    <xf numFmtId="184" fontId="114" fillId="0" borderId="1" xfId="0" applyNumberFormat="1" applyFont="1" applyFill="1" applyBorder="1" applyAlignment="1">
      <alignment horizontal="center" vertical="center" wrapText="1"/>
    </xf>
    <xf numFmtId="3" fontId="114" fillId="0" borderId="1" xfId="0" applyNumberFormat="1" applyFont="1" applyFill="1" applyBorder="1" applyAlignment="1">
      <alignment horizontal="center" vertical="center" wrapText="1"/>
    </xf>
    <xf numFmtId="41" fontId="114" fillId="0" borderId="5" xfId="3" applyFont="1" applyFill="1" applyBorder="1" applyAlignment="1">
      <alignment horizontal="center" vertical="center" wrapText="1"/>
    </xf>
    <xf numFmtId="176" fontId="114" fillId="0" borderId="1" xfId="0" applyNumberFormat="1" applyFont="1" applyFill="1" applyBorder="1" applyAlignment="1">
      <alignment horizontal="center" vertical="center" wrapText="1"/>
    </xf>
    <xf numFmtId="184" fontId="12" fillId="0" borderId="1" xfId="0" applyNumberFormat="1" applyFont="1" applyFill="1" applyBorder="1" applyAlignment="1">
      <alignment horizontal="center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10" fontId="114" fillId="0" borderId="1" xfId="0" applyNumberFormat="1" applyFont="1" applyFill="1" applyBorder="1" applyAlignment="1">
      <alignment horizontal="center" vertical="center" wrapText="1"/>
    </xf>
    <xf numFmtId="184" fontId="114" fillId="0" borderId="7" xfId="0" applyNumberFormat="1" applyFont="1" applyFill="1" applyBorder="1" applyAlignment="1">
      <alignment horizontal="center" vertical="center" wrapText="1"/>
    </xf>
    <xf numFmtId="176" fontId="114" fillId="0" borderId="7" xfId="0" applyNumberFormat="1" applyFont="1" applyFill="1" applyBorder="1" applyAlignment="1">
      <alignment horizontal="center" vertical="center" wrapText="1"/>
    </xf>
    <xf numFmtId="41" fontId="114" fillId="0" borderId="8" xfId="3" applyFont="1" applyFill="1" applyBorder="1" applyAlignment="1">
      <alignment horizontal="center" vertical="center" wrapText="1"/>
    </xf>
    <xf numFmtId="41" fontId="106" fillId="0" borderId="14" xfId="0" applyNumberFormat="1" applyFont="1" applyFill="1" applyBorder="1" applyAlignment="1">
      <alignment horizontal="center" vertical="center" wrapText="1"/>
    </xf>
    <xf numFmtId="0" fontId="138" fillId="0" borderId="1" xfId="0" applyNumberFormat="1" applyFont="1" applyFill="1" applyBorder="1" applyAlignment="1">
      <alignment horizontal="left" vertical="center" wrapText="1"/>
    </xf>
    <xf numFmtId="41" fontId="12" fillId="0" borderId="1" xfId="3" applyNumberFormat="1" applyFont="1" applyFill="1" applyBorder="1" applyAlignment="1">
      <alignment horizontal="center" vertical="center" wrapText="1"/>
    </xf>
    <xf numFmtId="41" fontId="12" fillId="0" borderId="1" xfId="3" applyNumberFormat="1" applyFont="1" applyFill="1" applyBorder="1" applyAlignment="1">
      <alignment horizontal="center" vertical="center" wrapText="1"/>
    </xf>
    <xf numFmtId="0" fontId="114" fillId="0" borderId="1" xfId="1" applyNumberFormat="1" applyFont="1" applyFill="1" applyBorder="1" applyAlignment="1">
      <alignment horizontal="right" vertical="center" wrapText="1"/>
    </xf>
    <xf numFmtId="43" fontId="114" fillId="0" borderId="1" xfId="1" applyNumberFormat="1" applyFont="1" applyFill="1" applyBorder="1" applyAlignment="1">
      <alignment horizontal="right" vertical="center" wrapText="1"/>
    </xf>
    <xf numFmtId="210" fontId="139" fillId="0" borderId="69" xfId="0" applyNumberFormat="1" applyFont="1" applyBorder="1" applyAlignment="1">
      <alignment horizontal="right" vertical="center" wrapText="1"/>
    </xf>
    <xf numFmtId="210" fontId="139" fillId="0" borderId="68" xfId="0" applyNumberFormat="1" applyFont="1" applyBorder="1" applyAlignment="1">
      <alignment horizontal="right" vertical="center" wrapText="1"/>
    </xf>
    <xf numFmtId="211" fontId="139" fillId="0" borderId="69" xfId="0" applyNumberFormat="1" applyFont="1" applyBorder="1" applyAlignment="1">
      <alignment horizontal="right" vertical="center" wrapText="1"/>
    </xf>
    <xf numFmtId="211" fontId="139" fillId="0" borderId="68" xfId="0" applyNumberFormat="1" applyFont="1" applyBorder="1" applyAlignment="1">
      <alignment horizontal="right" vertical="center" wrapText="1"/>
    </xf>
    <xf numFmtId="3" fontId="139" fillId="0" borderId="69" xfId="0" applyNumberFormat="1" applyFont="1" applyBorder="1" applyAlignment="1">
      <alignment horizontal="right" vertical="center" wrapText="1"/>
    </xf>
    <xf numFmtId="3" fontId="139" fillId="0" borderId="68" xfId="0" applyNumberFormat="1" applyFont="1" applyBorder="1" applyAlignment="1">
      <alignment horizontal="right" vertical="center" wrapText="1"/>
    </xf>
    <xf numFmtId="210" fontId="139" fillId="0" borderId="89" xfId="0" applyNumberFormat="1" applyFont="1" applyBorder="1" applyAlignment="1">
      <alignment horizontal="right" vertical="center" wrapText="1"/>
    </xf>
    <xf numFmtId="49" fontId="12" fillId="4" borderId="21" xfId="3" applyNumberFormat="1" applyFont="1" applyFill="1" applyBorder="1" applyAlignment="1">
      <alignment horizontal="center" vertical="center" shrinkToFit="1"/>
    </xf>
    <xf numFmtId="41" fontId="114" fillId="0" borderId="21" xfId="3" applyNumberFormat="1" applyFont="1" applyFill="1" applyBorder="1" applyAlignment="1">
      <alignment horizontal="center" vertical="center" wrapText="1"/>
    </xf>
    <xf numFmtId="210" fontId="139" fillId="0" borderId="1" xfId="0" applyNumberFormat="1" applyFont="1" applyBorder="1" applyAlignment="1">
      <alignment horizontal="right" vertical="center" wrapText="1"/>
    </xf>
    <xf numFmtId="41" fontId="12" fillId="0" borderId="31" xfId="0" applyNumberFormat="1" applyFont="1" applyFill="1" applyBorder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41" fontId="25" fillId="9" borderId="1" xfId="0" applyNumberFormat="1" applyFont="1" applyFill="1" applyBorder="1" applyAlignment="1">
      <alignment horizontal="center" vertical="center" shrinkToFit="1"/>
    </xf>
    <xf numFmtId="189" fontId="25" fillId="9" borderId="1" xfId="0" applyNumberFormat="1" applyFont="1" applyFill="1" applyBorder="1" applyAlignment="1">
      <alignment horizontal="center" vertical="center" wrapText="1"/>
    </xf>
    <xf numFmtId="41" fontId="25" fillId="0" borderId="54" xfId="3" applyNumberFormat="1" applyFont="1" applyFill="1" applyBorder="1" applyAlignment="1">
      <alignment horizontal="center" vertical="center" wrapText="1"/>
    </xf>
    <xf numFmtId="189" fontId="97" fillId="9" borderId="1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89" fontId="24" fillId="0" borderId="1" xfId="0" applyNumberFormat="1" applyFont="1" applyFill="1" applyBorder="1" applyAlignment="1">
      <alignment horizontal="center" vertical="center" wrapText="1"/>
    </xf>
    <xf numFmtId="189" fontId="24" fillId="0" borderId="7" xfId="0" applyNumberFormat="1" applyFont="1" applyFill="1" applyBorder="1" applyAlignment="1">
      <alignment horizontal="center" vertical="center" wrapText="1"/>
    </xf>
    <xf numFmtId="41" fontId="24" fillId="0" borderId="10" xfId="0" applyNumberFormat="1" applyFont="1" applyFill="1" applyBorder="1" applyAlignment="1">
      <alignment horizontal="center" vertical="center" wrapText="1"/>
    </xf>
    <xf numFmtId="41" fontId="24" fillId="0" borderId="1" xfId="0" applyNumberFormat="1" applyFont="1" applyFill="1" applyBorder="1" applyAlignment="1">
      <alignment horizontal="center" vertical="center" wrapText="1"/>
    </xf>
    <xf numFmtId="41" fontId="24" fillId="0" borderId="7" xfId="0" applyNumberFormat="1" applyFont="1" applyFill="1" applyBorder="1" applyAlignment="1">
      <alignment horizontal="center" vertical="center" wrapText="1"/>
    </xf>
    <xf numFmtId="0" fontId="24" fillId="0" borderId="10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left" vertical="center" wrapText="1" indent="1"/>
    </xf>
    <xf numFmtId="0" fontId="67" fillId="0" borderId="9" xfId="0" applyNumberFormat="1" applyFont="1" applyFill="1" applyBorder="1" applyAlignment="1">
      <alignment horizontal="center" vertical="center" wrapText="1"/>
    </xf>
    <xf numFmtId="0" fontId="67" fillId="0" borderId="4" xfId="0" applyNumberFormat="1" applyFont="1" applyFill="1" applyBorder="1" applyAlignment="1">
      <alignment horizontal="center" vertical="center" wrapText="1"/>
    </xf>
    <xf numFmtId="0" fontId="67" fillId="0" borderId="6" xfId="0" applyNumberFormat="1" applyFont="1" applyFill="1" applyBorder="1" applyAlignment="1">
      <alignment horizontal="center" vertical="center" wrapText="1"/>
    </xf>
    <xf numFmtId="0" fontId="67" fillId="4" borderId="10" xfId="0" applyNumberFormat="1" applyFont="1" applyFill="1" applyBorder="1" applyAlignment="1">
      <alignment horizontal="center" vertical="center" wrapText="1"/>
    </xf>
    <xf numFmtId="0" fontId="67" fillId="4" borderId="1" xfId="0" applyNumberFormat="1" applyFont="1" applyFill="1" applyBorder="1" applyAlignment="1">
      <alignment horizontal="center" vertical="center" wrapText="1"/>
    </xf>
    <xf numFmtId="0" fontId="67" fillId="4" borderId="7" xfId="0" applyNumberFormat="1" applyFont="1" applyFill="1" applyBorder="1" applyAlignment="1">
      <alignment horizontal="center" vertical="center" wrapText="1"/>
    </xf>
    <xf numFmtId="0" fontId="24" fillId="4" borderId="10" xfId="0" applyNumberFormat="1" applyFont="1" applyFill="1" applyBorder="1" applyAlignment="1">
      <alignment horizontal="center" vertical="center" wrapText="1"/>
    </xf>
    <xf numFmtId="0" fontId="24" fillId="4" borderId="1" xfId="0" applyNumberFormat="1" applyFont="1" applyFill="1" applyBorder="1" applyAlignment="1">
      <alignment horizontal="center" vertical="center" wrapText="1"/>
    </xf>
    <xf numFmtId="189" fontId="67" fillId="0" borderId="10" xfId="0" applyNumberFormat="1" applyFont="1" applyFill="1" applyBorder="1" applyAlignment="1">
      <alignment horizontal="center" vertical="center" wrapText="1"/>
    </xf>
    <xf numFmtId="189" fontId="67" fillId="0" borderId="1" xfId="0" applyNumberFormat="1" applyFont="1" applyFill="1" applyBorder="1" applyAlignment="1">
      <alignment horizontal="center" vertical="center" wrapText="1"/>
    </xf>
    <xf numFmtId="189" fontId="67" fillId="0" borderId="7" xfId="0" applyNumberFormat="1" applyFont="1" applyFill="1" applyBorder="1" applyAlignment="1">
      <alignment horizontal="center" vertical="center" wrapText="1"/>
    </xf>
    <xf numFmtId="0" fontId="25" fillId="4" borderId="10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80" fillId="0" borderId="0" xfId="0" applyFont="1" applyFill="1" applyAlignment="1">
      <alignment horizontal="left" vertical="center" wrapText="1" indent="1"/>
    </xf>
    <xf numFmtId="0" fontId="72" fillId="0" borderId="0" xfId="0" applyFont="1" applyFill="1" applyAlignment="1">
      <alignment horizontal="left" vertical="center" wrapText="1" indent="1"/>
    </xf>
    <xf numFmtId="0" fontId="29" fillId="0" borderId="10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49" fontId="29" fillId="0" borderId="3" xfId="0" applyNumberFormat="1" applyFont="1" applyFill="1" applyBorder="1" applyAlignment="1">
      <alignment horizontal="center" vertical="center" wrapText="1"/>
    </xf>
    <xf numFmtId="49" fontId="29" fillId="0" borderId="30" xfId="0" applyNumberFormat="1" applyFont="1" applyFill="1" applyBorder="1" applyAlignment="1">
      <alignment horizontal="center" vertical="center" wrapText="1"/>
    </xf>
    <xf numFmtId="49" fontId="29" fillId="0" borderId="1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29" fillId="0" borderId="50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29" fillId="0" borderId="87" xfId="0" applyFont="1" applyFill="1" applyBorder="1" applyAlignment="1">
      <alignment horizontal="center" vertical="center" wrapText="1"/>
    </xf>
    <xf numFmtId="0" fontId="29" fillId="0" borderId="32" xfId="0" applyFont="1" applyFill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8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4" fillId="0" borderId="45" xfId="0" applyFont="1" applyFill="1" applyBorder="1" applyAlignment="1">
      <alignment horizontal="center" vertical="center" wrapText="1"/>
    </xf>
    <xf numFmtId="0" fontId="24" fillId="0" borderId="56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horizontal="left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30" xfId="0" applyFont="1" applyFill="1" applyBorder="1" applyAlignment="1">
      <alignment horizontal="center" vertical="center" wrapText="1"/>
    </xf>
    <xf numFmtId="0" fontId="72" fillId="0" borderId="0" xfId="0" applyFont="1" applyFill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75" fillId="4" borderId="4" xfId="0" applyNumberFormat="1" applyFont="1" applyFill="1" applyBorder="1" applyAlignment="1">
      <alignment horizontal="center" vertical="center" wrapText="1"/>
    </xf>
    <xf numFmtId="0" fontId="75" fillId="4" borderId="1" xfId="0" applyNumberFormat="1" applyFont="1" applyFill="1" applyBorder="1" applyAlignment="1">
      <alignment horizontal="center" vertical="center" wrapText="1"/>
    </xf>
    <xf numFmtId="0" fontId="75" fillId="4" borderId="6" xfId="0" applyNumberFormat="1" applyFont="1" applyFill="1" applyBorder="1" applyAlignment="1">
      <alignment horizontal="center" vertical="center" wrapText="1"/>
    </xf>
    <xf numFmtId="0" fontId="75" fillId="4" borderId="7" xfId="0" applyNumberFormat="1" applyFont="1" applyFill="1" applyBorder="1" applyAlignment="1">
      <alignment horizontal="center" vertical="center" wrapText="1"/>
    </xf>
    <xf numFmtId="0" fontId="24" fillId="0" borderId="37" xfId="0" applyNumberFormat="1" applyFont="1" applyBorder="1" applyAlignment="1">
      <alignment horizontal="center" vertical="center" wrapText="1"/>
    </xf>
    <xf numFmtId="0" fontId="24" fillId="0" borderId="16" xfId="0" applyNumberFormat="1" applyFont="1" applyBorder="1" applyAlignment="1">
      <alignment horizontal="center" vertical="center" wrapText="1"/>
    </xf>
    <xf numFmtId="0" fontId="24" fillId="0" borderId="11" xfId="0" applyNumberFormat="1" applyFont="1" applyBorder="1" applyAlignment="1">
      <alignment horizontal="center" vertical="center" wrapText="1"/>
    </xf>
    <xf numFmtId="0" fontId="24" fillId="0" borderId="5" xfId="0" applyNumberFormat="1" applyFont="1" applyBorder="1" applyAlignment="1">
      <alignment horizontal="center" vertical="center" wrapText="1"/>
    </xf>
    <xf numFmtId="0" fontId="24" fillId="0" borderId="9" xfId="0" applyNumberFormat="1" applyFont="1" applyBorder="1" applyAlignment="1">
      <alignment horizontal="center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0" fontId="24" fillId="0" borderId="4" xfId="0" applyNumberFormat="1" applyFont="1" applyBorder="1" applyAlignment="1">
      <alignment horizontal="center" vertical="center" wrapText="1"/>
    </xf>
    <xf numFmtId="0" fontId="0" fillId="0" borderId="1" xfId="0" applyBorder="1"/>
    <xf numFmtId="0" fontId="67" fillId="0" borderId="10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left" vertical="center" wrapText="1"/>
    </xf>
    <xf numFmtId="0" fontId="67" fillId="0" borderId="9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0" fontId="67" fillId="0" borderId="4" xfId="0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97" fillId="4" borderId="1" xfId="0" applyNumberFormat="1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left" vertical="center" wrapText="1" inden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left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67" fillId="0" borderId="5" xfId="0" applyFont="1" applyFill="1" applyBorder="1" applyAlignment="1">
      <alignment horizontal="center" vertical="center" wrapText="1"/>
    </xf>
    <xf numFmtId="0" fontId="67" fillId="0" borderId="15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67" fillId="0" borderId="29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 wrapText="1"/>
    </xf>
    <xf numFmtId="0" fontId="67" fillId="0" borderId="39" xfId="0" applyFont="1" applyFill="1" applyBorder="1" applyAlignment="1">
      <alignment horizontal="center" vertical="center" wrapText="1"/>
    </xf>
    <xf numFmtId="0" fontId="67" fillId="0" borderId="36" xfId="0" applyFont="1" applyFill="1" applyBorder="1" applyAlignment="1">
      <alignment horizontal="center" vertical="center" wrapText="1"/>
    </xf>
    <xf numFmtId="0" fontId="67" fillId="0" borderId="59" xfId="0" applyFont="1" applyFill="1" applyBorder="1" applyAlignment="1">
      <alignment horizontal="center" vertical="center" wrapText="1"/>
    </xf>
    <xf numFmtId="0" fontId="97" fillId="0" borderId="14" xfId="0" applyFont="1" applyFill="1" applyBorder="1" applyAlignment="1">
      <alignment horizontal="center" vertical="center" wrapText="1"/>
    </xf>
    <xf numFmtId="0" fontId="97" fillId="0" borderId="29" xfId="0" applyFont="1" applyFill="1" applyBorder="1" applyAlignment="1">
      <alignment horizontal="center" vertical="center" wrapText="1"/>
    </xf>
    <xf numFmtId="0" fontId="97" fillId="0" borderId="2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67" fillId="0" borderId="37" xfId="0" applyFont="1" applyFill="1" applyBorder="1" applyAlignment="1">
      <alignment horizontal="center" vertical="center" wrapText="1"/>
    </xf>
    <xf numFmtId="0" fontId="115" fillId="0" borderId="14" xfId="0" applyFont="1" applyFill="1" applyBorder="1" applyAlignment="1">
      <alignment horizontal="center" vertical="center" wrapText="1"/>
    </xf>
    <xf numFmtId="0" fontId="115" fillId="0" borderId="29" xfId="0" applyFont="1" applyFill="1" applyBorder="1" applyAlignment="1">
      <alignment horizontal="center" vertical="center" wrapText="1"/>
    </xf>
    <xf numFmtId="0" fontId="115" fillId="0" borderId="21" xfId="0" applyFont="1" applyFill="1" applyBorder="1" applyAlignment="1">
      <alignment horizontal="center" vertical="center" wrapText="1"/>
    </xf>
    <xf numFmtId="0" fontId="140" fillId="0" borderId="2" xfId="0" applyFont="1" applyFill="1" applyBorder="1" applyAlignment="1">
      <alignment horizontal="center" vertical="center" wrapText="1"/>
    </xf>
    <xf numFmtId="0" fontId="140" fillId="0" borderId="29" xfId="0" applyFont="1" applyFill="1" applyBorder="1" applyAlignment="1">
      <alignment horizontal="center" vertical="center" wrapText="1"/>
    </xf>
    <xf numFmtId="0" fontId="140" fillId="0" borderId="21" xfId="0" applyFont="1" applyFill="1" applyBorder="1" applyAlignment="1">
      <alignment horizontal="center" vertical="center" wrapText="1"/>
    </xf>
    <xf numFmtId="0" fontId="67" fillId="0" borderId="40" xfId="0" applyFont="1" applyFill="1" applyBorder="1" applyAlignment="1">
      <alignment horizontal="center" vertical="center" wrapText="1"/>
    </xf>
    <xf numFmtId="0" fontId="67" fillId="0" borderId="35" xfId="0" applyFont="1" applyFill="1" applyBorder="1" applyAlignment="1">
      <alignment horizontal="center" vertical="center" wrapText="1"/>
    </xf>
    <xf numFmtId="0" fontId="67" fillId="0" borderId="9" xfId="0" applyFont="1" applyFill="1" applyBorder="1" applyAlignment="1">
      <alignment horizontal="center" vertical="center" wrapText="1"/>
    </xf>
    <xf numFmtId="0" fontId="67" fillId="0" borderId="12" xfId="0" applyFont="1" applyFill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 wrapText="1"/>
    </xf>
    <xf numFmtId="0" fontId="97" fillId="0" borderId="39" xfId="0" applyFont="1" applyFill="1" applyBorder="1" applyAlignment="1">
      <alignment horizontal="center" vertical="center" wrapText="1"/>
    </xf>
    <xf numFmtId="0" fontId="97" fillId="0" borderId="37" xfId="0" applyFont="1" applyFill="1" applyBorder="1" applyAlignment="1">
      <alignment horizontal="center" vertical="center" wrapText="1"/>
    </xf>
    <xf numFmtId="0" fontId="104" fillId="0" borderId="1" xfId="0" applyFont="1" applyBorder="1"/>
    <xf numFmtId="0" fontId="97" fillId="0" borderId="15" xfId="0" applyFont="1" applyFill="1" applyBorder="1" applyAlignment="1">
      <alignment horizontal="center" vertical="center" wrapText="1"/>
    </xf>
    <xf numFmtId="0" fontId="97" fillId="0" borderId="22" xfId="0" applyFont="1" applyFill="1" applyBorder="1" applyAlignment="1">
      <alignment horizontal="center" vertical="center" wrapText="1"/>
    </xf>
    <xf numFmtId="0" fontId="97" fillId="0" borderId="36" xfId="0" applyFont="1" applyFill="1" applyBorder="1" applyAlignment="1">
      <alignment horizontal="center" vertical="center" wrapText="1"/>
    </xf>
    <xf numFmtId="0" fontId="97" fillId="0" borderId="35" xfId="0" applyFont="1" applyFill="1" applyBorder="1" applyAlignment="1">
      <alignment horizontal="center" vertical="center" wrapText="1"/>
    </xf>
    <xf numFmtId="0" fontId="97" fillId="0" borderId="73" xfId="0" applyFont="1" applyFill="1" applyBorder="1" applyAlignment="1">
      <alignment horizontal="center" vertical="center" wrapText="1"/>
    </xf>
    <xf numFmtId="0" fontId="97" fillId="0" borderId="31" xfId="0" applyFont="1" applyFill="1" applyBorder="1" applyAlignment="1">
      <alignment horizontal="center" vertical="center" wrapText="1"/>
    </xf>
    <xf numFmtId="0" fontId="97" fillId="0" borderId="58" xfId="0" applyFont="1" applyFill="1" applyBorder="1" applyAlignment="1">
      <alignment horizontal="center" vertical="center" wrapText="1"/>
    </xf>
    <xf numFmtId="0" fontId="97" fillId="0" borderId="40" xfId="0" applyFont="1" applyFill="1" applyBorder="1" applyAlignment="1">
      <alignment horizontal="center" vertical="center" wrapText="1"/>
    </xf>
    <xf numFmtId="0" fontId="97" fillId="0" borderId="55" xfId="0" applyFont="1" applyFill="1" applyBorder="1" applyAlignment="1">
      <alignment horizontal="center" vertical="center" wrapText="1"/>
    </xf>
    <xf numFmtId="0" fontId="97" fillId="0" borderId="11" xfId="0" applyFont="1" applyFill="1" applyBorder="1" applyAlignment="1">
      <alignment horizontal="center" vertical="center" wrapText="1"/>
    </xf>
    <xf numFmtId="0" fontId="97" fillId="0" borderId="10" xfId="0" applyFont="1" applyFill="1" applyBorder="1" applyAlignment="1">
      <alignment horizontal="center" vertical="center" wrapText="1"/>
    </xf>
    <xf numFmtId="0" fontId="97" fillId="0" borderId="16" xfId="0" applyFont="1" applyFill="1" applyBorder="1" applyAlignment="1">
      <alignment horizontal="center" vertical="center" wrapText="1"/>
    </xf>
    <xf numFmtId="0" fontId="97" fillId="0" borderId="3" xfId="0" applyFont="1" applyFill="1" applyBorder="1" applyAlignment="1">
      <alignment horizontal="center" vertical="center" wrapText="1"/>
    </xf>
    <xf numFmtId="0" fontId="97" fillId="0" borderId="30" xfId="0" applyFont="1" applyFill="1" applyBorder="1" applyAlignment="1">
      <alignment horizontal="center" vertical="center" wrapText="1"/>
    </xf>
    <xf numFmtId="41" fontId="68" fillId="0" borderId="1" xfId="3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shrinkToFit="1"/>
    </xf>
    <xf numFmtId="0" fontId="25" fillId="0" borderId="30" xfId="0" applyFont="1" applyFill="1" applyBorder="1" applyAlignment="1">
      <alignment horizontal="center" vertical="center" shrinkToFit="1"/>
    </xf>
    <xf numFmtId="0" fontId="25" fillId="0" borderId="34" xfId="0" applyFont="1" applyFill="1" applyBorder="1" applyAlignment="1">
      <alignment horizontal="center" vertical="center" shrinkToFit="1"/>
    </xf>
    <xf numFmtId="41" fontId="68" fillId="9" borderId="1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9" fontId="68" fillId="0" borderId="1" xfId="0" applyNumberFormat="1" applyFont="1" applyFill="1" applyBorder="1" applyAlignment="1">
      <alignment horizontal="center" vertical="center" wrapText="1"/>
    </xf>
    <xf numFmtId="0" fontId="113" fillId="0" borderId="10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center" wrapText="1"/>
    </xf>
    <xf numFmtId="0" fontId="113" fillId="0" borderId="16" xfId="0" applyFont="1" applyBorder="1" applyAlignment="1">
      <alignment horizontal="center" vertical="center" wrapText="1"/>
    </xf>
    <xf numFmtId="0" fontId="113" fillId="0" borderId="5" xfId="0" applyFont="1" applyBorder="1" applyAlignment="1">
      <alignment horizontal="center" vertical="center" wrapText="1"/>
    </xf>
    <xf numFmtId="0" fontId="113" fillId="0" borderId="8" xfId="0" applyFont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41" fontId="106" fillId="0" borderId="39" xfId="0" applyNumberFormat="1" applyFont="1" applyFill="1" applyBorder="1" applyAlignment="1">
      <alignment horizontal="center" vertical="center" wrapText="1"/>
    </xf>
    <xf numFmtId="41" fontId="106" fillId="0" borderId="14" xfId="0" applyNumberFormat="1" applyFont="1" applyFill="1" applyBorder="1" applyAlignment="1">
      <alignment horizontal="center" vertical="center" wrapText="1"/>
    </xf>
    <xf numFmtId="41" fontId="106" fillId="0" borderId="36" xfId="0" applyNumberFormat="1" applyFont="1" applyFill="1" applyBorder="1" applyAlignment="1">
      <alignment horizontal="center" vertical="center" wrapText="1"/>
    </xf>
    <xf numFmtId="41" fontId="106" fillId="0" borderId="37" xfId="0" applyNumberFormat="1" applyFont="1" applyFill="1" applyBorder="1" applyAlignment="1">
      <alignment horizontal="center" vertical="center" wrapText="1"/>
    </xf>
    <xf numFmtId="41" fontId="106" fillId="0" borderId="2" xfId="0" applyNumberFormat="1" applyFont="1" applyFill="1" applyBorder="1" applyAlignment="1">
      <alignment horizontal="center" vertical="center" wrapText="1"/>
    </xf>
    <xf numFmtId="41" fontId="106" fillId="0" borderId="21" xfId="0" applyNumberFormat="1" applyFont="1" applyFill="1" applyBorder="1" applyAlignment="1">
      <alignment horizontal="center" vertical="center" wrapText="1"/>
    </xf>
    <xf numFmtId="0" fontId="106" fillId="0" borderId="45" xfId="0" applyFont="1" applyBorder="1" applyAlignment="1">
      <alignment horizontal="center" vertical="center" wrapText="1"/>
    </xf>
    <xf numFmtId="0" fontId="106" fillId="0" borderId="22" xfId="0" applyFont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14" fillId="0" borderId="2" xfId="0" applyFont="1" applyBorder="1" applyAlignment="1">
      <alignment horizontal="center" vertical="center" wrapText="1"/>
    </xf>
    <xf numFmtId="0" fontId="114" fillId="0" borderId="21" xfId="0" applyFont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189" fontId="12" fillId="0" borderId="10" xfId="0" applyNumberFormat="1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06" fillId="0" borderId="2" xfId="0" applyFont="1" applyBorder="1" applyAlignment="1">
      <alignment horizontal="center" vertical="center" wrapText="1"/>
    </xf>
    <xf numFmtId="0" fontId="106" fillId="0" borderId="21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69" fillId="0" borderId="10" xfId="0" applyFont="1" applyFill="1" applyBorder="1" applyAlignment="1">
      <alignment horizontal="center" vertical="center" wrapText="1"/>
    </xf>
    <xf numFmtId="0" fontId="69" fillId="0" borderId="14" xfId="0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12" fillId="0" borderId="30" xfId="0" applyNumberFormat="1" applyFont="1" applyFill="1" applyBorder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wrapText="1"/>
    </xf>
    <xf numFmtId="49" fontId="12" fillId="0" borderId="14" xfId="0" applyNumberFormat="1" applyFont="1" applyFill="1" applyBorder="1" applyAlignment="1">
      <alignment horizontal="center" vertical="center" wrapText="1"/>
    </xf>
    <xf numFmtId="41" fontId="12" fillId="0" borderId="39" xfId="0" applyNumberFormat="1" applyFont="1" applyFill="1" applyBorder="1" applyAlignment="1">
      <alignment horizontal="center" vertical="center" wrapText="1"/>
    </xf>
    <xf numFmtId="41" fontId="12" fillId="0" borderId="14" xfId="0" applyNumberFormat="1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188" fontId="12" fillId="0" borderId="2" xfId="0" applyNumberFormat="1" applyFont="1" applyFill="1" applyBorder="1" applyAlignment="1">
      <alignment horizontal="center" vertical="center" wrapText="1"/>
    </xf>
    <xf numFmtId="188" fontId="12" fillId="0" borderId="29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shrinkToFit="1"/>
    </xf>
    <xf numFmtId="49" fontId="12" fillId="0" borderId="29" xfId="0" applyNumberFormat="1" applyFont="1" applyFill="1" applyBorder="1" applyAlignment="1">
      <alignment horizontal="center" vertical="center" shrinkToFi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12" fillId="0" borderId="29" xfId="0" applyNumberFormat="1" applyFont="1" applyFill="1" applyBorder="1" applyAlignment="1">
      <alignment horizontal="center" vertical="center" wrapText="1"/>
    </xf>
    <xf numFmtId="41" fontId="12" fillId="0" borderId="36" xfId="0" applyNumberFormat="1" applyFont="1" applyFill="1" applyBorder="1" applyAlignment="1">
      <alignment horizontal="center" vertical="center" wrapText="1"/>
    </xf>
    <xf numFmtId="41" fontId="12" fillId="0" borderId="37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41" fontId="12" fillId="0" borderId="1" xfId="0" applyNumberFormat="1" applyFont="1" applyFill="1" applyBorder="1" applyAlignment="1">
      <alignment horizontal="center" vertical="center" wrapText="1"/>
    </xf>
    <xf numFmtId="41" fontId="12" fillId="0" borderId="1" xfId="3" applyNumberFormat="1" applyFont="1" applyFill="1" applyBorder="1" applyAlignment="1">
      <alignment horizontal="center" vertical="center" wrapText="1"/>
    </xf>
    <xf numFmtId="189" fontId="42" fillId="0" borderId="1" xfId="3" applyNumberFormat="1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wrapText="1"/>
    </xf>
    <xf numFmtId="189" fontId="12" fillId="0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189" fontId="12" fillId="0" borderId="2" xfId="0" applyNumberFormat="1" applyFont="1" applyFill="1" applyBorder="1" applyAlignment="1">
      <alignment horizontal="center" vertical="center" wrapText="1"/>
    </xf>
    <xf numFmtId="189" fontId="12" fillId="0" borderId="29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center" vertical="center" wrapText="1"/>
    </xf>
    <xf numFmtId="188" fontId="42" fillId="0" borderId="14" xfId="3" applyNumberFormat="1" applyFont="1" applyFill="1" applyBorder="1" applyAlignment="1">
      <alignment horizontal="right" vertical="center" wrapText="1" shrinkToFit="1"/>
    </xf>
    <xf numFmtId="188" fontId="42" fillId="0" borderId="21" xfId="3" applyNumberFormat="1" applyFont="1" applyFill="1" applyBorder="1" applyAlignment="1">
      <alignment horizontal="right" vertical="center" wrapText="1" shrinkToFit="1"/>
    </xf>
    <xf numFmtId="189" fontId="12" fillId="0" borderId="1" xfId="0" applyNumberFormat="1" applyFont="1" applyFill="1" applyBorder="1" applyAlignment="1">
      <alignment horizontal="right" vertical="center" wrapText="1"/>
    </xf>
    <xf numFmtId="189" fontId="42" fillId="0" borderId="1" xfId="3" applyNumberFormat="1" applyFont="1" applyFill="1" applyBorder="1" applyAlignment="1">
      <alignment horizontal="right" vertical="center" shrinkToFit="1"/>
    </xf>
    <xf numFmtId="0" fontId="68" fillId="0" borderId="9" xfId="0" applyFont="1" applyBorder="1" applyAlignment="1">
      <alignment horizontal="center" vertical="center"/>
    </xf>
    <xf numFmtId="0" fontId="68" fillId="0" borderId="60" xfId="0" applyFont="1" applyBorder="1" applyAlignment="1">
      <alignment horizontal="center" vertical="center"/>
    </xf>
    <xf numFmtId="0" fontId="68" fillId="0" borderId="4" xfId="0" applyFont="1" applyBorder="1" applyAlignment="1">
      <alignment horizontal="center" vertical="center"/>
    </xf>
    <xf numFmtId="0" fontId="68" fillId="0" borderId="61" xfId="0" applyFont="1" applyBorder="1" applyAlignment="1">
      <alignment horizontal="center" vertical="center"/>
    </xf>
    <xf numFmtId="0" fontId="68" fillId="0" borderId="6" xfId="0" applyFont="1" applyBorder="1" applyAlignment="1">
      <alignment horizontal="center" vertical="center"/>
    </xf>
    <xf numFmtId="0" fontId="68" fillId="0" borderId="63" xfId="0" applyFont="1" applyBorder="1" applyAlignment="1">
      <alignment horizontal="center" vertical="center"/>
    </xf>
    <xf numFmtId="0" fontId="68" fillId="0" borderId="64" xfId="0" applyFont="1" applyBorder="1" applyAlignment="1">
      <alignment horizontal="center" vertical="center"/>
    </xf>
    <xf numFmtId="0" fontId="68" fillId="0" borderId="62" xfId="0" applyFont="1" applyBorder="1" applyAlignment="1">
      <alignment horizontal="center" vertical="center"/>
    </xf>
    <xf numFmtId="0" fontId="68" fillId="0" borderId="3" xfId="0" applyFont="1" applyBorder="1" applyAlignment="1">
      <alignment horizontal="center" vertical="center"/>
    </xf>
    <xf numFmtId="0" fontId="68" fillId="0" borderId="30" xfId="0" applyFont="1" applyBorder="1" applyAlignment="1">
      <alignment horizontal="center" vertical="center"/>
    </xf>
    <xf numFmtId="0" fontId="68" fillId="0" borderId="34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0" fontId="68" fillId="0" borderId="14" xfId="0" applyFont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68" fillId="0" borderId="3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4" fillId="0" borderId="59" xfId="0" applyFont="1" applyBorder="1" applyAlignment="1">
      <alignment horizontal="center" vertical="center" wrapText="1"/>
    </xf>
    <xf numFmtId="41" fontId="24" fillId="0" borderId="10" xfId="0" applyNumberFormat="1" applyFont="1" applyBorder="1" applyAlignment="1">
      <alignment horizontal="center" vertical="center" wrapText="1"/>
    </xf>
    <xf numFmtId="41" fontId="24" fillId="0" borderId="14" xfId="0" applyNumberFormat="1" applyFont="1" applyBorder="1" applyAlignment="1">
      <alignment horizontal="center" vertical="center" wrapText="1"/>
    </xf>
    <xf numFmtId="0" fontId="24" fillId="0" borderId="10" xfId="0" quotePrefix="1" applyFont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5" xfId="0" applyFont="1" applyFill="1" applyBorder="1" applyAlignment="1">
      <alignment horizontal="center" vertical="center" wrapText="1"/>
    </xf>
    <xf numFmtId="41" fontId="107" fillId="0" borderId="0" xfId="9" applyNumberFormat="1" applyFont="1" applyFill="1" applyAlignment="1">
      <alignment horizontal="left" vertical="center" wrapText="1" indent="1"/>
    </xf>
    <xf numFmtId="41" fontId="89" fillId="0" borderId="9" xfId="9" applyNumberFormat="1" applyFont="1" applyBorder="1" applyAlignment="1">
      <alignment horizontal="center" vertical="center" wrapText="1"/>
    </xf>
    <xf numFmtId="41" fontId="89" fillId="0" borderId="30" xfId="9" applyNumberFormat="1" applyFont="1" applyBorder="1" applyAlignment="1">
      <alignment horizontal="center" vertical="center" wrapText="1"/>
    </xf>
    <xf numFmtId="41" fontId="89" fillId="0" borderId="12" xfId="9" applyNumberFormat="1" applyFont="1" applyBorder="1" applyAlignment="1">
      <alignment horizontal="center" vertical="center" wrapText="1"/>
    </xf>
    <xf numFmtId="41" fontId="89" fillId="16" borderId="2" xfId="9" applyNumberFormat="1" applyFont="1" applyFill="1" applyBorder="1" applyAlignment="1">
      <alignment horizontal="center" vertical="center" wrapText="1"/>
    </xf>
    <xf numFmtId="41" fontId="89" fillId="16" borderId="29" xfId="9" applyNumberFormat="1" applyFont="1" applyFill="1" applyBorder="1" applyAlignment="1">
      <alignment horizontal="center" vertical="center" wrapText="1"/>
    </xf>
    <xf numFmtId="41" fontId="89" fillId="16" borderId="21" xfId="9" applyNumberFormat="1" applyFont="1" applyFill="1" applyBorder="1" applyAlignment="1">
      <alignment horizontal="center" vertical="center" wrapText="1"/>
    </xf>
    <xf numFmtId="41" fontId="90" fillId="14" borderId="50" xfId="9" applyNumberFormat="1" applyFont="1" applyFill="1" applyBorder="1" applyAlignment="1">
      <alignment horizontal="center" vertical="center" wrapText="1"/>
    </xf>
    <xf numFmtId="41" fontId="90" fillId="17" borderId="50" xfId="9" applyNumberFormat="1" applyFont="1" applyFill="1" applyBorder="1" applyAlignment="1">
      <alignment horizontal="center" vertical="center" wrapText="1"/>
    </xf>
    <xf numFmtId="41" fontId="90" fillId="17" borderId="53" xfId="9" applyNumberFormat="1" applyFont="1" applyFill="1" applyBorder="1" applyAlignment="1">
      <alignment horizontal="center" vertical="center" wrapText="1"/>
    </xf>
    <xf numFmtId="41" fontId="89" fillId="14" borderId="29" xfId="9" applyNumberFormat="1" applyFont="1" applyFill="1" applyBorder="1" applyAlignment="1">
      <alignment horizontal="center" vertical="center" wrapText="1"/>
    </xf>
    <xf numFmtId="41" fontId="89" fillId="14" borderId="21" xfId="9" applyNumberFormat="1" applyFont="1" applyFill="1" applyBorder="1" applyAlignment="1">
      <alignment horizontal="center" vertical="center" wrapText="1"/>
    </xf>
    <xf numFmtId="41" fontId="90" fillId="18" borderId="35" xfId="9" applyNumberFormat="1" applyFont="1" applyFill="1" applyBorder="1" applyAlignment="1">
      <alignment horizontal="center" vertical="center" wrapText="1"/>
    </xf>
    <xf numFmtId="41" fontId="90" fillId="18" borderId="55" xfId="9" applyNumberFormat="1" applyFont="1" applyFill="1" applyBorder="1" applyAlignment="1">
      <alignment horizontal="center" vertical="center" wrapText="1"/>
    </xf>
    <xf numFmtId="41" fontId="90" fillId="18" borderId="11" xfId="9" applyNumberFormat="1" applyFont="1" applyFill="1" applyBorder="1" applyAlignment="1">
      <alignment horizontal="center" vertical="center" wrapText="1"/>
    </xf>
    <xf numFmtId="41" fontId="90" fillId="19" borderId="35" xfId="9" applyNumberFormat="1" applyFont="1" applyFill="1" applyBorder="1" applyAlignment="1">
      <alignment horizontal="center" vertical="center" wrapText="1"/>
    </xf>
    <xf numFmtId="41" fontId="90" fillId="19" borderId="55" xfId="9" applyNumberFormat="1" applyFont="1" applyFill="1" applyBorder="1" applyAlignment="1">
      <alignment horizontal="center" vertical="center" wrapText="1"/>
    </xf>
    <xf numFmtId="41" fontId="89" fillId="14" borderId="58" xfId="9" applyNumberFormat="1" applyFont="1" applyFill="1" applyBorder="1" applyAlignment="1">
      <alignment horizontal="center" vertical="center" wrapText="1"/>
    </xf>
    <xf numFmtId="41" fontId="89" fillId="14" borderId="32" xfId="9" applyNumberFormat="1" applyFont="1" applyFill="1" applyBorder="1" applyAlignment="1">
      <alignment horizontal="center" vertical="center" wrapText="1"/>
    </xf>
    <xf numFmtId="41" fontId="89" fillId="19" borderId="71" xfId="9" applyNumberFormat="1" applyFont="1" applyFill="1" applyBorder="1" applyAlignment="1">
      <alignment horizontal="center" vertical="center" wrapText="1"/>
    </xf>
    <xf numFmtId="41" fontId="89" fillId="19" borderId="77" xfId="9" applyNumberFormat="1" applyFont="1" applyFill="1" applyBorder="1" applyAlignment="1">
      <alignment horizontal="center" vertical="center" wrapText="1"/>
    </xf>
    <xf numFmtId="41" fontId="89" fillId="19" borderId="82" xfId="9" applyNumberFormat="1" applyFont="1" applyFill="1" applyBorder="1" applyAlignment="1">
      <alignment horizontal="center" vertical="center" wrapText="1"/>
    </xf>
    <xf numFmtId="41" fontId="90" fillId="19" borderId="65" xfId="9" applyNumberFormat="1" applyFont="1" applyFill="1" applyBorder="1" applyAlignment="1">
      <alignment horizontal="center" vertical="center" wrapText="1"/>
    </xf>
    <xf numFmtId="41" fontId="89" fillId="18" borderId="29" xfId="9" applyNumberFormat="1" applyFont="1" applyFill="1" applyBorder="1" applyAlignment="1">
      <alignment horizontal="center" vertical="center" wrapText="1"/>
    </xf>
    <xf numFmtId="41" fontId="89" fillId="18" borderId="21" xfId="9" applyNumberFormat="1" applyFont="1" applyFill="1" applyBorder="1" applyAlignment="1">
      <alignment horizontal="center" vertical="center" wrapText="1"/>
    </xf>
    <xf numFmtId="41" fontId="89" fillId="15" borderId="35" xfId="9" applyNumberFormat="1" applyFont="1" applyFill="1" applyBorder="1" applyAlignment="1">
      <alignment horizontal="center" vertical="center" wrapText="1"/>
    </xf>
    <xf numFmtId="41" fontId="89" fillId="15" borderId="55" xfId="9" applyNumberFormat="1" applyFont="1" applyFill="1" applyBorder="1" applyAlignment="1">
      <alignment horizontal="center" vertical="center" wrapText="1"/>
    </xf>
    <xf numFmtId="41" fontId="89" fillId="15" borderId="11" xfId="9" applyNumberFormat="1" applyFont="1" applyFill="1" applyBorder="1" applyAlignment="1">
      <alignment horizontal="center" vertical="center" wrapText="1"/>
    </xf>
    <xf numFmtId="41" fontId="89" fillId="15" borderId="70" xfId="9" applyNumberFormat="1" applyFont="1" applyFill="1" applyBorder="1" applyAlignment="1">
      <alignment horizontal="center" vertical="center" wrapText="1"/>
    </xf>
    <xf numFmtId="41" fontId="89" fillId="15" borderId="76" xfId="9" applyNumberFormat="1" applyFont="1" applyFill="1" applyBorder="1" applyAlignment="1">
      <alignment horizontal="center" vertical="center" wrapText="1"/>
    </xf>
    <xf numFmtId="41" fontId="89" fillId="15" borderId="81" xfId="9" applyNumberFormat="1" applyFont="1" applyFill="1" applyBorder="1" applyAlignment="1">
      <alignment horizontal="center" vertical="center" wrapText="1"/>
    </xf>
    <xf numFmtId="41" fontId="89" fillId="15" borderId="71" xfId="9" applyNumberFormat="1" applyFont="1" applyFill="1" applyBorder="1" applyAlignment="1">
      <alignment horizontal="center" vertical="center" wrapText="1"/>
    </xf>
    <xf numFmtId="41" fontId="89" fillId="15" borderId="77" xfId="9" applyNumberFormat="1" applyFont="1" applyFill="1" applyBorder="1" applyAlignment="1">
      <alignment horizontal="center" vertical="center" wrapText="1"/>
    </xf>
    <xf numFmtId="41" fontId="89" fillId="15" borderId="82" xfId="9" applyNumberFormat="1" applyFont="1" applyFill="1" applyBorder="1" applyAlignment="1">
      <alignment horizontal="center" vertical="center" wrapText="1"/>
    </xf>
    <xf numFmtId="41" fontId="89" fillId="15" borderId="72" xfId="9" applyNumberFormat="1" applyFont="1" applyFill="1" applyBorder="1" applyAlignment="1">
      <alignment horizontal="center" vertical="center" wrapText="1"/>
    </xf>
    <xf numFmtId="41" fontId="89" fillId="15" borderId="78" xfId="9" applyNumberFormat="1" applyFont="1" applyFill="1" applyBorder="1" applyAlignment="1">
      <alignment horizontal="center" vertical="center" wrapText="1"/>
    </xf>
    <xf numFmtId="41" fontId="89" fillId="15" borderId="83" xfId="9" applyNumberFormat="1" applyFont="1" applyFill="1" applyBorder="1" applyAlignment="1">
      <alignment horizontal="center" vertical="center" wrapText="1"/>
    </xf>
    <xf numFmtId="41" fontId="89" fillId="19" borderId="73" xfId="9" applyNumberFormat="1" applyFont="1" applyFill="1" applyBorder="1" applyAlignment="1">
      <alignment horizontal="center" vertical="center" wrapText="1"/>
    </xf>
    <xf numFmtId="41" fontId="89" fillId="19" borderId="46" xfId="9" applyNumberFormat="1" applyFont="1" applyFill="1" applyBorder="1" applyAlignment="1">
      <alignment horizontal="center" vertical="center" wrapText="1"/>
    </xf>
    <xf numFmtId="41" fontId="89" fillId="19" borderId="74" xfId="9" applyNumberFormat="1" applyFont="1" applyFill="1" applyBorder="1" applyAlignment="1">
      <alignment horizontal="center" vertical="center" wrapText="1"/>
    </xf>
    <xf numFmtId="41" fontId="89" fillId="19" borderId="79" xfId="9" applyNumberFormat="1" applyFont="1" applyFill="1" applyBorder="1" applyAlignment="1">
      <alignment horizontal="center" vertical="center" wrapText="1"/>
    </xf>
    <xf numFmtId="41" fontId="89" fillId="19" borderId="84" xfId="9" applyNumberFormat="1" applyFont="1" applyFill="1" applyBorder="1" applyAlignment="1">
      <alignment horizontal="center" vertical="center" wrapText="1"/>
    </xf>
    <xf numFmtId="41" fontId="89" fillId="19" borderId="72" xfId="9" applyNumberFormat="1" applyFont="1" applyFill="1" applyBorder="1" applyAlignment="1">
      <alignment horizontal="center" vertical="center" wrapText="1"/>
    </xf>
    <xf numFmtId="41" fontId="89" fillId="19" borderId="78" xfId="9" applyNumberFormat="1" applyFont="1" applyFill="1" applyBorder="1" applyAlignment="1">
      <alignment horizontal="center" vertical="center" wrapText="1"/>
    </xf>
    <xf numFmtId="41" fontId="89" fillId="19" borderId="83" xfId="9" applyNumberFormat="1" applyFont="1" applyFill="1" applyBorder="1" applyAlignment="1">
      <alignment horizontal="center" vertical="center" wrapText="1"/>
    </xf>
    <xf numFmtId="41" fontId="89" fillId="15" borderId="29" xfId="9" applyNumberFormat="1" applyFont="1" applyFill="1" applyBorder="1" applyAlignment="1">
      <alignment horizontal="center" vertical="center" wrapText="1"/>
    </xf>
    <xf numFmtId="41" fontId="89" fillId="15" borderId="21" xfId="9" applyNumberFormat="1" applyFont="1" applyFill="1" applyBorder="1" applyAlignment="1">
      <alignment horizontal="center" vertical="center" wrapText="1"/>
    </xf>
    <xf numFmtId="41" fontId="89" fillId="15" borderId="14" xfId="9" applyNumberFormat="1" applyFont="1" applyFill="1" applyBorder="1" applyAlignment="1">
      <alignment horizontal="center" vertical="center" wrapText="1"/>
    </xf>
    <xf numFmtId="41" fontId="89" fillId="19" borderId="75" xfId="9" applyNumberFormat="1" applyFont="1" applyFill="1" applyBorder="1" applyAlignment="1">
      <alignment horizontal="center" vertical="center" wrapText="1"/>
    </xf>
    <xf numFmtId="41" fontId="89" fillId="19" borderId="80" xfId="9" applyNumberFormat="1" applyFont="1" applyFill="1" applyBorder="1" applyAlignment="1">
      <alignment horizontal="center" vertical="center" wrapText="1"/>
    </xf>
    <xf numFmtId="41" fontId="89" fillId="19" borderId="85" xfId="9" applyNumberFormat="1" applyFont="1" applyFill="1" applyBorder="1" applyAlignment="1">
      <alignment horizontal="center" vertical="center" wrapText="1"/>
    </xf>
    <xf numFmtId="0" fontId="111" fillId="0" borderId="1" xfId="0" applyFont="1" applyFill="1" applyBorder="1" applyAlignment="1">
      <alignment horizontal="center" vertical="center" wrapText="1"/>
    </xf>
    <xf numFmtId="0" fontId="111" fillId="0" borderId="51" xfId="0" applyFont="1" applyFill="1" applyBorder="1" applyAlignment="1">
      <alignment horizontal="center" vertical="center" wrapText="1"/>
    </xf>
    <xf numFmtId="0" fontId="111" fillId="0" borderId="57" xfId="0" applyFont="1" applyFill="1" applyBorder="1" applyAlignment="1">
      <alignment horizontal="center" vertical="center" wrapText="1"/>
    </xf>
    <xf numFmtId="0" fontId="111" fillId="0" borderId="46" xfId="0" applyFont="1" applyFill="1" applyBorder="1" applyAlignment="1">
      <alignment horizontal="center" vertical="center" wrapText="1"/>
    </xf>
    <xf numFmtId="0" fontId="111" fillId="0" borderId="32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left" vertical="center" wrapText="1" indent="1"/>
    </xf>
    <xf numFmtId="0" fontId="111" fillId="0" borderId="40" xfId="0" applyFont="1" applyFill="1" applyBorder="1" applyAlignment="1">
      <alignment horizontal="center" vertical="center" wrapText="1"/>
    </xf>
    <xf numFmtId="0" fontId="111" fillId="0" borderId="55" xfId="0" applyFont="1" applyFill="1" applyBorder="1" applyAlignment="1">
      <alignment horizontal="center" vertical="center" wrapText="1"/>
    </xf>
    <xf numFmtId="0" fontId="111" fillId="0" borderId="11" xfId="0" applyFont="1" applyFill="1" applyBorder="1" applyAlignment="1">
      <alignment horizontal="center" vertical="center" wrapText="1"/>
    </xf>
    <xf numFmtId="0" fontId="111" fillId="0" borderId="29" xfId="0" applyFont="1" applyFill="1" applyBorder="1" applyAlignment="1">
      <alignment horizontal="center" vertical="center" wrapText="1"/>
    </xf>
    <xf numFmtId="0" fontId="111" fillId="0" borderId="21" xfId="0" applyFont="1" applyFill="1" applyBorder="1" applyAlignment="1">
      <alignment horizontal="center" vertical="center" wrapText="1"/>
    </xf>
    <xf numFmtId="0" fontId="111" fillId="0" borderId="9" xfId="0" applyFont="1" applyFill="1" applyBorder="1" applyAlignment="1">
      <alignment horizontal="center" vertical="center" wrapText="1"/>
    </xf>
    <xf numFmtId="0" fontId="111" fillId="0" borderId="4" xfId="0" applyFont="1" applyFill="1" applyBorder="1" applyAlignment="1">
      <alignment horizontal="center" vertical="center" wrapText="1"/>
    </xf>
    <xf numFmtId="0" fontId="111" fillId="0" borderId="2" xfId="0" applyFont="1" applyFill="1" applyBorder="1" applyAlignment="1">
      <alignment horizontal="center" vertical="center" wrapText="1"/>
    </xf>
    <xf numFmtId="0" fontId="111" fillId="0" borderId="10" xfId="0" applyFont="1" applyFill="1" applyBorder="1" applyAlignment="1">
      <alignment horizontal="center" vertical="center" wrapText="1"/>
    </xf>
    <xf numFmtId="0" fontId="111" fillId="0" borderId="16" xfId="0" applyFont="1" applyFill="1" applyBorder="1" applyAlignment="1">
      <alignment horizontal="center" vertical="center" wrapText="1"/>
    </xf>
    <xf numFmtId="0" fontId="111" fillId="0" borderId="65" xfId="0" applyFont="1" applyFill="1" applyBorder="1" applyAlignment="1">
      <alignment horizontal="center" vertical="center" wrapText="1"/>
    </xf>
    <xf numFmtId="184" fontId="111" fillId="0" borderId="1" xfId="0" applyNumberFormat="1" applyFont="1" applyFill="1" applyBorder="1" applyAlignment="1">
      <alignment horizontal="center" vertical="center" wrapText="1"/>
    </xf>
    <xf numFmtId="0" fontId="99" fillId="0" borderId="39" xfId="0" applyFont="1" applyFill="1" applyBorder="1" applyAlignment="1">
      <alignment horizontal="center" vertical="center" wrapText="1"/>
    </xf>
    <xf numFmtId="0" fontId="99" fillId="0" borderId="40" xfId="0" applyFont="1" applyFill="1" applyBorder="1" applyAlignment="1">
      <alignment horizontal="center" vertical="center" wrapText="1"/>
    </xf>
    <xf numFmtId="0" fontId="99" fillId="0" borderId="41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0" borderId="13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1" fillId="0" borderId="50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51" xfId="0" applyFont="1" applyFill="1" applyBorder="1" applyAlignment="1">
      <alignment horizontal="center" vertical="center" wrapText="1"/>
    </xf>
    <xf numFmtId="0" fontId="31" fillId="0" borderId="57" xfId="0" applyFont="1" applyFill="1" applyBorder="1" applyAlignment="1">
      <alignment horizontal="center" vertical="center" wrapText="1"/>
    </xf>
    <xf numFmtId="0" fontId="99" fillId="0" borderId="14" xfId="0" applyFont="1" applyFill="1" applyBorder="1" applyAlignment="1">
      <alignment horizontal="center" vertical="center" wrapText="1"/>
    </xf>
    <xf numFmtId="0" fontId="99" fillId="0" borderId="42" xfId="0" applyFont="1" applyFill="1" applyBorder="1" applyAlignment="1">
      <alignment horizontal="center" vertical="center" wrapText="1"/>
    </xf>
    <xf numFmtId="0" fontId="97" fillId="0" borderId="42" xfId="0" applyFont="1" applyFill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 wrapText="1"/>
    </xf>
    <xf numFmtId="0" fontId="24" fillId="0" borderId="65" xfId="0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left" vertical="center" wrapText="1" indent="1"/>
    </xf>
    <xf numFmtId="0" fontId="100" fillId="0" borderId="0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86" fillId="0" borderId="38" xfId="0" applyFont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/>
    </xf>
    <xf numFmtId="0" fontId="16" fillId="0" borderId="10" xfId="0" applyNumberFormat="1" applyFont="1" applyFill="1" applyBorder="1" applyAlignment="1">
      <alignment horizontal="center" vertical="center" wrapText="1"/>
    </xf>
    <xf numFmtId="0" fontId="18" fillId="0" borderId="14" xfId="0" applyNumberFormat="1" applyFont="1" applyFill="1" applyBorder="1"/>
    <xf numFmtId="0" fontId="16" fillId="0" borderId="10" xfId="0" applyFont="1" applyBorder="1" applyAlignment="1">
      <alignment horizontal="center" vertical="center" wrapText="1"/>
    </xf>
    <xf numFmtId="0" fontId="18" fillId="0" borderId="14" xfId="0" applyFont="1" applyBorder="1"/>
    <xf numFmtId="0" fontId="18" fillId="0" borderId="10" xfId="0" applyFont="1" applyBorder="1" applyAlignment="1">
      <alignment horizontal="center"/>
    </xf>
    <xf numFmtId="0" fontId="16" fillId="0" borderId="45" xfId="0" applyFont="1" applyBorder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30" fillId="0" borderId="4" xfId="17" applyNumberFormat="1" applyFont="1" applyFill="1" applyBorder="1" applyAlignment="1">
      <alignment horizontal="center" vertical="center" wrapText="1"/>
    </xf>
    <xf numFmtId="0" fontId="0" fillId="0" borderId="3" xfId="17" applyNumberFormat="1" applyFont="1" applyFill="1" applyBorder="1" applyAlignment="1">
      <alignment horizontal="center" vertical="center" wrapText="1"/>
    </xf>
    <xf numFmtId="0" fontId="2" fillId="0" borderId="30" xfId="17" applyNumberFormat="1" applyFont="1" applyFill="1" applyBorder="1" applyAlignment="1">
      <alignment horizontal="center" vertical="center" wrapText="1"/>
    </xf>
    <xf numFmtId="0" fontId="2" fillId="0" borderId="13" xfId="17" applyNumberFormat="1" applyFont="1" applyFill="1" applyBorder="1" applyAlignment="1">
      <alignment horizontal="center" vertical="center" wrapText="1"/>
    </xf>
    <xf numFmtId="0" fontId="2" fillId="0" borderId="2" xfId="17" applyNumberFormat="1" applyFont="1" applyFill="1" applyBorder="1" applyAlignment="1">
      <alignment horizontal="center" vertical="center" wrapText="1"/>
    </xf>
    <xf numFmtId="0" fontId="2" fillId="0" borderId="29" xfId="17" applyNumberFormat="1" applyFont="1" applyFill="1" applyBorder="1" applyAlignment="1">
      <alignment horizontal="center" vertical="center" wrapText="1"/>
    </xf>
    <xf numFmtId="0" fontId="2" fillId="0" borderId="21" xfId="17" applyNumberFormat="1" applyFont="1" applyFill="1" applyBorder="1" applyAlignment="1">
      <alignment horizontal="center" vertical="center" wrapText="1"/>
    </xf>
    <xf numFmtId="202" fontId="0" fillId="0" borderId="2" xfId="17" applyNumberFormat="1" applyFont="1" applyFill="1" applyBorder="1" applyAlignment="1">
      <alignment horizontal="center" vertical="center" wrapText="1"/>
    </xf>
    <xf numFmtId="202" fontId="2" fillId="0" borderId="29" xfId="17" applyNumberFormat="1" applyFont="1" applyFill="1" applyBorder="1" applyAlignment="1">
      <alignment horizontal="center" vertical="center" wrapText="1"/>
    </xf>
    <xf numFmtId="202" fontId="2" fillId="0" borderId="21" xfId="17" applyNumberFormat="1" applyFont="1" applyFill="1" applyBorder="1" applyAlignment="1">
      <alignment horizontal="center" vertical="center" wrapText="1"/>
    </xf>
    <xf numFmtId="179" fontId="2" fillId="0" borderId="2" xfId="4" applyNumberFormat="1" applyFont="1" applyFill="1" applyBorder="1" applyAlignment="1">
      <alignment horizontal="center" vertical="center" wrapText="1"/>
    </xf>
    <xf numFmtId="179" fontId="2" fillId="0" borderId="29" xfId="4" applyNumberFormat="1" applyFont="1" applyFill="1" applyBorder="1" applyAlignment="1">
      <alignment horizontal="center" vertical="center" wrapText="1"/>
    </xf>
    <xf numFmtId="179" fontId="2" fillId="0" borderId="21" xfId="4" applyNumberFormat="1" applyFont="1" applyFill="1" applyBorder="1" applyAlignment="1">
      <alignment horizontal="center" vertical="center" wrapText="1"/>
    </xf>
    <xf numFmtId="0" fontId="102" fillId="0" borderId="39" xfId="0" applyFont="1" applyFill="1" applyBorder="1" applyAlignment="1">
      <alignment horizontal="center" vertical="center" wrapText="1"/>
    </xf>
    <xf numFmtId="0" fontId="102" fillId="0" borderId="40" xfId="0" applyFont="1" applyFill="1" applyBorder="1" applyAlignment="1">
      <alignment horizontal="center" vertical="center" wrapText="1"/>
    </xf>
    <xf numFmtId="203" fontId="2" fillId="0" borderId="10" xfId="4" applyNumberFormat="1" applyFont="1" applyFill="1" applyBorder="1" applyAlignment="1">
      <alignment horizontal="center" vertical="center" wrapText="1"/>
    </xf>
    <xf numFmtId="187" fontId="0" fillId="0" borderId="16" xfId="7" applyNumberFormat="1" applyFont="1" applyFill="1" applyBorder="1" applyAlignment="1">
      <alignment horizontal="center" vertical="center" wrapText="1"/>
    </xf>
    <xf numFmtId="187" fontId="2" fillId="0" borderId="5" xfId="7" applyNumberFormat="1" applyFont="1" applyFill="1" applyBorder="1" applyAlignment="1">
      <alignment horizontal="center" vertical="center" wrapText="1"/>
    </xf>
    <xf numFmtId="203" fontId="2" fillId="0" borderId="1" xfId="4" applyNumberFormat="1" applyFont="1" applyFill="1" applyBorder="1" applyAlignment="1">
      <alignment horizontal="center" vertical="center" wrapText="1"/>
    </xf>
    <xf numFmtId="0" fontId="2" fillId="0" borderId="1" xfId="7" applyNumberFormat="1" applyFont="1" applyFill="1" applyBorder="1" applyAlignment="1">
      <alignment horizontal="center" vertical="center" wrapText="1"/>
    </xf>
    <xf numFmtId="41" fontId="48" fillId="0" borderId="40" xfId="0" applyNumberFormat="1" applyFont="1" applyFill="1" applyBorder="1" applyAlignment="1">
      <alignment horizontal="center" vertical="center" wrapText="1"/>
    </xf>
    <xf numFmtId="41" fontId="48" fillId="0" borderId="5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5" fillId="0" borderId="9" xfId="0" applyNumberFormat="1" applyFont="1" applyBorder="1" applyAlignment="1">
      <alignment horizontal="center" vertical="center" wrapText="1"/>
    </xf>
    <xf numFmtId="0" fontId="5" fillId="0" borderId="12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29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0" fillId="0" borderId="45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104" fillId="0" borderId="2" xfId="0" applyFont="1" applyFill="1" applyBorder="1" applyAlignment="1">
      <alignment horizontal="center" vertical="center" wrapText="1"/>
    </xf>
    <xf numFmtId="0" fontId="104" fillId="0" borderId="21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 wrapText="1"/>
    </xf>
    <xf numFmtId="0" fontId="103" fillId="0" borderId="21" xfId="0" applyFont="1" applyFill="1" applyBorder="1" applyAlignment="1">
      <alignment horizontal="center" vertical="center" wrapText="1"/>
    </xf>
    <xf numFmtId="0" fontId="103" fillId="0" borderId="2" xfId="0" applyNumberFormat="1" applyFont="1" applyFill="1" applyBorder="1" applyAlignment="1">
      <alignment horizontal="center" vertical="center" wrapText="1"/>
    </xf>
    <xf numFmtId="0" fontId="103" fillId="0" borderId="21" xfId="0" applyNumberFormat="1" applyFont="1" applyFill="1" applyBorder="1" applyAlignment="1">
      <alignment horizontal="center" vertical="center" wrapText="1"/>
    </xf>
    <xf numFmtId="0" fontId="103" fillId="0" borderId="3" xfId="0" applyFont="1" applyFill="1" applyBorder="1" applyAlignment="1">
      <alignment horizontal="center"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39" xfId="0" applyFont="1" applyFill="1" applyBorder="1" applyAlignment="1">
      <alignment horizontal="center" vertical="center" wrapText="1"/>
    </xf>
    <xf numFmtId="0" fontId="103" fillId="0" borderId="36" xfId="0" applyFont="1" applyFill="1" applyBorder="1" applyAlignment="1">
      <alignment horizontal="center" vertical="center" wrapText="1"/>
    </xf>
    <xf numFmtId="0" fontId="103" fillId="0" borderId="37" xfId="0" applyFont="1" applyFill="1" applyBorder="1" applyAlignment="1">
      <alignment horizontal="center" vertical="center" wrapText="1"/>
    </xf>
    <xf numFmtId="0" fontId="104" fillId="0" borderId="2" xfId="0" applyFont="1" applyFill="1" applyBorder="1" applyAlignment="1">
      <alignment horizontal="center" vertical="center"/>
    </xf>
    <xf numFmtId="0" fontId="63" fillId="0" borderId="0" xfId="0" applyFont="1" applyFill="1" applyAlignment="1">
      <alignment horizontal="left" vertical="center" wrapText="1" indent="1"/>
    </xf>
    <xf numFmtId="41" fontId="68" fillId="0" borderId="12" xfId="0" applyNumberFormat="1" applyFont="1" applyFill="1" applyBorder="1" applyAlignment="1">
      <alignment horizontal="center" vertical="center" wrapText="1"/>
    </xf>
    <xf numFmtId="41" fontId="68" fillId="0" borderId="30" xfId="0" applyNumberFormat="1" applyFont="1" applyFill="1" applyBorder="1" applyAlignment="1">
      <alignment horizontal="center" vertical="center" wrapText="1"/>
    </xf>
    <xf numFmtId="41" fontId="68" fillId="0" borderId="13" xfId="0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0" fillId="20" borderId="12" xfId="0" applyFill="1" applyBorder="1" applyAlignment="1">
      <alignment horizontal="center" vertical="center"/>
    </xf>
    <xf numFmtId="0" fontId="0" fillId="20" borderId="30" xfId="0" applyFill="1" applyBorder="1" applyAlignment="1">
      <alignment horizontal="center" vertical="center"/>
    </xf>
    <xf numFmtId="0" fontId="0" fillId="20" borderId="13" xfId="0" applyFill="1" applyBorder="1" applyAlignment="1">
      <alignment horizontal="center" vertical="center"/>
    </xf>
    <xf numFmtId="0" fontId="129" fillId="20" borderId="1" xfId="0" applyFont="1" applyFill="1" applyBorder="1" applyAlignment="1" applyProtection="1">
      <alignment horizontal="center" vertical="center"/>
      <protection locked="0"/>
    </xf>
    <xf numFmtId="0" fontId="129" fillId="20" borderId="7" xfId="0" applyFont="1" applyFill="1" applyBorder="1" applyAlignment="1" applyProtection="1">
      <alignment horizontal="center" vertical="center"/>
      <protection locked="0"/>
    </xf>
    <xf numFmtId="181" fontId="95" fillId="20" borderId="15" xfId="3" applyNumberFormat="1" applyFont="1" applyFill="1" applyBorder="1" applyAlignment="1">
      <alignment horizontal="center" vertical="center"/>
    </xf>
    <xf numFmtId="181" fontId="95" fillId="20" borderId="56" xfId="3" applyNumberFormat="1" applyFont="1" applyFill="1" applyBorder="1" applyAlignment="1">
      <alignment horizontal="center" vertical="center"/>
    </xf>
    <xf numFmtId="181" fontId="95" fillId="20" borderId="22" xfId="3" applyNumberFormat="1" applyFont="1" applyFill="1" applyBorder="1" applyAlignment="1">
      <alignment horizontal="center" vertical="center"/>
    </xf>
    <xf numFmtId="0" fontId="0" fillId="20" borderId="14" xfId="0" applyFill="1" applyBorder="1" applyAlignment="1">
      <alignment horizontal="center" vertical="center"/>
    </xf>
    <xf numFmtId="0" fontId="0" fillId="20" borderId="29" xfId="0" applyFill="1" applyBorder="1" applyAlignment="1">
      <alignment horizontal="center" vertical="center"/>
    </xf>
    <xf numFmtId="0" fontId="0" fillId="20" borderId="21" xfId="0" applyFill="1" applyBorder="1" applyAlignment="1">
      <alignment horizontal="center" vertical="center"/>
    </xf>
    <xf numFmtId="41" fontId="129" fillId="20" borderId="1" xfId="3" applyFont="1" applyFill="1" applyBorder="1" applyAlignment="1" applyProtection="1">
      <alignment horizontal="center" vertical="center"/>
      <protection locked="0"/>
    </xf>
    <xf numFmtId="41" fontId="129" fillId="20" borderId="7" xfId="3" applyFont="1" applyFill="1" applyBorder="1" applyAlignment="1" applyProtection="1">
      <alignment horizontal="center" vertical="center"/>
      <protection locked="0"/>
    </xf>
    <xf numFmtId="0" fontId="77" fillId="0" borderId="0" xfId="0" applyFont="1" applyFill="1" applyAlignment="1">
      <alignment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66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/>
    <xf numFmtId="0" fontId="0" fillId="0" borderId="21" xfId="0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59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6" xfId="0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12" xfId="0" applyNumberFormat="1" applyFont="1" applyBorder="1" applyAlignment="1">
      <alignment horizontal="center" vertical="center" wrapText="1"/>
    </xf>
    <xf numFmtId="0" fontId="24" fillId="0" borderId="14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 indent="1"/>
    </xf>
    <xf numFmtId="0" fontId="24" fillId="0" borderId="15" xfId="0" applyNumberFormat="1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0" fillId="0" borderId="56" xfId="0" applyBorder="1"/>
    <xf numFmtId="0" fontId="0" fillId="0" borderId="29" xfId="0" applyBorder="1"/>
    <xf numFmtId="0" fontId="24" fillId="0" borderId="3" xfId="0" applyFont="1" applyBorder="1" applyAlignment="1">
      <alignment horizontal="center" vertical="center" wrapText="1"/>
    </xf>
    <xf numFmtId="0" fontId="0" fillId="0" borderId="30" xfId="0" applyBorder="1" applyAlignment="1">
      <alignment horizontal="center"/>
    </xf>
    <xf numFmtId="0" fontId="0" fillId="0" borderId="29" xfId="0" applyBorder="1" applyAlignment="1">
      <alignment horizontal="center"/>
    </xf>
    <xf numFmtId="0" fontId="24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horizontal="center"/>
    </xf>
    <xf numFmtId="0" fontId="24" fillId="0" borderId="36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67" fillId="0" borderId="14" xfId="0" applyNumberFormat="1" applyFont="1" applyBorder="1" applyAlignment="1">
      <alignment horizontal="center" vertical="center" wrapText="1"/>
    </xf>
    <xf numFmtId="0" fontId="67" fillId="0" borderId="42" xfId="0" applyNumberFormat="1" applyFont="1" applyBorder="1" applyAlignment="1">
      <alignment horizontal="center" vertical="center" wrapText="1"/>
    </xf>
    <xf numFmtId="0" fontId="70" fillId="0" borderId="0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center" vertical="center" wrapText="1"/>
    </xf>
    <xf numFmtId="0" fontId="25" fillId="0" borderId="14" xfId="0" applyNumberFormat="1" applyFont="1" applyBorder="1" applyAlignment="1">
      <alignment horizontal="center" vertical="center" wrapText="1"/>
    </xf>
    <xf numFmtId="0" fontId="67" fillId="0" borderId="21" xfId="0" applyNumberFormat="1" applyFont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right"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51" xfId="0" applyFont="1" applyFill="1" applyBorder="1" applyAlignment="1">
      <alignment horizontal="center" vertical="center" wrapText="1"/>
    </xf>
    <xf numFmtId="0" fontId="24" fillId="0" borderId="50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56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right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50" xfId="0" applyFont="1" applyBorder="1" applyAlignment="1">
      <alignment horizontal="center" vertical="center" wrapText="1"/>
    </xf>
    <xf numFmtId="0" fontId="26" fillId="0" borderId="57" xfId="0" applyFont="1" applyBorder="1" applyAlignment="1">
      <alignment horizontal="center" vertical="center" wrapText="1"/>
    </xf>
    <xf numFmtId="0" fontId="24" fillId="0" borderId="31" xfId="3" applyNumberFormat="1" applyFont="1" applyFill="1" applyBorder="1" applyAlignment="1">
      <alignment horizontal="center" vertical="center" wrapText="1"/>
    </xf>
    <xf numFmtId="0" fontId="24" fillId="0" borderId="58" xfId="3" applyNumberFormat="1" applyFont="1" applyFill="1" applyBorder="1" applyAlignment="1">
      <alignment horizontal="center" vertical="center" wrapText="1"/>
    </xf>
    <xf numFmtId="0" fontId="24" fillId="0" borderId="32" xfId="3" applyNumberFormat="1" applyFont="1" applyFill="1" applyBorder="1" applyAlignment="1">
      <alignment horizontal="center" vertical="center" wrapText="1"/>
    </xf>
    <xf numFmtId="0" fontId="24" fillId="0" borderId="45" xfId="0" applyNumberFormat="1" applyFont="1" applyFill="1" applyBorder="1" applyAlignment="1">
      <alignment horizontal="center" vertical="center" wrapText="1"/>
    </xf>
    <xf numFmtId="0" fontId="24" fillId="0" borderId="56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0" fontId="24" fillId="0" borderId="30" xfId="0" applyNumberFormat="1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>
      <alignment horizontal="center" vertical="center" wrapText="1"/>
    </xf>
    <xf numFmtId="0" fontId="24" fillId="0" borderId="29" xfId="0" applyNumberFormat="1" applyFont="1" applyFill="1" applyBorder="1" applyAlignment="1">
      <alignment horizontal="center" vertical="center" wrapText="1"/>
    </xf>
    <xf numFmtId="0" fontId="24" fillId="0" borderId="51" xfId="0" applyNumberFormat="1" applyFont="1" applyFill="1" applyBorder="1" applyAlignment="1">
      <alignment horizontal="center" vertical="center" wrapText="1"/>
    </xf>
    <xf numFmtId="0" fontId="24" fillId="0" borderId="50" xfId="0" applyNumberFormat="1" applyFont="1" applyFill="1" applyBorder="1" applyAlignment="1">
      <alignment horizontal="center" vertical="center" wrapText="1"/>
    </xf>
    <xf numFmtId="0" fontId="24" fillId="0" borderId="57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26" fillId="0" borderId="3" xfId="0" applyNumberFormat="1" applyFont="1" applyBorder="1" applyAlignment="1">
      <alignment horizontal="center" vertical="center" wrapText="1"/>
    </xf>
    <xf numFmtId="0" fontId="26" fillId="0" borderId="30" xfId="0" applyNumberFormat="1" applyFont="1" applyBorder="1" applyAlignment="1">
      <alignment horizontal="center" vertical="center" wrapText="1"/>
    </xf>
    <xf numFmtId="0" fontId="26" fillId="0" borderId="2" xfId="0" applyNumberFormat="1" applyFont="1" applyBorder="1" applyAlignment="1">
      <alignment horizontal="center" vertical="center" wrapText="1"/>
    </xf>
    <xf numFmtId="0" fontId="26" fillId="0" borderId="29" xfId="0" applyNumberFormat="1" applyFont="1" applyBorder="1" applyAlignment="1">
      <alignment horizontal="center" vertical="center" wrapText="1"/>
    </xf>
    <xf numFmtId="0" fontId="26" fillId="0" borderId="51" xfId="0" applyNumberFormat="1" applyFont="1" applyBorder="1" applyAlignment="1">
      <alignment horizontal="center" vertical="center" wrapText="1"/>
    </xf>
    <xf numFmtId="0" fontId="26" fillId="0" borderId="50" xfId="0" applyNumberFormat="1" applyFont="1" applyBorder="1" applyAlignment="1">
      <alignment horizontal="center" vertical="center" wrapText="1"/>
    </xf>
    <xf numFmtId="0" fontId="26" fillId="0" borderId="57" xfId="0" applyNumberFormat="1" applyFont="1" applyBorder="1" applyAlignment="1">
      <alignment horizontal="center" vertical="center" wrapText="1"/>
    </xf>
    <xf numFmtId="0" fontId="26" fillId="0" borderId="45" xfId="0" applyNumberFormat="1" applyFont="1" applyBorder="1" applyAlignment="1">
      <alignment horizontal="center" vertical="center" wrapText="1"/>
    </xf>
    <xf numFmtId="0" fontId="26" fillId="0" borderId="56" xfId="0" applyNumberFormat="1" applyFont="1" applyBorder="1" applyAlignment="1">
      <alignment horizontal="center" vertical="center" wrapText="1"/>
    </xf>
  </cellXfs>
  <cellStyles count="24">
    <cellStyle name="백분율" xfId="1" builtinId="5"/>
    <cellStyle name="백분율 2" xfId="2"/>
    <cellStyle name="백분율 3" xfId="21"/>
    <cellStyle name="쉼표 [0]" xfId="3" builtinId="6"/>
    <cellStyle name="쉼표 [0] 2" xfId="22"/>
    <cellStyle name="쉼표 [0] 9" xfId="4"/>
    <cellStyle name="출력 2" xfId="23"/>
    <cellStyle name="콤마 [0]_부산광역시" xfId="5"/>
    <cellStyle name="통화 [0] 2" xfId="6"/>
    <cellStyle name="표준" xfId="0" builtinId="0"/>
    <cellStyle name="표준 10" xfId="7"/>
    <cellStyle name="표준 2" xfId="8"/>
    <cellStyle name="표준 3" xfId="9"/>
    <cellStyle name="표준 3 2" xfId="10"/>
    <cellStyle name="표준 4" xfId="20"/>
    <cellStyle name="표준 5" xfId="19"/>
    <cellStyle name="표준_05하수통계(영양군)" xfId="11"/>
    <cellStyle name="표준_06하수도 통계양식(최종-2)(1).xls" xfId="12"/>
    <cellStyle name="표준_하수도 통계(춘천시)-완성본(1)" xfId="13"/>
    <cellStyle name="표준_하수도 통계양식(최종-1)" xfId="14"/>
    <cellStyle name="표준_하수도통계 작성서식" xfId="15"/>
    <cellStyle name="표준_하수도통계 작성양식" xfId="16"/>
    <cellStyle name="표준_하수처리장운영결과조사표(총괄)" xfId="17"/>
    <cellStyle name="하이퍼링크" xfId="18" builtinId="8"/>
  </cellStyles>
  <dxfs count="589">
    <dxf>
      <fill>
        <patternFill>
          <bgColor rgb="FFFF33CC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99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CCFFFF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indexed="27"/>
        </patternFill>
      </fill>
    </dxf>
    <dxf>
      <font>
        <b/>
        <i val="0"/>
      </font>
      <fill>
        <patternFill>
          <bgColor indexed="43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indexed="27"/>
        </patternFill>
      </fill>
    </dxf>
    <dxf>
      <font>
        <b/>
        <i val="0"/>
      </font>
      <fill>
        <patternFill>
          <bgColor indexed="43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indexed="27"/>
        </patternFill>
      </fill>
    </dxf>
    <dxf>
      <font>
        <b/>
        <i val="0"/>
      </font>
      <fill>
        <patternFill>
          <bgColor indexed="43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FFCC99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ill>
        <patternFill>
          <bgColor theme="8"/>
        </patternFill>
      </fill>
    </dxf>
    <dxf>
      <fill>
        <patternFill>
          <bgColor theme="8" tint="0.39994506668294322"/>
        </patternFill>
      </fill>
    </dxf>
    <dxf>
      <fill>
        <patternFill>
          <bgColor theme="8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  <dxf>
      <fill>
        <patternFill>
          <bgColor rgb="FFC0000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CCFFFF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17" name="Text Box 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18" name="Text Box 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19" name="Text Box 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0" name="Text Box 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1" name="Text Box 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2" name="Text Box 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3" name="Text Box 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4" name="Text Box 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5" name="Text Box 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6" name="Text Box 1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7" name="Text Box 1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8" name="Text Box 1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29" name="Text Box 1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0" name="Text Box 1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1" name="Text Box 1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2" name="Text Box 1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3" name="Text Box 1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4" name="Text Box 1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5" name="Text Box 1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6" name="Text Box 2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7" name="Text Box 2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8" name="Text Box 2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39" name="Text Box 2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0" name="Text Box 2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1" name="Text Box 2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2" name="Text Box 2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3" name="Text Box 2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4" name="Text Box 2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5" name="Text Box 2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6" name="Text Box 3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7" name="Text Box 3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8" name="Text Box 3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49" name="Text Box 3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0" name="Text Box 3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1" name="Text Box 3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2" name="Text Box 3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3" name="Text Box 3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4" name="Text Box 3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5" name="Text Box 13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6" name="Text Box 14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7" name="Text Box 14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8" name="Text Box 14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59" name="Text Box 14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0" name="Text Box 14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1" name="Text Box 14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2" name="Text Box 14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3" name="Text Box 14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4" name="Text Box 14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5" name="Text Box 14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6" name="Text Box 15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7" name="Text Box 15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8" name="Text Box 15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69" name="Text Box 15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0" name="Text Box 15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1" name="Text Box 15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2" name="Text Box 15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3" name="Text Box 15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4" name="Text Box 15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5" name="Text Box 15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6" name="Text Box 16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7" name="Text Box 16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8" name="Text Box 16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79" name="Text Box 16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0" name="Text Box 16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1" name="Text Box 16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2" name="Text Box 16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3" name="Text Box 16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4" name="Text Box 16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5" name="Text Box 16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6" name="Text Box 17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7" name="Text Box 17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8" name="Text Box 17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89" name="Text Box 17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0" name="Text Box 17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1" name="Text Box 17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2" name="Text Box 17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3" name="Text Box 17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4" name="Text Box 17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5" name="Text Box 179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6" name="Text Box 180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7" name="Text Box 181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8" name="Text Box 182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899" name="Text Box 183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900" name="Text Box 184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901" name="Text Box 185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902" name="Text Box 186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903" name="Text Box 187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23</xdr:row>
      <xdr:rowOff>0</xdr:rowOff>
    </xdr:from>
    <xdr:to>
      <xdr:col>17</xdr:col>
      <xdr:colOff>95250</xdr:colOff>
      <xdr:row>24</xdr:row>
      <xdr:rowOff>0</xdr:rowOff>
    </xdr:to>
    <xdr:sp macro="" textlink="">
      <xdr:nvSpPr>
        <xdr:cNvPr id="141904" name="Text Box 188"/>
        <xdr:cNvSpPr txBox="1">
          <a:spLocks noChangeArrowheads="1"/>
        </xdr:cNvSpPr>
      </xdr:nvSpPr>
      <xdr:spPr bwMode="auto">
        <a:xfrm>
          <a:off x="13011150" y="5895975"/>
          <a:ext cx="952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2" name="Text Box 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3" name="Text Box 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4" name="Text Box 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5" name="Text Box 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6" name="Text Box 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7" name="Text Box 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8" name="Text Box 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49" name="Text Box 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0" name="Text Box 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1" name="Text Box 1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2" name="Text Box 1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3" name="Text Box 1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4" name="Text Box 1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5" name="Text Box 1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6" name="Text Box 1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7" name="Text Box 1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8" name="Text Box 1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59" name="Text Box 1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0" name="Text Box 1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1" name="Text Box 2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2" name="Text Box 2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3" name="Text Box 2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4" name="Text Box 2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5" name="Text Box 2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6" name="Text Box 2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7" name="Text Box 2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8" name="Text Box 2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69" name="Text Box 2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0" name="Text Box 2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1" name="Text Box 3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2" name="Text Box 3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3" name="Text Box 3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4" name="Text Box 3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5" name="Text Box 3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6" name="Text Box 3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7" name="Text Box 3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8" name="Text Box 3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79" name="Text Box 3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0" name="Text Box 13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1" name="Text Box 14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2" name="Text Box 14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3" name="Text Box 14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4" name="Text Box 14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5" name="Text Box 14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6" name="Text Box 14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7" name="Text Box 14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8" name="Text Box 14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89" name="Text Box 14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0" name="Text Box 14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1" name="Text Box 15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2" name="Text Box 15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3" name="Text Box 15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4" name="Text Box 15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5" name="Text Box 15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6" name="Text Box 15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7" name="Text Box 15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8" name="Text Box 15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499" name="Text Box 15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0" name="Text Box 15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1" name="Text Box 16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2" name="Text Box 16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3" name="Text Box 16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4" name="Text Box 16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5" name="Text Box 16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6" name="Text Box 16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7" name="Text Box 16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8" name="Text Box 16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09" name="Text Box 16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0" name="Text Box 16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1" name="Text Box 17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2" name="Text Box 17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3" name="Text Box 17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4" name="Text Box 17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5" name="Text Box 17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6" name="Text Box 17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7" name="Text Box 17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8" name="Text Box 17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19" name="Text Box 17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0" name="Text Box 179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1" name="Text Box 180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2" name="Text Box 181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3" name="Text Box 182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4" name="Text Box 183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5" name="Text Box 184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6" name="Text Box 185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7" name="Text Box 186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8" name="Text Box 187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95250</xdr:colOff>
      <xdr:row>8</xdr:row>
      <xdr:rowOff>156882</xdr:rowOff>
    </xdr:to>
    <xdr:sp macro="" textlink="">
      <xdr:nvSpPr>
        <xdr:cNvPr id="529" name="Text Box 188"/>
        <xdr:cNvSpPr txBox="1">
          <a:spLocks noChangeArrowheads="1"/>
        </xdr:cNvSpPr>
      </xdr:nvSpPr>
      <xdr:spPr bwMode="auto">
        <a:xfrm>
          <a:off x="13011150" y="25527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0" name="Text Box 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1" name="Text Box 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2" name="Text Box 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3" name="Text Box 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4" name="Text Box 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5" name="Text Box 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6" name="Text Box 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7" name="Text Box 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8" name="Text Box 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39" name="Text Box 1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0" name="Text Box 1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1" name="Text Box 1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2" name="Text Box 1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3" name="Text Box 1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4" name="Text Box 1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5" name="Text Box 1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6" name="Text Box 1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7" name="Text Box 1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8" name="Text Box 1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49" name="Text Box 2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0" name="Text Box 2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1" name="Text Box 2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2" name="Text Box 2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3" name="Text Box 2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4" name="Text Box 2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5" name="Text Box 2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6" name="Text Box 2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7" name="Text Box 2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8" name="Text Box 2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59" name="Text Box 3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0" name="Text Box 3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1" name="Text Box 3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2" name="Text Box 3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3" name="Text Box 3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4" name="Text Box 3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5" name="Text Box 3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6" name="Text Box 3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7" name="Text Box 3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8" name="Text Box 13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69" name="Text Box 14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0" name="Text Box 14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1" name="Text Box 14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2" name="Text Box 14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3" name="Text Box 14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4" name="Text Box 14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5" name="Text Box 14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6" name="Text Box 14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7" name="Text Box 14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8" name="Text Box 14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79" name="Text Box 15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0" name="Text Box 15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1" name="Text Box 15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2" name="Text Box 15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3" name="Text Box 15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4" name="Text Box 15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5" name="Text Box 15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6" name="Text Box 15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7" name="Text Box 15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8" name="Text Box 15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89" name="Text Box 16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0" name="Text Box 16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1" name="Text Box 16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2" name="Text Box 16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3" name="Text Box 16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4" name="Text Box 16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5" name="Text Box 16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6" name="Text Box 16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7" name="Text Box 16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8" name="Text Box 17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599" name="Text Box 17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0" name="Text Box 17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1" name="Text Box 17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2" name="Text Box 17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3" name="Text Box 17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4" name="Text Box 17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5" name="Text Box 17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6" name="Text Box 17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7" name="Text Box 179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8" name="Text Box 180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09" name="Text Box 181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0" name="Text Box 182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1" name="Text Box 183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2" name="Text Box 184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3" name="Text Box 185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4" name="Text Box 186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5" name="Text Box 18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6" name="Text Box 188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104775</xdr:colOff>
      <xdr:row>10</xdr:row>
      <xdr:rowOff>47625</xdr:rowOff>
    </xdr:to>
    <xdr:sp macro="" textlink="">
      <xdr:nvSpPr>
        <xdr:cNvPr id="617" name="Text Box 167"/>
        <xdr:cNvSpPr txBox="1">
          <a:spLocks noChangeArrowheads="1"/>
        </xdr:cNvSpPr>
      </xdr:nvSpPr>
      <xdr:spPr bwMode="auto">
        <a:xfrm>
          <a:off x="13011150" y="3390900"/>
          <a:ext cx="104775" cy="4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18" name="Text Box 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19" name="Text Box 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0" name="Text Box 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1" name="Text Box 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2" name="Text Box 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3" name="Text Box 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4" name="Text Box 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5" name="Text Box 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6" name="Text Box 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7" name="Text Box 1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8" name="Text Box 1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29" name="Text Box 1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0" name="Text Box 1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1" name="Text Box 1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2" name="Text Box 1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3" name="Text Box 1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4" name="Text Box 1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5" name="Text Box 1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6" name="Text Box 1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7" name="Text Box 2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8" name="Text Box 2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39" name="Text Box 2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0" name="Text Box 2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1" name="Text Box 2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2" name="Text Box 2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3" name="Text Box 2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4" name="Text Box 2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5" name="Text Box 2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6" name="Text Box 2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7" name="Text Box 3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8" name="Text Box 3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49" name="Text Box 3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0" name="Text Box 3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1" name="Text Box 3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2" name="Text Box 3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3" name="Text Box 3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4" name="Text Box 3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5" name="Text Box 3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6" name="Text Box 13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7" name="Text Box 14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8" name="Text Box 14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59" name="Text Box 14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0" name="Text Box 14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1" name="Text Box 14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2" name="Text Box 14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3" name="Text Box 14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4" name="Text Box 14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5" name="Text Box 14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6" name="Text Box 14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7" name="Text Box 15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8" name="Text Box 15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69" name="Text Box 15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0" name="Text Box 15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1" name="Text Box 15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2" name="Text Box 15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3" name="Text Box 15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4" name="Text Box 15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5" name="Text Box 15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6" name="Text Box 15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7" name="Text Box 16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8" name="Text Box 16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79" name="Text Box 16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0" name="Text Box 16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1" name="Text Box 16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2" name="Text Box 16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3" name="Text Box 16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4" name="Text Box 16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5" name="Text Box 16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6" name="Text Box 16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7" name="Text Box 17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8" name="Text Box 17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89" name="Text Box 17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0" name="Text Box 17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1" name="Text Box 17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2" name="Text Box 17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3" name="Text Box 17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4" name="Text Box 17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5" name="Text Box 17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6" name="Text Box 179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7" name="Text Box 180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8" name="Text Box 181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699" name="Text Box 182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0" name="Text Box 183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1" name="Text Box 184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2" name="Text Box 185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3" name="Text Box 186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4" name="Text Box 187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16</xdr:row>
      <xdr:rowOff>0</xdr:rowOff>
    </xdr:from>
    <xdr:to>
      <xdr:col>17</xdr:col>
      <xdr:colOff>95250</xdr:colOff>
      <xdr:row>16</xdr:row>
      <xdr:rowOff>152400</xdr:rowOff>
    </xdr:to>
    <xdr:sp macro="" textlink="">
      <xdr:nvSpPr>
        <xdr:cNvPr id="705" name="Text Box 188"/>
        <xdr:cNvSpPr txBox="1">
          <a:spLocks noChangeArrowheads="1"/>
        </xdr:cNvSpPr>
      </xdr:nvSpPr>
      <xdr:spPr bwMode="auto">
        <a:xfrm>
          <a:off x="13011150" y="6115050"/>
          <a:ext cx="952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06" name="Text Box 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07" name="Text Box 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08" name="Text Box 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09" name="Text Box 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2" name="Text Box 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3" name="Text Box 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4" name="Text Box 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5" name="Text Box 1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6" name="Text Box 1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7" name="Text Box 1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8" name="Text Box 1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19" name="Text Box 1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0" name="Text Box 1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1" name="Text Box 1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2" name="Text Box 1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3" name="Text Box 1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4" name="Text Box 1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5" name="Text Box 2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6" name="Text Box 2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7" name="Text Box 2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8" name="Text Box 2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29" name="Text Box 2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0" name="Text Box 2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1" name="Text Box 2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2" name="Text Box 2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3" name="Text Box 2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4" name="Text Box 2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5" name="Text Box 3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6" name="Text Box 3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7" name="Text Box 3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8" name="Text Box 3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39" name="Text Box 3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0" name="Text Box 3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1" name="Text Box 3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2" name="Text Box 3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3" name="Text Box 3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4" name="Text Box 13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5" name="Text Box 14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6" name="Text Box 14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7" name="Text Box 14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8" name="Text Box 14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49" name="Text Box 14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0" name="Text Box 14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1" name="Text Box 14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2" name="Text Box 14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3" name="Text Box 14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4" name="Text Box 14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5" name="Text Box 15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6" name="Text Box 15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7" name="Text Box 15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8" name="Text Box 15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59" name="Text Box 15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0" name="Text Box 15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1" name="Text Box 15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2" name="Text Box 15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3" name="Text Box 15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4" name="Text Box 15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5" name="Text Box 16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6" name="Text Box 16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7" name="Text Box 16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8" name="Text Box 16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69" name="Text Box 16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0" name="Text Box 16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1" name="Text Box 16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2" name="Text Box 16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3" name="Text Box 16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4" name="Text Box 16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5" name="Text Box 17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6" name="Text Box 17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7" name="Text Box 17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8" name="Text Box 17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79" name="Text Box 17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0" name="Text Box 17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1" name="Text Box 17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2" name="Text Box 17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3" name="Text Box 17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4" name="Text Box 179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5" name="Text Box 180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6" name="Text Box 181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7" name="Text Box 182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8" name="Text Box 183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89" name="Text Box 184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90" name="Text Box 185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91" name="Text Box 186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92" name="Text Box 187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95250</xdr:colOff>
      <xdr:row>9</xdr:row>
      <xdr:rowOff>156882</xdr:rowOff>
    </xdr:to>
    <xdr:sp macro="" textlink="">
      <xdr:nvSpPr>
        <xdr:cNvPr id="793" name="Text Box 188"/>
        <xdr:cNvSpPr txBox="1">
          <a:spLocks noChangeArrowheads="1"/>
        </xdr:cNvSpPr>
      </xdr:nvSpPr>
      <xdr:spPr bwMode="auto">
        <a:xfrm>
          <a:off x="13011150" y="2971800"/>
          <a:ext cx="95250" cy="15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=""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=""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814"/>
  <sheetViews>
    <sheetView tabSelected="1" view="pageBreakPreview" zoomScale="90" zoomScaleNormal="85" zoomScaleSheetLayoutView="90" workbookViewId="0">
      <selection activeCell="H57" sqref="H57"/>
    </sheetView>
  </sheetViews>
  <sheetFormatPr defaultColWidth="3.21875" defaultRowHeight="12"/>
  <cols>
    <col min="1" max="1" width="12.77734375" style="917" bestFit="1" customWidth="1"/>
    <col min="2" max="2" width="5" style="1092" customWidth="1"/>
    <col min="3" max="3" width="6.6640625" style="1092" bestFit="1" customWidth="1"/>
    <col min="4" max="4" width="9.6640625" style="1092" customWidth="1"/>
    <col min="5" max="6" width="9.21875" style="1092" customWidth="1"/>
    <col min="7" max="7" width="4.6640625" style="1092" customWidth="1"/>
    <col min="8" max="8" width="8.88671875" style="918" customWidth="1"/>
    <col min="9" max="9" width="9.109375" style="919" customWidth="1"/>
    <col min="10" max="10" width="9.88671875" style="919" customWidth="1"/>
    <col min="11" max="11" width="9.21875" style="918" customWidth="1"/>
    <col min="12" max="13" width="5.6640625" style="918" customWidth="1"/>
    <col min="14" max="14" width="8.5546875" style="918" customWidth="1"/>
    <col min="15" max="18" width="5.6640625" style="918" customWidth="1"/>
    <col min="19" max="19" width="9" style="918" customWidth="1"/>
    <col min="20" max="20" width="9.21875" style="918" customWidth="1"/>
    <col min="21" max="22" width="5.6640625" style="918" customWidth="1"/>
    <col min="23" max="23" width="7.44140625" style="918" customWidth="1"/>
    <col min="24" max="24" width="5.6640625" style="918" customWidth="1"/>
    <col min="25" max="25" width="7" style="918" customWidth="1"/>
    <col min="26" max="26" width="8" style="918" customWidth="1"/>
    <col min="27" max="27" width="8.21875" style="919" customWidth="1"/>
    <col min="28" max="28" width="8.6640625" style="919" customWidth="1"/>
    <col min="29" max="29" width="8.77734375" style="917" customWidth="1"/>
    <col min="30" max="30" width="3.21875" style="917"/>
    <col min="31" max="31" width="7" style="917" bestFit="1" customWidth="1"/>
    <col min="32" max="16384" width="3.21875" style="917"/>
  </cols>
  <sheetData>
    <row r="1" spans="1:31">
      <c r="A1" s="916"/>
      <c r="B1" s="916"/>
      <c r="C1" s="916"/>
      <c r="D1" s="917"/>
      <c r="E1" s="917"/>
      <c r="F1" s="917"/>
      <c r="G1" s="917"/>
    </row>
    <row r="2" spans="1:31" s="922" customFormat="1" ht="27.75" customHeight="1">
      <c r="A2" s="1597" t="s">
        <v>9187</v>
      </c>
      <c r="B2" s="1597"/>
      <c r="C2" s="1597"/>
      <c r="D2" s="1597"/>
      <c r="E2" s="1597"/>
      <c r="F2" s="1597"/>
      <c r="G2" s="1597"/>
      <c r="H2" s="1597"/>
      <c r="I2" s="920"/>
      <c r="J2" s="920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21"/>
      <c r="AA2" s="920"/>
      <c r="AB2" s="920"/>
    </row>
    <row r="3" spans="1:31" s="925" customFormat="1" ht="27.75" customHeight="1">
      <c r="I3" s="923"/>
      <c r="J3" s="923"/>
      <c r="K3" s="924"/>
      <c r="L3" s="924"/>
      <c r="M3" s="924"/>
      <c r="N3" s="924"/>
      <c r="O3" s="924"/>
      <c r="P3" s="924"/>
      <c r="Q3" s="924"/>
      <c r="R3" s="924"/>
      <c r="S3" s="924"/>
      <c r="T3" s="924"/>
      <c r="U3" s="924"/>
      <c r="V3" s="924"/>
      <c r="W3" s="924"/>
      <c r="X3" s="924"/>
      <c r="Y3" s="924"/>
      <c r="Z3" s="924"/>
      <c r="AA3" s="923"/>
      <c r="AB3" s="923"/>
    </row>
    <row r="4" spans="1:31" s="926" customFormat="1" ht="12.75" thickBot="1">
      <c r="H4" s="927"/>
      <c r="I4" s="928"/>
      <c r="J4" s="928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8"/>
      <c r="AB4" s="928"/>
      <c r="AC4" s="1033"/>
    </row>
    <row r="5" spans="1:31" s="929" customFormat="1" ht="27" customHeight="1">
      <c r="A5" s="1598" t="s">
        <v>1455</v>
      </c>
      <c r="B5" s="1601" t="s">
        <v>1454</v>
      </c>
      <c r="C5" s="1601" t="s">
        <v>1469</v>
      </c>
      <c r="D5" s="1604" t="s">
        <v>8759</v>
      </c>
      <c r="E5" s="1604"/>
      <c r="F5" s="1604"/>
      <c r="G5" s="1609" t="s">
        <v>8790</v>
      </c>
      <c r="H5" s="1591" t="s">
        <v>8791</v>
      </c>
      <c r="I5" s="1606" t="s">
        <v>581</v>
      </c>
      <c r="J5" s="1594" t="s">
        <v>8676</v>
      </c>
      <c r="K5" s="1594"/>
      <c r="L5" s="1594"/>
      <c r="M5" s="1594"/>
      <c r="N5" s="1594"/>
      <c r="O5" s="1594"/>
      <c r="P5" s="1594"/>
      <c r="Q5" s="1594"/>
      <c r="R5" s="1594"/>
      <c r="S5" s="1594"/>
      <c r="T5" s="1594" t="s">
        <v>8677</v>
      </c>
      <c r="U5" s="1594"/>
      <c r="V5" s="1594"/>
      <c r="W5" s="1594"/>
      <c r="X5" s="1594"/>
      <c r="Y5" s="1594"/>
      <c r="Z5" s="1594"/>
      <c r="AA5" s="1594"/>
      <c r="AB5" s="1594" t="s">
        <v>8678</v>
      </c>
      <c r="AC5" s="1586" t="s">
        <v>8674</v>
      </c>
    </row>
    <row r="6" spans="1:31" s="929" customFormat="1" ht="27" customHeight="1">
      <c r="A6" s="1599"/>
      <c r="B6" s="1602"/>
      <c r="C6" s="1602"/>
      <c r="D6" s="1605"/>
      <c r="E6" s="1605"/>
      <c r="F6" s="1605"/>
      <c r="G6" s="1602"/>
      <c r="H6" s="1592"/>
      <c r="I6" s="1607"/>
      <c r="J6" s="1589" t="s">
        <v>8675</v>
      </c>
      <c r="K6" s="1592" t="s">
        <v>8679</v>
      </c>
      <c r="L6" s="1592"/>
      <c r="M6" s="1592"/>
      <c r="N6" s="1592"/>
      <c r="O6" s="1592" t="s">
        <v>8680</v>
      </c>
      <c r="P6" s="1592"/>
      <c r="Q6" s="1592"/>
      <c r="R6" s="1592"/>
      <c r="S6" s="1592" t="s">
        <v>8681</v>
      </c>
      <c r="T6" s="1592" t="s">
        <v>8675</v>
      </c>
      <c r="U6" s="1592" t="s">
        <v>8682</v>
      </c>
      <c r="V6" s="1592"/>
      <c r="W6" s="1592"/>
      <c r="X6" s="1592" t="s">
        <v>8683</v>
      </c>
      <c r="Y6" s="1592"/>
      <c r="Z6" s="1592"/>
      <c r="AA6" s="1589" t="s">
        <v>8681</v>
      </c>
      <c r="AB6" s="1595"/>
      <c r="AC6" s="1587"/>
    </row>
    <row r="7" spans="1:31" s="929" customFormat="1" ht="48" customHeight="1" thickBot="1">
      <c r="A7" s="1600"/>
      <c r="B7" s="1603"/>
      <c r="C7" s="1603"/>
      <c r="D7" s="1171" t="s">
        <v>8861</v>
      </c>
      <c r="E7" s="1058" t="s">
        <v>8860</v>
      </c>
      <c r="F7" s="1058" t="s">
        <v>8859</v>
      </c>
      <c r="G7" s="1603"/>
      <c r="H7" s="1593"/>
      <c r="I7" s="1608"/>
      <c r="J7" s="1590"/>
      <c r="K7" s="1170" t="s">
        <v>8684</v>
      </c>
      <c r="L7" s="1170" t="s">
        <v>8685</v>
      </c>
      <c r="M7" s="1170" t="s">
        <v>8686</v>
      </c>
      <c r="N7" s="1170" t="s">
        <v>8687</v>
      </c>
      <c r="O7" s="1170" t="s">
        <v>8684</v>
      </c>
      <c r="P7" s="1170" t="s">
        <v>8685</v>
      </c>
      <c r="Q7" s="1170" t="s">
        <v>8688</v>
      </c>
      <c r="R7" s="1170" t="s">
        <v>8687</v>
      </c>
      <c r="S7" s="1593"/>
      <c r="T7" s="1593"/>
      <c r="U7" s="1170" t="s">
        <v>8691</v>
      </c>
      <c r="V7" s="1170" t="s">
        <v>8690</v>
      </c>
      <c r="W7" s="1170" t="s">
        <v>8689</v>
      </c>
      <c r="X7" s="1170" t="s">
        <v>8691</v>
      </c>
      <c r="Y7" s="1170" t="s">
        <v>8690</v>
      </c>
      <c r="Z7" s="1170" t="s">
        <v>8689</v>
      </c>
      <c r="AA7" s="1590"/>
      <c r="AB7" s="1596"/>
      <c r="AC7" s="1588"/>
    </row>
    <row r="8" spans="1:31" s="1069" customFormat="1" ht="27.75" customHeight="1">
      <c r="A8" s="1242" t="s">
        <v>98</v>
      </c>
      <c r="B8" s="1076"/>
      <c r="C8" s="1243"/>
      <c r="D8" s="1243"/>
      <c r="E8" s="1243"/>
      <c r="F8" s="1243"/>
      <c r="G8" s="1243"/>
      <c r="H8" s="1375">
        <v>547387</v>
      </c>
      <c r="I8" s="1376">
        <v>463.3</v>
      </c>
      <c r="J8" s="1377">
        <f>K8+O8</f>
        <v>522841</v>
      </c>
      <c r="K8" s="1378">
        <f>L8+M8+N8</f>
        <v>522841</v>
      </c>
      <c r="L8" s="1378"/>
      <c r="M8" s="1378"/>
      <c r="N8" s="1375">
        <v>522841</v>
      </c>
      <c r="O8" s="1378"/>
      <c r="P8" s="1375"/>
      <c r="Q8" s="1375"/>
      <c r="R8" s="1375"/>
      <c r="S8" s="1379">
        <v>103.88</v>
      </c>
      <c r="T8" s="1377">
        <v>24546</v>
      </c>
      <c r="U8" s="1380">
        <f t="shared" ref="U8:AA8" si="0">SUM(U9:U40)</f>
        <v>913</v>
      </c>
      <c r="V8" s="1380">
        <f t="shared" si="0"/>
        <v>201</v>
      </c>
      <c r="W8" s="1380">
        <f t="shared" si="0"/>
        <v>1109</v>
      </c>
      <c r="X8" s="1380">
        <f t="shared" si="0"/>
        <v>425</v>
      </c>
      <c r="Y8" s="1380">
        <f t="shared" si="0"/>
        <v>5030</v>
      </c>
      <c r="Z8" s="1380">
        <f t="shared" si="0"/>
        <v>16868</v>
      </c>
      <c r="AA8" s="1381">
        <f t="shared" si="0"/>
        <v>355.23900000000003</v>
      </c>
      <c r="AB8" s="1382">
        <f t="shared" ref="AB8:AB16" si="1">IF(ISERROR(J8/H8*100),0,J8/H8*100)</f>
        <v>95.515786819928124</v>
      </c>
      <c r="AC8" s="1383">
        <f>IF(ISERROR(N8/H8*100),0,N8/H8*100)</f>
        <v>95.515786819928124</v>
      </c>
      <c r="AE8" s="1244"/>
    </row>
    <row r="9" spans="1:31" s="1069" customFormat="1" ht="27.75" customHeight="1">
      <c r="A9" s="1245" t="s">
        <v>8999</v>
      </c>
      <c r="B9" s="1246" t="s">
        <v>1767</v>
      </c>
      <c r="C9" s="1247" t="s">
        <v>9000</v>
      </c>
      <c r="D9" s="1248" t="s">
        <v>8858</v>
      </c>
      <c r="E9" s="1249" t="s">
        <v>9001</v>
      </c>
      <c r="F9" s="1247" t="s">
        <v>9000</v>
      </c>
      <c r="G9" s="1248"/>
      <c r="H9" s="1384">
        <v>32672</v>
      </c>
      <c r="I9" s="1385">
        <f t="shared" ref="I9:I16" si="2">S9+AA9</f>
        <v>3.3</v>
      </c>
      <c r="J9" s="1380">
        <f t="shared" ref="J9:J16" si="3">K9+O9</f>
        <v>32594</v>
      </c>
      <c r="K9" s="1380">
        <f>L9+M9+N9</f>
        <v>32594</v>
      </c>
      <c r="L9" s="1380"/>
      <c r="M9" s="1380"/>
      <c r="N9" s="1384">
        <v>32594</v>
      </c>
      <c r="O9" s="1380">
        <f t="shared" ref="O9:O16" si="4">P9+Q9+R9</f>
        <v>0</v>
      </c>
      <c r="P9" s="1384"/>
      <c r="Q9" s="1384"/>
      <c r="R9" s="1384"/>
      <c r="S9" s="1386">
        <v>2.2999999999999998</v>
      </c>
      <c r="T9" s="1380">
        <f t="shared" ref="T9:T16" si="5">U9+V9+W9+X9+Y9+Z9</f>
        <v>78</v>
      </c>
      <c r="U9" s="1380">
        <v>78</v>
      </c>
      <c r="V9" s="1380"/>
      <c r="W9" s="1380"/>
      <c r="X9" s="1380"/>
      <c r="Y9" s="1380"/>
      <c r="Z9" s="1384"/>
      <c r="AA9" s="1386">
        <v>1</v>
      </c>
      <c r="AB9" s="1387">
        <f t="shared" si="1"/>
        <v>99.761263467189025</v>
      </c>
      <c r="AC9" s="1388">
        <f t="shared" ref="AC9:AC16" si="6">IF(ISERROR(N9/H9*100),0,N9/H9*100)</f>
        <v>99.761263467189025</v>
      </c>
    </row>
    <row r="10" spans="1:31" s="1069" customFormat="1" ht="27.75" customHeight="1">
      <c r="A10" s="1245" t="s">
        <v>9002</v>
      </c>
      <c r="B10" s="1246" t="s">
        <v>1767</v>
      </c>
      <c r="C10" s="1247" t="s">
        <v>9000</v>
      </c>
      <c r="D10" s="1248" t="s">
        <v>8858</v>
      </c>
      <c r="E10" s="1249" t="s">
        <v>9001</v>
      </c>
      <c r="F10" s="1247" t="s">
        <v>9000</v>
      </c>
      <c r="G10" s="1248"/>
      <c r="H10" s="1384">
        <v>48299</v>
      </c>
      <c r="I10" s="1385">
        <f t="shared" si="2"/>
        <v>10.1</v>
      </c>
      <c r="J10" s="1380">
        <f t="shared" si="3"/>
        <v>48227</v>
      </c>
      <c r="K10" s="1380">
        <f>L10+M10+N10</f>
        <v>48227</v>
      </c>
      <c r="L10" s="1380"/>
      <c r="M10" s="1380"/>
      <c r="N10" s="1384">
        <v>48227</v>
      </c>
      <c r="O10" s="1380">
        <f t="shared" si="4"/>
        <v>0</v>
      </c>
      <c r="P10" s="1384"/>
      <c r="Q10" s="1384"/>
      <c r="R10" s="1384"/>
      <c r="S10" s="1386">
        <v>3.06</v>
      </c>
      <c r="T10" s="1380">
        <f t="shared" si="5"/>
        <v>72</v>
      </c>
      <c r="U10" s="1380">
        <v>72</v>
      </c>
      <c r="V10" s="1380"/>
      <c r="W10" s="1380"/>
      <c r="X10" s="1380"/>
      <c r="Y10" s="1380"/>
      <c r="Z10" s="1384"/>
      <c r="AA10" s="1386">
        <v>7.04</v>
      </c>
      <c r="AB10" s="1387">
        <f t="shared" si="1"/>
        <v>99.85092859065405</v>
      </c>
      <c r="AC10" s="1388">
        <f t="shared" si="6"/>
        <v>99.85092859065405</v>
      </c>
    </row>
    <row r="11" spans="1:31" s="1069" customFormat="1" ht="27.75" customHeight="1">
      <c r="A11" s="1245" t="s">
        <v>9003</v>
      </c>
      <c r="B11" s="1246" t="s">
        <v>1767</v>
      </c>
      <c r="C11" s="1247" t="s">
        <v>9000</v>
      </c>
      <c r="D11" s="1248" t="s">
        <v>8858</v>
      </c>
      <c r="E11" s="1249" t="s">
        <v>9001</v>
      </c>
      <c r="F11" s="1247" t="s">
        <v>9000</v>
      </c>
      <c r="G11" s="1248"/>
      <c r="H11" s="1384">
        <v>5105</v>
      </c>
      <c r="I11" s="1385">
        <f t="shared" si="2"/>
        <v>0.65</v>
      </c>
      <c r="J11" s="1380">
        <f>K11+O11</f>
        <v>5019</v>
      </c>
      <c r="K11" s="1380">
        <f>L11+M11+N11</f>
        <v>5019</v>
      </c>
      <c r="L11" s="1380"/>
      <c r="M11" s="1380"/>
      <c r="N11" s="1384">
        <v>5019</v>
      </c>
      <c r="O11" s="1380">
        <f t="shared" si="4"/>
        <v>0</v>
      </c>
      <c r="P11" s="1384"/>
      <c r="Q11" s="1384"/>
      <c r="R11" s="1384"/>
      <c r="S11" s="1386">
        <v>0.52</v>
      </c>
      <c r="T11" s="1380">
        <f t="shared" si="5"/>
        <v>86</v>
      </c>
      <c r="U11" s="1380">
        <v>86</v>
      </c>
      <c r="V11" s="1380"/>
      <c r="W11" s="1380"/>
      <c r="X11" s="1380"/>
      <c r="Y11" s="1380"/>
      <c r="Z11" s="1384"/>
      <c r="AA11" s="1386">
        <v>0.13</v>
      </c>
      <c r="AB11" s="1387">
        <f t="shared" si="1"/>
        <v>98.315377081292851</v>
      </c>
      <c r="AC11" s="1388">
        <f t="shared" si="6"/>
        <v>98.315377081292851</v>
      </c>
    </row>
    <row r="12" spans="1:31" s="1069" customFormat="1" ht="27.75" customHeight="1">
      <c r="A12" s="1245" t="s">
        <v>9004</v>
      </c>
      <c r="B12" s="1247" t="s">
        <v>1767</v>
      </c>
      <c r="C12" s="1247" t="s">
        <v>9000</v>
      </c>
      <c r="D12" s="1248" t="s">
        <v>8858</v>
      </c>
      <c r="E12" s="1249" t="s">
        <v>9001</v>
      </c>
      <c r="F12" s="1247" t="s">
        <v>9000</v>
      </c>
      <c r="G12" s="1248"/>
      <c r="H12" s="1384">
        <v>51219</v>
      </c>
      <c r="I12" s="1385">
        <f t="shared" si="2"/>
        <v>2.92</v>
      </c>
      <c r="J12" s="1380">
        <f t="shared" si="3"/>
        <v>51143</v>
      </c>
      <c r="K12" s="1380">
        <f>L12+M12+N12</f>
        <v>51143</v>
      </c>
      <c r="L12" s="1380"/>
      <c r="M12" s="1381"/>
      <c r="N12" s="1384">
        <v>51143</v>
      </c>
      <c r="O12" s="1380">
        <f t="shared" si="4"/>
        <v>0</v>
      </c>
      <c r="P12" s="1384"/>
      <c r="Q12" s="1384"/>
      <c r="R12" s="1384"/>
      <c r="S12" s="1386">
        <v>1.96</v>
      </c>
      <c r="T12" s="1380">
        <f t="shared" si="5"/>
        <v>76</v>
      </c>
      <c r="U12" s="1380">
        <v>76</v>
      </c>
      <c r="V12" s="1380"/>
      <c r="W12" s="1380"/>
      <c r="X12" s="1380"/>
      <c r="Y12" s="1380"/>
      <c r="Z12" s="1384"/>
      <c r="AA12" s="1386">
        <v>0.96</v>
      </c>
      <c r="AB12" s="1387">
        <f t="shared" si="1"/>
        <v>99.851617563794676</v>
      </c>
      <c r="AC12" s="1388">
        <f t="shared" si="6"/>
        <v>99.851617563794676</v>
      </c>
    </row>
    <row r="13" spans="1:31" s="1069" customFormat="1" ht="27.75" customHeight="1">
      <c r="A13" s="1245" t="s">
        <v>9005</v>
      </c>
      <c r="B13" s="1247" t="s">
        <v>1767</v>
      </c>
      <c r="C13" s="1247" t="s">
        <v>9000</v>
      </c>
      <c r="D13" s="1248" t="s">
        <v>8858</v>
      </c>
      <c r="E13" s="1249" t="s">
        <v>9001</v>
      </c>
      <c r="F13" s="1247" t="s">
        <v>9000</v>
      </c>
      <c r="G13" s="1248"/>
      <c r="H13" s="1384">
        <v>33805</v>
      </c>
      <c r="I13" s="1385">
        <f t="shared" si="2"/>
        <v>2.6</v>
      </c>
      <c r="J13" s="1380">
        <f t="shared" si="3"/>
        <v>33737</v>
      </c>
      <c r="K13" s="1380">
        <f t="shared" ref="K13:K35" si="7">L13+M13+N13</f>
        <v>33737</v>
      </c>
      <c r="L13" s="1380"/>
      <c r="M13" s="1380"/>
      <c r="N13" s="1384">
        <v>33737</v>
      </c>
      <c r="O13" s="1380">
        <f t="shared" si="4"/>
        <v>0</v>
      </c>
      <c r="P13" s="1384"/>
      <c r="Q13" s="1384"/>
      <c r="R13" s="1384"/>
      <c r="S13" s="1386">
        <v>1.6</v>
      </c>
      <c r="T13" s="1380">
        <f t="shared" si="5"/>
        <v>68</v>
      </c>
      <c r="U13" s="1380">
        <v>68</v>
      </c>
      <c r="V13" s="1380"/>
      <c r="W13" s="1380"/>
      <c r="X13" s="1380"/>
      <c r="Y13" s="1380"/>
      <c r="Z13" s="1384"/>
      <c r="AA13" s="1386">
        <v>1</v>
      </c>
      <c r="AB13" s="1387">
        <f t="shared" si="1"/>
        <v>99.798846324508204</v>
      </c>
      <c r="AC13" s="1388">
        <f t="shared" si="6"/>
        <v>99.798846324508204</v>
      </c>
    </row>
    <row r="14" spans="1:31" s="1069" customFormat="1" ht="27.75" customHeight="1">
      <c r="A14" s="1245" t="s">
        <v>9006</v>
      </c>
      <c r="B14" s="1247" t="s">
        <v>1767</v>
      </c>
      <c r="C14" s="1247" t="s">
        <v>9000</v>
      </c>
      <c r="D14" s="1248" t="s">
        <v>8858</v>
      </c>
      <c r="E14" s="1249" t="s">
        <v>9001</v>
      </c>
      <c r="F14" s="1247" t="s">
        <v>9000</v>
      </c>
      <c r="G14" s="1248"/>
      <c r="H14" s="1384">
        <v>10707</v>
      </c>
      <c r="I14" s="1385">
        <f t="shared" si="2"/>
        <v>1.9100000000000001</v>
      </c>
      <c r="J14" s="1380">
        <f t="shared" si="3"/>
        <v>10662</v>
      </c>
      <c r="K14" s="1380">
        <f t="shared" si="7"/>
        <v>10662</v>
      </c>
      <c r="L14" s="1380"/>
      <c r="M14" s="1380"/>
      <c r="N14" s="1384">
        <v>10662</v>
      </c>
      <c r="O14" s="1380">
        <f t="shared" si="4"/>
        <v>0</v>
      </c>
      <c r="P14" s="1384"/>
      <c r="Q14" s="1384"/>
      <c r="R14" s="1384"/>
      <c r="S14" s="1386">
        <v>0.89</v>
      </c>
      <c r="T14" s="1380">
        <f t="shared" si="5"/>
        <v>45</v>
      </c>
      <c r="U14" s="1380">
        <v>45</v>
      </c>
      <c r="V14" s="1380"/>
      <c r="W14" s="1380"/>
      <c r="X14" s="1380"/>
      <c r="Y14" s="1380"/>
      <c r="Z14" s="1384"/>
      <c r="AA14" s="1386">
        <v>1.02</v>
      </c>
      <c r="AB14" s="1387">
        <f t="shared" si="1"/>
        <v>99.579714205659855</v>
      </c>
      <c r="AC14" s="1388">
        <f t="shared" si="6"/>
        <v>99.579714205659855</v>
      </c>
    </row>
    <row r="15" spans="1:31" s="1069" customFormat="1" ht="27.75" customHeight="1">
      <c r="A15" s="1245" t="s">
        <v>9007</v>
      </c>
      <c r="B15" s="1247" t="s">
        <v>1767</v>
      </c>
      <c r="C15" s="1247" t="s">
        <v>9000</v>
      </c>
      <c r="D15" s="1248" t="s">
        <v>8858</v>
      </c>
      <c r="E15" s="1249" t="s">
        <v>9001</v>
      </c>
      <c r="F15" s="1247" t="s">
        <v>9000</v>
      </c>
      <c r="G15" s="1248"/>
      <c r="H15" s="1384">
        <v>1943</v>
      </c>
      <c r="I15" s="1385">
        <f t="shared" si="2"/>
        <v>0.33999999999999997</v>
      </c>
      <c r="J15" s="1380">
        <f t="shared" si="3"/>
        <v>1943</v>
      </c>
      <c r="K15" s="1380">
        <f t="shared" si="7"/>
        <v>1943</v>
      </c>
      <c r="L15" s="1380"/>
      <c r="M15" s="1380"/>
      <c r="N15" s="1384">
        <v>1943</v>
      </c>
      <c r="O15" s="1380">
        <f t="shared" si="4"/>
        <v>0</v>
      </c>
      <c r="P15" s="1384"/>
      <c r="Q15" s="1384"/>
      <c r="R15" s="1384"/>
      <c r="S15" s="1386">
        <v>0.3</v>
      </c>
      <c r="T15" s="1380">
        <f t="shared" si="5"/>
        <v>0</v>
      </c>
      <c r="U15" s="1380">
        <v>0</v>
      </c>
      <c r="V15" s="1380"/>
      <c r="W15" s="1380"/>
      <c r="X15" s="1380"/>
      <c r="Y15" s="1380"/>
      <c r="Z15" s="1384"/>
      <c r="AA15" s="1386">
        <v>0.04</v>
      </c>
      <c r="AB15" s="1387">
        <f t="shared" si="1"/>
        <v>100</v>
      </c>
      <c r="AC15" s="1388">
        <f t="shared" si="6"/>
        <v>100</v>
      </c>
    </row>
    <row r="16" spans="1:31" s="1069" customFormat="1" ht="27.75" customHeight="1">
      <c r="A16" s="1245" t="s">
        <v>9008</v>
      </c>
      <c r="B16" s="1247" t="s">
        <v>1767</v>
      </c>
      <c r="C16" s="1247" t="s">
        <v>9000</v>
      </c>
      <c r="D16" s="1248" t="s">
        <v>8858</v>
      </c>
      <c r="E16" s="1249" t="s">
        <v>9001</v>
      </c>
      <c r="F16" s="1247" t="s">
        <v>9000</v>
      </c>
      <c r="G16" s="1248"/>
      <c r="H16" s="1384">
        <v>6960</v>
      </c>
      <c r="I16" s="1385">
        <f t="shared" si="2"/>
        <v>0.96</v>
      </c>
      <c r="J16" s="1380">
        <f t="shared" si="3"/>
        <v>6943</v>
      </c>
      <c r="K16" s="1380">
        <f t="shared" si="7"/>
        <v>6943</v>
      </c>
      <c r="L16" s="1380"/>
      <c r="M16" s="1380"/>
      <c r="N16" s="1384">
        <v>6943</v>
      </c>
      <c r="O16" s="1380">
        <f t="shared" si="4"/>
        <v>0</v>
      </c>
      <c r="P16" s="1384"/>
      <c r="Q16" s="1384"/>
      <c r="R16" s="1384"/>
      <c r="S16" s="1386">
        <v>0.74</v>
      </c>
      <c r="T16" s="1380">
        <f t="shared" si="5"/>
        <v>17</v>
      </c>
      <c r="U16" s="1380">
        <v>17</v>
      </c>
      <c r="V16" s="1380"/>
      <c r="W16" s="1380"/>
      <c r="X16" s="1380"/>
      <c r="Y16" s="1380"/>
      <c r="Z16" s="1384"/>
      <c r="AA16" s="1386">
        <v>0.22</v>
      </c>
      <c r="AB16" s="1387">
        <f t="shared" si="1"/>
        <v>99.755747126436773</v>
      </c>
      <c r="AC16" s="1388">
        <f t="shared" si="6"/>
        <v>99.755747126436773</v>
      </c>
    </row>
    <row r="17" spans="1:29" s="1069" customFormat="1" ht="27.75" customHeight="1">
      <c r="A17" s="1245" t="s">
        <v>9009</v>
      </c>
      <c r="B17" s="1247" t="s">
        <v>1767</v>
      </c>
      <c r="C17" s="1247" t="s">
        <v>9000</v>
      </c>
      <c r="D17" s="1248" t="s">
        <v>8858</v>
      </c>
      <c r="E17" s="1249" t="s">
        <v>9001</v>
      </c>
      <c r="F17" s="1247" t="s">
        <v>9000</v>
      </c>
      <c r="G17" s="1248"/>
      <c r="H17" s="1384">
        <v>10765</v>
      </c>
      <c r="I17" s="1385">
        <f>S17+AA17</f>
        <v>2.1399999999999997</v>
      </c>
      <c r="J17" s="1380">
        <f>K17+O17</f>
        <v>10751</v>
      </c>
      <c r="K17" s="1380">
        <f t="shared" si="7"/>
        <v>10751</v>
      </c>
      <c r="L17" s="1380"/>
      <c r="M17" s="1380"/>
      <c r="N17" s="1384">
        <v>10751</v>
      </c>
      <c r="O17" s="1380">
        <f>P17+Q17+R17</f>
        <v>0</v>
      </c>
      <c r="P17" s="1384"/>
      <c r="Q17" s="1384"/>
      <c r="R17" s="1384"/>
      <c r="S17" s="1386">
        <v>0.71</v>
      </c>
      <c r="T17" s="1380">
        <f>U17+V17+W17+X17+Y17+Z17</f>
        <v>14</v>
      </c>
      <c r="U17" s="1380">
        <v>14</v>
      </c>
      <c r="V17" s="1380"/>
      <c r="W17" s="1380"/>
      <c r="X17" s="1380"/>
      <c r="Y17" s="1380"/>
      <c r="Z17" s="1384"/>
      <c r="AA17" s="1386">
        <v>1.43</v>
      </c>
      <c r="AB17" s="1387">
        <f>IF(ISERROR(J17/H17*100),0,J17/H17*100)</f>
        <v>99.869948908499779</v>
      </c>
      <c r="AC17" s="1388">
        <f>IF(ISERROR(N17/H17*100),0,N17/H17*100)</f>
        <v>99.869948908499779</v>
      </c>
    </row>
    <row r="18" spans="1:29" s="1069" customFormat="1" ht="27.75" customHeight="1">
      <c r="A18" s="1245" t="s">
        <v>9010</v>
      </c>
      <c r="B18" s="1247" t="s">
        <v>1767</v>
      </c>
      <c r="C18" s="1247" t="s">
        <v>9000</v>
      </c>
      <c r="D18" s="1248" t="s">
        <v>8858</v>
      </c>
      <c r="E18" s="1249" t="s">
        <v>9001</v>
      </c>
      <c r="F18" s="1247" t="s">
        <v>9000</v>
      </c>
      <c r="G18" s="1248"/>
      <c r="H18" s="1384">
        <v>1113</v>
      </c>
      <c r="I18" s="1385">
        <f t="shared" ref="I18:I40" si="8">S18+AA18</f>
        <v>2.56</v>
      </c>
      <c r="J18" s="1380">
        <f t="shared" ref="J18:J39" si="9">K18+O18</f>
        <v>1108</v>
      </c>
      <c r="K18" s="1380">
        <f t="shared" si="7"/>
        <v>1108</v>
      </c>
      <c r="L18" s="1380"/>
      <c r="M18" s="1380"/>
      <c r="N18" s="1384">
        <v>1108</v>
      </c>
      <c r="O18" s="1380">
        <f t="shared" ref="O18:O40" si="10">P18+Q18+R18</f>
        <v>0</v>
      </c>
      <c r="P18" s="1384"/>
      <c r="Q18" s="1384"/>
      <c r="R18" s="1384"/>
      <c r="S18" s="1386">
        <v>0.27</v>
      </c>
      <c r="T18" s="1380">
        <f t="shared" ref="T18:T39" si="11">U18+V18+W18+X18+Y18+Z18</f>
        <v>5</v>
      </c>
      <c r="U18" s="1380">
        <v>5</v>
      </c>
      <c r="V18" s="1380"/>
      <c r="W18" s="1380"/>
      <c r="X18" s="1380"/>
      <c r="Y18" s="1380"/>
      <c r="Z18" s="1384"/>
      <c r="AA18" s="1386">
        <v>2.29</v>
      </c>
      <c r="AB18" s="1387">
        <f t="shared" ref="AB18:AB40" si="12">IF(ISERROR(J18/H18*100),0,J18/H18*100)</f>
        <v>99.550763701707098</v>
      </c>
      <c r="AC18" s="1388">
        <f t="shared" ref="AC18:AC40" si="13">IF(ISERROR(N18/H18*100),0,N18/H18*100)</f>
        <v>99.550763701707098</v>
      </c>
    </row>
    <row r="19" spans="1:29" s="1069" customFormat="1" ht="27.75" customHeight="1">
      <c r="A19" s="1245" t="s">
        <v>9011</v>
      </c>
      <c r="B19" s="1247" t="s">
        <v>1767</v>
      </c>
      <c r="C19" s="1247" t="s">
        <v>9000</v>
      </c>
      <c r="D19" s="1248" t="s">
        <v>8858</v>
      </c>
      <c r="E19" s="1249" t="s">
        <v>9001</v>
      </c>
      <c r="F19" s="1247" t="s">
        <v>9000</v>
      </c>
      <c r="G19" s="1248"/>
      <c r="H19" s="1384">
        <v>312</v>
      </c>
      <c r="I19" s="1385">
        <f t="shared" si="8"/>
        <v>1.72</v>
      </c>
      <c r="J19" s="1380">
        <f t="shared" si="9"/>
        <v>309</v>
      </c>
      <c r="K19" s="1380">
        <f t="shared" si="7"/>
        <v>309</v>
      </c>
      <c r="L19" s="1380"/>
      <c r="M19" s="1380"/>
      <c r="N19" s="1384">
        <v>309</v>
      </c>
      <c r="O19" s="1380">
        <f t="shared" si="10"/>
        <v>0</v>
      </c>
      <c r="P19" s="1384"/>
      <c r="Q19" s="1384"/>
      <c r="R19" s="1384"/>
      <c r="S19" s="1386">
        <v>0.2</v>
      </c>
      <c r="T19" s="1380">
        <f t="shared" si="11"/>
        <v>3</v>
      </c>
      <c r="U19" s="1380">
        <v>3</v>
      </c>
      <c r="V19" s="1380"/>
      <c r="W19" s="1380"/>
      <c r="X19" s="1380"/>
      <c r="Y19" s="1380"/>
      <c r="Z19" s="1384"/>
      <c r="AA19" s="1386">
        <v>1.52</v>
      </c>
      <c r="AB19" s="1387">
        <f t="shared" si="12"/>
        <v>99.038461538461547</v>
      </c>
      <c r="AC19" s="1388">
        <f t="shared" si="13"/>
        <v>99.038461538461547</v>
      </c>
    </row>
    <row r="20" spans="1:29" s="1069" customFormat="1" ht="27.75" customHeight="1">
      <c r="A20" s="1245" t="s">
        <v>9012</v>
      </c>
      <c r="B20" s="1247" t="s">
        <v>1767</v>
      </c>
      <c r="C20" s="1247" t="s">
        <v>9000</v>
      </c>
      <c r="D20" s="1248" t="s">
        <v>8858</v>
      </c>
      <c r="E20" s="1249" t="s">
        <v>9001</v>
      </c>
      <c r="F20" s="1247" t="s">
        <v>9000</v>
      </c>
      <c r="G20" s="1248"/>
      <c r="H20" s="1384">
        <v>549</v>
      </c>
      <c r="I20" s="1385">
        <f t="shared" si="8"/>
        <v>2.14</v>
      </c>
      <c r="J20" s="1380">
        <f t="shared" si="9"/>
        <v>533</v>
      </c>
      <c r="K20" s="1380">
        <f t="shared" si="7"/>
        <v>533</v>
      </c>
      <c r="L20" s="1380"/>
      <c r="M20" s="1380"/>
      <c r="N20" s="1384">
        <v>533</v>
      </c>
      <c r="O20" s="1380">
        <f t="shared" si="10"/>
        <v>0</v>
      </c>
      <c r="P20" s="1384"/>
      <c r="Q20" s="1384"/>
      <c r="R20" s="1384"/>
      <c r="S20" s="1386">
        <v>0.27</v>
      </c>
      <c r="T20" s="1380">
        <f t="shared" si="11"/>
        <v>16</v>
      </c>
      <c r="U20" s="1380">
        <v>0</v>
      </c>
      <c r="V20" s="1380">
        <v>11</v>
      </c>
      <c r="W20" s="1380">
        <v>5</v>
      </c>
      <c r="X20" s="1380"/>
      <c r="Y20" s="1380"/>
      <c r="Z20" s="1384"/>
      <c r="AA20" s="1386">
        <v>1.87</v>
      </c>
      <c r="AB20" s="1387">
        <f t="shared" si="12"/>
        <v>97.0856102003643</v>
      </c>
      <c r="AC20" s="1388">
        <f t="shared" si="13"/>
        <v>97.0856102003643</v>
      </c>
    </row>
    <row r="21" spans="1:29" s="1069" customFormat="1" ht="27.75" customHeight="1">
      <c r="A21" s="1245" t="s">
        <v>9013</v>
      </c>
      <c r="B21" s="1247" t="s">
        <v>1767</v>
      </c>
      <c r="C21" s="1247" t="s">
        <v>9000</v>
      </c>
      <c r="D21" s="1248" t="s">
        <v>8858</v>
      </c>
      <c r="E21" s="1249" t="s">
        <v>9001</v>
      </c>
      <c r="F21" s="1247" t="s">
        <v>9000</v>
      </c>
      <c r="G21" s="1248"/>
      <c r="H21" s="1384">
        <v>1438</v>
      </c>
      <c r="I21" s="1385">
        <f t="shared" si="8"/>
        <v>7.87</v>
      </c>
      <c r="J21" s="1380">
        <f t="shared" si="9"/>
        <v>1397</v>
      </c>
      <c r="K21" s="1380">
        <f t="shared" si="7"/>
        <v>1397</v>
      </c>
      <c r="L21" s="1380"/>
      <c r="M21" s="1380"/>
      <c r="N21" s="1384">
        <v>1397</v>
      </c>
      <c r="O21" s="1380">
        <f t="shared" si="10"/>
        <v>0</v>
      </c>
      <c r="P21" s="1384"/>
      <c r="Q21" s="1384"/>
      <c r="R21" s="1384"/>
      <c r="S21" s="1386">
        <v>0.59</v>
      </c>
      <c r="T21" s="1380">
        <f t="shared" si="11"/>
        <v>41</v>
      </c>
      <c r="U21" s="1380">
        <v>5</v>
      </c>
      <c r="V21" s="1380">
        <v>8</v>
      </c>
      <c r="W21" s="1380">
        <v>28</v>
      </c>
      <c r="X21" s="1380"/>
      <c r="Y21" s="1380"/>
      <c r="Z21" s="1384"/>
      <c r="AA21" s="1386">
        <v>7.28</v>
      </c>
      <c r="AB21" s="1387">
        <f t="shared" si="12"/>
        <v>97.148817802503473</v>
      </c>
      <c r="AC21" s="1388">
        <f t="shared" si="13"/>
        <v>97.148817802503473</v>
      </c>
    </row>
    <row r="22" spans="1:29" s="1069" customFormat="1" ht="27.75" customHeight="1">
      <c r="A22" s="1245" t="s">
        <v>9014</v>
      </c>
      <c r="B22" s="1247" t="s">
        <v>1767</v>
      </c>
      <c r="C22" s="1247" t="s">
        <v>9000</v>
      </c>
      <c r="D22" s="1248" t="s">
        <v>8858</v>
      </c>
      <c r="E22" s="1249" t="s">
        <v>9001</v>
      </c>
      <c r="F22" s="1247" t="s">
        <v>9000</v>
      </c>
      <c r="G22" s="1248"/>
      <c r="H22" s="1384">
        <v>3713</v>
      </c>
      <c r="I22" s="1385">
        <f t="shared" si="8"/>
        <v>1.93</v>
      </c>
      <c r="J22" s="1380">
        <f t="shared" si="9"/>
        <v>3584</v>
      </c>
      <c r="K22" s="1380">
        <f t="shared" si="7"/>
        <v>3584</v>
      </c>
      <c r="L22" s="1380"/>
      <c r="M22" s="1380"/>
      <c r="N22" s="1384">
        <v>3584</v>
      </c>
      <c r="O22" s="1380">
        <f t="shared" si="10"/>
        <v>0</v>
      </c>
      <c r="P22" s="1384"/>
      <c r="Q22" s="1384"/>
      <c r="R22" s="1384"/>
      <c r="S22" s="1386">
        <v>0.42</v>
      </c>
      <c r="T22" s="1380">
        <f t="shared" si="11"/>
        <v>129</v>
      </c>
      <c r="U22" s="1380">
        <v>3</v>
      </c>
      <c r="V22" s="1380">
        <v>15</v>
      </c>
      <c r="W22" s="1380">
        <v>111</v>
      </c>
      <c r="X22" s="1380"/>
      <c r="Y22" s="1380"/>
      <c r="Z22" s="1384"/>
      <c r="AA22" s="1386">
        <v>1.51</v>
      </c>
      <c r="AB22" s="1387">
        <f t="shared" si="12"/>
        <v>96.525720441691348</v>
      </c>
      <c r="AC22" s="1388">
        <f t="shared" si="13"/>
        <v>96.525720441691348</v>
      </c>
    </row>
    <row r="23" spans="1:29" s="1069" customFormat="1" ht="27.75" customHeight="1">
      <c r="A23" s="1245" t="s">
        <v>9015</v>
      </c>
      <c r="B23" s="1247" t="s">
        <v>1767</v>
      </c>
      <c r="C23" s="1247" t="s">
        <v>9000</v>
      </c>
      <c r="D23" s="1248" t="s">
        <v>8858</v>
      </c>
      <c r="E23" s="1249" t="s">
        <v>9001</v>
      </c>
      <c r="F23" s="1247" t="s">
        <v>9000</v>
      </c>
      <c r="G23" s="1248"/>
      <c r="H23" s="1384">
        <v>2935</v>
      </c>
      <c r="I23" s="1385">
        <f t="shared" si="8"/>
        <v>2.5099999999999998</v>
      </c>
      <c r="J23" s="1380">
        <f t="shared" si="9"/>
        <v>2929</v>
      </c>
      <c r="K23" s="1380">
        <f t="shared" si="7"/>
        <v>2929</v>
      </c>
      <c r="L23" s="1380"/>
      <c r="M23" s="1380"/>
      <c r="N23" s="1384">
        <v>2929</v>
      </c>
      <c r="O23" s="1380">
        <f t="shared" si="10"/>
        <v>0</v>
      </c>
      <c r="P23" s="1384"/>
      <c r="Q23" s="1384"/>
      <c r="R23" s="1384"/>
      <c r="S23" s="1386">
        <v>0.24</v>
      </c>
      <c r="T23" s="1380">
        <f t="shared" si="11"/>
        <v>6</v>
      </c>
      <c r="U23" s="1380">
        <v>6</v>
      </c>
      <c r="V23" s="1380">
        <v>0</v>
      </c>
      <c r="W23" s="1380">
        <v>0</v>
      </c>
      <c r="X23" s="1380"/>
      <c r="Y23" s="1380"/>
      <c r="Z23" s="1384"/>
      <c r="AA23" s="1386">
        <v>2.27</v>
      </c>
      <c r="AB23" s="1387">
        <f t="shared" si="12"/>
        <v>99.79557069846679</v>
      </c>
      <c r="AC23" s="1388">
        <f t="shared" si="13"/>
        <v>99.79557069846679</v>
      </c>
    </row>
    <row r="24" spans="1:29" s="1069" customFormat="1" ht="27.75" customHeight="1">
      <c r="A24" s="1245" t="s">
        <v>9016</v>
      </c>
      <c r="B24" s="1247" t="s">
        <v>1767</v>
      </c>
      <c r="C24" s="1247" t="s">
        <v>9000</v>
      </c>
      <c r="D24" s="1248" t="s">
        <v>8858</v>
      </c>
      <c r="E24" s="1249" t="s">
        <v>9001</v>
      </c>
      <c r="F24" s="1247" t="s">
        <v>9000</v>
      </c>
      <c r="G24" s="1248"/>
      <c r="H24" s="1384">
        <v>300</v>
      </c>
      <c r="I24" s="1385">
        <f t="shared" si="8"/>
        <v>1.26</v>
      </c>
      <c r="J24" s="1380">
        <f t="shared" si="9"/>
        <v>284</v>
      </c>
      <c r="K24" s="1380">
        <f>L24+M24+N24</f>
        <v>284</v>
      </c>
      <c r="L24" s="1380"/>
      <c r="M24" s="1380"/>
      <c r="N24" s="1384">
        <v>284</v>
      </c>
      <c r="O24" s="1380">
        <f t="shared" si="10"/>
        <v>0</v>
      </c>
      <c r="P24" s="1384"/>
      <c r="Q24" s="1384"/>
      <c r="R24" s="1384"/>
      <c r="S24" s="1386">
        <v>0.63</v>
      </c>
      <c r="T24" s="1380">
        <f t="shared" si="11"/>
        <v>16</v>
      </c>
      <c r="U24" s="1380">
        <v>6</v>
      </c>
      <c r="V24" s="1380">
        <v>6</v>
      </c>
      <c r="W24" s="1380">
        <v>4</v>
      </c>
      <c r="X24" s="1380"/>
      <c r="Y24" s="1380"/>
      <c r="Z24" s="1384"/>
      <c r="AA24" s="1386">
        <v>0.63</v>
      </c>
      <c r="AB24" s="1387">
        <f t="shared" si="12"/>
        <v>94.666666666666671</v>
      </c>
      <c r="AC24" s="1388">
        <f t="shared" si="13"/>
        <v>94.666666666666671</v>
      </c>
    </row>
    <row r="25" spans="1:29" s="1069" customFormat="1" ht="27.75" customHeight="1">
      <c r="A25" s="1245" t="s">
        <v>9017</v>
      </c>
      <c r="B25" s="1247" t="s">
        <v>1767</v>
      </c>
      <c r="C25" s="1247" t="s">
        <v>9018</v>
      </c>
      <c r="D25" s="1248" t="s">
        <v>8858</v>
      </c>
      <c r="E25" s="1249" t="s">
        <v>9001</v>
      </c>
      <c r="F25" s="1247" t="s">
        <v>667</v>
      </c>
      <c r="G25" s="1248"/>
      <c r="H25" s="1384">
        <v>26448</v>
      </c>
      <c r="I25" s="1385">
        <f t="shared" si="8"/>
        <v>3.3099999999999996</v>
      </c>
      <c r="J25" s="1380">
        <f t="shared" si="9"/>
        <v>26406</v>
      </c>
      <c r="K25" s="1380">
        <f>L25+M25+N25</f>
        <v>26406</v>
      </c>
      <c r="L25" s="1380"/>
      <c r="M25" s="1380"/>
      <c r="N25" s="1384">
        <v>26406</v>
      </c>
      <c r="O25" s="1380">
        <f t="shared" si="10"/>
        <v>0</v>
      </c>
      <c r="P25" s="1384"/>
      <c r="Q25" s="1384"/>
      <c r="R25" s="1384"/>
      <c r="S25" s="1386">
        <v>1.66</v>
      </c>
      <c r="T25" s="1380">
        <f t="shared" si="11"/>
        <v>42</v>
      </c>
      <c r="U25" s="1380">
        <v>42</v>
      </c>
      <c r="V25" s="1380"/>
      <c r="W25" s="1380"/>
      <c r="X25" s="1380"/>
      <c r="Y25" s="1380"/>
      <c r="Z25" s="1384"/>
      <c r="AA25" s="1386">
        <v>1.65</v>
      </c>
      <c r="AB25" s="1387">
        <f t="shared" si="12"/>
        <v>99.841197822141552</v>
      </c>
      <c r="AC25" s="1388">
        <f t="shared" si="13"/>
        <v>99.841197822141552</v>
      </c>
    </row>
    <row r="26" spans="1:29" s="1069" customFormat="1" ht="27.75" customHeight="1">
      <c r="A26" s="1245" t="s">
        <v>9019</v>
      </c>
      <c r="B26" s="1247" t="s">
        <v>1767</v>
      </c>
      <c r="C26" s="1247" t="s">
        <v>9018</v>
      </c>
      <c r="D26" s="1248" t="s">
        <v>8858</v>
      </c>
      <c r="E26" s="1249" t="s">
        <v>9001</v>
      </c>
      <c r="F26" s="1247" t="s">
        <v>667</v>
      </c>
      <c r="G26" s="1248"/>
      <c r="H26" s="1384">
        <v>20261</v>
      </c>
      <c r="I26" s="1385">
        <f t="shared" si="8"/>
        <v>2.58</v>
      </c>
      <c r="J26" s="1380">
        <f t="shared" si="9"/>
        <v>20205</v>
      </c>
      <c r="K26" s="1380">
        <f>L26+M26+N26</f>
        <v>20205</v>
      </c>
      <c r="L26" s="1380"/>
      <c r="M26" s="1380"/>
      <c r="N26" s="1384">
        <v>20205</v>
      </c>
      <c r="O26" s="1380">
        <f t="shared" si="10"/>
        <v>0</v>
      </c>
      <c r="P26" s="1384"/>
      <c r="Q26" s="1384"/>
      <c r="R26" s="1384"/>
      <c r="S26" s="1386">
        <v>0.94</v>
      </c>
      <c r="T26" s="1380">
        <f t="shared" si="11"/>
        <v>56</v>
      </c>
      <c r="U26" s="1380">
        <v>56</v>
      </c>
      <c r="V26" s="1380"/>
      <c r="W26" s="1380"/>
      <c r="X26" s="1380"/>
      <c r="Y26" s="1380"/>
      <c r="Z26" s="1384"/>
      <c r="AA26" s="1386">
        <v>1.64</v>
      </c>
      <c r="AB26" s="1387">
        <f t="shared" si="12"/>
        <v>99.723606929569115</v>
      </c>
      <c r="AC26" s="1388">
        <f t="shared" si="13"/>
        <v>99.723606929569115</v>
      </c>
    </row>
    <row r="27" spans="1:29" s="1069" customFormat="1" ht="27.75" customHeight="1">
      <c r="A27" s="1245" t="s">
        <v>9020</v>
      </c>
      <c r="B27" s="1247" t="s">
        <v>1767</v>
      </c>
      <c r="C27" s="1247" t="s">
        <v>9018</v>
      </c>
      <c r="D27" s="1248" t="s">
        <v>8858</v>
      </c>
      <c r="E27" s="1249" t="s">
        <v>9001</v>
      </c>
      <c r="F27" s="1247" t="s">
        <v>667</v>
      </c>
      <c r="G27" s="1248"/>
      <c r="H27" s="1384">
        <v>33221</v>
      </c>
      <c r="I27" s="1385">
        <f t="shared" si="8"/>
        <v>9.34</v>
      </c>
      <c r="J27" s="1380">
        <f t="shared" si="9"/>
        <v>33117</v>
      </c>
      <c r="K27" s="1380">
        <f t="shared" si="7"/>
        <v>33117</v>
      </c>
      <c r="L27" s="1380"/>
      <c r="M27" s="1380"/>
      <c r="N27" s="1384">
        <v>33117</v>
      </c>
      <c r="O27" s="1380">
        <f t="shared" si="10"/>
        <v>0</v>
      </c>
      <c r="P27" s="1384"/>
      <c r="Q27" s="1384"/>
      <c r="R27" s="1384"/>
      <c r="S27" s="1386">
        <v>1.98</v>
      </c>
      <c r="T27" s="1380">
        <f t="shared" si="11"/>
        <v>104</v>
      </c>
      <c r="U27" s="1380">
        <v>104</v>
      </c>
      <c r="V27" s="1380"/>
      <c r="W27" s="1380"/>
      <c r="X27" s="1380"/>
      <c r="Y27" s="1380"/>
      <c r="Z27" s="1384"/>
      <c r="AA27" s="1386">
        <v>7.36</v>
      </c>
      <c r="AB27" s="1387">
        <f t="shared" si="12"/>
        <v>99.686945004665731</v>
      </c>
      <c r="AC27" s="1388">
        <f t="shared" si="13"/>
        <v>99.686945004665731</v>
      </c>
    </row>
    <row r="28" spans="1:29" s="1069" customFormat="1" ht="27.75" customHeight="1">
      <c r="A28" s="1245" t="s">
        <v>9021</v>
      </c>
      <c r="B28" s="1247" t="s">
        <v>1767</v>
      </c>
      <c r="C28" s="1247" t="s">
        <v>9018</v>
      </c>
      <c r="D28" s="1248" t="s">
        <v>8858</v>
      </c>
      <c r="E28" s="1249" t="s">
        <v>9001</v>
      </c>
      <c r="F28" s="1247" t="s">
        <v>667</v>
      </c>
      <c r="G28" s="1248"/>
      <c r="H28" s="1384">
        <v>7887</v>
      </c>
      <c r="I28" s="1385">
        <f t="shared" si="8"/>
        <v>1.55</v>
      </c>
      <c r="J28" s="1380">
        <f t="shared" si="9"/>
        <v>7790</v>
      </c>
      <c r="K28" s="1380">
        <f t="shared" si="7"/>
        <v>7790</v>
      </c>
      <c r="L28" s="1380"/>
      <c r="M28" s="1380"/>
      <c r="N28" s="1384">
        <v>7790</v>
      </c>
      <c r="O28" s="1380">
        <f t="shared" si="10"/>
        <v>0</v>
      </c>
      <c r="P28" s="1384"/>
      <c r="Q28" s="1384"/>
      <c r="R28" s="1384"/>
      <c r="S28" s="1386">
        <v>1.31</v>
      </c>
      <c r="T28" s="1380">
        <f t="shared" si="11"/>
        <v>97</v>
      </c>
      <c r="U28" s="1380">
        <v>91</v>
      </c>
      <c r="V28" s="1380">
        <v>5</v>
      </c>
      <c r="W28" s="1380">
        <v>1</v>
      </c>
      <c r="X28" s="1380"/>
      <c r="Y28" s="1380"/>
      <c r="Z28" s="1384"/>
      <c r="AA28" s="1386">
        <v>0.24</v>
      </c>
      <c r="AB28" s="1387">
        <f t="shared" si="12"/>
        <v>98.770128058830991</v>
      </c>
      <c r="AC28" s="1388">
        <f t="shared" si="13"/>
        <v>98.770128058830991</v>
      </c>
    </row>
    <row r="29" spans="1:29" s="1069" customFormat="1" ht="27.75" customHeight="1">
      <c r="A29" s="1245" t="s">
        <v>9022</v>
      </c>
      <c r="B29" s="1247" t="s">
        <v>1767</v>
      </c>
      <c r="C29" s="1247" t="s">
        <v>9018</v>
      </c>
      <c r="D29" s="1248" t="s">
        <v>8858</v>
      </c>
      <c r="E29" s="1249" t="s">
        <v>9001</v>
      </c>
      <c r="F29" s="1247" t="s">
        <v>667</v>
      </c>
      <c r="G29" s="1248"/>
      <c r="H29" s="1384">
        <v>7663</v>
      </c>
      <c r="I29" s="1385">
        <f t="shared" si="8"/>
        <v>0.9</v>
      </c>
      <c r="J29" s="1380">
        <f t="shared" si="9"/>
        <v>7639</v>
      </c>
      <c r="K29" s="1380">
        <f t="shared" si="7"/>
        <v>7639</v>
      </c>
      <c r="L29" s="1380"/>
      <c r="M29" s="1380"/>
      <c r="N29" s="1384">
        <v>7639</v>
      </c>
      <c r="O29" s="1380">
        <f t="shared" si="10"/>
        <v>0</v>
      </c>
      <c r="P29" s="1384"/>
      <c r="Q29" s="1384"/>
      <c r="R29" s="1384"/>
      <c r="S29" s="1386">
        <v>0.77</v>
      </c>
      <c r="T29" s="1380">
        <f t="shared" si="11"/>
        <v>24</v>
      </c>
      <c r="U29" s="1380">
        <v>18</v>
      </c>
      <c r="V29" s="1380">
        <v>2</v>
      </c>
      <c r="W29" s="1380">
        <v>4</v>
      </c>
      <c r="X29" s="1380"/>
      <c r="Y29" s="1380"/>
      <c r="Z29" s="1384"/>
      <c r="AA29" s="1386">
        <v>0.13</v>
      </c>
      <c r="AB29" s="1387">
        <f t="shared" si="12"/>
        <v>99.686806733655231</v>
      </c>
      <c r="AC29" s="1388">
        <f t="shared" si="13"/>
        <v>99.686806733655231</v>
      </c>
    </row>
    <row r="30" spans="1:29" s="1069" customFormat="1" ht="27.75" customHeight="1">
      <c r="A30" s="1245" t="s">
        <v>9023</v>
      </c>
      <c r="B30" s="1247" t="s">
        <v>1767</v>
      </c>
      <c r="C30" s="1248"/>
      <c r="D30" s="1248" t="s">
        <v>8858</v>
      </c>
      <c r="E30" s="1249" t="s">
        <v>9001</v>
      </c>
      <c r="F30" s="1247" t="s">
        <v>667</v>
      </c>
      <c r="G30" s="1248"/>
      <c r="H30" s="1384">
        <v>1205</v>
      </c>
      <c r="I30" s="1385">
        <f t="shared" si="8"/>
        <v>1.49</v>
      </c>
      <c r="J30" s="1380">
        <f t="shared" si="9"/>
        <v>994</v>
      </c>
      <c r="K30" s="1380">
        <f>L30+M30+N30</f>
        <v>994</v>
      </c>
      <c r="L30" s="1380"/>
      <c r="M30" s="1380"/>
      <c r="N30" s="1384">
        <v>994</v>
      </c>
      <c r="O30" s="1380">
        <f t="shared" si="10"/>
        <v>0</v>
      </c>
      <c r="P30" s="1384"/>
      <c r="Q30" s="1384"/>
      <c r="R30" s="1384"/>
      <c r="S30" s="1386">
        <v>1.08</v>
      </c>
      <c r="T30" s="1380">
        <f t="shared" si="11"/>
        <v>211</v>
      </c>
      <c r="U30" s="1380">
        <v>15</v>
      </c>
      <c r="V30" s="1380">
        <v>28</v>
      </c>
      <c r="W30" s="1380">
        <v>168</v>
      </c>
      <c r="X30" s="1380"/>
      <c r="Y30" s="1380"/>
      <c r="Z30" s="1384"/>
      <c r="AA30" s="1386">
        <v>0.41</v>
      </c>
      <c r="AB30" s="1387">
        <f t="shared" si="12"/>
        <v>82.489626556016589</v>
      </c>
      <c r="AC30" s="1388">
        <f t="shared" si="13"/>
        <v>82.489626556016589</v>
      </c>
    </row>
    <row r="31" spans="1:29" s="1069" customFormat="1" ht="27.75" customHeight="1">
      <c r="A31" s="1245" t="s">
        <v>9024</v>
      </c>
      <c r="B31" s="1247" t="s">
        <v>1767</v>
      </c>
      <c r="C31" s="1247" t="s">
        <v>9000</v>
      </c>
      <c r="D31" s="1248" t="s">
        <v>8858</v>
      </c>
      <c r="E31" s="1249" t="s">
        <v>9001</v>
      </c>
      <c r="F31" s="1247" t="s">
        <v>9000</v>
      </c>
      <c r="G31" s="1248"/>
      <c r="H31" s="1384">
        <v>55618</v>
      </c>
      <c r="I31" s="1385">
        <f t="shared" si="8"/>
        <v>18.149999999999999</v>
      </c>
      <c r="J31" s="1380">
        <f t="shared" si="9"/>
        <v>55322</v>
      </c>
      <c r="K31" s="1380">
        <f>L31+M31+N31</f>
        <v>55322</v>
      </c>
      <c r="L31" s="1380"/>
      <c r="M31" s="1380"/>
      <c r="N31" s="1384">
        <v>55322</v>
      </c>
      <c r="O31" s="1380">
        <f t="shared" si="10"/>
        <v>0</v>
      </c>
      <c r="P31" s="1384"/>
      <c r="Q31" s="1384"/>
      <c r="R31" s="1384"/>
      <c r="S31" s="1386">
        <v>3.45</v>
      </c>
      <c r="T31" s="1380">
        <f t="shared" si="11"/>
        <v>296</v>
      </c>
      <c r="U31" s="1380">
        <v>48</v>
      </c>
      <c r="V31" s="1380">
        <v>45</v>
      </c>
      <c r="W31" s="1380">
        <v>203</v>
      </c>
      <c r="X31" s="1380"/>
      <c r="Y31" s="1380"/>
      <c r="Z31" s="1384"/>
      <c r="AA31" s="1386">
        <v>14.7</v>
      </c>
      <c r="AB31" s="1387">
        <f t="shared" si="12"/>
        <v>99.467798194829015</v>
      </c>
      <c r="AC31" s="1388">
        <f t="shared" si="13"/>
        <v>99.467798194829015</v>
      </c>
    </row>
    <row r="32" spans="1:29" s="1069" customFormat="1" ht="27.75" customHeight="1">
      <c r="A32" s="1245" t="s">
        <v>9025</v>
      </c>
      <c r="B32" s="1247" t="s">
        <v>1767</v>
      </c>
      <c r="C32" s="1247" t="s">
        <v>9000</v>
      </c>
      <c r="D32" s="1248" t="s">
        <v>8858</v>
      </c>
      <c r="E32" s="1249" t="s">
        <v>9001</v>
      </c>
      <c r="F32" s="1247" t="s">
        <v>9000</v>
      </c>
      <c r="G32" s="1248"/>
      <c r="H32" s="1384">
        <v>35221</v>
      </c>
      <c r="I32" s="1385">
        <f t="shared" si="8"/>
        <v>18.149999999999999</v>
      </c>
      <c r="J32" s="1380">
        <f t="shared" si="9"/>
        <v>35187</v>
      </c>
      <c r="K32" s="1380">
        <v>35187</v>
      </c>
      <c r="L32" s="1380"/>
      <c r="M32" s="1380"/>
      <c r="N32" s="1384">
        <v>35187</v>
      </c>
      <c r="O32" s="1380">
        <f t="shared" si="10"/>
        <v>0</v>
      </c>
      <c r="P32" s="1384"/>
      <c r="Q32" s="1384"/>
      <c r="R32" s="1384"/>
      <c r="S32" s="1386">
        <v>3.45</v>
      </c>
      <c r="T32" s="1380">
        <v>34</v>
      </c>
      <c r="U32" s="1380">
        <v>0</v>
      </c>
      <c r="V32" s="1380">
        <v>13</v>
      </c>
      <c r="W32" s="1380">
        <v>21</v>
      </c>
      <c r="X32" s="1380"/>
      <c r="Y32" s="1380"/>
      <c r="Z32" s="1384"/>
      <c r="AA32" s="1386">
        <v>14.7</v>
      </c>
      <c r="AB32" s="1387">
        <f t="shared" si="12"/>
        <v>99.903466681809149</v>
      </c>
      <c r="AC32" s="1388">
        <f t="shared" si="13"/>
        <v>99.903466681809149</v>
      </c>
    </row>
    <row r="33" spans="1:29" s="1069" customFormat="1" ht="27.75" customHeight="1">
      <c r="A33" s="1245" t="s">
        <v>9026</v>
      </c>
      <c r="B33" s="1247" t="s">
        <v>1767</v>
      </c>
      <c r="C33" s="1247" t="s">
        <v>9000</v>
      </c>
      <c r="D33" s="1248" t="s">
        <v>8858</v>
      </c>
      <c r="E33" s="1249" t="s">
        <v>9001</v>
      </c>
      <c r="F33" s="1247" t="s">
        <v>9000</v>
      </c>
      <c r="G33" s="1248"/>
      <c r="H33" s="1384">
        <v>55338</v>
      </c>
      <c r="I33" s="1385">
        <f t="shared" si="8"/>
        <v>18.27</v>
      </c>
      <c r="J33" s="1380">
        <f t="shared" si="9"/>
        <v>54651</v>
      </c>
      <c r="K33" s="1380">
        <f>L33+M33+N33</f>
        <v>54651</v>
      </c>
      <c r="L33" s="1380"/>
      <c r="M33" s="1380"/>
      <c r="N33" s="1384">
        <v>54651</v>
      </c>
      <c r="O33" s="1380">
        <f t="shared" si="10"/>
        <v>0</v>
      </c>
      <c r="P33" s="1384"/>
      <c r="Q33" s="1384"/>
      <c r="R33" s="1384"/>
      <c r="S33" s="1386">
        <v>3.47</v>
      </c>
      <c r="T33" s="1380">
        <f t="shared" si="11"/>
        <v>687</v>
      </c>
      <c r="U33" s="1380">
        <v>55</v>
      </c>
      <c r="V33" s="1380">
        <v>68</v>
      </c>
      <c r="W33" s="1380">
        <v>564</v>
      </c>
      <c r="X33" s="1380"/>
      <c r="Y33" s="1380"/>
      <c r="Z33" s="1384"/>
      <c r="AA33" s="1386">
        <v>14.8</v>
      </c>
      <c r="AB33" s="1387">
        <f t="shared" si="12"/>
        <v>98.758538436517412</v>
      </c>
      <c r="AC33" s="1388">
        <f t="shared" si="13"/>
        <v>98.758538436517412</v>
      </c>
    </row>
    <row r="34" spans="1:29" s="1069" customFormat="1" ht="27.75" customHeight="1">
      <c r="A34" s="1250" t="s">
        <v>9027</v>
      </c>
      <c r="B34" s="1247" t="s">
        <v>1767</v>
      </c>
      <c r="C34" s="1248"/>
      <c r="D34" s="1248" t="s">
        <v>8858</v>
      </c>
      <c r="E34" s="1249" t="s">
        <v>9001</v>
      </c>
      <c r="F34" s="1247" t="s">
        <v>9028</v>
      </c>
      <c r="G34" s="1248"/>
      <c r="H34" s="1384">
        <v>7489</v>
      </c>
      <c r="I34" s="1385">
        <f t="shared" si="8"/>
        <v>48.629999999999995</v>
      </c>
      <c r="J34" s="1380">
        <f t="shared" si="9"/>
        <v>4785</v>
      </c>
      <c r="K34" s="1380">
        <f t="shared" si="7"/>
        <v>4785</v>
      </c>
      <c r="L34" s="1380"/>
      <c r="M34" s="1380"/>
      <c r="N34" s="1384">
        <v>4785</v>
      </c>
      <c r="O34" s="1380">
        <f t="shared" si="10"/>
        <v>0</v>
      </c>
      <c r="P34" s="1384"/>
      <c r="Q34" s="1384"/>
      <c r="R34" s="1384"/>
      <c r="S34" s="1386">
        <v>12.23</v>
      </c>
      <c r="T34" s="1380">
        <f t="shared" si="11"/>
        <v>2704</v>
      </c>
      <c r="U34" s="1380"/>
      <c r="V34" s="1380"/>
      <c r="W34" s="1380"/>
      <c r="X34" s="1380">
        <v>23</v>
      </c>
      <c r="Y34" s="1380">
        <v>508</v>
      </c>
      <c r="Z34" s="1384">
        <v>2173</v>
      </c>
      <c r="AA34" s="1386">
        <v>36.4</v>
      </c>
      <c r="AB34" s="1387">
        <f t="shared" si="12"/>
        <v>63.893710775804514</v>
      </c>
      <c r="AC34" s="1388">
        <f t="shared" si="13"/>
        <v>63.893710775804514</v>
      </c>
    </row>
    <row r="35" spans="1:29" s="1069" customFormat="1" ht="27.75" customHeight="1">
      <c r="A35" s="1250" t="s">
        <v>9029</v>
      </c>
      <c r="B35" s="1247" t="s">
        <v>1767</v>
      </c>
      <c r="C35" s="1247" t="s">
        <v>9030</v>
      </c>
      <c r="D35" s="1248" t="s">
        <v>8858</v>
      </c>
      <c r="E35" s="1249" t="s">
        <v>9001</v>
      </c>
      <c r="F35" s="1247" t="s">
        <v>667</v>
      </c>
      <c r="G35" s="1248"/>
      <c r="H35" s="1384">
        <v>4742</v>
      </c>
      <c r="I35" s="1385">
        <f t="shared" si="8"/>
        <v>70.490000000000009</v>
      </c>
      <c r="J35" s="1380">
        <f t="shared" si="9"/>
        <v>2149</v>
      </c>
      <c r="K35" s="1380">
        <f t="shared" si="7"/>
        <v>2149</v>
      </c>
      <c r="L35" s="1380"/>
      <c r="M35" s="1380"/>
      <c r="N35" s="1384">
        <v>2149</v>
      </c>
      <c r="O35" s="1380">
        <f t="shared" si="10"/>
        <v>0</v>
      </c>
      <c r="P35" s="1384"/>
      <c r="Q35" s="1384"/>
      <c r="R35" s="1384"/>
      <c r="S35" s="1386">
        <v>2.2000000000000002</v>
      </c>
      <c r="T35" s="1380">
        <f t="shared" si="11"/>
        <v>2593</v>
      </c>
      <c r="U35" s="1380"/>
      <c r="V35" s="1380"/>
      <c r="W35" s="1380"/>
      <c r="X35" s="1380">
        <v>26</v>
      </c>
      <c r="Y35" s="1380">
        <v>583</v>
      </c>
      <c r="Z35" s="1384">
        <v>1984</v>
      </c>
      <c r="AA35" s="1386">
        <v>68.290000000000006</v>
      </c>
      <c r="AB35" s="1387">
        <f t="shared" si="12"/>
        <v>45.318431041754536</v>
      </c>
      <c r="AC35" s="1388">
        <f t="shared" si="13"/>
        <v>45.318431041754536</v>
      </c>
    </row>
    <row r="36" spans="1:29" s="1069" customFormat="1" ht="27.75" customHeight="1">
      <c r="A36" s="1250" t="s">
        <v>9031</v>
      </c>
      <c r="B36" s="1247" t="s">
        <v>1767</v>
      </c>
      <c r="C36" s="1247" t="s">
        <v>9032</v>
      </c>
      <c r="D36" s="1248" t="s">
        <v>8858</v>
      </c>
      <c r="E36" s="1247" t="s">
        <v>9033</v>
      </c>
      <c r="F36" s="1247" t="s">
        <v>9032</v>
      </c>
      <c r="G36" s="1248"/>
      <c r="H36" s="1384">
        <v>5246</v>
      </c>
      <c r="I36" s="1385">
        <f t="shared" si="8"/>
        <v>50.224000000000004</v>
      </c>
      <c r="J36" s="1380">
        <f t="shared" si="9"/>
        <v>2508</v>
      </c>
      <c r="K36" s="1380">
        <f>L36+M36+N36</f>
        <v>2508</v>
      </c>
      <c r="L36" s="1380"/>
      <c r="M36" s="1380"/>
      <c r="N36" s="1384">
        <v>2508</v>
      </c>
      <c r="O36" s="1380">
        <f t="shared" si="10"/>
        <v>0</v>
      </c>
      <c r="P36" s="1384"/>
      <c r="Q36" s="1384"/>
      <c r="R36" s="1384"/>
      <c r="S36" s="1386">
        <v>11.7</v>
      </c>
      <c r="T36" s="1380">
        <f t="shared" si="11"/>
        <v>2738</v>
      </c>
      <c r="U36" s="1380"/>
      <c r="V36" s="1380"/>
      <c r="W36" s="1380"/>
      <c r="X36" s="1380">
        <v>49</v>
      </c>
      <c r="Y36" s="1380">
        <v>680</v>
      </c>
      <c r="Z36" s="1384">
        <v>2009</v>
      </c>
      <c r="AA36" s="1386">
        <v>38.524000000000001</v>
      </c>
      <c r="AB36" s="1387">
        <f t="shared" si="12"/>
        <v>47.807853602744949</v>
      </c>
      <c r="AC36" s="1388">
        <f t="shared" si="13"/>
        <v>47.807853602744949</v>
      </c>
    </row>
    <row r="37" spans="1:29" s="1069" customFormat="1" ht="27.75" customHeight="1">
      <c r="A37" s="1250" t="s">
        <v>9034</v>
      </c>
      <c r="B37" s="1247" t="s">
        <v>1767</v>
      </c>
      <c r="C37" s="1247" t="s">
        <v>9000</v>
      </c>
      <c r="D37" s="1248" t="s">
        <v>8858</v>
      </c>
      <c r="E37" s="1249" t="s">
        <v>9001</v>
      </c>
      <c r="F37" s="1247" t="s">
        <v>9000</v>
      </c>
      <c r="G37" s="1248"/>
      <c r="H37" s="1384">
        <v>5466</v>
      </c>
      <c r="I37" s="1385">
        <f t="shared" si="8"/>
        <v>31.3</v>
      </c>
      <c r="J37" s="1380">
        <f t="shared" si="9"/>
        <v>3685</v>
      </c>
      <c r="K37" s="1380">
        <f>L37+M37+N37</f>
        <v>3685</v>
      </c>
      <c r="L37" s="1380"/>
      <c r="M37" s="1380"/>
      <c r="N37" s="1384">
        <v>3685</v>
      </c>
      <c r="O37" s="1380">
        <f t="shared" si="10"/>
        <v>0</v>
      </c>
      <c r="P37" s="1384"/>
      <c r="Q37" s="1384"/>
      <c r="R37" s="1384"/>
      <c r="S37" s="1386">
        <v>3.04</v>
      </c>
      <c r="T37" s="1380">
        <f t="shared" si="11"/>
        <v>1781</v>
      </c>
      <c r="U37" s="1380"/>
      <c r="V37" s="1380"/>
      <c r="W37" s="1380"/>
      <c r="X37" s="1380">
        <v>95</v>
      </c>
      <c r="Y37" s="1380">
        <v>385</v>
      </c>
      <c r="Z37" s="1384">
        <v>1301</v>
      </c>
      <c r="AA37" s="1386">
        <v>28.26</v>
      </c>
      <c r="AB37" s="1387">
        <f t="shared" si="12"/>
        <v>67.416758141236727</v>
      </c>
      <c r="AC37" s="1388">
        <f t="shared" si="13"/>
        <v>67.416758141236727</v>
      </c>
    </row>
    <row r="38" spans="1:29" s="1069" customFormat="1" ht="27.75" customHeight="1">
      <c r="A38" s="1250" t="s">
        <v>9035</v>
      </c>
      <c r="B38" s="1247" t="s">
        <v>1767</v>
      </c>
      <c r="C38" s="1247" t="s">
        <v>9032</v>
      </c>
      <c r="D38" s="1248" t="s">
        <v>8858</v>
      </c>
      <c r="E38" s="1247" t="s">
        <v>9033</v>
      </c>
      <c r="F38" s="1247" t="s">
        <v>9032</v>
      </c>
      <c r="G38" s="1248"/>
      <c r="H38" s="1384">
        <v>9886</v>
      </c>
      <c r="I38" s="1385">
        <f t="shared" si="8"/>
        <v>44.819000000000003</v>
      </c>
      <c r="J38" s="1380">
        <f t="shared" si="9"/>
        <v>7771</v>
      </c>
      <c r="K38" s="1380">
        <f>L38+M38+N38</f>
        <v>7771</v>
      </c>
      <c r="L38" s="1380"/>
      <c r="M38" s="1380"/>
      <c r="N38" s="1384">
        <v>7771</v>
      </c>
      <c r="O38" s="1380">
        <f t="shared" si="10"/>
        <v>0</v>
      </c>
      <c r="P38" s="1384"/>
      <c r="Q38" s="1384"/>
      <c r="R38" s="1384"/>
      <c r="S38" s="1386">
        <v>26.943999999999999</v>
      </c>
      <c r="T38" s="1380">
        <f t="shared" si="11"/>
        <v>2115</v>
      </c>
      <c r="U38" s="1380"/>
      <c r="V38" s="1380"/>
      <c r="W38" s="1380"/>
      <c r="X38" s="1380">
        <v>34</v>
      </c>
      <c r="Y38" s="1380">
        <v>590</v>
      </c>
      <c r="Z38" s="1384">
        <v>1491</v>
      </c>
      <c r="AA38" s="1386">
        <v>17.875</v>
      </c>
      <c r="AB38" s="1387">
        <f t="shared" si="12"/>
        <v>78.606109650010112</v>
      </c>
      <c r="AC38" s="1388">
        <f t="shared" si="13"/>
        <v>78.606109650010112</v>
      </c>
    </row>
    <row r="39" spans="1:29" s="1069" customFormat="1" ht="27.75" customHeight="1">
      <c r="A39" s="1250" t="s">
        <v>9036</v>
      </c>
      <c r="B39" s="1247" t="s">
        <v>1767</v>
      </c>
      <c r="C39" s="1247" t="s">
        <v>9037</v>
      </c>
      <c r="D39" s="1248" t="s">
        <v>8858</v>
      </c>
      <c r="E39" s="1247" t="s">
        <v>9033</v>
      </c>
      <c r="F39" s="1247" t="s">
        <v>9032</v>
      </c>
      <c r="G39" s="1248"/>
      <c r="H39" s="1384">
        <v>47803</v>
      </c>
      <c r="I39" s="1385">
        <f t="shared" si="8"/>
        <v>39.700000000000003</v>
      </c>
      <c r="J39" s="1380">
        <f t="shared" si="9"/>
        <v>45146</v>
      </c>
      <c r="K39" s="1380">
        <f>L39+M39+N39</f>
        <v>45146</v>
      </c>
      <c r="L39" s="1380"/>
      <c r="M39" s="1380"/>
      <c r="N39" s="1384">
        <v>45146</v>
      </c>
      <c r="O39" s="1380">
        <f t="shared" si="10"/>
        <v>0</v>
      </c>
      <c r="P39" s="1384"/>
      <c r="Q39" s="1384"/>
      <c r="R39" s="1384"/>
      <c r="S39" s="1386">
        <v>9.92</v>
      </c>
      <c r="T39" s="1380">
        <f t="shared" si="11"/>
        <v>2657</v>
      </c>
      <c r="U39" s="1380"/>
      <c r="V39" s="1380"/>
      <c r="W39" s="1380"/>
      <c r="X39" s="1380">
        <v>92</v>
      </c>
      <c r="Y39" s="1380">
        <v>736</v>
      </c>
      <c r="Z39" s="1384">
        <v>1829</v>
      </c>
      <c r="AA39" s="1386">
        <v>29.78</v>
      </c>
      <c r="AB39" s="1387">
        <f t="shared" si="12"/>
        <v>94.441771436939106</v>
      </c>
      <c r="AC39" s="1388">
        <f t="shared" si="13"/>
        <v>94.441771436939106</v>
      </c>
    </row>
    <row r="40" spans="1:29" s="1069" customFormat="1" ht="27.75" customHeight="1" thickBot="1">
      <c r="A40" s="1251" t="s">
        <v>9038</v>
      </c>
      <c r="B40" s="1252" t="s">
        <v>1767</v>
      </c>
      <c r="C40" s="1252" t="s">
        <v>9032</v>
      </c>
      <c r="D40" s="1248" t="s">
        <v>8858</v>
      </c>
      <c r="E40" s="1252" t="s">
        <v>9033</v>
      </c>
      <c r="F40" s="1252" t="s">
        <v>9032</v>
      </c>
      <c r="G40" s="1248"/>
      <c r="H40" s="1389">
        <v>12058</v>
      </c>
      <c r="I40" s="1390">
        <f t="shared" si="8"/>
        <v>59.510000000000005</v>
      </c>
      <c r="J40" s="1391">
        <f>K40+O40</f>
        <v>4323</v>
      </c>
      <c r="K40" s="1391">
        <f>L40+M40+N40</f>
        <v>4323</v>
      </c>
      <c r="L40" s="1391"/>
      <c r="M40" s="1391"/>
      <c r="N40" s="1389">
        <v>4323</v>
      </c>
      <c r="O40" s="1391">
        <f t="shared" si="10"/>
        <v>0</v>
      </c>
      <c r="P40" s="1389"/>
      <c r="Q40" s="1389"/>
      <c r="R40" s="1389"/>
      <c r="S40" s="1392">
        <v>9.24</v>
      </c>
      <c r="T40" s="1391">
        <f>U40+V40+W40+X40+Y40+Z40</f>
        <v>7735</v>
      </c>
      <c r="U40" s="1391"/>
      <c r="V40" s="1391"/>
      <c r="W40" s="1391"/>
      <c r="X40" s="1391">
        <v>106</v>
      </c>
      <c r="Y40" s="1391">
        <v>1548</v>
      </c>
      <c r="Z40" s="1389">
        <v>6081</v>
      </c>
      <c r="AA40" s="1392">
        <v>50.27</v>
      </c>
      <c r="AB40" s="1393">
        <f t="shared" si="12"/>
        <v>35.85171670260408</v>
      </c>
      <c r="AC40" s="1394">
        <f t="shared" si="13"/>
        <v>35.85171670260408</v>
      </c>
    </row>
    <row r="41" spans="1:29" ht="27.75" customHeight="1">
      <c r="A41" s="980"/>
      <c r="B41" s="981"/>
      <c r="C41" s="1237"/>
      <c r="D41" s="1237"/>
      <c r="E41" s="1237"/>
      <c r="F41" s="1237"/>
      <c r="G41" s="1237"/>
      <c r="H41" s="1038">
        <f t="shared" ref="H41" si="14">J41+T41</f>
        <v>0</v>
      </c>
      <c r="I41" s="986">
        <f t="shared" ref="I41" si="15">S41+AA41</f>
        <v>0</v>
      </c>
      <c r="J41" s="1071">
        <f t="shared" ref="J41" si="16">K41+O41</f>
        <v>0</v>
      </c>
      <c r="K41" s="987">
        <f t="shared" ref="K41" si="17">L41+M41+N41</f>
        <v>0</v>
      </c>
      <c r="L41" s="982"/>
      <c r="M41" s="982"/>
      <c r="N41" s="984"/>
      <c r="O41" s="987">
        <f t="shared" ref="O41" si="18">P41+Q41+R41</f>
        <v>0</v>
      </c>
      <c r="P41" s="984"/>
      <c r="Q41" s="984"/>
      <c r="R41" s="984"/>
      <c r="S41" s="984"/>
      <c r="T41" s="1071">
        <f t="shared" ref="T41" si="19">U41+V41+W41+X41+Y41+Z41</f>
        <v>0</v>
      </c>
      <c r="U41" s="982"/>
      <c r="V41" s="982"/>
      <c r="W41" s="982"/>
      <c r="X41" s="982"/>
      <c r="Y41" s="982"/>
      <c r="Z41" s="984"/>
      <c r="AA41" s="983"/>
      <c r="AB41" s="988">
        <f t="shared" ref="AB41" si="20">IF(ISERROR(J41/H41*100),0,J41/H41*100)</f>
        <v>0</v>
      </c>
      <c r="AC41" s="1055">
        <f t="shared" ref="AC41" si="21">IF(ISERROR(N41/H41*100),0,N41/H41*100)</f>
        <v>0</v>
      </c>
    </row>
    <row r="42" spans="1:29">
      <c r="B42" s="985"/>
      <c r="C42" s="985"/>
      <c r="D42" s="985"/>
      <c r="E42" s="985"/>
      <c r="F42" s="985"/>
      <c r="G42" s="985"/>
    </row>
    <row r="771" spans="1:33" s="918" customFormat="1" ht="21">
      <c r="A771" s="917"/>
      <c r="B771" s="1092"/>
      <c r="C771" s="1092"/>
      <c r="D771" s="1092"/>
      <c r="E771" s="1092"/>
      <c r="F771" s="1092"/>
      <c r="G771" s="1092"/>
      <c r="I771" s="919"/>
      <c r="J771" s="919"/>
      <c r="X771" s="918" ph="1"/>
      <c r="Y771" s="918" ph="1"/>
      <c r="AA771" s="919"/>
      <c r="AB771" s="919"/>
      <c r="AC771" s="917"/>
      <c r="AD771" s="917"/>
      <c r="AE771" s="917"/>
      <c r="AF771" s="917"/>
      <c r="AG771" s="917"/>
    </row>
    <row r="772" spans="1:33" s="918" customFormat="1" ht="21">
      <c r="A772" s="917"/>
      <c r="B772" s="1092"/>
      <c r="C772" s="1092"/>
      <c r="D772" s="1092"/>
      <c r="E772" s="1092"/>
      <c r="F772" s="1092"/>
      <c r="G772" s="1092"/>
      <c r="I772" s="919"/>
      <c r="J772" s="919"/>
      <c r="X772" s="918" ph="1"/>
      <c r="Y772" s="918" ph="1"/>
      <c r="AA772" s="919"/>
      <c r="AB772" s="919"/>
      <c r="AC772" s="917"/>
      <c r="AD772" s="917"/>
      <c r="AE772" s="917"/>
      <c r="AF772" s="917"/>
      <c r="AG772" s="917"/>
    </row>
    <row r="773" spans="1:33" s="919" customFormat="1" ht="21">
      <c r="A773" s="917"/>
      <c r="B773" s="1092"/>
      <c r="C773" s="1092"/>
      <c r="D773" s="1092"/>
      <c r="E773" s="1092"/>
      <c r="F773" s="1092"/>
      <c r="G773" s="1092"/>
      <c r="H773" s="918"/>
      <c r="K773" s="918"/>
      <c r="L773" s="918"/>
      <c r="M773" s="918"/>
      <c r="N773" s="918"/>
      <c r="O773" s="918"/>
      <c r="P773" s="918"/>
      <c r="Q773" s="918"/>
      <c r="R773" s="918"/>
      <c r="S773" s="918"/>
      <c r="T773" s="918"/>
      <c r="U773" s="918"/>
      <c r="V773" s="918"/>
      <c r="W773" s="918"/>
      <c r="X773" s="918" ph="1"/>
      <c r="Y773" s="918" ph="1"/>
      <c r="Z773" s="918"/>
      <c r="AC773" s="917"/>
      <c r="AD773" s="917"/>
      <c r="AE773" s="917"/>
      <c r="AF773" s="917"/>
      <c r="AG773" s="917"/>
    </row>
    <row r="774" spans="1:33" s="919" customFormat="1" ht="21">
      <c r="A774" s="917"/>
      <c r="B774" s="1092"/>
      <c r="C774" s="1092"/>
      <c r="D774" s="1092"/>
      <c r="E774" s="1092"/>
      <c r="F774" s="1092"/>
      <c r="G774" s="1092"/>
      <c r="H774" s="918"/>
      <c r="K774" s="918"/>
      <c r="L774" s="918"/>
      <c r="M774" s="918"/>
      <c r="N774" s="918"/>
      <c r="O774" s="918"/>
      <c r="P774" s="918"/>
      <c r="Q774" s="918"/>
      <c r="R774" s="918"/>
      <c r="S774" s="918"/>
      <c r="T774" s="918"/>
      <c r="U774" s="918"/>
      <c r="V774" s="918"/>
      <c r="W774" s="918"/>
      <c r="X774" s="918" ph="1"/>
      <c r="Y774" s="918" ph="1"/>
      <c r="Z774" s="918"/>
      <c r="AC774" s="917"/>
      <c r="AD774" s="917"/>
      <c r="AE774" s="917"/>
      <c r="AF774" s="917"/>
      <c r="AG774" s="917"/>
    </row>
    <row r="775" spans="1:33" s="919" customFormat="1" ht="21">
      <c r="A775" s="917"/>
      <c r="B775" s="1092"/>
      <c r="C775" s="1092"/>
      <c r="D775" s="1092"/>
      <c r="E775" s="1092"/>
      <c r="F775" s="1092"/>
      <c r="G775" s="1092"/>
      <c r="H775" s="918"/>
      <c r="K775" s="918"/>
      <c r="L775" s="918"/>
      <c r="M775" s="918"/>
      <c r="N775" s="918"/>
      <c r="O775" s="918"/>
      <c r="P775" s="918"/>
      <c r="Q775" s="918"/>
      <c r="R775" s="918"/>
      <c r="S775" s="918"/>
      <c r="T775" s="918"/>
      <c r="U775" s="918"/>
      <c r="V775" s="918"/>
      <c r="W775" s="918"/>
      <c r="X775" s="918" ph="1"/>
      <c r="Y775" s="918" ph="1"/>
      <c r="Z775" s="918"/>
      <c r="AC775" s="917"/>
      <c r="AD775" s="917"/>
      <c r="AE775" s="917"/>
      <c r="AF775" s="917"/>
      <c r="AG775" s="917"/>
    </row>
    <row r="776" spans="1:33" s="919" customFormat="1" ht="21">
      <c r="A776" s="917"/>
      <c r="B776" s="1092"/>
      <c r="C776" s="1092"/>
      <c r="D776" s="1092"/>
      <c r="E776" s="1092"/>
      <c r="F776" s="1092"/>
      <c r="G776" s="1092"/>
      <c r="H776" s="918"/>
      <c r="K776" s="918"/>
      <c r="L776" s="918"/>
      <c r="M776" s="918"/>
      <c r="N776" s="918"/>
      <c r="O776" s="918"/>
      <c r="P776" s="918"/>
      <c r="Q776" s="918"/>
      <c r="R776" s="918"/>
      <c r="S776" s="918"/>
      <c r="T776" s="918"/>
      <c r="U776" s="918"/>
      <c r="V776" s="918"/>
      <c r="W776" s="918"/>
      <c r="X776" s="918" ph="1"/>
      <c r="Y776" s="918" ph="1"/>
      <c r="Z776" s="918"/>
      <c r="AC776" s="917"/>
      <c r="AD776" s="917"/>
      <c r="AE776" s="917"/>
      <c r="AF776" s="917"/>
      <c r="AG776" s="917"/>
    </row>
    <row r="777" spans="1:33" s="919" customFormat="1" ht="21">
      <c r="A777" s="917"/>
      <c r="B777" s="1092"/>
      <c r="C777" s="1092"/>
      <c r="D777" s="1092"/>
      <c r="E777" s="1092"/>
      <c r="F777" s="1092"/>
      <c r="G777" s="1092"/>
      <c r="H777" s="918"/>
      <c r="K777" s="918"/>
      <c r="L777" s="918"/>
      <c r="M777" s="918"/>
      <c r="N777" s="918"/>
      <c r="O777" s="918"/>
      <c r="P777" s="918"/>
      <c r="Q777" s="918"/>
      <c r="R777" s="918"/>
      <c r="S777" s="918"/>
      <c r="T777" s="918"/>
      <c r="U777" s="918"/>
      <c r="V777" s="918"/>
      <c r="W777" s="918"/>
      <c r="X777" s="918" ph="1"/>
      <c r="Y777" s="918" ph="1"/>
      <c r="Z777" s="918"/>
      <c r="AC777" s="917"/>
      <c r="AD777" s="917"/>
      <c r="AE777" s="917"/>
      <c r="AF777" s="917"/>
      <c r="AG777" s="917"/>
    </row>
    <row r="778" spans="1:33" s="919" customFormat="1" ht="21">
      <c r="A778" s="917"/>
      <c r="B778" s="1092"/>
      <c r="C778" s="1092"/>
      <c r="D778" s="1092"/>
      <c r="E778" s="1092"/>
      <c r="F778" s="1092"/>
      <c r="G778" s="1092"/>
      <c r="H778" s="918"/>
      <c r="K778" s="918"/>
      <c r="L778" s="918"/>
      <c r="M778" s="918"/>
      <c r="N778" s="918"/>
      <c r="O778" s="918"/>
      <c r="P778" s="918"/>
      <c r="Q778" s="918"/>
      <c r="R778" s="918"/>
      <c r="S778" s="918"/>
      <c r="T778" s="918"/>
      <c r="U778" s="918"/>
      <c r="V778" s="918"/>
      <c r="W778" s="918"/>
      <c r="X778" s="918" ph="1"/>
      <c r="Y778" s="918" ph="1"/>
      <c r="Z778" s="918"/>
      <c r="AC778" s="917"/>
      <c r="AD778" s="917"/>
      <c r="AE778" s="917"/>
      <c r="AF778" s="917"/>
      <c r="AG778" s="917"/>
    </row>
    <row r="779" spans="1:33" s="919" customFormat="1" ht="21">
      <c r="A779" s="917"/>
      <c r="B779" s="1092"/>
      <c r="C779" s="1092"/>
      <c r="D779" s="1092"/>
      <c r="E779" s="1092"/>
      <c r="F779" s="1092"/>
      <c r="G779" s="1092"/>
      <c r="H779" s="918"/>
      <c r="K779" s="918"/>
      <c r="L779" s="918"/>
      <c r="M779" s="918"/>
      <c r="N779" s="918"/>
      <c r="O779" s="918"/>
      <c r="P779" s="918"/>
      <c r="Q779" s="918"/>
      <c r="R779" s="918"/>
      <c r="S779" s="918"/>
      <c r="T779" s="918"/>
      <c r="U779" s="918"/>
      <c r="V779" s="918"/>
      <c r="W779" s="918"/>
      <c r="X779" s="918" ph="1"/>
      <c r="Y779" s="918" ph="1"/>
      <c r="Z779" s="918"/>
      <c r="AC779" s="917"/>
      <c r="AD779" s="917"/>
      <c r="AE779" s="917"/>
      <c r="AF779" s="917"/>
      <c r="AG779" s="917"/>
    </row>
    <row r="780" spans="1:33" s="919" customFormat="1" ht="21">
      <c r="A780" s="917"/>
      <c r="B780" s="1092"/>
      <c r="C780" s="1092"/>
      <c r="D780" s="1092"/>
      <c r="E780" s="1092"/>
      <c r="F780" s="1092"/>
      <c r="G780" s="1092"/>
      <c r="H780" s="918"/>
      <c r="K780" s="918"/>
      <c r="L780" s="918"/>
      <c r="M780" s="918"/>
      <c r="N780" s="918"/>
      <c r="O780" s="918"/>
      <c r="P780" s="918"/>
      <c r="Q780" s="918"/>
      <c r="R780" s="918"/>
      <c r="S780" s="918"/>
      <c r="T780" s="918"/>
      <c r="U780" s="918"/>
      <c r="V780" s="918"/>
      <c r="W780" s="918"/>
      <c r="X780" s="918" ph="1"/>
      <c r="Y780" s="918" ph="1"/>
      <c r="Z780" s="918"/>
      <c r="AC780" s="917"/>
      <c r="AD780" s="917"/>
      <c r="AE780" s="917"/>
      <c r="AF780" s="917"/>
      <c r="AG780" s="917"/>
    </row>
    <row r="781" spans="1:33" s="919" customFormat="1" ht="21">
      <c r="A781" s="917"/>
      <c r="B781" s="1092"/>
      <c r="C781" s="1092"/>
      <c r="D781" s="1092"/>
      <c r="E781" s="1092"/>
      <c r="F781" s="1092"/>
      <c r="G781" s="1092"/>
      <c r="H781" s="918"/>
      <c r="K781" s="918"/>
      <c r="L781" s="918"/>
      <c r="M781" s="918"/>
      <c r="N781" s="918"/>
      <c r="O781" s="918"/>
      <c r="P781" s="918"/>
      <c r="Q781" s="918"/>
      <c r="R781" s="918"/>
      <c r="S781" s="918"/>
      <c r="T781" s="918"/>
      <c r="U781" s="918"/>
      <c r="V781" s="918"/>
      <c r="W781" s="918"/>
      <c r="X781" s="918" ph="1"/>
      <c r="Y781" s="918" ph="1"/>
      <c r="Z781" s="918"/>
      <c r="AC781" s="917"/>
      <c r="AD781" s="917"/>
      <c r="AE781" s="917"/>
      <c r="AF781" s="917"/>
      <c r="AG781" s="917"/>
    </row>
    <row r="782" spans="1:33" s="919" customFormat="1" ht="21">
      <c r="A782" s="917"/>
      <c r="B782" s="1092"/>
      <c r="C782" s="1092"/>
      <c r="D782" s="1092"/>
      <c r="E782" s="1092"/>
      <c r="F782" s="1092"/>
      <c r="G782" s="1092"/>
      <c r="H782" s="918"/>
      <c r="K782" s="918"/>
      <c r="L782" s="918"/>
      <c r="M782" s="918"/>
      <c r="N782" s="918"/>
      <c r="O782" s="918"/>
      <c r="P782" s="918"/>
      <c r="Q782" s="918"/>
      <c r="R782" s="918"/>
      <c r="S782" s="918"/>
      <c r="T782" s="918"/>
      <c r="U782" s="918"/>
      <c r="V782" s="918"/>
      <c r="W782" s="918"/>
      <c r="X782" s="918" ph="1"/>
      <c r="Y782" s="918" ph="1"/>
      <c r="Z782" s="918"/>
      <c r="AC782" s="917"/>
      <c r="AD782" s="917"/>
      <c r="AE782" s="917"/>
      <c r="AF782" s="917"/>
      <c r="AG782" s="917"/>
    </row>
    <row r="783" spans="1:33" s="919" customFormat="1" ht="21">
      <c r="A783" s="917"/>
      <c r="B783" s="1092"/>
      <c r="C783" s="1092"/>
      <c r="D783" s="1092"/>
      <c r="E783" s="1092"/>
      <c r="F783" s="1092"/>
      <c r="G783" s="1092"/>
      <c r="H783" s="918"/>
      <c r="K783" s="918"/>
      <c r="L783" s="918"/>
      <c r="M783" s="918"/>
      <c r="N783" s="918"/>
      <c r="O783" s="918"/>
      <c r="P783" s="918"/>
      <c r="Q783" s="918"/>
      <c r="R783" s="918"/>
      <c r="S783" s="918"/>
      <c r="T783" s="918"/>
      <c r="U783" s="918"/>
      <c r="V783" s="918"/>
      <c r="W783" s="918"/>
      <c r="X783" s="918" ph="1"/>
      <c r="Y783" s="918" ph="1"/>
      <c r="Z783" s="918"/>
      <c r="AC783" s="917"/>
      <c r="AD783" s="917"/>
      <c r="AE783" s="917"/>
      <c r="AF783" s="917"/>
      <c r="AG783" s="917"/>
    </row>
    <row r="784" spans="1:33" s="919" customFormat="1" ht="21">
      <c r="A784" s="917"/>
      <c r="B784" s="1092"/>
      <c r="C784" s="1092"/>
      <c r="D784" s="1092"/>
      <c r="E784" s="1092"/>
      <c r="F784" s="1092"/>
      <c r="G784" s="1092"/>
      <c r="H784" s="918"/>
      <c r="K784" s="918"/>
      <c r="L784" s="918"/>
      <c r="M784" s="918"/>
      <c r="N784" s="918"/>
      <c r="O784" s="918"/>
      <c r="P784" s="918"/>
      <c r="Q784" s="918"/>
      <c r="R784" s="918"/>
      <c r="S784" s="918"/>
      <c r="T784" s="918"/>
      <c r="U784" s="918"/>
      <c r="V784" s="918"/>
      <c r="W784" s="918"/>
      <c r="X784" s="918" ph="1"/>
      <c r="Y784" s="918" ph="1"/>
      <c r="Z784" s="918"/>
      <c r="AC784" s="917"/>
      <c r="AD784" s="917"/>
      <c r="AE784" s="917"/>
      <c r="AF784" s="917"/>
      <c r="AG784" s="917"/>
    </row>
    <row r="785" spans="1:33" s="919" customFormat="1" ht="21">
      <c r="A785" s="917"/>
      <c r="B785" s="1092"/>
      <c r="C785" s="1092"/>
      <c r="D785" s="1092"/>
      <c r="E785" s="1092"/>
      <c r="F785" s="1092"/>
      <c r="G785" s="1092"/>
      <c r="H785" s="918"/>
      <c r="K785" s="918"/>
      <c r="L785" s="918"/>
      <c r="M785" s="918"/>
      <c r="N785" s="918"/>
      <c r="O785" s="918"/>
      <c r="P785" s="918"/>
      <c r="Q785" s="918"/>
      <c r="R785" s="918"/>
      <c r="S785" s="918"/>
      <c r="T785" s="918"/>
      <c r="U785" s="918"/>
      <c r="V785" s="918"/>
      <c r="W785" s="918"/>
      <c r="X785" s="918" ph="1"/>
      <c r="Y785" s="918" ph="1"/>
      <c r="Z785" s="918"/>
      <c r="AC785" s="917"/>
      <c r="AD785" s="917"/>
      <c r="AE785" s="917"/>
      <c r="AF785" s="917"/>
      <c r="AG785" s="917"/>
    </row>
    <row r="786" spans="1:33" s="919" customFormat="1" ht="21">
      <c r="A786" s="917"/>
      <c r="B786" s="1092"/>
      <c r="C786" s="1092"/>
      <c r="D786" s="1092"/>
      <c r="E786" s="1092"/>
      <c r="F786" s="1092"/>
      <c r="G786" s="1092"/>
      <c r="H786" s="918"/>
      <c r="K786" s="918"/>
      <c r="L786" s="918"/>
      <c r="M786" s="918"/>
      <c r="N786" s="918"/>
      <c r="O786" s="918"/>
      <c r="P786" s="918"/>
      <c r="Q786" s="918"/>
      <c r="R786" s="918"/>
      <c r="S786" s="918"/>
      <c r="T786" s="918"/>
      <c r="U786" s="918"/>
      <c r="V786" s="918"/>
      <c r="W786" s="918"/>
      <c r="X786" s="918" ph="1"/>
      <c r="Y786" s="918" ph="1"/>
      <c r="Z786" s="918" ph="1"/>
      <c r="AA786" s="919" ph="1"/>
      <c r="AB786" s="919" ph="1"/>
      <c r="AC786" s="917"/>
      <c r="AD786" s="917"/>
      <c r="AE786" s="917"/>
      <c r="AF786" s="917"/>
      <c r="AG786" s="917"/>
    </row>
    <row r="787" spans="1:33" ht="21">
      <c r="X787" s="918" ph="1"/>
      <c r="Y787" s="918" ph="1"/>
    </row>
    <row r="788" spans="1:33" ht="21">
      <c r="X788" s="918" ph="1"/>
      <c r="Y788" s="918" ph="1"/>
    </row>
    <row r="789" spans="1:33" ht="21">
      <c r="X789" s="918" ph="1"/>
      <c r="Y789" s="918" ph="1"/>
    </row>
    <row r="790" spans="1:33" ht="21">
      <c r="X790" s="918" ph="1"/>
      <c r="Y790" s="918" ph="1"/>
    </row>
    <row r="791" spans="1:33" ht="21">
      <c r="X791" s="918" ph="1"/>
      <c r="Y791" s="918" ph="1"/>
    </row>
    <row r="792" spans="1:33" ht="21">
      <c r="X792" s="918" ph="1"/>
      <c r="Y792" s="918" ph="1"/>
    </row>
    <row r="793" spans="1:33" ht="21">
      <c r="X793" s="918" ph="1"/>
      <c r="Y793" s="918" ph="1"/>
    </row>
    <row r="794" spans="1:33" ht="21">
      <c r="X794" s="918" ph="1"/>
      <c r="Y794" s="918" ph="1"/>
    </row>
    <row r="795" spans="1:33" ht="21">
      <c r="X795" s="918" ph="1"/>
      <c r="Y795" s="918" ph="1"/>
    </row>
    <row r="796" spans="1:33" ht="21">
      <c r="X796" s="918" ph="1"/>
      <c r="Y796" s="918" ph="1"/>
    </row>
    <row r="797" spans="1:33" ht="21">
      <c r="X797" s="918" ph="1"/>
      <c r="Y797" s="918" ph="1"/>
    </row>
    <row r="798" spans="1:33" ht="21">
      <c r="X798" s="918" ph="1"/>
      <c r="Y798" s="918" ph="1"/>
    </row>
    <row r="799" spans="1:33" ht="21">
      <c r="X799" s="918" ph="1"/>
      <c r="Y799" s="918" ph="1"/>
    </row>
    <row r="800" spans="1:33" ht="21">
      <c r="X800" s="918" ph="1"/>
      <c r="Y800" s="918" ph="1"/>
      <c r="Z800" s="918" ph="1"/>
      <c r="AA800" s="919" ph="1"/>
      <c r="AB800" s="919" ph="1"/>
    </row>
    <row r="801" spans="24:28" ht="21">
      <c r="X801" s="918" ph="1"/>
      <c r="Y801" s="918" ph="1"/>
    </row>
    <row r="802" spans="24:28" ht="21">
      <c r="X802" s="918" ph="1"/>
      <c r="Y802" s="918" ph="1"/>
    </row>
    <row r="803" spans="24:28" ht="21">
      <c r="X803" s="918" ph="1"/>
      <c r="Y803" s="918" ph="1"/>
    </row>
    <row r="804" spans="24:28" ht="21">
      <c r="X804" s="918" ph="1"/>
      <c r="Y804" s="918" ph="1"/>
    </row>
    <row r="805" spans="24:28" ht="21">
      <c r="X805" s="918" ph="1"/>
      <c r="Y805" s="918" ph="1"/>
    </row>
    <row r="806" spans="24:28" ht="21">
      <c r="X806" s="918" ph="1"/>
      <c r="Y806" s="918" ph="1"/>
    </row>
    <row r="807" spans="24:28" ht="21">
      <c r="X807" s="918" ph="1"/>
      <c r="Y807" s="918" ph="1"/>
    </row>
    <row r="808" spans="24:28" ht="21">
      <c r="X808" s="918" ph="1"/>
      <c r="Y808" s="918" ph="1"/>
    </row>
    <row r="809" spans="24:28" ht="21">
      <c r="X809" s="918" ph="1"/>
      <c r="Y809" s="918" ph="1"/>
    </row>
    <row r="810" spans="24:28" ht="21">
      <c r="X810" s="918" ph="1"/>
      <c r="Y810" s="918" ph="1"/>
    </row>
    <row r="811" spans="24:28" ht="21">
      <c r="X811" s="918" ph="1"/>
      <c r="Y811" s="918" ph="1"/>
    </row>
    <row r="812" spans="24:28" ht="21">
      <c r="X812" s="918" ph="1"/>
      <c r="Y812" s="918" ph="1"/>
    </row>
    <row r="813" spans="24:28" ht="21">
      <c r="X813" s="918" ph="1"/>
      <c r="Y813" s="918" ph="1"/>
    </row>
    <row r="814" spans="24:28">
      <c r="X814" s="918" ph="1"/>
      <c r="Y814" s="918" ph="1"/>
      <c r="Z814" s="918" ph="1"/>
      <c r="AA814" s="919" ph="1"/>
      <c r="AB814" s="919" ph="1"/>
    </row>
  </sheetData>
  <mergeCells count="20">
    <mergeCell ref="I5:I7"/>
    <mergeCell ref="C5:C7"/>
    <mergeCell ref="G5:G7"/>
    <mergeCell ref="J5:S5"/>
    <mergeCell ref="A2:H2"/>
    <mergeCell ref="A5:A7"/>
    <mergeCell ref="B5:B7"/>
    <mergeCell ref="X6:Z6"/>
    <mergeCell ref="J6:J7"/>
    <mergeCell ref="O6:R6"/>
    <mergeCell ref="D5:F6"/>
    <mergeCell ref="T6:T7"/>
    <mergeCell ref="AC5:AC7"/>
    <mergeCell ref="AA6:AA7"/>
    <mergeCell ref="H5:H7"/>
    <mergeCell ref="U6:W6"/>
    <mergeCell ref="S6:S7"/>
    <mergeCell ref="K6:N6"/>
    <mergeCell ref="AB5:AB7"/>
    <mergeCell ref="T5:AA5"/>
  </mergeCells>
  <phoneticPr fontId="3" type="noConversion"/>
  <conditionalFormatting sqref="H8:H41">
    <cfRule type="expression" dxfId="0" priority="5" stopIfTrue="1">
      <formula>((H8)-ROUNDDOWN(H8,0))&gt;0</formula>
    </cfRule>
  </conditionalFormatting>
  <dataValidations xWindow="297" yWindow="531" count="4">
    <dataValidation type="list" allowBlank="1" showInputMessage="1" showErrorMessage="1" promptTitle="목록에서 선택" prompt="▼버튼을 눌러 목록에서 선택하세요." sqref="G8:G41">
      <formula1>"팔당, 대청, -"</formula1>
    </dataValidation>
    <dataValidation type="list" allowBlank="1" showInputMessage="1" showErrorMessage="1" promptTitle="목록에서 선택" prompt="▼버튼을 눌러 목록에서 선택하세요." sqref="B8:B41">
      <formula1>"한강,금강,낙동강,영산강,섬진강,연안,기타"</formula1>
    </dataValidation>
    <dataValidation type="whole" operator="greaterThanOrEqual" allowBlank="1" showInputMessage="1" showErrorMessage="1" sqref="P8:R41 U8:Z41 L8:N41">
      <formula1>0</formula1>
    </dataValidation>
    <dataValidation type="list" allowBlank="1" showInputMessage="1" showErrorMessage="1" promptTitle="목록에서 선택" prompt="▼버튼을 눌러 목록에서 선택하세요." sqref="D8:D41">
      <formula1>"북한강상류,북한강하류,임진강,남한강상류,남한강하류,팔당댐상류,한강본류,안성천,동해북부,안동ㆍ임하댐,낙동강상류,낙동강중류,금호강,서부경남,동부경남,남해동부,동해남부,용담댐,대청댐,금강하류,미호천,새만금,삽교천,영산강상류,영산강하류,서해남부,제주,섬진강상류,섬진강하류,남해서부"</formula1>
    </dataValidation>
  </dataValidations>
  <pageMargins left="0.47244094488188981" right="0.43307086614173229" top="0.98425196850393704" bottom="0.98425196850393704" header="0.51181102362204722" footer="0.51181102362204722"/>
  <pageSetup paperSize="9" scale="36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2:U18"/>
  <sheetViews>
    <sheetView view="pageBreakPreview" zoomScale="85" zoomScaleNormal="85" zoomScaleSheetLayoutView="85" workbookViewId="0">
      <selection activeCell="E29" sqref="E29"/>
    </sheetView>
  </sheetViews>
  <sheetFormatPr defaultColWidth="3.88671875" defaultRowHeight="12"/>
  <cols>
    <col min="1" max="1" width="13.6640625" style="2" customWidth="1"/>
    <col min="2" max="2" width="12.44140625" style="2" customWidth="1"/>
    <col min="3" max="5" width="10.109375" style="2" customWidth="1"/>
    <col min="6" max="8" width="13.33203125" style="2" bestFit="1" customWidth="1"/>
    <col min="9" max="14" width="9.88671875" style="2" customWidth="1"/>
    <col min="15" max="16" width="7" style="2" customWidth="1"/>
    <col min="17" max="16384" width="3.88671875" style="2"/>
  </cols>
  <sheetData>
    <row r="2" spans="1:21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21" s="925" customFormat="1" ht="27.75" customHeight="1">
      <c r="A3" s="1597" t="s">
        <v>7661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ht="12.75" thickBot="1"/>
    <row r="5" spans="1:21" ht="23.25" customHeight="1">
      <c r="A5" s="1749" t="s">
        <v>1455</v>
      </c>
      <c r="B5" s="1703" t="s">
        <v>7662</v>
      </c>
      <c r="C5" s="1746" t="s">
        <v>1456</v>
      </c>
      <c r="D5" s="1703" t="s">
        <v>8767</v>
      </c>
      <c r="E5" s="1746" t="s">
        <v>1457</v>
      </c>
      <c r="F5" s="1746" t="s">
        <v>1500</v>
      </c>
      <c r="G5" s="1746"/>
      <c r="H5" s="1746"/>
      <c r="I5" s="1746" t="s">
        <v>1461</v>
      </c>
      <c r="J5" s="1746"/>
      <c r="K5" s="1746"/>
      <c r="L5" s="1746"/>
      <c r="M5" s="1746"/>
      <c r="N5" s="1760"/>
      <c r="O5" s="1753" t="s">
        <v>8765</v>
      </c>
      <c r="P5" s="1756" t="s">
        <v>8766</v>
      </c>
    </row>
    <row r="6" spans="1:21" ht="23.25" customHeight="1">
      <c r="A6" s="1750"/>
      <c r="B6" s="1747"/>
      <c r="C6" s="1747"/>
      <c r="D6" s="1747"/>
      <c r="E6" s="1747"/>
      <c r="F6" s="1747" t="s">
        <v>1482</v>
      </c>
      <c r="G6" s="1711" t="s">
        <v>8886</v>
      </c>
      <c r="H6" s="1747" t="s">
        <v>1483</v>
      </c>
      <c r="I6" s="1747" t="s">
        <v>1459</v>
      </c>
      <c r="J6" s="1747"/>
      <c r="K6" s="1747"/>
      <c r="L6" s="1747" t="s">
        <v>1460</v>
      </c>
      <c r="M6" s="1747"/>
      <c r="N6" s="1759"/>
      <c r="O6" s="1754"/>
      <c r="P6" s="1757"/>
    </row>
    <row r="7" spans="1:21" ht="27.75" thickBot="1">
      <c r="A7" s="1751"/>
      <c r="B7" s="1748"/>
      <c r="C7" s="1748"/>
      <c r="D7" s="1748"/>
      <c r="E7" s="1748"/>
      <c r="F7" s="1748"/>
      <c r="G7" s="1748"/>
      <c r="H7" s="1748"/>
      <c r="I7" s="1182" t="s">
        <v>1458</v>
      </c>
      <c r="J7" s="1182" t="s">
        <v>1479</v>
      </c>
      <c r="K7" s="1182" t="s">
        <v>1480</v>
      </c>
      <c r="L7" s="1182" t="s">
        <v>1458</v>
      </c>
      <c r="M7" s="1182" t="s">
        <v>1479</v>
      </c>
      <c r="N7" s="995" t="s">
        <v>1480</v>
      </c>
      <c r="O7" s="1755"/>
      <c r="P7" s="1758"/>
    </row>
    <row r="8" spans="1:21" ht="30" customHeight="1">
      <c r="A8" s="1752" t="s">
        <v>9120</v>
      </c>
      <c r="B8" s="1023" t="s">
        <v>9191</v>
      </c>
      <c r="C8" s="1343" t="s">
        <v>9192</v>
      </c>
      <c r="D8" s="1343" t="s">
        <v>9193</v>
      </c>
      <c r="E8" s="804">
        <v>5.6</v>
      </c>
      <c r="F8" s="626">
        <v>9404</v>
      </c>
      <c r="G8" s="626">
        <v>10724</v>
      </c>
      <c r="H8" s="1030">
        <f>G8-F8</f>
        <v>1320</v>
      </c>
      <c r="I8" s="632">
        <v>6</v>
      </c>
      <c r="J8" s="632">
        <v>600</v>
      </c>
      <c r="K8" s="626">
        <v>12120</v>
      </c>
      <c r="L8" s="632">
        <v>0</v>
      </c>
      <c r="M8" s="632">
        <v>0</v>
      </c>
      <c r="N8" s="1348">
        <v>0</v>
      </c>
      <c r="O8" s="1346" t="s">
        <v>9043</v>
      </c>
      <c r="P8" s="1347" t="s">
        <v>9043</v>
      </c>
    </row>
    <row r="9" spans="1:21" ht="30" customHeight="1">
      <c r="A9" s="1752"/>
      <c r="B9" s="1023" t="s">
        <v>9194</v>
      </c>
      <c r="C9" s="1343" t="s">
        <v>9195</v>
      </c>
      <c r="D9" s="1343" t="s">
        <v>4061</v>
      </c>
      <c r="E9" s="804">
        <v>3.5</v>
      </c>
      <c r="F9" s="626">
        <v>3226</v>
      </c>
      <c r="G9" s="626">
        <v>3226</v>
      </c>
      <c r="H9" s="1030">
        <f t="shared" ref="H9:H18" si="0">G9-F9</f>
        <v>0</v>
      </c>
      <c r="I9" s="632">
        <v>8</v>
      </c>
      <c r="J9" s="632">
        <v>400</v>
      </c>
      <c r="K9" s="626">
        <v>5950</v>
      </c>
      <c r="L9" s="632">
        <v>0</v>
      </c>
      <c r="M9" s="632">
        <v>0</v>
      </c>
      <c r="N9" s="1349">
        <v>0</v>
      </c>
      <c r="O9" s="5" t="s">
        <v>9043</v>
      </c>
      <c r="P9" s="979" t="s">
        <v>9046</v>
      </c>
    </row>
    <row r="10" spans="1:21" ht="30" customHeight="1">
      <c r="A10" s="1752"/>
      <c r="B10" s="1023" t="s">
        <v>9196</v>
      </c>
      <c r="C10" s="1343" t="s">
        <v>9197</v>
      </c>
      <c r="D10" s="1343" t="s">
        <v>4061</v>
      </c>
      <c r="E10" s="804">
        <v>1.1000000000000001</v>
      </c>
      <c r="F10" s="626">
        <v>325</v>
      </c>
      <c r="G10" s="626">
        <v>325</v>
      </c>
      <c r="H10" s="1030">
        <f t="shared" si="0"/>
        <v>0</v>
      </c>
      <c r="I10" s="632">
        <v>3</v>
      </c>
      <c r="J10" s="632">
        <v>200</v>
      </c>
      <c r="K10" s="626">
        <v>588</v>
      </c>
      <c r="L10" s="632">
        <v>0</v>
      </c>
      <c r="M10" s="632">
        <v>0</v>
      </c>
      <c r="N10" s="1348">
        <v>0</v>
      </c>
      <c r="O10" s="5" t="s">
        <v>9043</v>
      </c>
      <c r="P10" s="979" t="s">
        <v>9046</v>
      </c>
    </row>
    <row r="11" spans="1:21" ht="30" customHeight="1">
      <c r="A11" s="1752"/>
      <c r="B11" s="1023" t="s">
        <v>9198</v>
      </c>
      <c r="C11" s="1343" t="s">
        <v>9199</v>
      </c>
      <c r="D11" s="1343" t="s">
        <v>9200</v>
      </c>
      <c r="E11" s="785">
        <v>2.4</v>
      </c>
      <c r="F11" s="626">
        <v>252</v>
      </c>
      <c r="G11" s="626">
        <v>252</v>
      </c>
      <c r="H11" s="1030">
        <f t="shared" si="0"/>
        <v>0</v>
      </c>
      <c r="I11" s="632">
        <v>2</v>
      </c>
      <c r="J11" s="632">
        <v>150</v>
      </c>
      <c r="K11" s="626">
        <v>252</v>
      </c>
      <c r="L11" s="632">
        <v>0</v>
      </c>
      <c r="M11" s="632">
        <v>0</v>
      </c>
      <c r="N11" s="1348">
        <v>0</v>
      </c>
      <c r="O11" s="5" t="s">
        <v>9043</v>
      </c>
      <c r="P11" s="979" t="s">
        <v>9043</v>
      </c>
    </row>
    <row r="12" spans="1:21" ht="30" customHeight="1">
      <c r="A12" s="1752"/>
      <c r="B12" s="1023" t="s">
        <v>9201</v>
      </c>
      <c r="C12" s="1343" t="s">
        <v>9202</v>
      </c>
      <c r="D12" s="1343" t="s">
        <v>9203</v>
      </c>
      <c r="E12" s="804">
        <v>8</v>
      </c>
      <c r="F12" s="632">
        <v>797</v>
      </c>
      <c r="G12" s="632">
        <v>797</v>
      </c>
      <c r="H12" s="1030">
        <f t="shared" si="0"/>
        <v>0</v>
      </c>
      <c r="I12" s="632">
        <v>4</v>
      </c>
      <c r="J12" s="632">
        <v>200</v>
      </c>
      <c r="K12" s="626">
        <v>270</v>
      </c>
      <c r="L12" s="632">
        <v>0</v>
      </c>
      <c r="M12" s="632">
        <v>0</v>
      </c>
      <c r="N12" s="1348">
        <v>0</v>
      </c>
      <c r="O12" s="5" t="s">
        <v>9043</v>
      </c>
      <c r="P12" s="979" t="s">
        <v>9043</v>
      </c>
    </row>
    <row r="13" spans="1:21" ht="30" customHeight="1">
      <c r="A13" s="1752"/>
      <c r="B13" s="1023" t="s">
        <v>9204</v>
      </c>
      <c r="C13" s="1343" t="s">
        <v>9205</v>
      </c>
      <c r="D13" s="1343" t="s">
        <v>9206</v>
      </c>
      <c r="E13" s="804">
        <v>1.2</v>
      </c>
      <c r="F13" s="632">
        <v>1857</v>
      </c>
      <c r="G13" s="632">
        <v>1857</v>
      </c>
      <c r="H13" s="1030">
        <f t="shared" si="0"/>
        <v>0</v>
      </c>
      <c r="I13" s="632">
        <v>3</v>
      </c>
      <c r="J13" s="632">
        <v>600</v>
      </c>
      <c r="K13" s="626">
        <v>1080</v>
      </c>
      <c r="L13" s="632">
        <v>0</v>
      </c>
      <c r="M13" s="632">
        <v>0</v>
      </c>
      <c r="N13" s="1348">
        <v>0</v>
      </c>
      <c r="O13" s="5" t="s">
        <v>9043</v>
      </c>
      <c r="P13" s="979" t="s">
        <v>9046</v>
      </c>
    </row>
    <row r="14" spans="1:21" ht="30" customHeight="1">
      <c r="A14" s="1752"/>
      <c r="B14" s="1023" t="s">
        <v>9207</v>
      </c>
      <c r="C14" s="1343" t="s">
        <v>9208</v>
      </c>
      <c r="D14" s="1343" t="s">
        <v>9206</v>
      </c>
      <c r="E14" s="804">
        <v>0.21</v>
      </c>
      <c r="F14" s="632">
        <v>684</v>
      </c>
      <c r="G14" s="632">
        <v>684</v>
      </c>
      <c r="H14" s="1030">
        <f t="shared" si="0"/>
        <v>0</v>
      </c>
      <c r="I14" s="632">
        <v>3</v>
      </c>
      <c r="J14" s="632">
        <v>300</v>
      </c>
      <c r="K14" s="626">
        <v>420</v>
      </c>
      <c r="L14" s="632">
        <v>0</v>
      </c>
      <c r="M14" s="632">
        <v>0</v>
      </c>
      <c r="N14" s="1348">
        <v>0</v>
      </c>
      <c r="O14" s="5" t="s">
        <v>9043</v>
      </c>
      <c r="P14" s="979" t="s">
        <v>9043</v>
      </c>
    </row>
    <row r="15" spans="1:21" ht="30" customHeight="1">
      <c r="A15" s="1752"/>
      <c r="B15" s="1023" t="s">
        <v>9209</v>
      </c>
      <c r="C15" s="1343" t="s">
        <v>9210</v>
      </c>
      <c r="D15" s="1343" t="s">
        <v>9206</v>
      </c>
      <c r="E15" s="804">
        <v>0.45</v>
      </c>
      <c r="F15" s="632">
        <v>514</v>
      </c>
      <c r="G15" s="632">
        <v>514</v>
      </c>
      <c r="H15" s="1030">
        <f t="shared" si="0"/>
        <v>0</v>
      </c>
      <c r="I15" s="632">
        <v>3</v>
      </c>
      <c r="J15" s="632">
        <v>300</v>
      </c>
      <c r="K15" s="626">
        <v>300</v>
      </c>
      <c r="L15" s="632">
        <v>0</v>
      </c>
      <c r="M15" s="632">
        <v>0</v>
      </c>
      <c r="N15" s="1348">
        <v>0</v>
      </c>
      <c r="O15" s="5" t="s">
        <v>9043</v>
      </c>
      <c r="P15" s="979" t="s">
        <v>9043</v>
      </c>
    </row>
    <row r="16" spans="1:21" ht="30" customHeight="1">
      <c r="A16" s="1752"/>
      <c r="B16" s="1023" t="s">
        <v>9211</v>
      </c>
      <c r="C16" s="1343" t="s">
        <v>9212</v>
      </c>
      <c r="D16" s="1343" t="s">
        <v>9213</v>
      </c>
      <c r="E16" s="804" t="s">
        <v>1991</v>
      </c>
      <c r="F16" s="632">
        <v>514</v>
      </c>
      <c r="G16" s="632">
        <v>514</v>
      </c>
      <c r="H16" s="1030">
        <f t="shared" si="0"/>
        <v>0</v>
      </c>
      <c r="I16" s="632">
        <v>2</v>
      </c>
      <c r="J16" s="632">
        <v>150</v>
      </c>
      <c r="K16" s="626">
        <v>300</v>
      </c>
      <c r="L16" s="632">
        <v>0</v>
      </c>
      <c r="M16" s="632">
        <v>0</v>
      </c>
      <c r="N16" s="1348">
        <v>0</v>
      </c>
      <c r="O16" s="5" t="s">
        <v>9043</v>
      </c>
      <c r="P16" s="979" t="s">
        <v>9043</v>
      </c>
    </row>
    <row r="17" spans="1:16" ht="30" customHeight="1">
      <c r="A17" s="1752"/>
      <c r="B17" s="1023" t="s">
        <v>9214</v>
      </c>
      <c r="C17" s="1343" t="s">
        <v>9215</v>
      </c>
      <c r="D17" s="1343" t="s">
        <v>9206</v>
      </c>
      <c r="E17" s="804">
        <v>0.04</v>
      </c>
      <c r="F17" s="632">
        <v>150</v>
      </c>
      <c r="G17" s="632">
        <v>150</v>
      </c>
      <c r="H17" s="1030">
        <f t="shared" si="0"/>
        <v>0</v>
      </c>
      <c r="I17" s="632">
        <v>3</v>
      </c>
      <c r="J17" s="632">
        <v>100</v>
      </c>
      <c r="K17" s="626">
        <v>150</v>
      </c>
      <c r="L17" s="632">
        <v>0</v>
      </c>
      <c r="M17" s="632">
        <v>0</v>
      </c>
      <c r="N17" s="1348">
        <v>0</v>
      </c>
      <c r="O17" s="5" t="s">
        <v>9043</v>
      </c>
      <c r="P17" s="979" t="s">
        <v>9043</v>
      </c>
    </row>
    <row r="18" spans="1:16" ht="30" customHeight="1">
      <c r="A18" s="1752"/>
      <c r="B18" s="1023" t="s">
        <v>9216</v>
      </c>
      <c r="C18" s="1343" t="s">
        <v>9217</v>
      </c>
      <c r="D18" s="1343" t="s">
        <v>9206</v>
      </c>
      <c r="E18" s="804">
        <v>0.1</v>
      </c>
      <c r="F18" s="632">
        <v>168</v>
      </c>
      <c r="G18" s="632">
        <v>168</v>
      </c>
      <c r="H18" s="1030">
        <f t="shared" si="0"/>
        <v>0</v>
      </c>
      <c r="I18" s="632">
        <v>2</v>
      </c>
      <c r="J18" s="632">
        <v>150</v>
      </c>
      <c r="K18" s="626">
        <v>168</v>
      </c>
      <c r="L18" s="632">
        <v>0</v>
      </c>
      <c r="M18" s="632">
        <v>0</v>
      </c>
      <c r="N18" s="1348">
        <v>0</v>
      </c>
      <c r="O18" s="5" t="s">
        <v>9043</v>
      </c>
      <c r="P18" s="979" t="s">
        <v>9043</v>
      </c>
    </row>
  </sheetData>
  <mergeCells count="17">
    <mergeCell ref="G6:G7"/>
    <mergeCell ref="A8:A18"/>
    <mergeCell ref="O5:O7"/>
    <mergeCell ref="P5:P7"/>
    <mergeCell ref="A3:E3"/>
    <mergeCell ref="L6:N6"/>
    <mergeCell ref="I5:N5"/>
    <mergeCell ref="F5:H5"/>
    <mergeCell ref="H6:H7"/>
    <mergeCell ref="I6:K6"/>
    <mergeCell ref="F6:F7"/>
    <mergeCell ref="A2:E2"/>
    <mergeCell ref="E5:E7"/>
    <mergeCell ref="A5:A7"/>
    <mergeCell ref="B5:B7"/>
    <mergeCell ref="C5:C7"/>
    <mergeCell ref="D5:D7"/>
  </mergeCells>
  <phoneticPr fontId="3" type="noConversion"/>
  <conditionalFormatting sqref="A8:N18">
    <cfRule type="expression" dxfId="472" priority="28" stopIfTrue="1">
      <formula>OR($A8="시부",$A8="군부",$A8="제주시",$A8="서귀포시")</formula>
    </cfRule>
    <cfRule type="expression" dxfId="471" priority="29" stopIfTrue="1">
      <formula>OR(RIGHT($A8,3)="특별시",RIGHT($A8,3)="광역시",RIGHT($A8,1)="도",$A8="전국")</formula>
    </cfRule>
  </conditionalFormatting>
  <conditionalFormatting sqref="A8:N10 A18:N18">
    <cfRule type="expression" dxfId="470" priority="13" stopIfTrue="1">
      <formula>OR($A8="시부",$A8="군부",$A8="제주시",$A8="서귀포시")</formula>
    </cfRule>
    <cfRule type="expression" dxfId="469" priority="14" stopIfTrue="1">
      <formula>OR(RIGHT($A8,3)="특별시",RIGHT($A8,3)="광역시",RIGHT($A8,1)="도",$A8="전국")</formula>
    </cfRule>
  </conditionalFormatting>
  <conditionalFormatting sqref="A11:N13">
    <cfRule type="expression" dxfId="468" priority="11" stopIfTrue="1">
      <formula>OR($A11="시부",$A11="군부",$A11="제주시",$A11="서귀포시")</formula>
    </cfRule>
    <cfRule type="expression" dxfId="467" priority="12" stopIfTrue="1">
      <formula>OR(RIGHT($A11,3)="특별시",RIGHT($A11,3)="광역시",RIGHT($A11,1)="도",$A11="전국")</formula>
    </cfRule>
  </conditionalFormatting>
  <conditionalFormatting sqref="A14:N17">
    <cfRule type="expression" dxfId="466" priority="9" stopIfTrue="1">
      <formula>OR($A14="시부",$A14="군부",$A14="제주시",$A14="서귀포시")</formula>
    </cfRule>
    <cfRule type="expression" dxfId="465" priority="10" stopIfTrue="1">
      <formula>OR(RIGHT($A14,3)="특별시",RIGHT($A14,3)="광역시",RIGHT($A14,1)="도",$A14="전국")</formula>
    </cfRule>
  </conditionalFormatting>
  <conditionalFormatting sqref="B8:N8 H9:H18">
    <cfRule type="expression" dxfId="464" priority="7" stopIfTrue="1">
      <formula>OR(#REF!="시부",#REF!="군부",#REF!="제주시",#REF!="서귀포시")</formula>
    </cfRule>
    <cfRule type="expression" dxfId="463" priority="8" stopIfTrue="1">
      <formula>OR(RIGHT(#REF!,3)="특별시",RIGHT(#REF!,3)="광역시",RIGHT(#REF!,1)="도",#REF!="전국")</formula>
    </cfRule>
  </conditionalFormatting>
  <conditionalFormatting sqref="H8:H18">
    <cfRule type="expression" dxfId="462" priority="5" stopIfTrue="1">
      <formula>OR($A8="시부",$A8="군부",$A8="제주시",$A8="서귀포시")</formula>
    </cfRule>
    <cfRule type="expression" dxfId="461" priority="6" stopIfTrue="1">
      <formula>OR(RIGHT($A8,3)="특별시",RIGHT($A8,3)="광역시",RIGHT($A8,1)="도",$A8="전국")</formula>
    </cfRule>
  </conditionalFormatting>
  <conditionalFormatting sqref="B9:N10 B12:N18">
    <cfRule type="expression" dxfId="460" priority="3" stopIfTrue="1">
      <formula>OR($A9="시부",$A9="군부",$A9="제주시",$A9="서귀포시")</formula>
    </cfRule>
    <cfRule type="expression" dxfId="459" priority="4" stopIfTrue="1">
      <formula>OR(RIGHT($A9,3)="특별시",RIGHT($A9,3)="광역시",RIGHT($A9,1)="도",$A9="전국")</formula>
    </cfRule>
  </conditionalFormatting>
  <conditionalFormatting sqref="B11:N11">
    <cfRule type="expression" dxfId="458" priority="1" stopIfTrue="1">
      <formula>OR($A8="시부",$A8="군부",$A8="제주시",$A8="서귀포시")</formula>
    </cfRule>
    <cfRule type="expression" dxfId="457" priority="2" stopIfTrue="1">
      <formula>OR(RIGHT($A8,3)="특별시",RIGHT($A8,3)="광역시",RIGHT($A8,1)="도",$A8="전국")</formula>
    </cfRule>
  </conditionalFormatting>
  <dataValidations count="1">
    <dataValidation type="list" allowBlank="1" showInputMessage="1" showErrorMessage="1" promptTitle="목록에서 선택" prompt="▼버튼을 눌러 목록에서 선택하세요." sqref="O8:P18">
      <formula1>"유, 무"</formula1>
    </dataValidation>
  </dataValidations>
  <pageMargins left="0.62992125984251968" right="0.74803149606299213" top="0.98425196850393704" bottom="0.98425196850393704" header="0.51181102362204722" footer="0.51181102362204722"/>
  <pageSetup paperSize="9" scale="67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7030A0"/>
  </sheetPr>
  <dimension ref="A2:AX380"/>
  <sheetViews>
    <sheetView view="pageBreakPreview" topLeftCell="AJ1" zoomScale="85" zoomScaleNormal="115" zoomScaleSheetLayoutView="85" workbookViewId="0">
      <selection activeCell="AT15" sqref="AT15"/>
    </sheetView>
  </sheetViews>
  <sheetFormatPr defaultColWidth="3" defaultRowHeight="12"/>
  <cols>
    <col min="1" max="1" width="8.6640625" style="2" customWidth="1"/>
    <col min="2" max="2" width="9.5546875" style="2" customWidth="1"/>
    <col min="3" max="3" width="8.5546875" style="2" customWidth="1"/>
    <col min="4" max="4" width="9.21875" style="2" customWidth="1"/>
    <col min="5" max="5" width="8.6640625" style="2" customWidth="1"/>
    <col min="6" max="11" width="7.77734375" style="2" customWidth="1"/>
    <col min="12" max="12" width="8" style="2" customWidth="1"/>
    <col min="13" max="15" width="8.109375" style="2" customWidth="1"/>
    <col min="16" max="16" width="5.88671875" style="2" customWidth="1"/>
    <col min="17" max="23" width="6" style="2" customWidth="1"/>
    <col min="24" max="24" width="7.88671875" style="2" customWidth="1"/>
    <col min="25" max="25" width="7.21875" style="2" customWidth="1"/>
    <col min="26" max="26" width="6.6640625" style="954" customWidth="1"/>
    <col min="27" max="27" width="7.44140625" style="2" customWidth="1"/>
    <col min="28" max="29" width="7.21875" style="2" customWidth="1"/>
    <col min="30" max="33" width="7" style="695" customWidth="1"/>
    <col min="34" max="36" width="6.5546875" style="2" customWidth="1"/>
    <col min="37" max="37" width="11.33203125" style="2" customWidth="1"/>
    <col min="38" max="38" width="7.44140625" style="2" customWidth="1"/>
    <col min="39" max="39" width="8.5546875" style="2" customWidth="1"/>
    <col min="40" max="41" width="6.5546875" style="2" customWidth="1"/>
    <col min="42" max="42" width="8.6640625" style="2" customWidth="1"/>
    <col min="43" max="46" width="7.5546875" style="2" customWidth="1"/>
    <col min="47" max="47" width="8.6640625" style="2" customWidth="1"/>
    <col min="48" max="49" width="12.33203125" style="2" bestFit="1" customWidth="1"/>
    <col min="50" max="50" width="11.109375" style="2" customWidth="1"/>
    <col min="51" max="16384" width="3" style="2"/>
  </cols>
  <sheetData>
    <row r="2" spans="1:50" s="922" customFormat="1" ht="27.75" customHeight="1">
      <c r="A2" s="1688"/>
      <c r="B2" s="1688"/>
      <c r="C2" s="1688"/>
      <c r="D2" s="1688"/>
      <c r="E2" s="920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1"/>
      <c r="Z2" s="952"/>
      <c r="AA2" s="921"/>
      <c r="AB2" s="921"/>
      <c r="AC2" s="920"/>
      <c r="AD2" s="921"/>
      <c r="AE2" s="921"/>
      <c r="AF2" s="921"/>
      <c r="AG2" s="920"/>
      <c r="AH2" s="920"/>
    </row>
    <row r="3" spans="1:50" s="925" customFormat="1" ht="27.75" customHeight="1">
      <c r="A3" s="1597" t="s">
        <v>7666</v>
      </c>
      <c r="B3" s="1597"/>
      <c r="C3" s="1597"/>
      <c r="D3" s="1597"/>
      <c r="E3" s="923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  <c r="T3" s="924"/>
      <c r="U3" s="924"/>
      <c r="V3" s="924"/>
      <c r="W3" s="924"/>
      <c r="X3" s="924"/>
      <c r="Y3" s="924"/>
      <c r="Z3" s="953"/>
      <c r="AA3" s="924"/>
      <c r="AB3" s="924"/>
      <c r="AC3" s="923"/>
      <c r="AD3" s="924"/>
      <c r="AE3" s="924"/>
      <c r="AF3" s="924"/>
      <c r="AG3" s="923"/>
      <c r="AH3" s="923"/>
    </row>
    <row r="4" spans="1:50" ht="13.5" customHeight="1" thickBot="1">
      <c r="L4" s="1581"/>
      <c r="AI4" s="978"/>
      <c r="AJ4" s="978"/>
      <c r="AK4" s="978"/>
      <c r="AL4" s="978"/>
      <c r="AM4" s="978"/>
      <c r="AN4" s="978"/>
      <c r="AO4" s="978"/>
      <c r="AP4" s="978"/>
    </row>
    <row r="5" spans="1:50" ht="24.75" customHeight="1">
      <c r="A5" s="1786" t="s">
        <v>7663</v>
      </c>
      <c r="B5" s="1788" t="s">
        <v>7664</v>
      </c>
      <c r="C5" s="1795" t="s">
        <v>1463</v>
      </c>
      <c r="D5" s="1790" t="s">
        <v>7665</v>
      </c>
      <c r="E5" s="1799" t="s">
        <v>585</v>
      </c>
      <c r="F5" s="1799"/>
      <c r="G5" s="1800"/>
      <c r="H5" s="1764" t="s">
        <v>8988</v>
      </c>
      <c r="I5" s="1766" t="s">
        <v>9418</v>
      </c>
      <c r="J5" s="1766"/>
      <c r="K5" s="1767"/>
      <c r="L5" s="1790" t="s">
        <v>9428</v>
      </c>
      <c r="M5" s="1799" t="s">
        <v>585</v>
      </c>
      <c r="N5" s="1799"/>
      <c r="O5" s="1800"/>
      <c r="P5" s="1768" t="s">
        <v>8964</v>
      </c>
      <c r="Q5" s="1768" t="s">
        <v>8950</v>
      </c>
      <c r="R5" s="1768" t="s">
        <v>8966</v>
      </c>
      <c r="S5" s="1768" t="s">
        <v>8965</v>
      </c>
      <c r="T5" s="1768" t="s">
        <v>8967</v>
      </c>
      <c r="U5" s="1768" t="s">
        <v>8968</v>
      </c>
      <c r="V5" s="1768" t="s">
        <v>8969</v>
      </c>
      <c r="W5" s="1768" t="s">
        <v>8972</v>
      </c>
      <c r="X5" s="1768" t="s">
        <v>8970</v>
      </c>
      <c r="Y5" s="1768" t="s">
        <v>8971</v>
      </c>
      <c r="Z5" s="1793" t="s">
        <v>587</v>
      </c>
      <c r="AA5" s="1797" t="s">
        <v>8975</v>
      </c>
      <c r="AB5" s="1782" t="s">
        <v>589</v>
      </c>
      <c r="AC5" s="1784" t="s">
        <v>7646</v>
      </c>
      <c r="AD5" s="1778" t="s">
        <v>8973</v>
      </c>
      <c r="AE5" s="1778"/>
      <c r="AF5" s="1778"/>
      <c r="AG5" s="1778"/>
      <c r="AH5" s="1777" t="s">
        <v>592</v>
      </c>
      <c r="AI5" s="1777" t="s">
        <v>8768</v>
      </c>
      <c r="AJ5" s="1777" t="s">
        <v>1466</v>
      </c>
      <c r="AK5" s="1782" t="s">
        <v>8815</v>
      </c>
      <c r="AL5" s="1772" t="s">
        <v>8780</v>
      </c>
      <c r="AM5" s="1773"/>
      <c r="AN5" s="1773"/>
      <c r="AO5" s="1774"/>
      <c r="AP5" s="1777" t="s">
        <v>8951</v>
      </c>
      <c r="AQ5" s="1777" t="s">
        <v>1468</v>
      </c>
      <c r="AR5" s="1777"/>
      <c r="AS5" s="1772"/>
      <c r="AT5" s="1772"/>
      <c r="AU5" s="1780" t="s">
        <v>7647</v>
      </c>
      <c r="AV5" s="1775" t="s">
        <v>8795</v>
      </c>
      <c r="AW5" s="1775" t="s">
        <v>9420</v>
      </c>
      <c r="AX5" s="1770" t="s">
        <v>9421</v>
      </c>
    </row>
    <row r="6" spans="1:50" ht="24.75" customHeight="1">
      <c r="A6" s="1787"/>
      <c r="B6" s="1789"/>
      <c r="C6" s="1796"/>
      <c r="D6" s="1791"/>
      <c r="E6" s="1184" t="s">
        <v>2192</v>
      </c>
      <c r="F6" s="1184" t="s">
        <v>2284</v>
      </c>
      <c r="G6" s="1184" t="s">
        <v>5484</v>
      </c>
      <c r="H6" s="1765"/>
      <c r="I6" s="1564" t="s">
        <v>2192</v>
      </c>
      <c r="J6" s="1564" t="s">
        <v>2284</v>
      </c>
      <c r="K6" s="1564" t="s">
        <v>5484</v>
      </c>
      <c r="L6" s="1791"/>
      <c r="M6" s="1580" t="s">
        <v>2192</v>
      </c>
      <c r="N6" s="1184" t="s">
        <v>2284</v>
      </c>
      <c r="O6" s="1184" t="s">
        <v>5484</v>
      </c>
      <c r="P6" s="1769"/>
      <c r="Q6" s="1769"/>
      <c r="R6" s="1769"/>
      <c r="S6" s="1769"/>
      <c r="T6" s="1769"/>
      <c r="U6" s="1769"/>
      <c r="V6" s="1769"/>
      <c r="W6" s="1769"/>
      <c r="X6" s="1769"/>
      <c r="Y6" s="1769"/>
      <c r="Z6" s="1794"/>
      <c r="AA6" s="1798"/>
      <c r="AB6" s="1792"/>
      <c r="AC6" s="1785"/>
      <c r="AD6" s="835" t="s">
        <v>1981</v>
      </c>
      <c r="AE6" s="835" t="s">
        <v>8974</v>
      </c>
      <c r="AF6" s="835" t="s">
        <v>601</v>
      </c>
      <c r="AG6" s="835" t="s">
        <v>453</v>
      </c>
      <c r="AH6" s="1779"/>
      <c r="AI6" s="1779"/>
      <c r="AJ6" s="1779"/>
      <c r="AK6" s="1783"/>
      <c r="AL6" s="1183" t="s">
        <v>8781</v>
      </c>
      <c r="AM6" s="1183" t="s">
        <v>8782</v>
      </c>
      <c r="AN6" s="1183" t="s">
        <v>8783</v>
      </c>
      <c r="AO6" s="1183" t="s">
        <v>8779</v>
      </c>
      <c r="AP6" s="1779"/>
      <c r="AQ6" s="1183" t="s">
        <v>1469</v>
      </c>
      <c r="AR6" s="1183" t="s">
        <v>1481</v>
      </c>
      <c r="AS6" s="1185" t="s">
        <v>1454</v>
      </c>
      <c r="AT6" s="1535" t="s">
        <v>9419</v>
      </c>
      <c r="AU6" s="1781"/>
      <c r="AV6" s="1776"/>
      <c r="AW6" s="1776"/>
      <c r="AX6" s="1771"/>
    </row>
    <row r="7" spans="1:50" s="938" customFormat="1" ht="24" customHeight="1">
      <c r="A7" s="1761" t="s">
        <v>9299</v>
      </c>
      <c r="B7" s="460" t="s">
        <v>9316</v>
      </c>
      <c r="C7" s="1530" t="s">
        <v>9317</v>
      </c>
      <c r="D7" s="1430">
        <f>SUM(E7:G7)</f>
        <v>145000</v>
      </c>
      <c r="E7" s="1430"/>
      <c r="F7" s="1430"/>
      <c r="G7" s="1430">
        <v>145000</v>
      </c>
      <c r="H7" s="1570">
        <v>118711.3</v>
      </c>
      <c r="I7" s="996"/>
      <c r="J7" s="1579">
        <v>118711.3</v>
      </c>
      <c r="K7" s="1541"/>
      <c r="L7" s="1579">
        <v>118711.3</v>
      </c>
      <c r="M7" s="1534"/>
      <c r="N7" s="1579">
        <v>118711.3</v>
      </c>
      <c r="O7" s="1541"/>
      <c r="P7" s="1576">
        <v>195.4</v>
      </c>
      <c r="Q7" s="1570">
        <v>1</v>
      </c>
      <c r="R7" s="1570">
        <v>103.7</v>
      </c>
      <c r="S7" s="1570">
        <v>7.3</v>
      </c>
      <c r="T7" s="1572">
        <v>45.381999999999998</v>
      </c>
      <c r="U7" s="1572">
        <v>8.2110000000000003</v>
      </c>
      <c r="V7" s="1572">
        <v>5.4509999999999996</v>
      </c>
      <c r="W7" s="1572">
        <v>5.7000000000000002E-2</v>
      </c>
      <c r="X7" s="1574">
        <v>289287</v>
      </c>
      <c r="Y7" s="1574">
        <v>0</v>
      </c>
      <c r="Z7" s="1568">
        <f>(P7-Q7)/P7*100</f>
        <v>99.488229273285569</v>
      </c>
      <c r="AA7" s="1534">
        <f>(195.4*V7*Z7)/1000</f>
        <v>105.96743999999998</v>
      </c>
      <c r="AB7" s="1542" t="s">
        <v>9339</v>
      </c>
      <c r="AC7" s="998"/>
      <c r="AD7" s="1544">
        <v>138.6</v>
      </c>
      <c r="AE7" s="1544"/>
      <c r="AF7" s="1544"/>
      <c r="AG7" s="1544">
        <v>25.5</v>
      </c>
      <c r="AH7" s="1542" t="s">
        <v>9351</v>
      </c>
      <c r="AI7" s="1546" t="s">
        <v>9352</v>
      </c>
      <c r="AJ7" s="1534">
        <v>223477</v>
      </c>
      <c r="AK7" s="1534" t="s">
        <v>9287</v>
      </c>
      <c r="AL7" s="1534" t="s">
        <v>9383</v>
      </c>
      <c r="AM7" s="1534">
        <v>3808</v>
      </c>
      <c r="AN7" s="1534" t="s">
        <v>9384</v>
      </c>
      <c r="AO7" s="1534" t="s">
        <v>9385</v>
      </c>
      <c r="AP7" s="1542" t="s">
        <v>7811</v>
      </c>
      <c r="AQ7" s="1542" t="s">
        <v>9000</v>
      </c>
      <c r="AR7" s="1542" t="s">
        <v>667</v>
      </c>
      <c r="AS7" s="1542" t="s">
        <v>667</v>
      </c>
      <c r="AT7" s="1542" t="s">
        <v>9251</v>
      </c>
      <c r="AU7" s="1554">
        <f t="shared" ref="AU7:AU32" si="0">IF(ISERROR(U7/R7*100),0,U7/R7*100)</f>
        <v>7.918032786885246</v>
      </c>
      <c r="AV7" s="1535">
        <v>0</v>
      </c>
      <c r="AW7" s="1555">
        <v>16452655</v>
      </c>
      <c r="AX7" s="1556">
        <f t="shared" ref="AX7:AX32" si="1">IF(ISERROR(AW7*0.424/V7),0,AW7*0.424/V7)</f>
        <v>1279751.5538433315</v>
      </c>
    </row>
    <row r="8" spans="1:50" s="938" customFormat="1" ht="24" customHeight="1">
      <c r="A8" s="1762"/>
      <c r="B8" s="460" t="s">
        <v>9170</v>
      </c>
      <c r="C8" s="524" t="s">
        <v>9013</v>
      </c>
      <c r="D8" s="1430">
        <f t="shared" ref="D8:D32" si="2">SUM(E8:G8)</f>
        <v>97000</v>
      </c>
      <c r="E8" s="1430"/>
      <c r="F8" s="1430"/>
      <c r="G8" s="656">
        <v>97000</v>
      </c>
      <c r="H8" s="1570">
        <v>43636.2</v>
      </c>
      <c r="I8" s="996"/>
      <c r="J8" s="1577"/>
      <c r="K8" s="1570">
        <v>43636.2</v>
      </c>
      <c r="L8" s="1570">
        <v>43636.2</v>
      </c>
      <c r="M8" s="1578"/>
      <c r="N8" s="1577"/>
      <c r="O8" s="1570">
        <v>43636.2</v>
      </c>
      <c r="P8" s="1570">
        <v>164.7</v>
      </c>
      <c r="Q8" s="1570">
        <v>1.2</v>
      </c>
      <c r="R8" s="1570">
        <v>78.599999999999994</v>
      </c>
      <c r="S8" s="1570">
        <v>7.9</v>
      </c>
      <c r="T8" s="1572">
        <v>39.232999999999997</v>
      </c>
      <c r="U8" s="1572">
        <v>6.1719999999999997</v>
      </c>
      <c r="V8" s="1572">
        <v>4.181</v>
      </c>
      <c r="W8" s="1572">
        <v>0.122</v>
      </c>
      <c r="X8" s="1574">
        <v>214356</v>
      </c>
      <c r="Y8" s="1574">
        <v>0</v>
      </c>
      <c r="Z8" s="1568">
        <f t="shared" ref="Z8:Z9" si="3">(P8-Q8)/P8</f>
        <v>0.99271402550091081</v>
      </c>
      <c r="AA8" s="1534">
        <f>(164.7*V8*Z8)/1000</f>
        <v>0.68359349999999997</v>
      </c>
      <c r="AB8" s="1542" t="s">
        <v>9340</v>
      </c>
      <c r="AC8" s="998"/>
      <c r="AD8" s="1544"/>
      <c r="AE8" s="1544"/>
      <c r="AF8" s="1544"/>
      <c r="AG8" s="1544">
        <v>13.4</v>
      </c>
      <c r="AH8" s="1542" t="s">
        <v>9353</v>
      </c>
      <c r="AI8" s="1547" t="s">
        <v>9354</v>
      </c>
      <c r="AJ8" s="1534">
        <v>156302</v>
      </c>
      <c r="AK8" s="1534" t="s">
        <v>9285</v>
      </c>
      <c r="AL8" s="1534" t="s">
        <v>9383</v>
      </c>
      <c r="AM8" s="1542">
        <v>3207</v>
      </c>
      <c r="AN8" s="1534" t="s">
        <v>9386</v>
      </c>
      <c r="AO8" s="1535" t="s">
        <v>9387</v>
      </c>
      <c r="AP8" s="1542" t="s">
        <v>7811</v>
      </c>
      <c r="AQ8" s="1542" t="s">
        <v>9000</v>
      </c>
      <c r="AR8" s="1542" t="s">
        <v>667</v>
      </c>
      <c r="AS8" s="1542" t="s">
        <v>667</v>
      </c>
      <c r="AT8" s="1535" t="s">
        <v>9406</v>
      </c>
      <c r="AU8" s="1554">
        <f t="shared" si="0"/>
        <v>7.8524173027989823</v>
      </c>
      <c r="AV8" s="1535">
        <v>0</v>
      </c>
      <c r="AW8" s="1557">
        <v>13431055</v>
      </c>
      <c r="AX8" s="1556">
        <f t="shared" si="1"/>
        <v>1362058.6749581441</v>
      </c>
    </row>
    <row r="9" spans="1:50" s="938" customFormat="1" ht="24" customHeight="1">
      <c r="A9" s="1762"/>
      <c r="B9" s="460" t="s">
        <v>2773</v>
      </c>
      <c r="C9" s="524" t="s">
        <v>9336</v>
      </c>
      <c r="D9" s="1430">
        <f t="shared" si="2"/>
        <v>1300</v>
      </c>
      <c r="E9" s="1430"/>
      <c r="F9" s="1430"/>
      <c r="G9" s="656">
        <v>1300</v>
      </c>
      <c r="H9" s="1570">
        <v>651.29999999999995</v>
      </c>
      <c r="I9" s="996"/>
      <c r="J9" s="997"/>
      <c r="K9" s="1570">
        <v>651.29999999999995</v>
      </c>
      <c r="L9" s="1570">
        <v>651.29999999999995</v>
      </c>
      <c r="M9" s="1534"/>
      <c r="N9" s="997"/>
      <c r="O9" s="1570">
        <v>651.29999999999995</v>
      </c>
      <c r="P9" s="1570">
        <v>177.8</v>
      </c>
      <c r="Q9" s="1570">
        <v>0.9</v>
      </c>
      <c r="R9" s="1570">
        <v>86.5</v>
      </c>
      <c r="S9" s="1570">
        <v>5.9</v>
      </c>
      <c r="T9" s="1572">
        <v>40.564</v>
      </c>
      <c r="U9" s="1572">
        <v>8.1720000000000006</v>
      </c>
      <c r="V9" s="1572">
        <v>5.0129999999999999</v>
      </c>
      <c r="W9" s="1572">
        <v>0.04</v>
      </c>
      <c r="X9" s="1574">
        <v>200520</v>
      </c>
      <c r="Y9" s="1574">
        <v>0</v>
      </c>
      <c r="Z9" s="1568">
        <f t="shared" si="3"/>
        <v>0.99493813273340825</v>
      </c>
      <c r="AA9" s="1534">
        <f>(177.8*V9*Z9)/1000</f>
        <v>0.88679970000000008</v>
      </c>
      <c r="AB9" s="1542" t="s">
        <v>9341</v>
      </c>
      <c r="AC9" s="998"/>
      <c r="AD9" s="1544"/>
      <c r="AE9" s="1544"/>
      <c r="AF9" s="1544"/>
      <c r="AG9" s="1544"/>
      <c r="AH9" s="1542" t="s">
        <v>9355</v>
      </c>
      <c r="AI9" s="1547" t="s">
        <v>9356</v>
      </c>
      <c r="AJ9" s="1534">
        <v>25069</v>
      </c>
      <c r="AK9" s="1534" t="s">
        <v>9285</v>
      </c>
      <c r="AL9" s="1534" t="s">
        <v>9383</v>
      </c>
      <c r="AM9" s="1542">
        <v>212</v>
      </c>
      <c r="AN9" s="1534" t="s">
        <v>9388</v>
      </c>
      <c r="AO9" s="1535" t="s">
        <v>9387</v>
      </c>
      <c r="AP9" s="1542" t="s">
        <v>7811</v>
      </c>
      <c r="AQ9" s="1542" t="s">
        <v>9407</v>
      </c>
      <c r="AR9" s="1542" t="s">
        <v>9408</v>
      </c>
      <c r="AS9" s="1542" t="s">
        <v>9408</v>
      </c>
      <c r="AT9" s="1535" t="s">
        <v>9406</v>
      </c>
      <c r="AU9" s="1554">
        <f t="shared" si="0"/>
        <v>9.4473988439306371</v>
      </c>
      <c r="AV9" s="1535">
        <v>0</v>
      </c>
      <c r="AW9" s="1557">
        <v>608736</v>
      </c>
      <c r="AX9" s="1556">
        <f t="shared" si="1"/>
        <v>51486.94673847995</v>
      </c>
    </row>
    <row r="10" spans="1:50" s="938" customFormat="1" ht="24" customHeight="1">
      <c r="A10" s="1762"/>
      <c r="B10" s="460" t="s">
        <v>9174</v>
      </c>
      <c r="C10" s="1531" t="s">
        <v>9318</v>
      </c>
      <c r="D10" s="1430">
        <f t="shared" si="2"/>
        <v>19000</v>
      </c>
      <c r="E10" s="1430"/>
      <c r="F10" s="1430"/>
      <c r="G10" s="1430">
        <v>19000</v>
      </c>
      <c r="H10" s="1570">
        <v>13745</v>
      </c>
      <c r="I10" s="996"/>
      <c r="J10" s="997"/>
      <c r="K10" s="1570">
        <v>13745</v>
      </c>
      <c r="L10" s="1570">
        <v>13745</v>
      </c>
      <c r="M10" s="1430"/>
      <c r="N10" s="997"/>
      <c r="O10" s="1570">
        <v>13745</v>
      </c>
      <c r="P10" s="1570">
        <v>196.7</v>
      </c>
      <c r="Q10" s="1570">
        <v>0.8</v>
      </c>
      <c r="R10" s="1570">
        <v>114.7</v>
      </c>
      <c r="S10" s="1570">
        <v>7.2</v>
      </c>
      <c r="T10" s="1572">
        <v>54.603000000000002</v>
      </c>
      <c r="U10" s="1572">
        <v>8.6820000000000004</v>
      </c>
      <c r="V10" s="1572">
        <v>5.7089999999999996</v>
      </c>
      <c r="W10" s="1572">
        <v>4.1000000000000002E-2</v>
      </c>
      <c r="X10" s="1574">
        <v>277780</v>
      </c>
      <c r="Y10" s="1574">
        <v>0</v>
      </c>
      <c r="Z10" s="1569">
        <f>(P10-Q10)/P10*100</f>
        <v>99.593289273004572</v>
      </c>
      <c r="AA10" s="1430">
        <f>P10*H10*Z10*0.01*0.001</f>
        <v>2692.6455000000001</v>
      </c>
      <c r="AB10" s="462" t="s">
        <v>9342</v>
      </c>
      <c r="AC10" s="998"/>
      <c r="AD10" s="854"/>
      <c r="AE10" s="854"/>
      <c r="AF10" s="854">
        <v>96.8</v>
      </c>
      <c r="AG10" s="854"/>
      <c r="AH10" s="462" t="s">
        <v>9357</v>
      </c>
      <c r="AI10" s="1548" t="s">
        <v>9358</v>
      </c>
      <c r="AJ10" s="1430">
        <v>64993</v>
      </c>
      <c r="AK10" s="1430" t="s">
        <v>9287</v>
      </c>
      <c r="AL10" s="1430" t="s">
        <v>9389</v>
      </c>
      <c r="AM10" s="1430">
        <v>2210</v>
      </c>
      <c r="AN10" s="1430" t="s">
        <v>9384</v>
      </c>
      <c r="AO10" s="1430" t="s">
        <v>9385</v>
      </c>
      <c r="AP10" s="462" t="s">
        <v>7811</v>
      </c>
      <c r="AQ10" s="462" t="s">
        <v>9409</v>
      </c>
      <c r="AR10" s="462" t="s">
        <v>1767</v>
      </c>
      <c r="AS10" s="462" t="s">
        <v>1767</v>
      </c>
      <c r="AT10" s="462" t="s">
        <v>9410</v>
      </c>
      <c r="AU10" s="1558">
        <f t="shared" si="0"/>
        <v>7.5693112467306021</v>
      </c>
      <c r="AV10" s="1559">
        <v>5.8094247138433565E-3</v>
      </c>
      <c r="AW10" s="464">
        <v>5597284</v>
      </c>
      <c r="AX10" s="467">
        <f t="shared" si="1"/>
        <v>415702.99807321769</v>
      </c>
    </row>
    <row r="11" spans="1:50" s="938" customFormat="1" ht="24" customHeight="1">
      <c r="A11" s="1762"/>
      <c r="B11" s="460" t="s">
        <v>9176</v>
      </c>
      <c r="C11" s="1531" t="s">
        <v>9319</v>
      </c>
      <c r="D11" s="1430">
        <f t="shared" si="2"/>
        <v>3000</v>
      </c>
      <c r="E11" s="1430"/>
      <c r="F11" s="1430"/>
      <c r="G11" s="1430">
        <v>3000</v>
      </c>
      <c r="H11" s="1570">
        <v>3133.1</v>
      </c>
      <c r="I11" s="996"/>
      <c r="J11" s="997"/>
      <c r="K11" s="1570">
        <v>3133.1</v>
      </c>
      <c r="L11" s="1570">
        <v>3133.1</v>
      </c>
      <c r="M11" s="1430"/>
      <c r="N11" s="997"/>
      <c r="O11" s="1570">
        <v>3133.1</v>
      </c>
      <c r="P11" s="1570">
        <v>207.3</v>
      </c>
      <c r="Q11" s="1570">
        <v>1.2</v>
      </c>
      <c r="R11" s="1570">
        <v>120.7</v>
      </c>
      <c r="S11" s="1570">
        <v>8.1</v>
      </c>
      <c r="T11" s="1572">
        <v>52.768999999999998</v>
      </c>
      <c r="U11" s="1572">
        <v>6.7649999999999997</v>
      </c>
      <c r="V11" s="1572">
        <v>5.8710000000000004</v>
      </c>
      <c r="W11" s="1572">
        <v>5.2999999999999999E-2</v>
      </c>
      <c r="X11" s="1574">
        <v>287739</v>
      </c>
      <c r="Y11" s="1574">
        <v>0</v>
      </c>
      <c r="Z11" s="1569">
        <f t="shared" ref="Z11:Z32" si="4">(P11-Q11)/P11*100</f>
        <v>99.421128798842261</v>
      </c>
      <c r="AA11" s="1566">
        <f>P11*H11*Z11*0.01*0.001</f>
        <v>645.73191000000008</v>
      </c>
      <c r="AB11" s="462" t="s">
        <v>9343</v>
      </c>
      <c r="AC11" s="998"/>
      <c r="AD11" s="854"/>
      <c r="AE11" s="854"/>
      <c r="AF11" s="854"/>
      <c r="AG11" s="854"/>
      <c r="AH11" s="462" t="s">
        <v>9359</v>
      </c>
      <c r="AI11" s="1549" t="s">
        <v>9360</v>
      </c>
      <c r="AJ11" s="1430">
        <v>37860</v>
      </c>
      <c r="AK11" s="1430" t="s">
        <v>9287</v>
      </c>
      <c r="AL11" s="1430" t="s">
        <v>9389</v>
      </c>
      <c r="AM11" s="1430">
        <v>402</v>
      </c>
      <c r="AN11" s="1430" t="s">
        <v>9390</v>
      </c>
      <c r="AO11" s="1430" t="s">
        <v>9385</v>
      </c>
      <c r="AP11" s="462" t="s">
        <v>7811</v>
      </c>
      <c r="AQ11" s="462" t="s">
        <v>9032</v>
      </c>
      <c r="AR11" s="462" t="s">
        <v>1767</v>
      </c>
      <c r="AS11" s="462" t="s">
        <v>1767</v>
      </c>
      <c r="AT11" s="462" t="s">
        <v>9410</v>
      </c>
      <c r="AU11" s="1558">
        <f t="shared" si="0"/>
        <v>5.6048053024026512</v>
      </c>
      <c r="AV11" s="1429">
        <v>0</v>
      </c>
      <c r="AW11" s="464">
        <v>866631</v>
      </c>
      <c r="AX11" s="467">
        <f t="shared" si="1"/>
        <v>62587.556463975467</v>
      </c>
    </row>
    <row r="12" spans="1:50" s="938" customFormat="1" ht="24" customHeight="1">
      <c r="A12" s="1762"/>
      <c r="B12" s="1532" t="s">
        <v>9178</v>
      </c>
      <c r="C12" s="1533" t="s">
        <v>9320</v>
      </c>
      <c r="D12" s="1430">
        <f t="shared" si="2"/>
        <v>1300</v>
      </c>
      <c r="E12" s="1534"/>
      <c r="F12" s="1534"/>
      <c r="G12" s="1534">
        <v>1300</v>
      </c>
      <c r="H12" s="1570">
        <v>875.8</v>
      </c>
      <c r="I12" s="996"/>
      <c r="J12" s="997"/>
      <c r="K12" s="1570">
        <v>875.8</v>
      </c>
      <c r="L12" s="1570">
        <v>875.8</v>
      </c>
      <c r="M12" s="1534"/>
      <c r="N12" s="997"/>
      <c r="O12" s="1570">
        <v>875.8</v>
      </c>
      <c r="P12" s="1570">
        <v>142.30000000000001</v>
      </c>
      <c r="Q12" s="1570">
        <v>1</v>
      </c>
      <c r="R12" s="1570">
        <v>81.8</v>
      </c>
      <c r="S12" s="1570">
        <v>6.2</v>
      </c>
      <c r="T12" s="1572">
        <v>38.701000000000001</v>
      </c>
      <c r="U12" s="1572">
        <v>7.5609999999999999</v>
      </c>
      <c r="V12" s="1572">
        <v>4.3</v>
      </c>
      <c r="W12" s="1572">
        <v>4.4999999999999998E-2</v>
      </c>
      <c r="X12" s="1574">
        <v>127876</v>
      </c>
      <c r="Y12" s="1574">
        <v>0</v>
      </c>
      <c r="Z12" s="1569">
        <f t="shared" si="4"/>
        <v>99.297259311314122</v>
      </c>
      <c r="AA12" s="1534">
        <v>123.7788</v>
      </c>
      <c r="AB12" s="1542" t="s">
        <v>9343</v>
      </c>
      <c r="AC12" s="998"/>
      <c r="AD12" s="1544"/>
      <c r="AE12" s="1544"/>
      <c r="AF12" s="1544"/>
      <c r="AG12" s="1544"/>
      <c r="AH12" s="1542" t="s">
        <v>9361</v>
      </c>
      <c r="AI12" s="1550" t="s">
        <v>9306</v>
      </c>
      <c r="AJ12" s="1534">
        <v>14941</v>
      </c>
      <c r="AK12" s="1534" t="s">
        <v>9287</v>
      </c>
      <c r="AL12" s="1534" t="s">
        <v>9389</v>
      </c>
      <c r="AM12" s="1534">
        <v>270</v>
      </c>
      <c r="AN12" s="1534" t="s">
        <v>9390</v>
      </c>
      <c r="AO12" s="1534" t="s">
        <v>9385</v>
      </c>
      <c r="AP12" s="1542" t="s">
        <v>7811</v>
      </c>
      <c r="AQ12" s="1542" t="s">
        <v>9032</v>
      </c>
      <c r="AR12" s="1542" t="s">
        <v>1767</v>
      </c>
      <c r="AS12" s="1542" t="s">
        <v>1767</v>
      </c>
      <c r="AT12" s="1542" t="s">
        <v>9410</v>
      </c>
      <c r="AU12" s="1558">
        <f t="shared" si="0"/>
        <v>9.2432762836185809</v>
      </c>
      <c r="AV12" s="1560">
        <v>6.5600000000000006E-2</v>
      </c>
      <c r="AW12" s="1557">
        <v>486500</v>
      </c>
      <c r="AX12" s="467">
        <f t="shared" si="1"/>
        <v>47971.162790697679</v>
      </c>
    </row>
    <row r="13" spans="1:50" s="938" customFormat="1" ht="24" customHeight="1">
      <c r="A13" s="1762"/>
      <c r="B13" s="1532" t="s">
        <v>9253</v>
      </c>
      <c r="C13" s="1533" t="s">
        <v>9321</v>
      </c>
      <c r="D13" s="1430">
        <f t="shared" si="2"/>
        <v>1100</v>
      </c>
      <c r="E13" s="1534"/>
      <c r="F13" s="1534"/>
      <c r="G13" s="1534">
        <v>1100</v>
      </c>
      <c r="H13" s="1570">
        <v>921.8</v>
      </c>
      <c r="I13" s="996"/>
      <c r="J13" s="997"/>
      <c r="K13" s="1570">
        <v>921.8</v>
      </c>
      <c r="L13" s="1570">
        <v>921.8</v>
      </c>
      <c r="M13" s="1534"/>
      <c r="N13" s="997"/>
      <c r="O13" s="1570">
        <v>921.8</v>
      </c>
      <c r="P13" s="1570">
        <v>180.7</v>
      </c>
      <c r="Q13" s="1570">
        <v>1.6</v>
      </c>
      <c r="R13" s="1570">
        <v>124.2</v>
      </c>
      <c r="S13" s="1570">
        <v>10.5</v>
      </c>
      <c r="T13" s="1572">
        <v>38.256</v>
      </c>
      <c r="U13" s="1572">
        <v>8.0389999999999997</v>
      </c>
      <c r="V13" s="1572">
        <v>4.327</v>
      </c>
      <c r="W13" s="1572">
        <v>7.6999999999999999E-2</v>
      </c>
      <c r="X13" s="1574">
        <v>170693</v>
      </c>
      <c r="Y13" s="1574">
        <v>0</v>
      </c>
      <c r="Z13" s="1569">
        <f t="shared" si="4"/>
        <v>99.114554510237966</v>
      </c>
      <c r="AA13" s="1534">
        <v>165.13019999999997</v>
      </c>
      <c r="AB13" s="1542" t="s">
        <v>9344</v>
      </c>
      <c r="AC13" s="998"/>
      <c r="AD13" s="1544"/>
      <c r="AE13" s="1544"/>
      <c r="AF13" s="1544"/>
      <c r="AG13" s="1544"/>
      <c r="AH13" s="1542" t="s">
        <v>9362</v>
      </c>
      <c r="AI13" s="1550" t="s">
        <v>9308</v>
      </c>
      <c r="AJ13" s="1534">
        <v>20380</v>
      </c>
      <c r="AK13" s="1534" t="s">
        <v>9287</v>
      </c>
      <c r="AL13" s="1534" t="s">
        <v>9389</v>
      </c>
      <c r="AM13" s="1534">
        <v>277</v>
      </c>
      <c r="AN13" s="1534" t="s">
        <v>9391</v>
      </c>
      <c r="AO13" s="1534" t="s">
        <v>9385</v>
      </c>
      <c r="AP13" s="1542" t="s">
        <v>7811</v>
      </c>
      <c r="AQ13" s="1542" t="s">
        <v>1767</v>
      </c>
      <c r="AR13" s="1542" t="s">
        <v>1767</v>
      </c>
      <c r="AS13" s="1542" t="s">
        <v>1767</v>
      </c>
      <c r="AT13" s="1542" t="s">
        <v>9410</v>
      </c>
      <c r="AU13" s="1558">
        <f t="shared" si="0"/>
        <v>6.4726247987117551</v>
      </c>
      <c r="AV13" s="1560">
        <v>0</v>
      </c>
      <c r="AW13" s="1557">
        <v>840213</v>
      </c>
      <c r="AX13" s="467">
        <f t="shared" si="1"/>
        <v>82331.941761035356</v>
      </c>
    </row>
    <row r="14" spans="1:50" s="938" customFormat="1" ht="24" customHeight="1">
      <c r="A14" s="1762"/>
      <c r="B14" s="1532" t="s">
        <v>9254</v>
      </c>
      <c r="C14" s="1533" t="s">
        <v>9322</v>
      </c>
      <c r="D14" s="1430">
        <f t="shared" si="2"/>
        <v>1000</v>
      </c>
      <c r="E14" s="1534"/>
      <c r="F14" s="1534"/>
      <c r="G14" s="1534">
        <v>1000</v>
      </c>
      <c r="H14" s="1570">
        <v>581.70000000000005</v>
      </c>
      <c r="I14" s="996"/>
      <c r="J14" s="997"/>
      <c r="K14" s="1570">
        <v>581.70000000000005</v>
      </c>
      <c r="L14" s="1570">
        <v>581.70000000000005</v>
      </c>
      <c r="M14" s="1534"/>
      <c r="N14" s="997"/>
      <c r="O14" s="1570">
        <v>581.70000000000005</v>
      </c>
      <c r="P14" s="1570">
        <v>198.4</v>
      </c>
      <c r="Q14" s="1570">
        <v>1</v>
      </c>
      <c r="R14" s="1570">
        <v>109.1</v>
      </c>
      <c r="S14" s="1570">
        <v>5.9</v>
      </c>
      <c r="T14" s="1572">
        <v>45.228000000000002</v>
      </c>
      <c r="U14" s="1572">
        <v>8.0150000000000006</v>
      </c>
      <c r="V14" s="1572">
        <v>5.05</v>
      </c>
      <c r="W14" s="1572">
        <v>8.5999999999999993E-2</v>
      </c>
      <c r="X14" s="1574">
        <v>99717</v>
      </c>
      <c r="Y14" s="1574">
        <v>0</v>
      </c>
      <c r="Z14" s="1569">
        <f t="shared" si="4"/>
        <v>99.495967741935488</v>
      </c>
      <c r="AA14" s="1534">
        <v>114.88680000000001</v>
      </c>
      <c r="AB14" s="1542" t="s">
        <v>9345</v>
      </c>
      <c r="AC14" s="998"/>
      <c r="AD14" s="1544"/>
      <c r="AE14" s="1544"/>
      <c r="AF14" s="1544"/>
      <c r="AG14" s="1544"/>
      <c r="AH14" s="1542" t="s">
        <v>9363</v>
      </c>
      <c r="AI14" s="1550" t="s">
        <v>9309</v>
      </c>
      <c r="AJ14" s="1534">
        <v>16858</v>
      </c>
      <c r="AK14" s="1534" t="s">
        <v>9287</v>
      </c>
      <c r="AL14" s="1534" t="s">
        <v>9389</v>
      </c>
      <c r="AM14" s="1534">
        <v>130</v>
      </c>
      <c r="AN14" s="1534" t="s">
        <v>9392</v>
      </c>
      <c r="AO14" s="1534" t="s">
        <v>9385</v>
      </c>
      <c r="AP14" s="1542" t="s">
        <v>7811</v>
      </c>
      <c r="AQ14" s="1542" t="s">
        <v>9411</v>
      </c>
      <c r="AR14" s="1542" t="s">
        <v>1767</v>
      </c>
      <c r="AS14" s="1542" t="s">
        <v>1767</v>
      </c>
      <c r="AT14" s="1542" t="s">
        <v>9410</v>
      </c>
      <c r="AU14" s="1558">
        <f t="shared" si="0"/>
        <v>7.3464711274060495</v>
      </c>
      <c r="AV14" s="1560">
        <v>0</v>
      </c>
      <c r="AW14" s="1557">
        <v>295607</v>
      </c>
      <c r="AX14" s="467">
        <f t="shared" si="1"/>
        <v>24819.280792079207</v>
      </c>
    </row>
    <row r="15" spans="1:50" s="938" customFormat="1" ht="24" customHeight="1">
      <c r="A15" s="1762"/>
      <c r="B15" s="1532" t="s">
        <v>9182</v>
      </c>
      <c r="C15" s="1533" t="s">
        <v>9323</v>
      </c>
      <c r="D15" s="1430">
        <f t="shared" si="2"/>
        <v>500</v>
      </c>
      <c r="E15" s="1534"/>
      <c r="F15" s="1534"/>
      <c r="G15" s="1534">
        <v>500</v>
      </c>
      <c r="H15" s="1570">
        <v>597.79999999999995</v>
      </c>
      <c r="I15" s="996"/>
      <c r="J15" s="997"/>
      <c r="K15" s="1570">
        <v>597.79999999999995</v>
      </c>
      <c r="L15" s="1570">
        <v>597.79999999999995</v>
      </c>
      <c r="M15" s="1534"/>
      <c r="N15" s="997"/>
      <c r="O15" s="1570">
        <v>597.79999999999995</v>
      </c>
      <c r="P15" s="1570">
        <v>127.8</v>
      </c>
      <c r="Q15" s="1570">
        <v>1.6</v>
      </c>
      <c r="R15" s="1570">
        <v>64.900000000000006</v>
      </c>
      <c r="S15" s="1570">
        <v>5.6</v>
      </c>
      <c r="T15" s="1572">
        <v>25.001000000000001</v>
      </c>
      <c r="U15" s="1572">
        <v>5.8390000000000004</v>
      </c>
      <c r="V15" s="1572">
        <v>2.6349999999999998</v>
      </c>
      <c r="W15" s="1572">
        <v>6.9000000000000006E-2</v>
      </c>
      <c r="X15" s="1574">
        <v>119120</v>
      </c>
      <c r="Y15" s="1574">
        <v>0</v>
      </c>
      <c r="Z15" s="1569">
        <f t="shared" si="4"/>
        <v>98.748043818466357</v>
      </c>
      <c r="AA15" s="1534">
        <v>75.46759999999999</v>
      </c>
      <c r="AB15" s="1542" t="s">
        <v>9343</v>
      </c>
      <c r="AC15" s="998"/>
      <c r="AD15" s="1544"/>
      <c r="AE15" s="1544"/>
      <c r="AF15" s="1544"/>
      <c r="AG15" s="1544"/>
      <c r="AH15" s="1542" t="s">
        <v>9364</v>
      </c>
      <c r="AI15" s="1550" t="s">
        <v>9307</v>
      </c>
      <c r="AJ15" s="1534">
        <v>10670</v>
      </c>
      <c r="AK15" s="1534" t="s">
        <v>9287</v>
      </c>
      <c r="AL15" s="1534" t="s">
        <v>9389</v>
      </c>
      <c r="AM15" s="1534">
        <v>150</v>
      </c>
      <c r="AN15" s="1534" t="s">
        <v>9393</v>
      </c>
      <c r="AO15" s="1534" t="s">
        <v>9385</v>
      </c>
      <c r="AP15" s="1542" t="s">
        <v>7811</v>
      </c>
      <c r="AQ15" s="1542" t="s">
        <v>9411</v>
      </c>
      <c r="AR15" s="1542" t="s">
        <v>1767</v>
      </c>
      <c r="AS15" s="1542" t="s">
        <v>1767</v>
      </c>
      <c r="AT15" s="1542" t="s">
        <v>9410</v>
      </c>
      <c r="AU15" s="1558">
        <f t="shared" si="0"/>
        <v>8.9969183359013876</v>
      </c>
      <c r="AV15" s="1535">
        <v>0</v>
      </c>
      <c r="AW15" s="1557">
        <v>232892</v>
      </c>
      <c r="AX15" s="467">
        <f t="shared" si="1"/>
        <v>37474.841745730555</v>
      </c>
    </row>
    <row r="16" spans="1:50" s="938" customFormat="1" ht="24" customHeight="1">
      <c r="A16" s="1762"/>
      <c r="B16" s="1535" t="s">
        <v>9255</v>
      </c>
      <c r="C16" s="1536" t="s">
        <v>9324</v>
      </c>
      <c r="D16" s="1430">
        <f>SUM(E16:G16)</f>
        <v>80</v>
      </c>
      <c r="E16" s="1534"/>
      <c r="F16" s="1534">
        <v>80</v>
      </c>
      <c r="G16" s="1534"/>
      <c r="H16" s="1570">
        <v>0</v>
      </c>
      <c r="I16" s="996"/>
      <c r="J16" s="997" t="s">
        <v>9427</v>
      </c>
      <c r="K16" s="1541"/>
      <c r="L16" s="1570">
        <v>0</v>
      </c>
      <c r="M16" s="1534"/>
      <c r="N16" s="997" t="s">
        <v>9427</v>
      </c>
      <c r="O16" s="1541"/>
      <c r="P16" s="1570">
        <v>155</v>
      </c>
      <c r="Q16" s="1570">
        <v>3.8</v>
      </c>
      <c r="R16" s="1570">
        <v>95.5</v>
      </c>
      <c r="S16" s="1570">
        <v>8.9</v>
      </c>
      <c r="T16" s="1572">
        <v>42.883000000000003</v>
      </c>
      <c r="U16" s="1572">
        <v>13.558999999999999</v>
      </c>
      <c r="V16" s="1572">
        <v>4.9290000000000003</v>
      </c>
      <c r="W16" s="1572">
        <v>0.41899999999999998</v>
      </c>
      <c r="X16" s="1574">
        <v>171346</v>
      </c>
      <c r="Y16" s="1574">
        <v>0</v>
      </c>
      <c r="Z16" s="1569">
        <f t="shared" si="4"/>
        <v>97.548387096774192</v>
      </c>
      <c r="AA16" s="1534">
        <v>8.8300800000000006</v>
      </c>
      <c r="AB16" s="1542" t="s">
        <v>9346</v>
      </c>
      <c r="AC16" s="998"/>
      <c r="AD16" s="1544"/>
      <c r="AE16" s="1544"/>
      <c r="AF16" s="1544"/>
      <c r="AG16" s="1544"/>
      <c r="AH16" s="1542" t="s">
        <v>9363</v>
      </c>
      <c r="AI16" s="1550" t="s">
        <v>9365</v>
      </c>
      <c r="AJ16" s="1534">
        <v>1075</v>
      </c>
      <c r="AK16" s="1534" t="s">
        <v>9287</v>
      </c>
      <c r="AL16" s="1534" t="s">
        <v>9389</v>
      </c>
      <c r="AM16" s="1534"/>
      <c r="AN16" s="1534" t="s">
        <v>9394</v>
      </c>
      <c r="AO16" s="1534" t="s">
        <v>9385</v>
      </c>
      <c r="AP16" s="1542" t="s">
        <v>9395</v>
      </c>
      <c r="AQ16" s="1542" t="s">
        <v>9412</v>
      </c>
      <c r="AR16" s="1542" t="s">
        <v>1767</v>
      </c>
      <c r="AS16" s="1542" t="s">
        <v>1767</v>
      </c>
      <c r="AT16" s="1542"/>
      <c r="AU16" s="1558">
        <f t="shared" si="0"/>
        <v>14.197905759162301</v>
      </c>
      <c r="AV16" s="1535">
        <v>0</v>
      </c>
      <c r="AW16" s="1557">
        <v>40859</v>
      </c>
      <c r="AX16" s="467">
        <f t="shared" si="1"/>
        <v>3514.7526881720428</v>
      </c>
    </row>
    <row r="17" spans="1:50" s="938" customFormat="1" ht="24" customHeight="1">
      <c r="A17" s="1762"/>
      <c r="B17" s="1429" t="s">
        <v>9325</v>
      </c>
      <c r="C17" s="1537" t="s">
        <v>9326</v>
      </c>
      <c r="D17" s="1430">
        <f>SUM(E17:G17)</f>
        <v>80</v>
      </c>
      <c r="E17" s="1430"/>
      <c r="F17" s="1567">
        <v>80</v>
      </c>
      <c r="G17" s="1430"/>
      <c r="H17" s="1570">
        <v>0</v>
      </c>
      <c r="I17" s="996"/>
      <c r="J17" s="997" t="s">
        <v>9427</v>
      </c>
      <c r="K17" s="1541"/>
      <c r="L17" s="1570">
        <v>0</v>
      </c>
      <c r="M17" s="1430"/>
      <c r="N17" s="997" t="s">
        <v>9427</v>
      </c>
      <c r="O17" s="1541"/>
      <c r="P17" s="1570">
        <v>145.69999999999999</v>
      </c>
      <c r="Q17" s="1570">
        <v>2.7</v>
      </c>
      <c r="R17" s="1570">
        <v>83.4</v>
      </c>
      <c r="S17" s="1570">
        <v>8.1999999999999993</v>
      </c>
      <c r="T17" s="1572">
        <v>38.534999999999997</v>
      </c>
      <c r="U17" s="1572">
        <v>11.882</v>
      </c>
      <c r="V17" s="1572">
        <v>4.3390000000000004</v>
      </c>
      <c r="W17" s="1572">
        <v>0.29399999999999998</v>
      </c>
      <c r="X17" s="1574">
        <v>159038</v>
      </c>
      <c r="Y17" s="1574">
        <v>0</v>
      </c>
      <c r="Z17" s="1569">
        <f t="shared" si="4"/>
        <v>98.14687714481812</v>
      </c>
      <c r="AA17" s="1430">
        <v>14.171299999999997</v>
      </c>
      <c r="AB17" s="462" t="s">
        <v>9346</v>
      </c>
      <c r="AC17" s="998"/>
      <c r="AD17" s="854"/>
      <c r="AE17" s="854"/>
      <c r="AF17" s="854"/>
      <c r="AG17" s="854"/>
      <c r="AH17" s="1542" t="s">
        <v>9364</v>
      </c>
      <c r="AI17" s="461" t="s">
        <v>9366</v>
      </c>
      <c r="AJ17" s="1430">
        <v>1606</v>
      </c>
      <c r="AK17" s="1430" t="s">
        <v>9287</v>
      </c>
      <c r="AL17" s="1534" t="s">
        <v>9389</v>
      </c>
      <c r="AM17" s="1430"/>
      <c r="AN17" s="1430" t="s">
        <v>9396</v>
      </c>
      <c r="AO17" s="1430" t="s">
        <v>9385</v>
      </c>
      <c r="AP17" s="462" t="s">
        <v>7811</v>
      </c>
      <c r="AQ17" s="462" t="s">
        <v>9412</v>
      </c>
      <c r="AR17" s="462" t="s">
        <v>1767</v>
      </c>
      <c r="AS17" s="462" t="s">
        <v>1767</v>
      </c>
      <c r="AT17" s="462"/>
      <c r="AU17" s="1558">
        <f t="shared" si="0"/>
        <v>14.247002398081534</v>
      </c>
      <c r="AV17" s="1429">
        <v>0</v>
      </c>
      <c r="AW17" s="464">
        <v>32297</v>
      </c>
      <c r="AX17" s="467">
        <f t="shared" si="1"/>
        <v>3156.0101405853879</v>
      </c>
    </row>
    <row r="18" spans="1:50" s="938" customFormat="1" ht="24" customHeight="1">
      <c r="A18" s="1762"/>
      <c r="B18" s="1429" t="s">
        <v>9257</v>
      </c>
      <c r="C18" s="1537" t="s">
        <v>9327</v>
      </c>
      <c r="D18" s="1430">
        <f t="shared" si="2"/>
        <v>50</v>
      </c>
      <c r="E18" s="1430"/>
      <c r="F18" s="1567">
        <v>50</v>
      </c>
      <c r="G18" s="1430"/>
      <c r="H18" s="1570">
        <v>32.5</v>
      </c>
      <c r="I18" s="996"/>
      <c r="J18" s="1570">
        <v>32.5</v>
      </c>
      <c r="K18" s="1541"/>
      <c r="L18" s="1570">
        <v>32.5</v>
      </c>
      <c r="M18" s="1430"/>
      <c r="N18" s="1570">
        <v>32.5</v>
      </c>
      <c r="O18" s="1541"/>
      <c r="P18" s="1570">
        <v>128.19999999999999</v>
      </c>
      <c r="Q18" s="1570">
        <v>4.3</v>
      </c>
      <c r="R18" s="1570">
        <v>88.5</v>
      </c>
      <c r="S18" s="1570">
        <v>9.6</v>
      </c>
      <c r="T18" s="1572">
        <v>40.887</v>
      </c>
      <c r="U18" s="1572">
        <v>8.0169999999999995</v>
      </c>
      <c r="V18" s="1572">
        <v>5.0629999999999997</v>
      </c>
      <c r="W18" s="1572">
        <v>0.30199999999999999</v>
      </c>
      <c r="X18" s="1574">
        <v>171730</v>
      </c>
      <c r="Y18" s="1574">
        <v>0</v>
      </c>
      <c r="Z18" s="1569">
        <f t="shared" si="4"/>
        <v>96.645865834633383</v>
      </c>
      <c r="AA18" s="1430">
        <v>4.0267499999999998</v>
      </c>
      <c r="AB18" s="462" t="s">
        <v>9346</v>
      </c>
      <c r="AC18" s="998"/>
      <c r="AD18" s="854"/>
      <c r="AE18" s="854"/>
      <c r="AF18" s="854"/>
      <c r="AG18" s="854"/>
      <c r="AH18" s="1542" t="s">
        <v>9362</v>
      </c>
      <c r="AI18" s="461" t="s">
        <v>9367</v>
      </c>
      <c r="AJ18" s="1430">
        <v>1395</v>
      </c>
      <c r="AK18" s="1430" t="s">
        <v>9287</v>
      </c>
      <c r="AL18" s="1534" t="s">
        <v>9389</v>
      </c>
      <c r="AM18" s="1430"/>
      <c r="AN18" s="1430" t="s">
        <v>9397</v>
      </c>
      <c r="AO18" s="1430" t="s">
        <v>9385</v>
      </c>
      <c r="AP18" s="462" t="s">
        <v>9395</v>
      </c>
      <c r="AQ18" s="462" t="s">
        <v>9030</v>
      </c>
      <c r="AR18" s="462" t="s">
        <v>1767</v>
      </c>
      <c r="AS18" s="462" t="s">
        <v>1767</v>
      </c>
      <c r="AT18" s="462"/>
      <c r="AU18" s="1558">
        <f t="shared" si="0"/>
        <v>9.058757062146892</v>
      </c>
      <c r="AV18" s="1429">
        <v>0</v>
      </c>
      <c r="AW18" s="464">
        <v>32042</v>
      </c>
      <c r="AX18" s="467">
        <f t="shared" si="1"/>
        <v>2683.3513727039303</v>
      </c>
    </row>
    <row r="19" spans="1:50" s="938" customFormat="1" ht="24" customHeight="1">
      <c r="A19" s="1762"/>
      <c r="B19" s="1429" t="s">
        <v>9267</v>
      </c>
      <c r="C19" s="1537" t="s">
        <v>9328</v>
      </c>
      <c r="D19" s="1430">
        <f t="shared" si="2"/>
        <v>30</v>
      </c>
      <c r="E19" s="1430"/>
      <c r="F19" s="1430">
        <v>30</v>
      </c>
      <c r="G19" s="1430"/>
      <c r="H19" s="1571">
        <v>28.5</v>
      </c>
      <c r="I19" s="996"/>
      <c r="J19" s="1571">
        <v>28.5</v>
      </c>
      <c r="K19" s="1541"/>
      <c r="L19" s="1571">
        <v>28.5</v>
      </c>
      <c r="M19" s="1430"/>
      <c r="N19" s="1571">
        <v>28.5</v>
      </c>
      <c r="O19" s="1541"/>
      <c r="P19" s="1571">
        <v>139</v>
      </c>
      <c r="Q19" s="1571">
        <v>6.1</v>
      </c>
      <c r="R19" s="1571">
        <v>87.1</v>
      </c>
      <c r="S19" s="1571">
        <v>10.199999999999999</v>
      </c>
      <c r="T19" s="1573">
        <v>32.481000000000002</v>
      </c>
      <c r="U19" s="1573">
        <v>14.895</v>
      </c>
      <c r="V19" s="1573">
        <v>4.2309999999999999</v>
      </c>
      <c r="W19" s="1573">
        <v>0.88900000000000001</v>
      </c>
      <c r="X19" s="1575">
        <v>162500</v>
      </c>
      <c r="Y19" s="1575">
        <v>0</v>
      </c>
      <c r="Z19" s="1569">
        <f t="shared" si="4"/>
        <v>95.611510791366911</v>
      </c>
      <c r="AA19" s="1430">
        <v>3.7876500000000006</v>
      </c>
      <c r="AB19" s="462" t="s">
        <v>9347</v>
      </c>
      <c r="AC19" s="998"/>
      <c r="AD19" s="854"/>
      <c r="AE19" s="854"/>
      <c r="AF19" s="854"/>
      <c r="AG19" s="854"/>
      <c r="AH19" s="1542" t="s">
        <v>9363</v>
      </c>
      <c r="AI19" s="461" t="s">
        <v>9368</v>
      </c>
      <c r="AJ19" s="1430">
        <v>186</v>
      </c>
      <c r="AK19" s="1430" t="s">
        <v>9287</v>
      </c>
      <c r="AL19" s="1534" t="s">
        <v>9389</v>
      </c>
      <c r="AM19" s="1430"/>
      <c r="AN19" s="1430" t="s">
        <v>9384</v>
      </c>
      <c r="AO19" s="1430" t="s">
        <v>9385</v>
      </c>
      <c r="AP19" s="462" t="s">
        <v>9395</v>
      </c>
      <c r="AQ19" s="462" t="s">
        <v>9032</v>
      </c>
      <c r="AR19" s="462" t="s">
        <v>1767</v>
      </c>
      <c r="AS19" s="462" t="s">
        <v>1767</v>
      </c>
      <c r="AT19" s="462"/>
      <c r="AU19" s="1558">
        <f t="shared" si="0"/>
        <v>17.101033295063147</v>
      </c>
      <c r="AV19" s="1429">
        <v>0</v>
      </c>
      <c r="AW19" s="464">
        <v>11953</v>
      </c>
      <c r="AX19" s="467">
        <f t="shared" si="1"/>
        <v>1197.8425904041599</v>
      </c>
    </row>
    <row r="20" spans="1:50" s="938" customFormat="1" ht="24" customHeight="1">
      <c r="A20" s="1762"/>
      <c r="B20" s="1429" t="s">
        <v>9265</v>
      </c>
      <c r="C20" s="1537" t="s">
        <v>9329</v>
      </c>
      <c r="D20" s="1430">
        <f t="shared" si="2"/>
        <v>45</v>
      </c>
      <c r="E20" s="1430"/>
      <c r="F20" s="1567">
        <v>45</v>
      </c>
      <c r="G20" s="1430"/>
      <c r="H20" s="1570">
        <v>26.9</v>
      </c>
      <c r="I20" s="996"/>
      <c r="J20" s="1570">
        <v>26.9</v>
      </c>
      <c r="K20" s="1541"/>
      <c r="L20" s="1570">
        <v>26.9</v>
      </c>
      <c r="M20" s="1430"/>
      <c r="N20" s="1570">
        <v>26.9</v>
      </c>
      <c r="O20" s="1541"/>
      <c r="P20" s="1570">
        <v>117.7</v>
      </c>
      <c r="Q20" s="1570">
        <v>4.0999999999999996</v>
      </c>
      <c r="R20" s="1570">
        <v>82.9</v>
      </c>
      <c r="S20" s="1570">
        <v>8</v>
      </c>
      <c r="T20" s="1572">
        <v>34.262999999999998</v>
      </c>
      <c r="U20" s="1572">
        <v>9.9260000000000002</v>
      </c>
      <c r="V20" s="1572">
        <v>2.4449999999999998</v>
      </c>
      <c r="W20" s="1572">
        <v>0.45</v>
      </c>
      <c r="X20" s="1574">
        <v>155000</v>
      </c>
      <c r="Y20" s="1574">
        <v>0</v>
      </c>
      <c r="Z20" s="1569">
        <f t="shared" si="4"/>
        <v>96.516567544604939</v>
      </c>
      <c r="AA20" s="1430">
        <v>3.0558400000000008</v>
      </c>
      <c r="AB20" s="462" t="s">
        <v>9346</v>
      </c>
      <c r="AC20" s="998"/>
      <c r="AD20" s="854"/>
      <c r="AE20" s="854"/>
      <c r="AF20" s="854"/>
      <c r="AG20" s="854"/>
      <c r="AH20" s="1542" t="s">
        <v>9361</v>
      </c>
      <c r="AI20" s="461" t="s">
        <v>9369</v>
      </c>
      <c r="AJ20" s="1430">
        <v>323</v>
      </c>
      <c r="AK20" s="1430" t="s">
        <v>9287</v>
      </c>
      <c r="AL20" s="1534" t="s">
        <v>9389</v>
      </c>
      <c r="AM20" s="1430"/>
      <c r="AN20" s="1430" t="s">
        <v>9398</v>
      </c>
      <c r="AO20" s="1430" t="s">
        <v>9385</v>
      </c>
      <c r="AP20" s="462" t="s">
        <v>9395</v>
      </c>
      <c r="AQ20" s="462" t="s">
        <v>9032</v>
      </c>
      <c r="AR20" s="462" t="s">
        <v>1767</v>
      </c>
      <c r="AS20" s="462" t="s">
        <v>1767</v>
      </c>
      <c r="AT20" s="462"/>
      <c r="AU20" s="1558">
        <f t="shared" si="0"/>
        <v>11.973462002412544</v>
      </c>
      <c r="AV20" s="1429">
        <v>0</v>
      </c>
      <c r="AW20" s="464">
        <v>31562</v>
      </c>
      <c r="AX20" s="467">
        <f t="shared" si="1"/>
        <v>5473.328425357874</v>
      </c>
    </row>
    <row r="21" spans="1:50" s="938" customFormat="1" ht="24" customHeight="1">
      <c r="A21" s="1762"/>
      <c r="B21" s="1429" t="s">
        <v>9266</v>
      </c>
      <c r="C21" s="1537" t="s">
        <v>9329</v>
      </c>
      <c r="D21" s="1430">
        <f t="shared" si="2"/>
        <v>30</v>
      </c>
      <c r="E21" s="1430"/>
      <c r="F21" s="1567">
        <v>30</v>
      </c>
      <c r="G21" s="1430"/>
      <c r="H21" s="1570">
        <v>38.5</v>
      </c>
      <c r="I21" s="996"/>
      <c r="J21" s="1570">
        <v>38.5</v>
      </c>
      <c r="K21" s="1541"/>
      <c r="L21" s="1570">
        <v>38.5</v>
      </c>
      <c r="M21" s="1430"/>
      <c r="N21" s="1570">
        <v>38.5</v>
      </c>
      <c r="O21" s="1541"/>
      <c r="P21" s="1570">
        <v>125.8</v>
      </c>
      <c r="Q21" s="1570">
        <v>3.4</v>
      </c>
      <c r="R21" s="1570">
        <v>83.1</v>
      </c>
      <c r="S21" s="1570">
        <v>8.1999999999999993</v>
      </c>
      <c r="T21" s="1572">
        <v>35.65</v>
      </c>
      <c r="U21" s="1572">
        <v>11.016</v>
      </c>
      <c r="V21" s="1572">
        <v>3.3090000000000002</v>
      </c>
      <c r="W21" s="1572">
        <v>0.35899999999999999</v>
      </c>
      <c r="X21" s="1574">
        <v>158333</v>
      </c>
      <c r="Y21" s="1574">
        <v>0</v>
      </c>
      <c r="Z21" s="1569">
        <f t="shared" si="4"/>
        <v>97.297297297297291</v>
      </c>
      <c r="AA21" s="1430">
        <v>4.7123999999999997</v>
      </c>
      <c r="AB21" s="462" t="s">
        <v>9346</v>
      </c>
      <c r="AC21" s="998"/>
      <c r="AD21" s="854"/>
      <c r="AE21" s="854"/>
      <c r="AF21" s="854"/>
      <c r="AG21" s="854"/>
      <c r="AH21" s="1542" t="s">
        <v>9361</v>
      </c>
      <c r="AI21" s="461" t="s">
        <v>9370</v>
      </c>
      <c r="AJ21" s="1430">
        <v>296</v>
      </c>
      <c r="AK21" s="1430" t="s">
        <v>9287</v>
      </c>
      <c r="AL21" s="1534" t="s">
        <v>9389</v>
      </c>
      <c r="AM21" s="1430"/>
      <c r="AN21" s="1430" t="s">
        <v>9398</v>
      </c>
      <c r="AO21" s="1430" t="s">
        <v>9385</v>
      </c>
      <c r="AP21" s="462" t="s">
        <v>9395</v>
      </c>
      <c r="AQ21" s="462" t="s">
        <v>9032</v>
      </c>
      <c r="AR21" s="462" t="s">
        <v>1767</v>
      </c>
      <c r="AS21" s="462" t="s">
        <v>1767</v>
      </c>
      <c r="AT21" s="462"/>
      <c r="AU21" s="1558">
        <f t="shared" si="0"/>
        <v>13.256317689530686</v>
      </c>
      <c r="AV21" s="1429">
        <v>0</v>
      </c>
      <c r="AW21" s="464">
        <v>18763</v>
      </c>
      <c r="AX21" s="467">
        <f t="shared" si="1"/>
        <v>2404.2042913266846</v>
      </c>
    </row>
    <row r="22" spans="1:50" s="938" customFormat="1" ht="24" customHeight="1">
      <c r="A22" s="1762"/>
      <c r="B22" s="1429" t="s">
        <v>9264</v>
      </c>
      <c r="C22" s="1537" t="s">
        <v>9330</v>
      </c>
      <c r="D22" s="1430">
        <f t="shared" si="2"/>
        <v>120</v>
      </c>
      <c r="E22" s="1430"/>
      <c r="F22" s="1567">
        <v>120</v>
      </c>
      <c r="G22" s="1430"/>
      <c r="H22" s="1570">
        <v>66.2</v>
      </c>
      <c r="I22" s="996"/>
      <c r="J22" s="1570">
        <v>66.2</v>
      </c>
      <c r="K22" s="1541"/>
      <c r="L22" s="1570">
        <v>66.2</v>
      </c>
      <c r="M22" s="1430"/>
      <c r="N22" s="1570">
        <v>66.2</v>
      </c>
      <c r="O22" s="1541"/>
      <c r="P22" s="1570">
        <v>129</v>
      </c>
      <c r="Q22" s="1570">
        <v>3.8</v>
      </c>
      <c r="R22" s="1570">
        <v>88</v>
      </c>
      <c r="S22" s="1570">
        <v>7.2</v>
      </c>
      <c r="T22" s="1572">
        <v>42.77</v>
      </c>
      <c r="U22" s="1572">
        <v>7.7560000000000002</v>
      </c>
      <c r="V22" s="1572">
        <v>5.0890000000000004</v>
      </c>
      <c r="W22" s="1572">
        <v>0.58799999999999997</v>
      </c>
      <c r="X22" s="1574">
        <v>174423</v>
      </c>
      <c r="Y22" s="1574">
        <v>0</v>
      </c>
      <c r="Z22" s="1569">
        <f t="shared" si="4"/>
        <v>97.054263565891475</v>
      </c>
      <c r="AA22" s="1430">
        <v>8.2882400000000018</v>
      </c>
      <c r="AB22" s="462" t="s">
        <v>9348</v>
      </c>
      <c r="AC22" s="998"/>
      <c r="AD22" s="854"/>
      <c r="AE22" s="854"/>
      <c r="AF22" s="854"/>
      <c r="AG22" s="854"/>
      <c r="AH22" s="1542" t="s">
        <v>9362</v>
      </c>
      <c r="AI22" s="1551" t="s">
        <v>9371</v>
      </c>
      <c r="AJ22" s="1430">
        <v>1642</v>
      </c>
      <c r="AK22" s="1430" t="s">
        <v>9287</v>
      </c>
      <c r="AL22" s="1534" t="s">
        <v>9389</v>
      </c>
      <c r="AM22" s="1430"/>
      <c r="AN22" s="1430" t="s">
        <v>9399</v>
      </c>
      <c r="AO22" s="1430" t="s">
        <v>9385</v>
      </c>
      <c r="AP22" s="462" t="s">
        <v>7811</v>
      </c>
      <c r="AQ22" s="462" t="s">
        <v>9413</v>
      </c>
      <c r="AR22" s="462" t="s">
        <v>1767</v>
      </c>
      <c r="AS22" s="462" t="s">
        <v>1767</v>
      </c>
      <c r="AT22" s="462"/>
      <c r="AU22" s="1558">
        <f t="shared" si="0"/>
        <v>8.8136363636363644</v>
      </c>
      <c r="AV22" s="1429">
        <v>0</v>
      </c>
      <c r="AW22" s="464">
        <v>56500</v>
      </c>
      <c r="AX22" s="467">
        <f t="shared" si="1"/>
        <v>4707.4081351935547</v>
      </c>
    </row>
    <row r="23" spans="1:50" s="938" customFormat="1" ht="24" customHeight="1">
      <c r="A23" s="1762"/>
      <c r="B23" s="1429" t="s">
        <v>9331</v>
      </c>
      <c r="C23" s="1537" t="s">
        <v>9332</v>
      </c>
      <c r="D23" s="1430">
        <f t="shared" si="2"/>
        <v>40</v>
      </c>
      <c r="E23" s="1430"/>
      <c r="F23" s="1430"/>
      <c r="G23" s="1567">
        <v>40</v>
      </c>
      <c r="H23" s="1570">
        <v>3.1</v>
      </c>
      <c r="I23" s="996"/>
      <c r="K23" s="1570">
        <v>3.1</v>
      </c>
      <c r="L23" s="1570">
        <v>3.1</v>
      </c>
      <c r="M23" s="1430"/>
      <c r="O23" s="1570">
        <v>3.1</v>
      </c>
      <c r="P23" s="1570">
        <v>118.5</v>
      </c>
      <c r="Q23" s="1570">
        <v>3.5</v>
      </c>
      <c r="R23" s="1570">
        <v>71.8</v>
      </c>
      <c r="S23" s="1570">
        <v>10.199999999999999</v>
      </c>
      <c r="T23" s="1572">
        <v>33.804000000000002</v>
      </c>
      <c r="U23" s="1572">
        <v>16.739999999999998</v>
      </c>
      <c r="V23" s="1572">
        <v>4.2050000000000001</v>
      </c>
      <c r="W23" s="1572">
        <v>1.0389999999999999</v>
      </c>
      <c r="X23" s="1574">
        <v>143916</v>
      </c>
      <c r="Y23" s="1574">
        <v>0</v>
      </c>
      <c r="Z23" s="1569">
        <f t="shared" si="4"/>
        <v>97.046413502109701</v>
      </c>
      <c r="AA23" s="1430">
        <v>0.38238144000000002</v>
      </c>
      <c r="AB23" s="462" t="s">
        <v>9347</v>
      </c>
      <c r="AC23" s="998"/>
      <c r="AD23" s="854"/>
      <c r="AE23" s="854"/>
      <c r="AF23" s="854"/>
      <c r="AG23" s="854"/>
      <c r="AH23" s="462" t="s">
        <v>9357</v>
      </c>
      <c r="AI23" s="461" t="s">
        <v>9372</v>
      </c>
      <c r="AJ23" s="1430">
        <v>206</v>
      </c>
      <c r="AK23" s="1430" t="s">
        <v>9287</v>
      </c>
      <c r="AL23" s="1430" t="s">
        <v>9389</v>
      </c>
      <c r="AM23" s="1430">
        <v>2</v>
      </c>
      <c r="AN23" s="1430" t="s">
        <v>9384</v>
      </c>
      <c r="AO23" s="1430" t="s">
        <v>9385</v>
      </c>
      <c r="AP23" s="462" t="s">
        <v>9395</v>
      </c>
      <c r="AQ23" s="462" t="s">
        <v>9414</v>
      </c>
      <c r="AR23" s="462" t="s">
        <v>1767</v>
      </c>
      <c r="AS23" s="462" t="s">
        <v>1767</v>
      </c>
      <c r="AT23" s="462"/>
      <c r="AU23" s="1558">
        <f t="shared" si="0"/>
        <v>23.314763231197773</v>
      </c>
      <c r="AV23" s="1429">
        <v>0</v>
      </c>
      <c r="AW23" s="464">
        <v>7789</v>
      </c>
      <c r="AX23" s="467">
        <f t="shared" si="1"/>
        <v>785.38311533888225</v>
      </c>
    </row>
    <row r="24" spans="1:50" s="938" customFormat="1" ht="24" customHeight="1">
      <c r="A24" s="1762"/>
      <c r="B24" s="1429" t="s">
        <v>9263</v>
      </c>
      <c r="C24" s="1537" t="s">
        <v>9324</v>
      </c>
      <c r="D24" s="1430">
        <f t="shared" si="2"/>
        <v>47</v>
      </c>
      <c r="E24" s="1430"/>
      <c r="F24" s="1567">
        <v>47</v>
      </c>
      <c r="G24" s="1430"/>
      <c r="H24" s="1570">
        <v>0</v>
      </c>
      <c r="I24" s="996"/>
      <c r="J24" s="997" t="s">
        <v>9427</v>
      </c>
      <c r="K24" s="1541"/>
      <c r="L24" s="1570">
        <v>0</v>
      </c>
      <c r="M24" s="1430"/>
      <c r="N24" s="997" t="s">
        <v>9427</v>
      </c>
      <c r="O24" s="1541"/>
      <c r="P24" s="1570">
        <v>137.4</v>
      </c>
      <c r="Q24" s="1570">
        <v>4.4000000000000004</v>
      </c>
      <c r="R24" s="1570">
        <v>80.8</v>
      </c>
      <c r="S24" s="1570">
        <v>9.5</v>
      </c>
      <c r="T24" s="1572">
        <v>33.197000000000003</v>
      </c>
      <c r="U24" s="1572">
        <v>16.001000000000001</v>
      </c>
      <c r="V24" s="1572">
        <v>4.3680000000000003</v>
      </c>
      <c r="W24" s="1572">
        <v>0.76</v>
      </c>
      <c r="X24" s="1574">
        <v>150833</v>
      </c>
      <c r="Y24" s="1574">
        <v>0</v>
      </c>
      <c r="Z24" s="1569">
        <f t="shared" si="4"/>
        <v>96.797671033478892</v>
      </c>
      <c r="AA24" s="1430">
        <v>3.2053000000000003</v>
      </c>
      <c r="AB24" s="462" t="s">
        <v>9346</v>
      </c>
      <c r="AC24" s="998"/>
      <c r="AD24" s="854"/>
      <c r="AE24" s="854"/>
      <c r="AF24" s="854"/>
      <c r="AG24" s="854"/>
      <c r="AH24" s="1542" t="s">
        <v>9364</v>
      </c>
      <c r="AI24" s="461" t="s">
        <v>9373</v>
      </c>
      <c r="AJ24" s="1430">
        <v>604</v>
      </c>
      <c r="AK24" s="1430" t="s">
        <v>9287</v>
      </c>
      <c r="AL24" s="1534" t="s">
        <v>9389</v>
      </c>
      <c r="AM24" s="1430"/>
      <c r="AN24" s="1430" t="s">
        <v>9400</v>
      </c>
      <c r="AO24" s="1430" t="s">
        <v>9385</v>
      </c>
      <c r="AP24" s="462" t="s">
        <v>9395</v>
      </c>
      <c r="AQ24" s="462" t="s">
        <v>9412</v>
      </c>
      <c r="AR24" s="462" t="s">
        <v>1767</v>
      </c>
      <c r="AS24" s="462" t="s">
        <v>1767</v>
      </c>
      <c r="AT24" s="462"/>
      <c r="AU24" s="1558">
        <f t="shared" si="0"/>
        <v>19.80321782178218</v>
      </c>
      <c r="AV24" s="1429">
        <v>0</v>
      </c>
      <c r="AW24" s="464">
        <v>20845</v>
      </c>
      <c r="AX24" s="467">
        <f t="shared" si="1"/>
        <v>2023.415750915751</v>
      </c>
    </row>
    <row r="25" spans="1:50" s="938" customFormat="1" ht="24" customHeight="1">
      <c r="A25" s="1762"/>
      <c r="B25" s="1429" t="s">
        <v>9261</v>
      </c>
      <c r="C25" s="1537" t="s">
        <v>9330</v>
      </c>
      <c r="D25" s="1430">
        <f t="shared" si="2"/>
        <v>60</v>
      </c>
      <c r="E25" s="1430"/>
      <c r="F25" s="1567">
        <v>60</v>
      </c>
      <c r="G25" s="1430"/>
      <c r="H25" s="1570">
        <v>58.7</v>
      </c>
      <c r="I25" s="996"/>
      <c r="J25" s="1570">
        <v>58.7</v>
      </c>
      <c r="K25" s="1541"/>
      <c r="L25" s="1570">
        <v>58.7</v>
      </c>
      <c r="M25" s="1430"/>
      <c r="N25" s="1570">
        <v>58.7</v>
      </c>
      <c r="O25" s="1541"/>
      <c r="P25" s="1570">
        <v>127.1</v>
      </c>
      <c r="Q25" s="1570">
        <v>3.3</v>
      </c>
      <c r="R25" s="1570">
        <v>89.1</v>
      </c>
      <c r="S25" s="1570">
        <v>6.7</v>
      </c>
      <c r="T25" s="1572">
        <v>43.088000000000001</v>
      </c>
      <c r="U25" s="1572">
        <v>10.233000000000001</v>
      </c>
      <c r="V25" s="1572">
        <v>5.1340000000000003</v>
      </c>
      <c r="W25" s="1572">
        <v>0.316</v>
      </c>
      <c r="X25" s="1574">
        <v>169038</v>
      </c>
      <c r="Y25" s="1574">
        <v>0</v>
      </c>
      <c r="Z25" s="1569">
        <f t="shared" si="4"/>
        <v>97.4036191974823</v>
      </c>
      <c r="AA25" s="1430">
        <v>7.2670600000000007</v>
      </c>
      <c r="AB25" s="462" t="s">
        <v>9348</v>
      </c>
      <c r="AC25" s="998"/>
      <c r="AD25" s="854"/>
      <c r="AE25" s="854"/>
      <c r="AF25" s="854"/>
      <c r="AG25" s="854"/>
      <c r="AH25" s="1542" t="s">
        <v>9362</v>
      </c>
      <c r="AI25" s="461" t="s">
        <v>9374</v>
      </c>
      <c r="AJ25" s="1430">
        <v>1669</v>
      </c>
      <c r="AK25" s="1430" t="s">
        <v>9287</v>
      </c>
      <c r="AL25" s="1534" t="s">
        <v>9389</v>
      </c>
      <c r="AM25" s="1430"/>
      <c r="AN25" s="1430" t="s">
        <v>9401</v>
      </c>
      <c r="AO25" s="1430" t="s">
        <v>9385</v>
      </c>
      <c r="AP25" s="462" t="s">
        <v>7811</v>
      </c>
      <c r="AQ25" s="462" t="s">
        <v>1767</v>
      </c>
      <c r="AR25" s="462" t="s">
        <v>1767</v>
      </c>
      <c r="AS25" s="462" t="s">
        <v>1767</v>
      </c>
      <c r="AT25" s="462"/>
      <c r="AU25" s="1558">
        <f t="shared" si="0"/>
        <v>11.484848484848486</v>
      </c>
      <c r="AV25" s="1429">
        <v>0</v>
      </c>
      <c r="AW25" s="464">
        <v>29820</v>
      </c>
      <c r="AX25" s="467">
        <f t="shared" si="1"/>
        <v>2462.7347097779507</v>
      </c>
    </row>
    <row r="26" spans="1:50" s="938" customFormat="1" ht="24" customHeight="1">
      <c r="A26" s="1762"/>
      <c r="B26" s="1429" t="s">
        <v>9262</v>
      </c>
      <c r="C26" s="1537" t="s">
        <v>9333</v>
      </c>
      <c r="D26" s="1430">
        <f t="shared" si="2"/>
        <v>70</v>
      </c>
      <c r="E26" s="1430"/>
      <c r="F26" s="1567">
        <v>70</v>
      </c>
      <c r="G26" s="1430"/>
      <c r="H26" s="1570">
        <v>0</v>
      </c>
      <c r="I26" s="996"/>
      <c r="J26" s="997" t="s">
        <v>9427</v>
      </c>
      <c r="K26" s="1541"/>
      <c r="L26" s="1570">
        <v>0</v>
      </c>
      <c r="M26" s="1430"/>
      <c r="N26" s="997" t="s">
        <v>9427</v>
      </c>
      <c r="O26" s="1541"/>
      <c r="P26" s="1570">
        <v>155.19999999999999</v>
      </c>
      <c r="Q26" s="1570">
        <v>4.0999999999999996</v>
      </c>
      <c r="R26" s="1570">
        <v>100.4</v>
      </c>
      <c r="S26" s="1570">
        <v>9.6</v>
      </c>
      <c r="T26" s="1572">
        <v>41.826000000000001</v>
      </c>
      <c r="U26" s="1572">
        <v>9.8789999999999996</v>
      </c>
      <c r="V26" s="1572">
        <v>5</v>
      </c>
      <c r="W26" s="1572">
        <v>0.315</v>
      </c>
      <c r="X26" s="1574">
        <v>167500</v>
      </c>
      <c r="Y26" s="1574">
        <v>0</v>
      </c>
      <c r="Z26" s="1569">
        <f t="shared" si="4"/>
        <v>97.358247422680407</v>
      </c>
      <c r="AA26" s="1430">
        <v>8.1593999999999998</v>
      </c>
      <c r="AB26" s="462" t="s">
        <v>9349</v>
      </c>
      <c r="AC26" s="998"/>
      <c r="AD26" s="854"/>
      <c r="AE26" s="854"/>
      <c r="AF26" s="854"/>
      <c r="AG26" s="854"/>
      <c r="AH26" s="1542" t="s">
        <v>9364</v>
      </c>
      <c r="AI26" s="461" t="s">
        <v>9375</v>
      </c>
      <c r="AJ26" s="1430">
        <v>1100</v>
      </c>
      <c r="AK26" s="1430" t="s">
        <v>9287</v>
      </c>
      <c r="AL26" s="1534" t="s">
        <v>9389</v>
      </c>
      <c r="AM26" s="1430"/>
      <c r="AN26" s="1430" t="s">
        <v>9402</v>
      </c>
      <c r="AO26" s="1430" t="s">
        <v>9385</v>
      </c>
      <c r="AP26" s="1542" t="s">
        <v>9395</v>
      </c>
      <c r="AQ26" s="462" t="s">
        <v>9411</v>
      </c>
      <c r="AR26" s="462" t="s">
        <v>1767</v>
      </c>
      <c r="AS26" s="462" t="s">
        <v>1767</v>
      </c>
      <c r="AT26" s="462"/>
      <c r="AU26" s="1558">
        <f t="shared" si="0"/>
        <v>9.8396414342629477</v>
      </c>
      <c r="AV26" s="1429">
        <v>0</v>
      </c>
      <c r="AW26" s="464">
        <v>20271</v>
      </c>
      <c r="AX26" s="467">
        <f t="shared" si="1"/>
        <v>1718.9808</v>
      </c>
    </row>
    <row r="27" spans="1:50" s="938" customFormat="1" ht="24" customHeight="1">
      <c r="A27" s="1762"/>
      <c r="B27" s="1429" t="s">
        <v>9259</v>
      </c>
      <c r="C27" s="1537" t="s">
        <v>9329</v>
      </c>
      <c r="D27" s="1430">
        <f t="shared" si="2"/>
        <v>55</v>
      </c>
      <c r="E27" s="1430"/>
      <c r="F27" s="1567">
        <v>55</v>
      </c>
      <c r="G27" s="1430"/>
      <c r="H27" s="1570">
        <v>58.9</v>
      </c>
      <c r="I27" s="996"/>
      <c r="J27" s="1570">
        <v>58.9</v>
      </c>
      <c r="K27" s="1541"/>
      <c r="L27" s="1570">
        <v>58.9</v>
      </c>
      <c r="M27" s="1430"/>
      <c r="N27" s="1570">
        <v>58.9</v>
      </c>
      <c r="O27" s="1541"/>
      <c r="P27" s="1570">
        <v>131.4</v>
      </c>
      <c r="Q27" s="1570">
        <v>3.6</v>
      </c>
      <c r="R27" s="1570">
        <v>88</v>
      </c>
      <c r="S27" s="1570">
        <v>7.8</v>
      </c>
      <c r="T27" s="1572">
        <v>39.89</v>
      </c>
      <c r="U27" s="1572">
        <v>11.753</v>
      </c>
      <c r="V27" s="1572">
        <v>5.0640000000000001</v>
      </c>
      <c r="W27" s="1572">
        <v>0.40200000000000002</v>
      </c>
      <c r="X27" s="1574">
        <v>176730</v>
      </c>
      <c r="Y27" s="1574">
        <v>0</v>
      </c>
      <c r="Z27" s="1569">
        <f t="shared" si="4"/>
        <v>97.260273972602747</v>
      </c>
      <c r="AA27" s="1430">
        <v>7.5274200000000002</v>
      </c>
      <c r="AB27" s="462" t="s">
        <v>7954</v>
      </c>
      <c r="AC27" s="998"/>
      <c r="AD27" s="854"/>
      <c r="AE27" s="854"/>
      <c r="AF27" s="854"/>
      <c r="AG27" s="854"/>
      <c r="AH27" s="1542" t="s">
        <v>9361</v>
      </c>
      <c r="AI27" s="461" t="s">
        <v>9376</v>
      </c>
      <c r="AJ27" s="1430">
        <v>1458</v>
      </c>
      <c r="AK27" s="1430" t="s">
        <v>9287</v>
      </c>
      <c r="AL27" s="1534" t="s">
        <v>9389</v>
      </c>
      <c r="AM27" s="1430"/>
      <c r="AN27" s="1430" t="s">
        <v>9401</v>
      </c>
      <c r="AO27" s="1430" t="s">
        <v>9385</v>
      </c>
      <c r="AP27" s="462" t="s">
        <v>7811</v>
      </c>
      <c r="AQ27" s="462" t="s">
        <v>9032</v>
      </c>
      <c r="AR27" s="462" t="s">
        <v>1767</v>
      </c>
      <c r="AS27" s="462" t="s">
        <v>1767</v>
      </c>
      <c r="AT27" s="462"/>
      <c r="AU27" s="1558">
        <f t="shared" si="0"/>
        <v>13.35568181818182</v>
      </c>
      <c r="AV27" s="1429">
        <v>0</v>
      </c>
      <c r="AW27" s="464">
        <v>45870</v>
      </c>
      <c r="AX27" s="467">
        <f t="shared" si="1"/>
        <v>3840.6161137440758</v>
      </c>
    </row>
    <row r="28" spans="1:50" s="938" customFormat="1" ht="24" customHeight="1">
      <c r="A28" s="1762"/>
      <c r="B28" s="1429" t="s">
        <v>9258</v>
      </c>
      <c r="C28" s="1537" t="s">
        <v>9334</v>
      </c>
      <c r="D28" s="1430">
        <f t="shared" si="2"/>
        <v>170</v>
      </c>
      <c r="E28" s="1430"/>
      <c r="F28" s="1567">
        <v>170</v>
      </c>
      <c r="G28" s="1430"/>
      <c r="H28" s="1570">
        <v>122</v>
      </c>
      <c r="I28" s="996"/>
      <c r="J28" s="1570">
        <v>122</v>
      </c>
      <c r="K28" s="1541"/>
      <c r="L28" s="1570">
        <v>122</v>
      </c>
      <c r="M28" s="1430"/>
      <c r="N28" s="1570">
        <v>122</v>
      </c>
      <c r="O28" s="1541"/>
      <c r="P28" s="1570">
        <v>145.9</v>
      </c>
      <c r="Q28" s="1570">
        <v>4.3</v>
      </c>
      <c r="R28" s="1570">
        <v>93.2</v>
      </c>
      <c r="S28" s="1570">
        <v>8.8000000000000007</v>
      </c>
      <c r="T28" s="1572">
        <v>45.774000000000001</v>
      </c>
      <c r="U28" s="1572">
        <v>8.5890000000000004</v>
      </c>
      <c r="V28" s="1572">
        <v>5.2830000000000004</v>
      </c>
      <c r="W28" s="1572">
        <v>0.34</v>
      </c>
      <c r="X28" s="1574">
        <v>188846</v>
      </c>
      <c r="Y28" s="1574">
        <v>0</v>
      </c>
      <c r="Z28" s="1569">
        <f t="shared" si="4"/>
        <v>97.052775873886219</v>
      </c>
      <c r="AA28" s="1430">
        <v>17.275199999999998</v>
      </c>
      <c r="AB28" s="462" t="s">
        <v>7954</v>
      </c>
      <c r="AC28" s="998"/>
      <c r="AD28" s="854"/>
      <c r="AE28" s="854"/>
      <c r="AF28" s="854"/>
      <c r="AG28" s="854"/>
      <c r="AH28" s="1542" t="s">
        <v>9363</v>
      </c>
      <c r="AI28" s="461" t="s">
        <v>9377</v>
      </c>
      <c r="AJ28" s="1430">
        <v>2094</v>
      </c>
      <c r="AK28" s="1430" t="s">
        <v>9287</v>
      </c>
      <c r="AL28" s="1534" t="s">
        <v>9389</v>
      </c>
      <c r="AM28" s="1430"/>
      <c r="AN28" s="1430" t="s">
        <v>9401</v>
      </c>
      <c r="AO28" s="1430" t="s">
        <v>9385</v>
      </c>
      <c r="AP28" s="462" t="s">
        <v>7811</v>
      </c>
      <c r="AQ28" s="462" t="s">
        <v>9032</v>
      </c>
      <c r="AR28" s="462" t="s">
        <v>1767</v>
      </c>
      <c r="AS28" s="462" t="s">
        <v>1767</v>
      </c>
      <c r="AT28" s="462"/>
      <c r="AU28" s="1558">
        <f t="shared" si="0"/>
        <v>9.2156652360515032</v>
      </c>
      <c r="AV28" s="1429">
        <v>0</v>
      </c>
      <c r="AW28" s="464">
        <v>89815</v>
      </c>
      <c r="AX28" s="467">
        <f t="shared" si="1"/>
        <v>7208.3210297179621</v>
      </c>
    </row>
    <row r="29" spans="1:50" s="938" customFormat="1" ht="24" customHeight="1">
      <c r="A29" s="1762"/>
      <c r="B29" s="1429" t="s">
        <v>9260</v>
      </c>
      <c r="C29" s="1537" t="s">
        <v>9335</v>
      </c>
      <c r="D29" s="1430">
        <f t="shared" si="2"/>
        <v>170</v>
      </c>
      <c r="E29" s="1430"/>
      <c r="F29" s="1567">
        <v>170</v>
      </c>
      <c r="G29" s="1430"/>
      <c r="H29" s="1570">
        <v>0</v>
      </c>
      <c r="I29" s="996"/>
      <c r="J29" s="997" t="s">
        <v>9427</v>
      </c>
      <c r="K29" s="1541"/>
      <c r="L29" s="1570">
        <v>0</v>
      </c>
      <c r="M29" s="1430"/>
      <c r="N29" s="997" t="s">
        <v>9427</v>
      </c>
      <c r="O29" s="1541"/>
      <c r="P29" s="1570">
        <v>138.80000000000001</v>
      </c>
      <c r="Q29" s="1570">
        <v>2.5</v>
      </c>
      <c r="R29" s="1570">
        <v>86.3</v>
      </c>
      <c r="S29" s="1570">
        <v>7.7</v>
      </c>
      <c r="T29" s="1572">
        <v>38.972000000000001</v>
      </c>
      <c r="U29" s="1572">
        <v>5.5369999999999999</v>
      </c>
      <c r="V29" s="1572">
        <v>4.5890000000000004</v>
      </c>
      <c r="W29" s="1572">
        <v>0.21299999999999999</v>
      </c>
      <c r="X29" s="1574">
        <v>156278</v>
      </c>
      <c r="Y29" s="1574">
        <v>0</v>
      </c>
      <c r="Z29" s="1569">
        <f t="shared" si="4"/>
        <v>98.198847262247838</v>
      </c>
      <c r="AA29" s="1430">
        <v>15.960730000000002</v>
      </c>
      <c r="AB29" s="462" t="s">
        <v>9349</v>
      </c>
      <c r="AC29" s="998"/>
      <c r="AD29" s="854"/>
      <c r="AE29" s="854"/>
      <c r="AF29" s="854"/>
      <c r="AG29" s="854"/>
      <c r="AH29" s="1542" t="s">
        <v>9364</v>
      </c>
      <c r="AI29" s="461" t="s">
        <v>9378</v>
      </c>
      <c r="AJ29" s="1430">
        <v>3885</v>
      </c>
      <c r="AK29" s="1430" t="s">
        <v>9287</v>
      </c>
      <c r="AL29" s="1534" t="s">
        <v>9389</v>
      </c>
      <c r="AM29" s="1430"/>
      <c r="AN29" s="1430" t="s">
        <v>9401</v>
      </c>
      <c r="AO29" s="1430" t="s">
        <v>9385</v>
      </c>
      <c r="AP29" s="462" t="s">
        <v>7811</v>
      </c>
      <c r="AQ29" s="462" t="s">
        <v>9412</v>
      </c>
      <c r="AR29" s="462" t="s">
        <v>1767</v>
      </c>
      <c r="AS29" s="462" t="s">
        <v>1767</v>
      </c>
      <c r="AT29" s="462"/>
      <c r="AU29" s="1558">
        <f t="shared" si="0"/>
        <v>6.4159907300115879</v>
      </c>
      <c r="AV29" s="1429">
        <v>0</v>
      </c>
      <c r="AW29" s="464">
        <v>73697</v>
      </c>
      <c r="AX29" s="467">
        <f t="shared" si="1"/>
        <v>6809.2237960339935</v>
      </c>
    </row>
    <row r="30" spans="1:50" s="938" customFormat="1" ht="24" customHeight="1">
      <c r="A30" s="1762"/>
      <c r="B30" s="460" t="s">
        <v>2095</v>
      </c>
      <c r="C30" s="524" t="s">
        <v>9337</v>
      </c>
      <c r="D30" s="1430">
        <f t="shared" si="2"/>
        <v>65</v>
      </c>
      <c r="E30" s="1430"/>
      <c r="F30" s="1430"/>
      <c r="G30" s="656">
        <v>65</v>
      </c>
      <c r="H30" s="1570">
        <v>58.2</v>
      </c>
      <c r="I30" s="996"/>
      <c r="J30" s="997"/>
      <c r="K30" s="1570">
        <v>58.2</v>
      </c>
      <c r="L30" s="1570">
        <v>58.2</v>
      </c>
      <c r="M30" s="1534"/>
      <c r="N30" s="997"/>
      <c r="O30" s="1570">
        <v>58.2</v>
      </c>
      <c r="P30" s="1570">
        <v>157.9</v>
      </c>
      <c r="Q30" s="1570">
        <v>1</v>
      </c>
      <c r="R30" s="1570">
        <v>77.900000000000006</v>
      </c>
      <c r="S30" s="1570">
        <v>5.8</v>
      </c>
      <c r="T30" s="1572">
        <v>38.292000000000002</v>
      </c>
      <c r="U30" s="1572">
        <v>6.9710000000000001</v>
      </c>
      <c r="V30" s="1572">
        <v>4.4749999999999996</v>
      </c>
      <c r="W30" s="1572">
        <v>0.111</v>
      </c>
      <c r="X30" s="1574">
        <v>139076</v>
      </c>
      <c r="Y30" s="1574">
        <v>0</v>
      </c>
      <c r="Z30" s="1569">
        <f t="shared" si="4"/>
        <v>99.366687777074105</v>
      </c>
      <c r="AA30" s="1534">
        <f>(157.9*V30*Z30)/1000</f>
        <v>70.21275</v>
      </c>
      <c r="AB30" s="1542" t="s">
        <v>9350</v>
      </c>
      <c r="AC30" s="998"/>
      <c r="AD30" s="1544"/>
      <c r="AE30" s="1544"/>
      <c r="AF30" s="1544"/>
      <c r="AG30" s="1544"/>
      <c r="AH30" s="1542" t="s">
        <v>9353</v>
      </c>
      <c r="AI30" s="1546" t="s">
        <v>9379</v>
      </c>
      <c r="AJ30" s="1534">
        <v>1400</v>
      </c>
      <c r="AK30" s="1534" t="s">
        <v>9285</v>
      </c>
      <c r="AL30" s="1534" t="s">
        <v>9383</v>
      </c>
      <c r="AM30" s="1534"/>
      <c r="AN30" s="1534" t="s">
        <v>9403</v>
      </c>
      <c r="AO30" s="1535" t="s">
        <v>9387</v>
      </c>
      <c r="AP30" s="1542" t="s">
        <v>7811</v>
      </c>
      <c r="AQ30" s="1542" t="s">
        <v>9415</v>
      </c>
      <c r="AR30" s="1542" t="s">
        <v>9408</v>
      </c>
      <c r="AS30" s="1542" t="s">
        <v>9408</v>
      </c>
      <c r="AT30" s="1535"/>
      <c r="AU30" s="1554">
        <f t="shared" si="0"/>
        <v>8.948652118100128</v>
      </c>
      <c r="AV30" s="1535">
        <v>0</v>
      </c>
      <c r="AW30" s="1557">
        <v>26080</v>
      </c>
      <c r="AX30" s="1556">
        <f t="shared" si="1"/>
        <v>2471.0435754189948</v>
      </c>
    </row>
    <row r="31" spans="1:50" s="938" customFormat="1" ht="24" customHeight="1">
      <c r="A31" s="1762"/>
      <c r="B31" s="460" t="s">
        <v>9268</v>
      </c>
      <c r="C31" s="524" t="s">
        <v>9338</v>
      </c>
      <c r="D31" s="1430">
        <f t="shared" si="2"/>
        <v>160</v>
      </c>
      <c r="E31" s="1430"/>
      <c r="F31" s="1430"/>
      <c r="G31" s="656">
        <v>160</v>
      </c>
      <c r="H31" s="1570">
        <v>144.80000000000001</v>
      </c>
      <c r="I31" s="996"/>
      <c r="J31" s="997"/>
      <c r="K31" s="1570">
        <v>144.80000000000001</v>
      </c>
      <c r="L31" s="1570">
        <v>144.80000000000001</v>
      </c>
      <c r="M31" s="1534"/>
      <c r="N31" s="997"/>
      <c r="O31" s="1570">
        <v>144.80000000000001</v>
      </c>
      <c r="P31" s="1570">
        <v>164.9</v>
      </c>
      <c r="Q31" s="1570">
        <v>3.5</v>
      </c>
      <c r="R31" s="1570">
        <v>93.5</v>
      </c>
      <c r="S31" s="1570">
        <v>7</v>
      </c>
      <c r="T31" s="1572">
        <v>37.171999999999997</v>
      </c>
      <c r="U31" s="1572">
        <v>8.9410000000000007</v>
      </c>
      <c r="V31" s="1572">
        <v>5.0469999999999997</v>
      </c>
      <c r="W31" s="1572">
        <v>0.23</v>
      </c>
      <c r="X31" s="1574">
        <v>99134</v>
      </c>
      <c r="Y31" s="1574">
        <v>0</v>
      </c>
      <c r="Z31" s="1569">
        <f t="shared" si="4"/>
        <v>97.877501516070339</v>
      </c>
      <c r="AA31" s="1534">
        <f>(164.4*V31*Z31)/1000</f>
        <v>81.211586124924196</v>
      </c>
      <c r="AB31" s="1542" t="s">
        <v>9350</v>
      </c>
      <c r="AC31" s="998"/>
      <c r="AD31" s="1544"/>
      <c r="AE31" s="1544"/>
      <c r="AF31" s="1544"/>
      <c r="AG31" s="1544"/>
      <c r="AH31" s="1542" t="s">
        <v>9380</v>
      </c>
      <c r="AI31" s="1547" t="s">
        <v>9381</v>
      </c>
      <c r="AJ31" s="1534">
        <v>4158</v>
      </c>
      <c r="AK31" s="1534" t="s">
        <v>9285</v>
      </c>
      <c r="AL31" s="1534" t="s">
        <v>9383</v>
      </c>
      <c r="AM31" s="1534"/>
      <c r="AN31" s="1534" t="s">
        <v>9404</v>
      </c>
      <c r="AO31" s="1535" t="s">
        <v>9387</v>
      </c>
      <c r="AP31" s="1542" t="s">
        <v>7811</v>
      </c>
      <c r="AQ31" s="1542" t="s">
        <v>9416</v>
      </c>
      <c r="AR31" s="1542" t="s">
        <v>9408</v>
      </c>
      <c r="AS31" s="1542" t="s">
        <v>9408</v>
      </c>
      <c r="AT31" s="1535"/>
      <c r="AU31" s="1554">
        <f t="shared" si="0"/>
        <v>9.5625668449197878</v>
      </c>
      <c r="AV31" s="1535">
        <v>0</v>
      </c>
      <c r="AW31" s="1557">
        <v>62610</v>
      </c>
      <c r="AX31" s="1556">
        <f t="shared" si="1"/>
        <v>5259.8850802456909</v>
      </c>
    </row>
    <row r="32" spans="1:50" s="938" customFormat="1" ht="24" customHeight="1" thickBot="1">
      <c r="A32" s="1763"/>
      <c r="B32" s="580" t="s">
        <v>9269</v>
      </c>
      <c r="C32" s="1538" t="s">
        <v>9336</v>
      </c>
      <c r="D32" s="950">
        <f t="shared" si="2"/>
        <v>100</v>
      </c>
      <c r="E32" s="950"/>
      <c r="F32" s="950"/>
      <c r="G32" s="1539">
        <v>100</v>
      </c>
      <c r="H32" s="1570">
        <v>87.5</v>
      </c>
      <c r="I32" s="996"/>
      <c r="J32" s="997"/>
      <c r="K32" s="1570">
        <v>87.5</v>
      </c>
      <c r="L32" s="1570">
        <v>87.5</v>
      </c>
      <c r="M32" s="1540"/>
      <c r="N32" s="997"/>
      <c r="O32" s="1570">
        <v>87.5</v>
      </c>
      <c r="P32" s="1570">
        <v>165.9</v>
      </c>
      <c r="Q32" s="1570">
        <v>3.7</v>
      </c>
      <c r="R32" s="1570">
        <v>80.900000000000006</v>
      </c>
      <c r="S32" s="1570">
        <v>7.4</v>
      </c>
      <c r="T32" s="1572">
        <v>37.4</v>
      </c>
      <c r="U32" s="1572">
        <v>9.1950000000000003</v>
      </c>
      <c r="V32" s="1572">
        <v>5.22</v>
      </c>
      <c r="W32" s="1572">
        <v>0.23499999999999999</v>
      </c>
      <c r="X32" s="1574">
        <v>102307</v>
      </c>
      <c r="Y32" s="1574">
        <v>0</v>
      </c>
      <c r="Z32" s="1569">
        <f t="shared" si="4"/>
        <v>97.769740807715493</v>
      </c>
      <c r="AA32" s="1540">
        <f>(165.8*V32*Z32)/1000</f>
        <v>84.617364195298379</v>
      </c>
      <c r="AB32" s="1543" t="s">
        <v>9350</v>
      </c>
      <c r="AC32" s="998"/>
      <c r="AD32" s="1545"/>
      <c r="AE32" s="1545"/>
      <c r="AF32" s="1545"/>
      <c r="AG32" s="1545"/>
      <c r="AH32" s="1543" t="s">
        <v>9380</v>
      </c>
      <c r="AI32" s="1552" t="s">
        <v>9382</v>
      </c>
      <c r="AJ32" s="1540">
        <v>2038</v>
      </c>
      <c r="AK32" s="1540" t="s">
        <v>9285</v>
      </c>
      <c r="AL32" s="1540" t="s">
        <v>9383</v>
      </c>
      <c r="AM32" s="1540"/>
      <c r="AN32" s="1540" t="s">
        <v>9405</v>
      </c>
      <c r="AO32" s="1553" t="s">
        <v>9387</v>
      </c>
      <c r="AP32" s="1543" t="s">
        <v>7811</v>
      </c>
      <c r="AQ32" s="1543" t="s">
        <v>9417</v>
      </c>
      <c r="AR32" s="1543" t="s">
        <v>9408</v>
      </c>
      <c r="AS32" s="1543" t="s">
        <v>9408</v>
      </c>
      <c r="AT32" s="1553"/>
      <c r="AU32" s="1561">
        <f t="shared" si="0"/>
        <v>11.365883807169345</v>
      </c>
      <c r="AV32" s="1553">
        <v>0</v>
      </c>
      <c r="AW32" s="1562">
        <v>48310</v>
      </c>
      <c r="AX32" s="1563">
        <f t="shared" si="1"/>
        <v>3924.030651340996</v>
      </c>
    </row>
    <row r="33" spans="1:49" s="938" customForma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954"/>
      <c r="AA33" s="2"/>
      <c r="AB33" s="2"/>
      <c r="AC33" s="2"/>
      <c r="AD33" s="695"/>
      <c r="AE33" s="695"/>
      <c r="AF33" s="695"/>
      <c r="AG33" s="695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40" spans="1:49">
      <c r="AG40" s="2"/>
    </row>
    <row r="41" spans="1:49">
      <c r="AG41" s="2"/>
    </row>
    <row r="42" spans="1:49">
      <c r="AG42" s="2"/>
    </row>
    <row r="43" spans="1:49">
      <c r="AG43" s="2"/>
    </row>
    <row r="44" spans="1:49">
      <c r="AG44" s="2"/>
    </row>
    <row r="45" spans="1:49">
      <c r="AG45" s="2"/>
    </row>
    <row r="46" spans="1:49">
      <c r="AG46" s="2"/>
    </row>
    <row r="47" spans="1:49">
      <c r="AG47" s="2"/>
    </row>
    <row r="48" spans="1:49">
      <c r="AG48" s="2"/>
    </row>
    <row r="49" spans="33:33">
      <c r="AG49" s="2"/>
    </row>
    <row r="380" spans="47:47" ht="21">
      <c r="AU380" s="2" ph="1"/>
    </row>
  </sheetData>
  <mergeCells count="38">
    <mergeCell ref="AC5:AC6"/>
    <mergeCell ref="P5:P6"/>
    <mergeCell ref="Q5:Q6"/>
    <mergeCell ref="A2:D2"/>
    <mergeCell ref="A3:D3"/>
    <mergeCell ref="A5:A6"/>
    <mergeCell ref="B5:B6"/>
    <mergeCell ref="D5:D6"/>
    <mergeCell ref="AB5:AB6"/>
    <mergeCell ref="Z5:Z6"/>
    <mergeCell ref="L5:L6"/>
    <mergeCell ref="C5:C6"/>
    <mergeCell ref="AA5:AA6"/>
    <mergeCell ref="E5:G5"/>
    <mergeCell ref="M5:O5"/>
    <mergeCell ref="X5:X6"/>
    <mergeCell ref="AX5:AX6"/>
    <mergeCell ref="AL5:AO5"/>
    <mergeCell ref="AW5:AW6"/>
    <mergeCell ref="AQ5:AT5"/>
    <mergeCell ref="AD5:AG5"/>
    <mergeCell ref="AH5:AH6"/>
    <mergeCell ref="AI5:AI6"/>
    <mergeCell ref="AJ5:AJ6"/>
    <mergeCell ref="AP5:AP6"/>
    <mergeCell ref="AU5:AU6"/>
    <mergeCell ref="AV5:AV6"/>
    <mergeCell ref="AK5:AK6"/>
    <mergeCell ref="A7:A32"/>
    <mergeCell ref="H5:H6"/>
    <mergeCell ref="I5:K5"/>
    <mergeCell ref="Y5:Y6"/>
    <mergeCell ref="W5:W6"/>
    <mergeCell ref="R5:R6"/>
    <mergeCell ref="S5:S6"/>
    <mergeCell ref="T5:T6"/>
    <mergeCell ref="U5:U6"/>
    <mergeCell ref="V5:V6"/>
  </mergeCells>
  <phoneticPr fontId="3" type="noConversion"/>
  <conditionalFormatting sqref="H7:I32 J7:J22 J24:J32 K7:AT32">
    <cfRule type="expression" dxfId="456" priority="164" stopIfTrue="1">
      <formula>OR($H7="시부",$H7="군부")</formula>
    </cfRule>
    <cfRule type="expression" dxfId="455" priority="165" stopIfTrue="1">
      <formula>OR(RIGHT($H7,3)="특별시",RIGHT($H7,3)="광역시",RIGHT($H7,1)="도",$H7="전국")</formula>
    </cfRule>
  </conditionalFormatting>
  <conditionalFormatting sqref="A7:A9 A10:C10 E10:G10">
    <cfRule type="expression" dxfId="454" priority="131" stopIfTrue="1">
      <formula>OR($A7="시부",$A7="군부")</formula>
    </cfRule>
    <cfRule type="expression" dxfId="453" priority="132" stopIfTrue="1">
      <formula>OR(RIGHT($A7,3)="특별시",RIGHT($A7,3)="광역시",RIGHT($A7,1)="도",$A7="전국")</formula>
    </cfRule>
  </conditionalFormatting>
  <conditionalFormatting sqref="B10:C15 E10:G29">
    <cfRule type="expression" dxfId="452" priority="129" stopIfTrue="1">
      <formula>OR($A10="시부",$A10="군부")</formula>
    </cfRule>
    <cfRule type="expression" dxfId="451" priority="130" stopIfTrue="1">
      <formula>OR(RIGHT($A10,3)="특별시",RIGHT($A10,3)="광역시",RIGHT($A10,1)="도",$A10="전국")</formula>
    </cfRule>
  </conditionalFormatting>
  <conditionalFormatting sqref="A7">
    <cfRule type="expression" dxfId="450" priority="127" stopIfTrue="1">
      <formula>OR($A7="시부",$A7="군부")</formula>
    </cfRule>
    <cfRule type="expression" dxfId="449" priority="128" stopIfTrue="1">
      <formula>OR(RIGHT($A7,3)="특별시",RIGHT($A7,3)="광역시",RIGHT($A7,1)="도",$A7="전국")</formula>
    </cfRule>
  </conditionalFormatting>
  <conditionalFormatting sqref="B7:G7 B8:C9 E8:G9 D8:D32">
    <cfRule type="expression" dxfId="448" priority="125" stopIfTrue="1">
      <formula>OR($A7="시부",$A7="군부")</formula>
    </cfRule>
    <cfRule type="expression" dxfId="447" priority="126" stopIfTrue="1">
      <formula>OR(RIGHT($A7,3)="특별시",RIGHT($A7,3)="광역시",RIGHT($A7,1)="도",$A7="전국")</formula>
    </cfRule>
  </conditionalFormatting>
  <conditionalFormatting sqref="D7:D32">
    <cfRule type="expression" dxfId="446" priority="123" stopIfTrue="1">
      <formula>OR($A7="시부",$A7="군부")</formula>
    </cfRule>
    <cfRule type="expression" dxfId="445" priority="124" stopIfTrue="1">
      <formula>OR(RIGHT($A7,3)="특별시",RIGHT($A7,3)="광역시",RIGHT($A7,1)="도",$A7="전국")</formula>
    </cfRule>
  </conditionalFormatting>
  <conditionalFormatting sqref="B7:G7 B8:C9 E8:G9 D8:D32">
    <cfRule type="expression" dxfId="444" priority="121" stopIfTrue="1">
      <formula>OR($A7="시부",$A7="군부")</formula>
    </cfRule>
    <cfRule type="expression" dxfId="443" priority="122" stopIfTrue="1">
      <formula>OR(RIGHT($A7,3)="특별시",RIGHT($A7,3)="광역시",RIGHT($A7,1)="도",$A7="전국")</formula>
    </cfRule>
  </conditionalFormatting>
  <conditionalFormatting sqref="B8:C9 E8:G9">
    <cfRule type="expression" dxfId="442" priority="119" stopIfTrue="1">
      <formula>OR($A8="시부",$A8="군부")</formula>
    </cfRule>
    <cfRule type="expression" dxfId="441" priority="120" stopIfTrue="1">
      <formula>OR(RIGHT($A8,3)="특별시",RIGHT($A8,3)="광역시",RIGHT($A8,1)="도",$A8="전국")</formula>
    </cfRule>
  </conditionalFormatting>
  <conditionalFormatting sqref="B9:C9 E9:G9">
    <cfRule type="expression" dxfId="440" priority="117" stopIfTrue="1">
      <formula>OR($A9="시부",$A9="군부")</formula>
    </cfRule>
    <cfRule type="expression" dxfId="439" priority="118" stopIfTrue="1">
      <formula>OR(RIGHT($A9,3)="특별시",RIGHT($A9,3)="광역시",RIGHT($A9,1)="도",$A9="전국")</formula>
    </cfRule>
  </conditionalFormatting>
  <conditionalFormatting sqref="E30:G32">
    <cfRule type="expression" dxfId="438" priority="115" stopIfTrue="1">
      <formula>OR($A30="시부",$A30="군부")</formula>
    </cfRule>
    <cfRule type="expression" dxfId="437" priority="116" stopIfTrue="1">
      <formula>OR(RIGHT($A30,3)="특별시",RIGHT($A30,3)="광역시",RIGHT($A30,1)="도",$A30="전국")</formula>
    </cfRule>
  </conditionalFormatting>
  <conditionalFormatting sqref="B30:C32 E30:G32">
    <cfRule type="expression" dxfId="436" priority="113" stopIfTrue="1">
      <formula>OR($A30="시부",$A30="군부")</formula>
    </cfRule>
    <cfRule type="expression" dxfId="435" priority="114" stopIfTrue="1">
      <formula>OR(RIGHT($A30,3)="특별시",RIGHT($A30,3)="광역시",RIGHT($A30,1)="도",$A30="전국")</formula>
    </cfRule>
  </conditionalFormatting>
  <conditionalFormatting sqref="L10:O10">
    <cfRule type="expression" dxfId="434" priority="111" stopIfTrue="1">
      <formula>OR($A10="시부",$A10="군부")</formula>
    </cfRule>
    <cfRule type="expression" dxfId="433" priority="112" stopIfTrue="1">
      <formula>OR(RIGHT($A10,3)="특별시",RIGHT($A10,3)="광역시",RIGHT($A10,1)="도",$A10="전국")</formula>
    </cfRule>
  </conditionalFormatting>
  <conditionalFormatting sqref="L10:O29">
    <cfRule type="expression" dxfId="432" priority="109" stopIfTrue="1">
      <formula>OR($A10="시부",$A10="군부")</formula>
    </cfRule>
    <cfRule type="expression" dxfId="431" priority="110" stopIfTrue="1">
      <formula>OR(RIGHT($A10,3)="특별시",RIGHT($A10,3)="광역시",RIGHT($A10,1)="도",$A10="전국")</formula>
    </cfRule>
  </conditionalFormatting>
  <conditionalFormatting sqref="L7:O9">
    <cfRule type="expression" dxfId="430" priority="107" stopIfTrue="1">
      <formula>OR($A7="시부",$A7="군부")</formula>
    </cfRule>
    <cfRule type="expression" dxfId="429" priority="108" stopIfTrue="1">
      <formula>OR(RIGHT($A7,3)="특별시",RIGHT($A7,3)="광역시",RIGHT($A7,1)="도",$A7="전국")</formula>
    </cfRule>
  </conditionalFormatting>
  <conditionalFormatting sqref="L7:O9">
    <cfRule type="expression" dxfId="428" priority="105" stopIfTrue="1">
      <formula>OR($A7="시부",$A7="군부")</formula>
    </cfRule>
    <cfRule type="expression" dxfId="427" priority="106" stopIfTrue="1">
      <formula>OR(RIGHT($A7,3)="특별시",RIGHT($A7,3)="광역시",RIGHT($A7,1)="도",$A7="전국")</formula>
    </cfRule>
  </conditionalFormatting>
  <conditionalFormatting sqref="L8:O9">
    <cfRule type="expression" dxfId="426" priority="103" stopIfTrue="1">
      <formula>OR($A8="시부",$A8="군부")</formula>
    </cfRule>
    <cfRule type="expression" dxfId="425" priority="104" stopIfTrue="1">
      <formula>OR(RIGHT($A8,3)="특별시",RIGHT($A8,3)="광역시",RIGHT($A8,1)="도",$A8="전국")</formula>
    </cfRule>
  </conditionalFormatting>
  <conditionalFormatting sqref="L9:O9">
    <cfRule type="expression" dxfId="424" priority="101" stopIfTrue="1">
      <formula>OR($A9="시부",$A9="군부")</formula>
    </cfRule>
    <cfRule type="expression" dxfId="423" priority="102" stopIfTrue="1">
      <formula>OR(RIGHT($A9,3)="특별시",RIGHT($A9,3)="광역시",RIGHT($A9,1)="도",$A9="전국")</formula>
    </cfRule>
  </conditionalFormatting>
  <conditionalFormatting sqref="L30:O32">
    <cfRule type="expression" dxfId="422" priority="99" stopIfTrue="1">
      <formula>OR($A30="시부",$A30="군부")</formula>
    </cfRule>
    <cfRule type="expression" dxfId="421" priority="100" stopIfTrue="1">
      <formula>OR(RIGHT($A30,3)="특별시",RIGHT($A30,3)="광역시",RIGHT($A30,1)="도",$A30="전국")</formula>
    </cfRule>
  </conditionalFormatting>
  <conditionalFormatting sqref="L30:O32">
    <cfRule type="expression" dxfId="420" priority="97" stopIfTrue="1">
      <formula>OR($A30="시부",$A30="군부")</formula>
    </cfRule>
    <cfRule type="expression" dxfId="419" priority="98" stopIfTrue="1">
      <formula>OR(RIGHT($A30,3)="특별시",RIGHT($A30,3)="광역시",RIGHT($A30,1)="도",$A30="전국")</formula>
    </cfRule>
  </conditionalFormatting>
  <conditionalFormatting sqref="Z10:AB10 Z11:Z32 AA11">
    <cfRule type="expression" dxfId="418" priority="95" stopIfTrue="1">
      <formula>OR($A10="시부",$A10="군부")</formula>
    </cfRule>
    <cfRule type="expression" dxfId="417" priority="96" stopIfTrue="1">
      <formula>OR(RIGHT($A10,3)="특별시",RIGHT($A10,3)="광역시",RIGHT($A10,1)="도",$A10="전국")</formula>
    </cfRule>
  </conditionalFormatting>
  <conditionalFormatting sqref="Z11:Z32 Z10:AB29">
    <cfRule type="expression" dxfId="416" priority="93" stopIfTrue="1">
      <formula>OR($A10="시부",$A10="군부")</formula>
    </cfRule>
    <cfRule type="expression" dxfId="415" priority="94" stopIfTrue="1">
      <formula>OR(RIGHT($A10,3)="특별시",RIGHT($A10,3)="광역시",RIGHT($A10,1)="도",$A10="전국")</formula>
    </cfRule>
  </conditionalFormatting>
  <conditionalFormatting sqref="Z7:AB9 Z8:Z32">
    <cfRule type="expression" dxfId="414" priority="91" stopIfTrue="1">
      <formula>OR($A7="시부",$A7="군부")</formula>
    </cfRule>
    <cfRule type="expression" dxfId="413" priority="92" stopIfTrue="1">
      <formula>OR(RIGHT($A7,3)="특별시",RIGHT($A7,3)="광역시",RIGHT($A7,1)="도",$A7="전국")</formula>
    </cfRule>
  </conditionalFormatting>
  <conditionalFormatting sqref="Z7:AB9 Z8:Z32 AA10:AA13">
    <cfRule type="expression" dxfId="412" priority="89" stopIfTrue="1">
      <formula>OR($A7="시부",$A7="군부")</formula>
    </cfRule>
    <cfRule type="expression" dxfId="411" priority="90" stopIfTrue="1">
      <formula>OR(RIGHT($A7,3)="특별시",RIGHT($A7,3)="광역시",RIGHT($A7,1)="도",$A7="전국")</formula>
    </cfRule>
  </conditionalFormatting>
  <conditionalFormatting sqref="Z8:AB9 AA10:AA13">
    <cfRule type="expression" dxfId="410" priority="87" stopIfTrue="1">
      <formula>OR($A8="시부",$A8="군부")</formula>
    </cfRule>
    <cfRule type="expression" dxfId="409" priority="88" stopIfTrue="1">
      <formula>OR(RIGHT($A8,3)="특별시",RIGHT($A8,3)="광역시",RIGHT($A8,1)="도",$A8="전국")</formula>
    </cfRule>
  </conditionalFormatting>
  <conditionalFormatting sqref="Z9:AB9 AA10:AA13">
    <cfRule type="expression" dxfId="408" priority="85" stopIfTrue="1">
      <formula>OR($A9="시부",$A9="군부")</formula>
    </cfRule>
    <cfRule type="expression" dxfId="407" priority="86" stopIfTrue="1">
      <formula>OR(RIGHT($A9,3)="특별시",RIGHT($A9,3)="광역시",RIGHT($A9,1)="도",$A9="전국")</formula>
    </cfRule>
  </conditionalFormatting>
  <conditionalFormatting sqref="AA7:AA32">
    <cfRule type="expression" dxfId="406" priority="83" stopIfTrue="1">
      <formula>OR($A7="시부",$A7="군부")</formula>
    </cfRule>
    <cfRule type="expression" dxfId="405" priority="84" stopIfTrue="1">
      <formula>OR(RIGHT($A7,3)="특별시",RIGHT($A7,3)="광역시",RIGHT($A7,1)="도",$A7="전국")</formula>
    </cfRule>
  </conditionalFormatting>
  <conditionalFormatting sqref="Z30:AB32">
    <cfRule type="expression" dxfId="404" priority="81" stopIfTrue="1">
      <formula>OR($A30="시부",$A30="군부")</formula>
    </cfRule>
    <cfRule type="expression" dxfId="403" priority="82" stopIfTrue="1">
      <formula>OR(RIGHT($A30,3)="특별시",RIGHT($A30,3)="광역시",RIGHT($A30,1)="도",$A30="전국")</formula>
    </cfRule>
  </conditionalFormatting>
  <conditionalFormatting sqref="Z30:AB32">
    <cfRule type="expression" dxfId="402" priority="79" stopIfTrue="1">
      <formula>OR($A30="시부",$A30="군부")</formula>
    </cfRule>
    <cfRule type="expression" dxfId="401" priority="80" stopIfTrue="1">
      <formula>OR(RIGHT($A30,3)="특별시",RIGHT($A30,3)="광역시",RIGHT($A30,1)="도",$A30="전국")</formula>
    </cfRule>
  </conditionalFormatting>
  <conditionalFormatting sqref="AD10:AG10">
    <cfRule type="expression" dxfId="400" priority="77" stopIfTrue="1">
      <formula>OR($A10="시부",$A10="군부")</formula>
    </cfRule>
    <cfRule type="expression" dxfId="399" priority="78" stopIfTrue="1">
      <formula>OR(RIGHT($A10,3)="특별시",RIGHT($A10,3)="광역시",RIGHT($A10,1)="도",$A10="전국")</formula>
    </cfRule>
  </conditionalFormatting>
  <conditionalFormatting sqref="AD10:AG29">
    <cfRule type="expression" dxfId="398" priority="75" stopIfTrue="1">
      <formula>OR($A10="시부",$A10="군부")</formula>
    </cfRule>
    <cfRule type="expression" dxfId="397" priority="76" stopIfTrue="1">
      <formula>OR(RIGHT($A10,3)="특별시",RIGHT($A10,3)="광역시",RIGHT($A10,1)="도",$A10="전국")</formula>
    </cfRule>
  </conditionalFormatting>
  <conditionalFormatting sqref="AD7:AG9">
    <cfRule type="expression" dxfId="396" priority="73" stopIfTrue="1">
      <formula>OR($A7="시부",$A7="군부")</formula>
    </cfRule>
    <cfRule type="expression" dxfId="395" priority="74" stopIfTrue="1">
      <formula>OR(RIGHT($A7,3)="특별시",RIGHT($A7,3)="광역시",RIGHT($A7,1)="도",$A7="전국")</formula>
    </cfRule>
  </conditionalFormatting>
  <conditionalFormatting sqref="AD7:AG9">
    <cfRule type="expression" dxfId="394" priority="71" stopIfTrue="1">
      <formula>OR($A7="시부",$A7="군부")</formula>
    </cfRule>
    <cfRule type="expression" dxfId="393" priority="72" stopIfTrue="1">
      <formula>OR(RIGHT($A7,3)="특별시",RIGHT($A7,3)="광역시",RIGHT($A7,1)="도",$A7="전국")</formula>
    </cfRule>
  </conditionalFormatting>
  <conditionalFormatting sqref="AD8:AG9">
    <cfRule type="expression" dxfId="392" priority="69" stopIfTrue="1">
      <formula>OR($A8="시부",$A8="군부")</formula>
    </cfRule>
    <cfRule type="expression" dxfId="391" priority="70" stopIfTrue="1">
      <formula>OR(RIGHT($A8,3)="특별시",RIGHT($A8,3)="광역시",RIGHT($A8,1)="도",$A8="전국")</formula>
    </cfRule>
  </conditionalFormatting>
  <conditionalFormatting sqref="AD9:AG9">
    <cfRule type="expression" dxfId="390" priority="67" stopIfTrue="1">
      <formula>OR($A9="시부",$A9="군부")</formula>
    </cfRule>
    <cfRule type="expression" dxfId="389" priority="68" stopIfTrue="1">
      <formula>OR(RIGHT($A9,3)="특별시",RIGHT($A9,3)="광역시",RIGHT($A9,1)="도",$A9="전국")</formula>
    </cfRule>
  </conditionalFormatting>
  <conditionalFormatting sqref="AD30:AG32">
    <cfRule type="expression" dxfId="388" priority="65" stopIfTrue="1">
      <formula>OR($A30="시부",$A30="군부")</formula>
    </cfRule>
    <cfRule type="expression" dxfId="387" priority="66" stopIfTrue="1">
      <formula>OR(RIGHT($A30,3)="특별시",RIGHT($A30,3)="광역시",RIGHT($A30,1)="도",$A30="전국")</formula>
    </cfRule>
  </conditionalFormatting>
  <conditionalFormatting sqref="AD30:AG32">
    <cfRule type="expression" dxfId="386" priority="63" stopIfTrue="1">
      <formula>OR($A30="시부",$A30="군부")</formula>
    </cfRule>
    <cfRule type="expression" dxfId="385" priority="64" stopIfTrue="1">
      <formula>OR(RIGHT($A30,3)="특별시",RIGHT($A30,3)="광역시",RIGHT($A30,1)="도",$A30="전국")</formula>
    </cfRule>
  </conditionalFormatting>
  <conditionalFormatting sqref="AH10:AK10">
    <cfRule type="expression" dxfId="384" priority="61" stopIfTrue="1">
      <formula>OR($A10="시부",$A10="군부")</formula>
    </cfRule>
    <cfRule type="expression" dxfId="383" priority="62" stopIfTrue="1">
      <formula>OR(RIGHT($A10,3)="특별시",RIGHT($A10,3)="광역시",RIGHT($A10,1)="도",$A10="전국")</formula>
    </cfRule>
  </conditionalFormatting>
  <conditionalFormatting sqref="AH10:AK29">
    <cfRule type="expression" dxfId="382" priority="59" stopIfTrue="1">
      <formula>OR($A10="시부",$A10="군부")</formula>
    </cfRule>
    <cfRule type="expression" dxfId="381" priority="60" stopIfTrue="1">
      <formula>OR(RIGHT($A10,3)="특별시",RIGHT($A10,3)="광역시",RIGHT($A10,1)="도",$A10="전국")</formula>
    </cfRule>
  </conditionalFormatting>
  <conditionalFormatting sqref="AH7:AK9">
    <cfRule type="expression" dxfId="380" priority="57" stopIfTrue="1">
      <formula>OR($A7="시부",$A7="군부")</formula>
    </cfRule>
    <cfRule type="expression" dxfId="379" priority="58" stopIfTrue="1">
      <formula>OR(RIGHT($A7,3)="특별시",RIGHT($A7,3)="광역시",RIGHT($A7,1)="도",$A7="전국")</formula>
    </cfRule>
  </conditionalFormatting>
  <conditionalFormatting sqref="AH7:AK9">
    <cfRule type="expression" dxfId="378" priority="55" stopIfTrue="1">
      <formula>OR($A7="시부",$A7="군부")</formula>
    </cfRule>
    <cfRule type="expression" dxfId="377" priority="56" stopIfTrue="1">
      <formula>OR(RIGHT($A7,3)="특별시",RIGHT($A7,3)="광역시",RIGHT($A7,1)="도",$A7="전국")</formula>
    </cfRule>
  </conditionalFormatting>
  <conditionalFormatting sqref="AH8:AJ9">
    <cfRule type="expression" dxfId="376" priority="53" stopIfTrue="1">
      <formula>OR($A8="시부",$A8="군부")</formula>
    </cfRule>
    <cfRule type="expression" dxfId="375" priority="54" stopIfTrue="1">
      <formula>OR(RIGHT($A8,3)="특별시",RIGHT($A8,3)="광역시",RIGHT($A8,1)="도",$A8="전국")</formula>
    </cfRule>
  </conditionalFormatting>
  <conditionalFormatting sqref="AH9:AJ9">
    <cfRule type="expression" dxfId="374" priority="51" stopIfTrue="1">
      <formula>OR($A9="시부",$A9="군부")</formula>
    </cfRule>
    <cfRule type="expression" dxfId="373" priority="52" stopIfTrue="1">
      <formula>OR(RIGHT($A9,3)="특별시",RIGHT($A9,3)="광역시",RIGHT($A9,1)="도",$A9="전국")</formula>
    </cfRule>
  </conditionalFormatting>
  <conditionalFormatting sqref="AH30:AK32">
    <cfRule type="expression" dxfId="372" priority="49" stopIfTrue="1">
      <formula>OR($A30="시부",$A30="군부")</formula>
    </cfRule>
    <cfRule type="expression" dxfId="371" priority="50" stopIfTrue="1">
      <formula>OR(RIGHT($A30,3)="특별시",RIGHT($A30,3)="광역시",RIGHT($A30,1)="도",$A30="전국")</formula>
    </cfRule>
  </conditionalFormatting>
  <conditionalFormatting sqref="AH30:AJ32">
    <cfRule type="expression" dxfId="370" priority="47" stopIfTrue="1">
      <formula>OR($A30="시부",$A30="군부")</formula>
    </cfRule>
    <cfRule type="expression" dxfId="369" priority="48" stopIfTrue="1">
      <formula>OR(RIGHT($A30,3)="특별시",RIGHT($A30,3)="광역시",RIGHT($A30,1)="도",$A30="전국")</formula>
    </cfRule>
  </conditionalFormatting>
  <conditionalFormatting sqref="AL10:AP10">
    <cfRule type="expression" dxfId="368" priority="45" stopIfTrue="1">
      <formula>OR($A10="시부",$A10="군부")</formula>
    </cfRule>
    <cfRule type="expression" dxfId="367" priority="46" stopIfTrue="1">
      <formula>OR(RIGHT($A10,3)="특별시",RIGHT($A10,3)="광역시",RIGHT($A10,1)="도",$A10="전국")</formula>
    </cfRule>
  </conditionalFormatting>
  <conditionalFormatting sqref="AL10:AP29">
    <cfRule type="expression" dxfId="366" priority="43" stopIfTrue="1">
      <formula>OR($A10="시부",$A10="군부")</formula>
    </cfRule>
    <cfRule type="expression" dxfId="365" priority="44" stopIfTrue="1">
      <formula>OR(RIGHT($A10,3)="특별시",RIGHT($A10,3)="광역시",RIGHT($A10,1)="도",$A10="전국")</formula>
    </cfRule>
  </conditionalFormatting>
  <conditionalFormatting sqref="AL7:AP9">
    <cfRule type="expression" dxfId="364" priority="41" stopIfTrue="1">
      <formula>OR($A7="시부",$A7="군부")</formula>
    </cfRule>
    <cfRule type="expression" dxfId="363" priority="42" stopIfTrue="1">
      <formula>OR(RIGHT($A7,3)="특별시",RIGHT($A7,3)="광역시",RIGHT($A7,1)="도",$A7="전국")</formula>
    </cfRule>
  </conditionalFormatting>
  <conditionalFormatting sqref="AL7:AP9">
    <cfRule type="expression" dxfId="362" priority="39" stopIfTrue="1">
      <formula>OR($A7="시부",$A7="군부")</formula>
    </cfRule>
    <cfRule type="expression" dxfId="361" priority="40" stopIfTrue="1">
      <formula>OR(RIGHT($A7,3)="특별시",RIGHT($A7,3)="광역시",RIGHT($A7,1)="도",$A7="전국")</formula>
    </cfRule>
  </conditionalFormatting>
  <conditionalFormatting sqref="AP8:AP9">
    <cfRule type="expression" dxfId="360" priority="37" stopIfTrue="1">
      <formula>OR($A8="시부",$A8="군부")</formula>
    </cfRule>
    <cfRule type="expression" dxfId="359" priority="38" stopIfTrue="1">
      <formula>OR(RIGHT($A8,3)="특별시",RIGHT($A8,3)="광역시",RIGHT($A8,1)="도",$A8="전국")</formula>
    </cfRule>
  </conditionalFormatting>
  <conditionalFormatting sqref="AM8:AM9 AM31 AQ8:AS9 AQ31">
    <cfRule type="expression" dxfId="358" priority="35" stopIfTrue="1">
      <formula>OR(#REF!="시부",#REF!="군부")</formula>
    </cfRule>
    <cfRule type="expression" dxfId="357" priority="36" stopIfTrue="1">
      <formula>OR(RIGHT(#REF!,3)="특별시",RIGHT(#REF!,3)="광역시",RIGHT(#REF!,1)="도",#REF!="전국")</formula>
    </cfRule>
  </conditionalFormatting>
  <conditionalFormatting sqref="AP9">
    <cfRule type="expression" dxfId="356" priority="33" stopIfTrue="1">
      <formula>OR($A9="시부",$A9="군부")</formula>
    </cfRule>
    <cfRule type="expression" dxfId="355" priority="34" stopIfTrue="1">
      <formula>OR(RIGHT($A9,3)="특별시",RIGHT($A9,3)="광역시",RIGHT($A9,1)="도",$A9="전국")</formula>
    </cfRule>
  </conditionalFormatting>
  <conditionalFormatting sqref="AL30:AP32">
    <cfRule type="expression" dxfId="354" priority="29" stopIfTrue="1">
      <formula>OR($A30="시부",$A30="군부")</formula>
    </cfRule>
    <cfRule type="expression" dxfId="353" priority="30" stopIfTrue="1">
      <formula>OR(RIGHT($A30,3)="특별시",RIGHT($A30,3)="광역시",RIGHT($A30,1)="도",$A30="전국")</formula>
    </cfRule>
  </conditionalFormatting>
  <conditionalFormatting sqref="AM32 AM30 AP30:AP32">
    <cfRule type="expression" dxfId="352" priority="27" stopIfTrue="1">
      <formula>OR($A30="시부",$A30="군부")</formula>
    </cfRule>
    <cfRule type="expression" dxfId="351" priority="28" stopIfTrue="1">
      <formula>OR(RIGHT($A30,3)="특별시",RIGHT($A30,3)="광역시",RIGHT($A30,1)="도",$A30="전국")</formula>
    </cfRule>
  </conditionalFormatting>
  <conditionalFormatting sqref="AL30:AL32">
    <cfRule type="expression" dxfId="350" priority="23" stopIfTrue="1">
      <formula>OR($A30="시부",$A30="군부")</formula>
    </cfRule>
    <cfRule type="expression" dxfId="349" priority="24" stopIfTrue="1">
      <formula>OR(RIGHT($A30,3)="특별시",RIGHT($A30,3)="광역시",RIGHT($A30,1)="도",$A30="전국")</formula>
    </cfRule>
  </conditionalFormatting>
  <conditionalFormatting sqref="AL30:AL32">
    <cfRule type="expression" dxfId="348" priority="21" stopIfTrue="1">
      <formula>OR($A30="시부",$A30="군부")</formula>
    </cfRule>
    <cfRule type="expression" dxfId="347" priority="22" stopIfTrue="1">
      <formula>OR(RIGHT($A30,3)="특별시",RIGHT($A30,3)="광역시",RIGHT($A30,1)="도",$A30="전국")</formula>
    </cfRule>
  </conditionalFormatting>
  <conditionalFormatting sqref="AQ10:AT10">
    <cfRule type="expression" dxfId="346" priority="19" stopIfTrue="1">
      <formula>OR($A10="시부",$A10="군부")</formula>
    </cfRule>
    <cfRule type="expression" dxfId="345" priority="20" stopIfTrue="1">
      <formula>OR(RIGHT($A10,3)="특별시",RIGHT($A10,3)="광역시",RIGHT($A10,1)="도",$A10="전국")</formula>
    </cfRule>
  </conditionalFormatting>
  <conditionalFormatting sqref="AQ10:AT29">
    <cfRule type="expression" dxfId="344" priority="17" stopIfTrue="1">
      <formula>OR($A10="시부",$A10="군부")</formula>
    </cfRule>
    <cfRule type="expression" dxfId="343" priority="18" stopIfTrue="1">
      <formula>OR(RIGHT($A10,3)="특별시",RIGHT($A10,3)="광역시",RIGHT($A10,1)="도",$A10="전국")</formula>
    </cfRule>
  </conditionalFormatting>
  <conditionalFormatting sqref="AQ7:AT9">
    <cfRule type="expression" dxfId="342" priority="15" stopIfTrue="1">
      <formula>OR($A7="시부",$A7="군부")</formula>
    </cfRule>
    <cfRule type="expression" dxfId="341" priority="16" stopIfTrue="1">
      <formula>OR(RIGHT($A7,3)="특별시",RIGHT($A7,3)="광역시",RIGHT($A7,1)="도",$A7="전국")</formula>
    </cfRule>
  </conditionalFormatting>
  <conditionalFormatting sqref="AQ7:AT9">
    <cfRule type="expression" dxfId="340" priority="13" stopIfTrue="1">
      <formula>OR($A7="시부",$A7="군부")</formula>
    </cfRule>
    <cfRule type="expression" dxfId="339" priority="14" stopIfTrue="1">
      <formula>OR(RIGHT($A7,3)="특별시",RIGHT($A7,3)="광역시",RIGHT($A7,1)="도",$A7="전국")</formula>
    </cfRule>
  </conditionalFormatting>
  <conditionalFormatting sqref="AR9:AS9">
    <cfRule type="expression" dxfId="338" priority="9" stopIfTrue="1">
      <formula>OR($A9="시부",$A9="군부")</formula>
    </cfRule>
    <cfRule type="expression" dxfId="337" priority="10" stopIfTrue="1">
      <formula>OR(RIGHT($A9,3)="특별시",RIGHT($A9,3)="광역시",RIGHT($A9,1)="도",$A9="전국")</formula>
    </cfRule>
  </conditionalFormatting>
  <conditionalFormatting sqref="AQ30:AT32">
    <cfRule type="expression" dxfId="336" priority="5" stopIfTrue="1">
      <formula>OR($A30="시부",$A30="군부")</formula>
    </cfRule>
    <cfRule type="expression" dxfId="335" priority="6" stopIfTrue="1">
      <formula>OR(RIGHT($A30,3)="특별시",RIGHT($A30,3)="광역시",RIGHT($A30,1)="도",$A30="전국")</formula>
    </cfRule>
  </conditionalFormatting>
  <conditionalFormatting sqref="AR31:AS31 AQ30:AS30 AQ32:AS32">
    <cfRule type="expression" dxfId="334" priority="3" stopIfTrue="1">
      <formula>OR($A30="시부",$A30="군부")</formula>
    </cfRule>
    <cfRule type="expression" dxfId="333" priority="4" stopIfTrue="1">
      <formula>OR(RIGHT($A30,3)="특별시",RIGHT($A30,3)="광역시",RIGHT($A30,1)="도",$A30="전국")</formula>
    </cfRule>
  </conditionalFormatting>
  <dataValidations count="3">
    <dataValidation type="list" allowBlank="1" showInputMessage="1" showErrorMessage="1" sqref="AT7:AT32">
      <formula1>"I지역, II지역, III지역, IV지역"</formula1>
    </dataValidation>
    <dataValidation type="list" allowBlank="1" showInputMessage="1" showErrorMessage="1" sqref="AS7:AS32">
      <formula1>"한강,낙동강,금강,영산강,섬진강,연안,기타"</formula1>
    </dataValidation>
    <dataValidation type="list" allowBlank="1" showInputMessage="1" showErrorMessage="1" sqref="AK7:AK32">
      <formula1>"자체(직영), 공기업, 민간위탁, 기타(일부위탁)"</formula1>
    </dataValidation>
  </dataValidations>
  <pageMargins left="0.35" right="0.2" top="1" bottom="1" header="0.5" footer="0.5"/>
  <pageSetup paperSize="9" scale="34" fitToWidth="2" fitToHeight="0" orientation="landscape" horizontalDpi="300" verticalDpi="300" r:id="rId1"/>
  <headerFooter alignWithMargins="0"/>
  <rowBreaks count="1" manualBreakCount="1">
    <brk id="4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B2081"/>
  <sheetViews>
    <sheetView workbookViewId="0">
      <selection sqref="A1:E1"/>
    </sheetView>
  </sheetViews>
  <sheetFormatPr defaultColWidth="3" defaultRowHeight="12"/>
  <cols>
    <col min="1" max="1" width="8.6640625" style="2" customWidth="1"/>
    <col min="2" max="2" width="13" style="2" customWidth="1"/>
    <col min="3" max="3" width="8.88671875" style="2" customWidth="1"/>
    <col min="4" max="4" width="19.5546875" style="2" customWidth="1"/>
    <col min="5" max="5" width="16.5546875" style="2" bestFit="1" customWidth="1"/>
    <col min="6" max="6" width="8.6640625" style="2" customWidth="1"/>
    <col min="7" max="7" width="16.33203125" style="2" customWidth="1"/>
    <col min="8" max="8" width="16.21875" style="2" customWidth="1"/>
    <col min="9" max="9" width="14.33203125" style="2" customWidth="1"/>
    <col min="10" max="10" width="9.77734375" style="2" customWidth="1"/>
    <col min="11" max="11" width="16.109375" style="2" customWidth="1"/>
    <col min="12" max="12" width="14.6640625" style="2" customWidth="1"/>
    <col min="13" max="13" width="5.21875" style="695" customWidth="1"/>
    <col min="14" max="14" width="17.33203125" style="2" customWidth="1"/>
    <col min="15" max="15" width="27.6640625" style="2" customWidth="1"/>
    <col min="16" max="16" width="17.44140625" style="2" customWidth="1"/>
    <col min="17" max="17" width="11.21875" style="695" customWidth="1"/>
    <col min="18" max="18" width="11.77734375" style="695" customWidth="1"/>
    <col min="19" max="19" width="10.44140625" style="695" customWidth="1"/>
    <col min="20" max="20" width="11.33203125" style="695" customWidth="1"/>
    <col min="21" max="21" width="9.77734375" style="2" customWidth="1"/>
    <col min="22" max="22" width="9.21875" style="2" customWidth="1"/>
    <col min="23" max="23" width="9.88671875" style="2" customWidth="1"/>
    <col min="24" max="24" width="6.77734375" style="2" customWidth="1"/>
    <col min="25" max="25" width="13.44140625" style="2" customWidth="1"/>
    <col min="26" max="28" width="7.5546875" style="2" customWidth="1"/>
    <col min="29" max="16384" width="3" style="2"/>
  </cols>
  <sheetData>
    <row r="1" spans="1:28" s="44" customFormat="1" ht="19.5" customHeight="1">
      <c r="A1" s="1814" t="s">
        <v>1504</v>
      </c>
      <c r="B1" s="1814"/>
      <c r="C1" s="1814"/>
      <c r="D1" s="1814"/>
      <c r="E1" s="1814"/>
      <c r="M1" s="694"/>
      <c r="Q1" s="694"/>
      <c r="R1" s="694"/>
      <c r="S1" s="694"/>
      <c r="T1" s="694"/>
    </row>
    <row r="2" spans="1:28" ht="17.25" customHeight="1">
      <c r="A2" s="1815" t="s">
        <v>1576</v>
      </c>
      <c r="B2" s="1815"/>
      <c r="C2" s="1815"/>
      <c r="D2" s="1815"/>
      <c r="E2" s="1815"/>
    </row>
    <row r="3" spans="1:28" ht="21" customHeight="1" thickBot="1">
      <c r="V3" s="619"/>
      <c r="W3" s="619"/>
      <c r="X3" s="619"/>
      <c r="Y3" s="619"/>
    </row>
    <row r="4" spans="1:28">
      <c r="A4" s="1786" t="s">
        <v>582</v>
      </c>
      <c r="B4" s="1788" t="s">
        <v>583</v>
      </c>
      <c r="C4" s="1816" t="s">
        <v>1462</v>
      </c>
      <c r="D4" s="1795" t="s">
        <v>1463</v>
      </c>
      <c r="E4" s="1790" t="s">
        <v>584</v>
      </c>
      <c r="F4" s="450" t="s">
        <v>585</v>
      </c>
      <c r="G4" s="450"/>
      <c r="H4" s="451"/>
      <c r="I4" s="1790" t="s">
        <v>586</v>
      </c>
      <c r="J4" s="1799" t="s">
        <v>585</v>
      </c>
      <c r="K4" s="1799"/>
      <c r="L4" s="451"/>
      <c r="M4" s="1810" t="s">
        <v>587</v>
      </c>
      <c r="N4" s="1797" t="s">
        <v>588</v>
      </c>
      <c r="O4" s="1782" t="s">
        <v>589</v>
      </c>
      <c r="P4" s="1812" t="s">
        <v>590</v>
      </c>
      <c r="Q4" s="1778" t="s">
        <v>591</v>
      </c>
      <c r="R4" s="1778"/>
      <c r="S4" s="1778"/>
      <c r="T4" s="1778"/>
      <c r="U4" s="1777" t="s">
        <v>592</v>
      </c>
      <c r="V4" s="1777" t="s">
        <v>1465</v>
      </c>
      <c r="W4" s="1777" t="s">
        <v>1466</v>
      </c>
      <c r="X4" s="1777" t="s">
        <v>1467</v>
      </c>
      <c r="Y4" s="1777" t="s">
        <v>593</v>
      </c>
      <c r="Z4" s="1777" t="s">
        <v>1468</v>
      </c>
      <c r="AA4" s="1777"/>
      <c r="AB4" s="1809"/>
    </row>
    <row r="5" spans="1:28" ht="21.75" thickBot="1">
      <c r="A5" s="1787"/>
      <c r="B5" s="1789"/>
      <c r="C5" s="1817"/>
      <c r="D5" s="1796"/>
      <c r="E5" s="1791"/>
      <c r="F5" s="454" t="s">
        <v>594</v>
      </c>
      <c r="G5" s="454" t="s">
        <v>595</v>
      </c>
      <c r="H5" s="454" t="s">
        <v>596</v>
      </c>
      <c r="I5" s="1791"/>
      <c r="J5" s="454" t="s">
        <v>597</v>
      </c>
      <c r="K5" s="454" t="s">
        <v>598</v>
      </c>
      <c r="L5" s="454" t="s">
        <v>599</v>
      </c>
      <c r="M5" s="1811"/>
      <c r="N5" s="1798"/>
      <c r="O5" s="1792"/>
      <c r="P5" s="1813"/>
      <c r="Q5" s="835" t="s">
        <v>1981</v>
      </c>
      <c r="R5" s="835" t="s">
        <v>600</v>
      </c>
      <c r="S5" s="835" t="s">
        <v>601</v>
      </c>
      <c r="T5" s="835" t="s">
        <v>1404</v>
      </c>
      <c r="U5" s="1779"/>
      <c r="V5" s="1779"/>
      <c r="W5" s="1779"/>
      <c r="X5" s="1779"/>
      <c r="Y5" s="1779"/>
      <c r="Z5" s="455" t="s">
        <v>1469</v>
      </c>
      <c r="AA5" s="455" t="s">
        <v>1481</v>
      </c>
      <c r="AB5" s="581" t="s">
        <v>1454</v>
      </c>
    </row>
    <row r="6" spans="1:28" ht="24" customHeight="1">
      <c r="A6" s="610">
        <v>2006</v>
      </c>
      <c r="B6" s="449" t="s">
        <v>7394</v>
      </c>
      <c r="C6" s="449"/>
      <c r="D6" s="696"/>
      <c r="E6" s="671" t="s">
        <v>7374</v>
      </c>
      <c r="F6" s="671" t="s">
        <v>7375</v>
      </c>
      <c r="G6" s="671" t="s">
        <v>7376</v>
      </c>
      <c r="H6" s="671" t="s">
        <v>7377</v>
      </c>
      <c r="I6" s="671" t="s">
        <v>7378</v>
      </c>
      <c r="J6" s="671" t="s">
        <v>7379</v>
      </c>
      <c r="K6" s="671" t="s">
        <v>7380</v>
      </c>
      <c r="L6" s="631" t="s">
        <v>7381</v>
      </c>
      <c r="M6" s="670"/>
      <c r="N6" s="671"/>
      <c r="O6" s="697"/>
      <c r="P6" s="618"/>
      <c r="Q6" s="670" t="s">
        <v>7382</v>
      </c>
      <c r="R6" s="670" t="s">
        <v>7383</v>
      </c>
      <c r="S6" s="670" t="s">
        <v>7384</v>
      </c>
      <c r="T6" s="670" t="s">
        <v>7385</v>
      </c>
      <c r="U6" s="618"/>
      <c r="V6" s="618"/>
      <c r="W6" s="671">
        <f>SUM(W7,W12,W37,W51,W61,W67,W70,W82,W257,W482,W634,W787,W1109,W1619,W1809,W2036)</f>
        <v>20299099.380999997</v>
      </c>
      <c r="X6" s="618"/>
      <c r="Y6" s="618"/>
      <c r="Z6" s="618"/>
      <c r="AA6" s="618"/>
      <c r="AB6" s="456"/>
    </row>
    <row r="7" spans="1:28" ht="24" customHeight="1">
      <c r="A7" s="582" t="s">
        <v>1586</v>
      </c>
      <c r="B7" s="458" t="s">
        <v>1529</v>
      </c>
      <c r="C7" s="579"/>
      <c r="D7" s="579"/>
      <c r="E7" s="498" t="s">
        <v>6070</v>
      </c>
      <c r="F7" s="498">
        <v>0</v>
      </c>
      <c r="G7" s="498" t="s">
        <v>6070</v>
      </c>
      <c r="H7" s="498">
        <v>0</v>
      </c>
      <c r="I7" s="498" t="s">
        <v>6071</v>
      </c>
      <c r="J7" s="498">
        <v>0</v>
      </c>
      <c r="K7" s="498" t="s">
        <v>6071</v>
      </c>
      <c r="L7" s="668">
        <v>0</v>
      </c>
      <c r="M7" s="672"/>
      <c r="N7" s="498" t="s">
        <v>6072</v>
      </c>
      <c r="O7" s="669"/>
      <c r="P7" s="463"/>
      <c r="Q7" s="672">
        <f>SUM(Q8:Q11)</f>
        <v>6615.27</v>
      </c>
      <c r="R7" s="672">
        <v>0</v>
      </c>
      <c r="S7" s="672" t="s">
        <v>6073</v>
      </c>
      <c r="T7" s="672" t="s">
        <v>6074</v>
      </c>
      <c r="U7" s="463"/>
      <c r="V7" s="463"/>
      <c r="W7" s="498">
        <f>SUM(W8:W11)</f>
        <v>1179071</v>
      </c>
      <c r="X7" s="463"/>
      <c r="Y7" s="463"/>
      <c r="Z7" s="463"/>
      <c r="AA7" s="463"/>
      <c r="AB7" s="459"/>
    </row>
    <row r="8" spans="1:28" ht="24" customHeight="1">
      <c r="A8" s="582"/>
      <c r="B8" s="460" t="s">
        <v>2201</v>
      </c>
      <c r="C8" s="458" t="s">
        <v>1986</v>
      </c>
      <c r="D8" s="524" t="s">
        <v>1530</v>
      </c>
      <c r="E8" s="653">
        <f>SUM(F8:H8)</f>
        <v>1710000</v>
      </c>
      <c r="F8" s="653">
        <v>0</v>
      </c>
      <c r="G8" s="653">
        <v>1710000</v>
      </c>
      <c r="H8" s="653">
        <v>0</v>
      </c>
      <c r="I8" s="653">
        <f>SUM(J8:L8)</f>
        <v>1438917</v>
      </c>
      <c r="J8" s="653">
        <v>0</v>
      </c>
      <c r="K8" s="653">
        <v>1438917</v>
      </c>
      <c r="L8" s="698">
        <v>0</v>
      </c>
      <c r="M8" s="673">
        <v>86.1</v>
      </c>
      <c r="N8" s="653">
        <v>145943</v>
      </c>
      <c r="O8" s="699" t="s">
        <v>602</v>
      </c>
      <c r="P8" s="463" t="s">
        <v>1588</v>
      </c>
      <c r="Q8" s="673">
        <v>45</v>
      </c>
      <c r="R8" s="673">
        <v>0</v>
      </c>
      <c r="S8" s="673">
        <v>0</v>
      </c>
      <c r="T8" s="673">
        <v>3240</v>
      </c>
      <c r="U8" s="462" t="s">
        <v>1531</v>
      </c>
      <c r="V8" s="461" t="s">
        <v>603</v>
      </c>
      <c r="W8" s="653">
        <v>259462</v>
      </c>
      <c r="X8" s="462" t="s">
        <v>604</v>
      </c>
      <c r="Y8" s="462" t="s">
        <v>605</v>
      </c>
      <c r="Z8" s="462" t="s">
        <v>563</v>
      </c>
      <c r="AA8" s="462" t="s">
        <v>1534</v>
      </c>
      <c r="AB8" s="467" t="s">
        <v>1534</v>
      </c>
    </row>
    <row r="9" spans="1:28" ht="24" customHeight="1">
      <c r="A9" s="584"/>
      <c r="B9" s="460" t="s">
        <v>2201</v>
      </c>
      <c r="C9" s="458" t="s">
        <v>1811</v>
      </c>
      <c r="D9" s="524" t="s">
        <v>606</v>
      </c>
      <c r="E9" s="653">
        <f>SUM(F9:H9)</f>
        <v>1100000</v>
      </c>
      <c r="F9" s="653">
        <v>0</v>
      </c>
      <c r="G9" s="653">
        <v>1100000</v>
      </c>
      <c r="H9" s="700">
        <v>0</v>
      </c>
      <c r="I9" s="653">
        <f>SUM(J9:L9)</f>
        <v>869582</v>
      </c>
      <c r="J9" s="653">
        <v>0</v>
      </c>
      <c r="K9" s="653">
        <v>869582</v>
      </c>
      <c r="L9" s="698">
        <v>0</v>
      </c>
      <c r="M9" s="673">
        <v>92.6</v>
      </c>
      <c r="N9" s="653">
        <f>(148.2*854163*M9/100)/1000</f>
        <v>117219.52181159999</v>
      </c>
      <c r="O9" s="699" t="s">
        <v>602</v>
      </c>
      <c r="P9" s="463" t="s">
        <v>1588</v>
      </c>
      <c r="Q9" s="673">
        <v>79.5</v>
      </c>
      <c r="R9" s="673">
        <v>0</v>
      </c>
      <c r="S9" s="673">
        <v>0</v>
      </c>
      <c r="T9" s="673">
        <v>92.1</v>
      </c>
      <c r="U9" s="462" t="s">
        <v>607</v>
      </c>
      <c r="V9" s="461" t="s">
        <v>608</v>
      </c>
      <c r="W9" s="653">
        <v>296500</v>
      </c>
      <c r="X9" s="462" t="s">
        <v>2276</v>
      </c>
      <c r="Y9" s="462" t="s">
        <v>605</v>
      </c>
      <c r="Z9" s="462" t="s">
        <v>1811</v>
      </c>
      <c r="AA9" s="462" t="s">
        <v>1534</v>
      </c>
      <c r="AB9" s="467" t="s">
        <v>1534</v>
      </c>
    </row>
    <row r="10" spans="1:28" ht="24" customHeight="1">
      <c r="A10" s="584"/>
      <c r="B10" s="460" t="s">
        <v>2201</v>
      </c>
      <c r="C10" s="458" t="s">
        <v>2381</v>
      </c>
      <c r="D10" s="524" t="s">
        <v>2194</v>
      </c>
      <c r="E10" s="653">
        <f>SUM(F10:H10)</f>
        <v>2000000</v>
      </c>
      <c r="F10" s="653">
        <v>0</v>
      </c>
      <c r="G10" s="653">
        <v>2000000</v>
      </c>
      <c r="H10" s="700">
        <v>0</v>
      </c>
      <c r="I10" s="653">
        <f>SUM(J10:L10)</f>
        <v>1700807</v>
      </c>
      <c r="J10" s="653">
        <v>0</v>
      </c>
      <c r="K10" s="653">
        <v>1700807</v>
      </c>
      <c r="L10" s="698">
        <v>0</v>
      </c>
      <c r="M10" s="673">
        <v>90</v>
      </c>
      <c r="N10" s="653">
        <v>18216</v>
      </c>
      <c r="O10" s="699" t="s">
        <v>602</v>
      </c>
      <c r="P10" s="463" t="s">
        <v>1588</v>
      </c>
      <c r="Q10" s="673">
        <v>2631.77</v>
      </c>
      <c r="R10" s="673">
        <v>0</v>
      </c>
      <c r="S10" s="673">
        <v>15.49</v>
      </c>
      <c r="T10" s="673">
        <v>0</v>
      </c>
      <c r="U10" s="462" t="s">
        <v>7428</v>
      </c>
      <c r="V10" s="461" t="s">
        <v>609</v>
      </c>
      <c r="W10" s="653">
        <v>439659</v>
      </c>
      <c r="X10" s="462" t="s">
        <v>2276</v>
      </c>
      <c r="Y10" s="462" t="s">
        <v>605</v>
      </c>
      <c r="Z10" s="462">
        <v>0</v>
      </c>
      <c r="AA10" s="462" t="s">
        <v>1534</v>
      </c>
      <c r="AB10" s="467" t="s">
        <v>1534</v>
      </c>
    </row>
    <row r="11" spans="1:28" ht="24" customHeight="1">
      <c r="A11" s="583"/>
      <c r="B11" s="460" t="s">
        <v>2201</v>
      </c>
      <c r="C11" s="458" t="s">
        <v>2380</v>
      </c>
      <c r="D11" s="524" t="s">
        <v>610</v>
      </c>
      <c r="E11" s="653">
        <f>SUM(F11:H11)</f>
        <v>1000000</v>
      </c>
      <c r="F11" s="653">
        <v>0</v>
      </c>
      <c r="G11" s="653">
        <v>1000000</v>
      </c>
      <c r="H11" s="700">
        <v>0</v>
      </c>
      <c r="I11" s="653">
        <f>SUM(J11:L11)</f>
        <v>854163</v>
      </c>
      <c r="J11" s="653">
        <v>0</v>
      </c>
      <c r="K11" s="653">
        <v>854163</v>
      </c>
      <c r="L11" s="698">
        <v>0</v>
      </c>
      <c r="M11" s="673">
        <v>91.5</v>
      </c>
      <c r="N11" s="653">
        <f>(124.1*854163*M11/100)/1000</f>
        <v>96991.489894499988</v>
      </c>
      <c r="O11" s="699" t="s">
        <v>602</v>
      </c>
      <c r="P11" s="463" t="s">
        <v>1588</v>
      </c>
      <c r="Q11" s="673">
        <v>3859</v>
      </c>
      <c r="R11" s="673">
        <v>0</v>
      </c>
      <c r="S11" s="673">
        <v>114</v>
      </c>
      <c r="T11" s="673">
        <v>2023</v>
      </c>
      <c r="U11" s="462" t="s">
        <v>611</v>
      </c>
      <c r="V11" s="461" t="s">
        <v>612</v>
      </c>
      <c r="W11" s="653">
        <v>183450</v>
      </c>
      <c r="X11" s="462" t="s">
        <v>604</v>
      </c>
      <c r="Y11" s="462" t="s">
        <v>605</v>
      </c>
      <c r="Z11" s="462">
        <v>0</v>
      </c>
      <c r="AA11" s="462" t="s">
        <v>1534</v>
      </c>
      <c r="AB11" s="467" t="s">
        <v>1534</v>
      </c>
    </row>
    <row r="12" spans="1:28" ht="24" customHeight="1">
      <c r="A12" s="584" t="s">
        <v>1785</v>
      </c>
      <c r="B12" s="458" t="s">
        <v>5929</v>
      </c>
      <c r="C12" s="579"/>
      <c r="D12" s="579"/>
      <c r="E12" s="498" t="s">
        <v>7364</v>
      </c>
      <c r="F12" s="498" t="s">
        <v>6075</v>
      </c>
      <c r="G12" s="498" t="s">
        <v>6076</v>
      </c>
      <c r="H12" s="498" t="s">
        <v>7365</v>
      </c>
      <c r="I12" s="498" t="s">
        <v>6077</v>
      </c>
      <c r="J12" s="498" t="s">
        <v>6078</v>
      </c>
      <c r="K12" s="498" t="s">
        <v>6079</v>
      </c>
      <c r="L12" s="668" t="s">
        <v>6080</v>
      </c>
      <c r="M12" s="672">
        <v>0</v>
      </c>
      <c r="N12" s="498" t="s">
        <v>6081</v>
      </c>
      <c r="O12" s="669" t="s">
        <v>1588</v>
      </c>
      <c r="P12" s="463" t="s">
        <v>1588</v>
      </c>
      <c r="Q12" s="672" t="s">
        <v>6082</v>
      </c>
      <c r="R12" s="672">
        <v>0</v>
      </c>
      <c r="S12" s="672" t="s">
        <v>6083</v>
      </c>
      <c r="T12" s="672">
        <v>0</v>
      </c>
      <c r="U12" s="463"/>
      <c r="V12" s="463"/>
      <c r="W12" s="498">
        <f>SUM(W13:W36)</f>
        <v>1951969</v>
      </c>
      <c r="X12" s="463"/>
      <c r="Y12" s="463"/>
      <c r="Z12" s="463"/>
      <c r="AA12" s="463"/>
      <c r="AB12" s="459"/>
    </row>
    <row r="13" spans="1:28" ht="24" customHeight="1">
      <c r="A13" s="582"/>
      <c r="B13" s="612" t="s">
        <v>2201</v>
      </c>
      <c r="C13" s="458" t="s">
        <v>613</v>
      </c>
      <c r="D13" s="510" t="s">
        <v>614</v>
      </c>
      <c r="E13" s="498">
        <f t="shared" ref="E13:E25" si="0">SUM(F13:H13)</f>
        <v>95000</v>
      </c>
      <c r="F13" s="498">
        <v>0</v>
      </c>
      <c r="G13" s="498">
        <v>0</v>
      </c>
      <c r="H13" s="498">
        <v>95000</v>
      </c>
      <c r="I13" s="498">
        <v>34120</v>
      </c>
      <c r="J13" s="498">
        <v>0</v>
      </c>
      <c r="K13" s="498">
        <v>0</v>
      </c>
      <c r="L13" s="668">
        <v>34120</v>
      </c>
      <c r="M13" s="672">
        <v>88.1</v>
      </c>
      <c r="N13" s="659">
        <v>2323.6</v>
      </c>
      <c r="O13" s="669" t="s">
        <v>615</v>
      </c>
      <c r="P13" s="463" t="s">
        <v>616</v>
      </c>
      <c r="Q13" s="672">
        <v>0</v>
      </c>
      <c r="R13" s="672">
        <v>0</v>
      </c>
      <c r="S13" s="672">
        <v>0</v>
      </c>
      <c r="T13" s="672">
        <v>0</v>
      </c>
      <c r="U13" s="463" t="s">
        <v>617</v>
      </c>
      <c r="V13" s="463" t="s">
        <v>618</v>
      </c>
      <c r="W13" s="498">
        <v>95113</v>
      </c>
      <c r="X13" s="463" t="s">
        <v>2244</v>
      </c>
      <c r="Y13" s="463" t="s">
        <v>619</v>
      </c>
      <c r="Z13" s="463" t="s">
        <v>620</v>
      </c>
      <c r="AA13" s="463" t="s">
        <v>620</v>
      </c>
      <c r="AB13" s="459" t="s">
        <v>620</v>
      </c>
    </row>
    <row r="14" spans="1:28" ht="24" customHeight="1">
      <c r="A14" s="584"/>
      <c r="B14" s="612" t="s">
        <v>2201</v>
      </c>
      <c r="C14" s="701" t="s">
        <v>621</v>
      </c>
      <c r="D14" s="510" t="s">
        <v>622</v>
      </c>
      <c r="E14" s="498">
        <f t="shared" si="0"/>
        <v>286000</v>
      </c>
      <c r="F14" s="498">
        <v>0</v>
      </c>
      <c r="G14" s="498">
        <v>286000</v>
      </c>
      <c r="H14" s="498">
        <v>0</v>
      </c>
      <c r="I14" s="498">
        <f t="shared" ref="I14:I19" si="1">SUM(J14:L14)</f>
        <v>251896</v>
      </c>
      <c r="J14" s="498">
        <v>0</v>
      </c>
      <c r="K14" s="498">
        <v>251896</v>
      </c>
      <c r="L14" s="668">
        <v>0</v>
      </c>
      <c r="M14" s="672">
        <v>85.365853658536594</v>
      </c>
      <c r="N14" s="659">
        <v>26707.11980487805</v>
      </c>
      <c r="O14" s="669" t="s">
        <v>623</v>
      </c>
      <c r="P14" s="463" t="s">
        <v>1588</v>
      </c>
      <c r="Q14" s="672">
        <v>0</v>
      </c>
      <c r="R14" s="672">
        <v>0</v>
      </c>
      <c r="S14" s="672">
        <v>411.9</v>
      </c>
      <c r="T14" s="672">
        <v>0</v>
      </c>
      <c r="U14" s="463" t="s">
        <v>624</v>
      </c>
      <c r="V14" s="463" t="s">
        <v>625</v>
      </c>
      <c r="W14" s="498">
        <v>50100</v>
      </c>
      <c r="X14" s="463" t="s">
        <v>626</v>
      </c>
      <c r="Y14" s="463" t="s">
        <v>627</v>
      </c>
      <c r="Z14" s="463" t="s">
        <v>628</v>
      </c>
      <c r="AA14" s="463" t="s">
        <v>620</v>
      </c>
      <c r="AB14" s="459" t="s">
        <v>620</v>
      </c>
    </row>
    <row r="15" spans="1:28" ht="24" customHeight="1">
      <c r="A15" s="584"/>
      <c r="B15" s="613" t="s">
        <v>2201</v>
      </c>
      <c r="C15" s="701" t="s">
        <v>629</v>
      </c>
      <c r="D15" s="510" t="s">
        <v>622</v>
      </c>
      <c r="E15" s="498">
        <f t="shared" si="0"/>
        <v>264000</v>
      </c>
      <c r="F15" s="498">
        <v>0</v>
      </c>
      <c r="G15" s="498">
        <v>264000</v>
      </c>
      <c r="H15" s="498">
        <v>0</v>
      </c>
      <c r="I15" s="498">
        <f t="shared" si="1"/>
        <v>216850</v>
      </c>
      <c r="J15" s="498">
        <v>0</v>
      </c>
      <c r="K15" s="498">
        <v>216850</v>
      </c>
      <c r="L15" s="668">
        <v>0</v>
      </c>
      <c r="M15" s="672">
        <v>90.370370370370367</v>
      </c>
      <c r="N15" s="659">
        <v>24006.098148148147</v>
      </c>
      <c r="O15" s="669" t="s">
        <v>623</v>
      </c>
      <c r="P15" s="463" t="s">
        <v>1588</v>
      </c>
      <c r="Q15" s="672">
        <v>0</v>
      </c>
      <c r="R15" s="672">
        <v>0</v>
      </c>
      <c r="S15" s="672">
        <v>0</v>
      </c>
      <c r="T15" s="672">
        <v>0</v>
      </c>
      <c r="U15" s="463" t="s">
        <v>624</v>
      </c>
      <c r="V15" s="463" t="s">
        <v>630</v>
      </c>
      <c r="W15" s="498">
        <v>124600</v>
      </c>
      <c r="X15" s="463" t="s">
        <v>626</v>
      </c>
      <c r="Y15" s="463" t="s">
        <v>631</v>
      </c>
      <c r="Z15" s="463" t="s">
        <v>628</v>
      </c>
      <c r="AA15" s="463" t="s">
        <v>620</v>
      </c>
      <c r="AB15" s="459" t="s">
        <v>620</v>
      </c>
    </row>
    <row r="16" spans="1:28" ht="24" customHeight="1">
      <c r="A16" s="584"/>
      <c r="B16" s="612" t="s">
        <v>2201</v>
      </c>
      <c r="C16" s="701" t="s">
        <v>632</v>
      </c>
      <c r="D16" s="510" t="s">
        <v>633</v>
      </c>
      <c r="E16" s="498">
        <f t="shared" si="0"/>
        <v>330000</v>
      </c>
      <c r="F16" s="498">
        <v>0</v>
      </c>
      <c r="G16" s="498">
        <v>330000</v>
      </c>
      <c r="H16" s="498">
        <v>0</v>
      </c>
      <c r="I16" s="498">
        <f t="shared" si="1"/>
        <v>251006</v>
      </c>
      <c r="J16" s="498">
        <v>0</v>
      </c>
      <c r="K16" s="498">
        <v>251006</v>
      </c>
      <c r="L16" s="668">
        <v>0</v>
      </c>
      <c r="M16" s="672">
        <v>91.7</v>
      </c>
      <c r="N16" s="659">
        <v>35919</v>
      </c>
      <c r="O16" s="669" t="s">
        <v>623</v>
      </c>
      <c r="P16" s="463" t="s">
        <v>1588</v>
      </c>
      <c r="Q16" s="672">
        <v>2168</v>
      </c>
      <c r="R16" s="672">
        <v>0</v>
      </c>
      <c r="S16" s="672">
        <v>870</v>
      </c>
      <c r="T16" s="672">
        <v>0</v>
      </c>
      <c r="U16" s="463" t="s">
        <v>634</v>
      </c>
      <c r="V16" s="463" t="s">
        <v>635</v>
      </c>
      <c r="W16" s="498">
        <v>796000</v>
      </c>
      <c r="X16" s="463" t="s">
        <v>626</v>
      </c>
      <c r="Y16" s="463" t="s">
        <v>636</v>
      </c>
      <c r="Z16" s="463" t="s">
        <v>620</v>
      </c>
      <c r="AA16" s="463" t="s">
        <v>620</v>
      </c>
      <c r="AB16" s="459" t="s">
        <v>620</v>
      </c>
    </row>
    <row r="17" spans="1:28" ht="24" customHeight="1">
      <c r="A17" s="584"/>
      <c r="B17" s="614" t="s">
        <v>2201</v>
      </c>
      <c r="C17" s="701" t="s">
        <v>637</v>
      </c>
      <c r="D17" s="510" t="s">
        <v>633</v>
      </c>
      <c r="E17" s="498">
        <f t="shared" si="0"/>
        <v>285000</v>
      </c>
      <c r="F17" s="498">
        <v>0</v>
      </c>
      <c r="G17" s="498">
        <v>0</v>
      </c>
      <c r="H17" s="498">
        <v>285000</v>
      </c>
      <c r="I17" s="498">
        <f t="shared" si="1"/>
        <v>128341</v>
      </c>
      <c r="J17" s="498">
        <v>0</v>
      </c>
      <c r="K17" s="498">
        <v>0</v>
      </c>
      <c r="L17" s="668">
        <v>128341</v>
      </c>
      <c r="M17" s="672">
        <v>95.1</v>
      </c>
      <c r="N17" s="659">
        <v>18982</v>
      </c>
      <c r="O17" s="669" t="s">
        <v>638</v>
      </c>
      <c r="P17" s="463" t="s">
        <v>1588</v>
      </c>
      <c r="Q17" s="672">
        <v>1108</v>
      </c>
      <c r="R17" s="672">
        <v>0</v>
      </c>
      <c r="S17" s="672">
        <v>445</v>
      </c>
      <c r="T17" s="672">
        <v>0</v>
      </c>
      <c r="U17" s="463" t="s">
        <v>634</v>
      </c>
      <c r="V17" s="463" t="s">
        <v>639</v>
      </c>
      <c r="W17" s="498">
        <v>296100</v>
      </c>
      <c r="X17" s="463" t="s">
        <v>626</v>
      </c>
      <c r="Y17" s="463" t="s">
        <v>636</v>
      </c>
      <c r="Z17" s="463" t="s">
        <v>620</v>
      </c>
      <c r="AA17" s="463" t="s">
        <v>620</v>
      </c>
      <c r="AB17" s="459" t="s">
        <v>620</v>
      </c>
    </row>
    <row r="18" spans="1:28" ht="24" customHeight="1">
      <c r="A18" s="584"/>
      <c r="B18" s="614" t="s">
        <v>2201</v>
      </c>
      <c r="C18" s="458" t="s">
        <v>640</v>
      </c>
      <c r="D18" s="510" t="s">
        <v>641</v>
      </c>
      <c r="E18" s="498">
        <f t="shared" si="0"/>
        <v>340000</v>
      </c>
      <c r="F18" s="498">
        <v>0</v>
      </c>
      <c r="G18" s="498">
        <v>340000</v>
      </c>
      <c r="H18" s="498">
        <v>0</v>
      </c>
      <c r="I18" s="498">
        <f t="shared" si="1"/>
        <v>325250</v>
      </c>
      <c r="J18" s="498">
        <v>0</v>
      </c>
      <c r="K18" s="498">
        <v>325250</v>
      </c>
      <c r="L18" s="668">
        <v>0</v>
      </c>
      <c r="M18" s="672">
        <v>90.4</v>
      </c>
      <c r="N18" s="659">
        <v>27462.028399999999</v>
      </c>
      <c r="O18" s="669" t="s">
        <v>623</v>
      </c>
      <c r="P18" s="463" t="s">
        <v>1991</v>
      </c>
      <c r="Q18" s="672">
        <v>0</v>
      </c>
      <c r="R18" s="672">
        <v>0</v>
      </c>
      <c r="S18" s="672">
        <v>0</v>
      </c>
      <c r="T18" s="672">
        <v>0</v>
      </c>
      <c r="U18" s="463" t="s">
        <v>642</v>
      </c>
      <c r="V18" s="463" t="s">
        <v>643</v>
      </c>
      <c r="W18" s="498">
        <v>175600</v>
      </c>
      <c r="X18" s="463" t="s">
        <v>626</v>
      </c>
      <c r="Y18" s="463" t="s">
        <v>636</v>
      </c>
      <c r="Z18" s="463" t="s">
        <v>620</v>
      </c>
      <c r="AA18" s="463" t="s">
        <v>620</v>
      </c>
      <c r="AB18" s="459" t="s">
        <v>620</v>
      </c>
    </row>
    <row r="19" spans="1:28" ht="24" customHeight="1">
      <c r="A19" s="584"/>
      <c r="B19" s="460" t="s">
        <v>2201</v>
      </c>
      <c r="C19" s="458" t="s">
        <v>644</v>
      </c>
      <c r="D19" s="510" t="s">
        <v>645</v>
      </c>
      <c r="E19" s="498">
        <f t="shared" si="0"/>
        <v>160000</v>
      </c>
      <c r="F19" s="498">
        <v>0</v>
      </c>
      <c r="G19" s="498">
        <v>0</v>
      </c>
      <c r="H19" s="498">
        <v>160000</v>
      </c>
      <c r="I19" s="498">
        <f t="shared" si="1"/>
        <v>49351</v>
      </c>
      <c r="J19" s="498">
        <v>0</v>
      </c>
      <c r="K19" s="498">
        <v>0</v>
      </c>
      <c r="L19" s="668">
        <v>49351</v>
      </c>
      <c r="M19" s="672">
        <v>97.5</v>
      </c>
      <c r="N19" s="659">
        <v>4090</v>
      </c>
      <c r="O19" s="669" t="s">
        <v>646</v>
      </c>
      <c r="P19" s="463" t="s">
        <v>1588</v>
      </c>
      <c r="Q19" s="672">
        <v>0</v>
      </c>
      <c r="R19" s="672">
        <v>0</v>
      </c>
      <c r="S19" s="672">
        <v>0</v>
      </c>
      <c r="T19" s="672">
        <v>0</v>
      </c>
      <c r="U19" s="463" t="s">
        <v>647</v>
      </c>
      <c r="V19" s="463" t="s">
        <v>648</v>
      </c>
      <c r="W19" s="498">
        <v>90261</v>
      </c>
      <c r="X19" s="463" t="s">
        <v>626</v>
      </c>
      <c r="Y19" s="463" t="s">
        <v>649</v>
      </c>
      <c r="Z19" s="463" t="s">
        <v>620</v>
      </c>
      <c r="AA19" s="463" t="s">
        <v>620</v>
      </c>
      <c r="AB19" s="459" t="s">
        <v>620</v>
      </c>
    </row>
    <row r="20" spans="1:28" ht="24" customHeight="1">
      <c r="A20" s="584"/>
      <c r="B20" s="460" t="s">
        <v>2201</v>
      </c>
      <c r="C20" s="458" t="s">
        <v>650</v>
      </c>
      <c r="D20" s="510" t="s">
        <v>651</v>
      </c>
      <c r="E20" s="498">
        <f t="shared" si="0"/>
        <v>24000</v>
      </c>
      <c r="F20" s="498">
        <v>0</v>
      </c>
      <c r="G20" s="498">
        <v>0</v>
      </c>
      <c r="H20" s="498">
        <v>24000</v>
      </c>
      <c r="I20" s="498">
        <f>SUM(J20:L20)</f>
        <v>3479</v>
      </c>
      <c r="J20" s="498">
        <v>0</v>
      </c>
      <c r="K20" s="498">
        <v>0</v>
      </c>
      <c r="L20" s="668">
        <v>3479</v>
      </c>
      <c r="M20" s="672">
        <v>97.1</v>
      </c>
      <c r="N20" s="659">
        <v>244.2</v>
      </c>
      <c r="O20" s="669" t="s">
        <v>652</v>
      </c>
      <c r="P20" s="463" t="s">
        <v>1588</v>
      </c>
      <c r="Q20" s="672">
        <v>0</v>
      </c>
      <c r="R20" s="672">
        <v>0</v>
      </c>
      <c r="S20" s="672">
        <v>0</v>
      </c>
      <c r="T20" s="672">
        <v>0</v>
      </c>
      <c r="U20" s="463" t="s">
        <v>647</v>
      </c>
      <c r="V20" s="463" t="s">
        <v>653</v>
      </c>
      <c r="W20" s="498">
        <v>34377</v>
      </c>
      <c r="X20" s="463" t="s">
        <v>626</v>
      </c>
      <c r="Y20" s="463" t="s">
        <v>654</v>
      </c>
      <c r="Z20" s="463" t="s">
        <v>620</v>
      </c>
      <c r="AA20" s="463" t="s">
        <v>620</v>
      </c>
      <c r="AB20" s="459" t="s">
        <v>620</v>
      </c>
    </row>
    <row r="21" spans="1:28" ht="24" customHeight="1">
      <c r="A21" s="584"/>
      <c r="B21" s="460" t="s">
        <v>2201</v>
      </c>
      <c r="C21" s="458" t="s">
        <v>655</v>
      </c>
      <c r="D21" s="510" t="s">
        <v>656</v>
      </c>
      <c r="E21" s="498">
        <f t="shared" si="0"/>
        <v>65000</v>
      </c>
      <c r="F21" s="498">
        <v>0</v>
      </c>
      <c r="G21" s="498">
        <v>65000</v>
      </c>
      <c r="H21" s="498">
        <v>0</v>
      </c>
      <c r="I21" s="498">
        <f>SUM(J21:L21)</f>
        <v>37130</v>
      </c>
      <c r="J21" s="498">
        <v>0</v>
      </c>
      <c r="K21" s="498">
        <v>37130</v>
      </c>
      <c r="L21" s="668">
        <v>0</v>
      </c>
      <c r="M21" s="672">
        <v>98.5</v>
      </c>
      <c r="N21" s="659">
        <v>7120.7</v>
      </c>
      <c r="O21" s="669" t="s">
        <v>623</v>
      </c>
      <c r="P21" s="463" t="s">
        <v>1588</v>
      </c>
      <c r="Q21" s="672">
        <v>0</v>
      </c>
      <c r="R21" s="672">
        <v>0</v>
      </c>
      <c r="S21" s="672">
        <v>0</v>
      </c>
      <c r="T21" s="672">
        <v>0</v>
      </c>
      <c r="U21" s="463" t="s">
        <v>657</v>
      </c>
      <c r="V21" s="463" t="s">
        <v>658</v>
      </c>
      <c r="W21" s="498">
        <v>13945</v>
      </c>
      <c r="X21" s="463" t="s">
        <v>659</v>
      </c>
      <c r="Y21" s="463" t="s">
        <v>619</v>
      </c>
      <c r="Z21" s="463" t="s">
        <v>660</v>
      </c>
      <c r="AA21" s="463" t="s">
        <v>620</v>
      </c>
      <c r="AB21" s="459" t="s">
        <v>620</v>
      </c>
    </row>
    <row r="22" spans="1:28" ht="24" customHeight="1">
      <c r="A22" s="584"/>
      <c r="B22" s="460" t="s">
        <v>2201</v>
      </c>
      <c r="C22" s="458" t="s">
        <v>661</v>
      </c>
      <c r="D22" s="510" t="s">
        <v>662</v>
      </c>
      <c r="E22" s="498">
        <f t="shared" si="0"/>
        <v>15000</v>
      </c>
      <c r="F22" s="498">
        <v>0</v>
      </c>
      <c r="G22" s="498">
        <v>0</v>
      </c>
      <c r="H22" s="498">
        <v>15000</v>
      </c>
      <c r="I22" s="498">
        <f>SUM(J22:L22)</f>
        <v>5599</v>
      </c>
      <c r="J22" s="498">
        <v>0</v>
      </c>
      <c r="K22" s="498">
        <v>0</v>
      </c>
      <c r="L22" s="668">
        <v>5599</v>
      </c>
      <c r="M22" s="672">
        <v>99.15</v>
      </c>
      <c r="N22" s="659">
        <v>718.9</v>
      </c>
      <c r="O22" s="669" t="s">
        <v>663</v>
      </c>
      <c r="P22" s="463" t="s">
        <v>1588</v>
      </c>
      <c r="Q22" s="672">
        <v>0</v>
      </c>
      <c r="R22" s="672">
        <v>0</v>
      </c>
      <c r="S22" s="672">
        <v>0</v>
      </c>
      <c r="T22" s="672">
        <v>0</v>
      </c>
      <c r="U22" s="463" t="s">
        <v>664</v>
      </c>
      <c r="V22" s="463" t="s">
        <v>665</v>
      </c>
      <c r="W22" s="498">
        <v>259462</v>
      </c>
      <c r="X22" s="463" t="s">
        <v>2244</v>
      </c>
      <c r="Y22" s="463" t="s">
        <v>619</v>
      </c>
      <c r="Z22" s="463" t="s">
        <v>666</v>
      </c>
      <c r="AA22" s="463" t="s">
        <v>667</v>
      </c>
      <c r="AB22" s="459" t="s">
        <v>1767</v>
      </c>
    </row>
    <row r="23" spans="1:28" ht="24" customHeight="1">
      <c r="A23" s="584"/>
      <c r="B23" s="460" t="s">
        <v>2201</v>
      </c>
      <c r="C23" s="458" t="s">
        <v>668</v>
      </c>
      <c r="D23" s="510" t="s">
        <v>669</v>
      </c>
      <c r="E23" s="498">
        <f t="shared" si="0"/>
        <v>120000</v>
      </c>
      <c r="F23" s="498">
        <v>0</v>
      </c>
      <c r="G23" s="498">
        <v>0</v>
      </c>
      <c r="H23" s="498">
        <v>120000</v>
      </c>
      <c r="I23" s="498">
        <f>SUM(J23:L23)</f>
        <v>38200</v>
      </c>
      <c r="J23" s="498">
        <v>0</v>
      </c>
      <c r="K23" s="498">
        <v>0</v>
      </c>
      <c r="L23" s="668">
        <v>38200</v>
      </c>
      <c r="M23" s="672">
        <v>94.29</v>
      </c>
      <c r="N23" s="659">
        <v>3449.5</v>
      </c>
      <c r="O23" s="669" t="s">
        <v>670</v>
      </c>
      <c r="P23" s="463" t="s">
        <v>670</v>
      </c>
      <c r="Q23" s="672">
        <v>0</v>
      </c>
      <c r="R23" s="672">
        <v>0</v>
      </c>
      <c r="S23" s="672">
        <v>0</v>
      </c>
      <c r="T23" s="672">
        <v>0</v>
      </c>
      <c r="U23" s="463" t="s">
        <v>7429</v>
      </c>
      <c r="V23" s="463" t="s">
        <v>671</v>
      </c>
      <c r="W23" s="498">
        <v>2257</v>
      </c>
      <c r="X23" s="463" t="s">
        <v>672</v>
      </c>
      <c r="Y23" s="463" t="s">
        <v>673</v>
      </c>
      <c r="Z23" s="463" t="s">
        <v>620</v>
      </c>
      <c r="AA23" s="463" t="s">
        <v>620</v>
      </c>
      <c r="AB23" s="459" t="s">
        <v>620</v>
      </c>
    </row>
    <row r="24" spans="1:28" ht="24" customHeight="1">
      <c r="A24" s="584"/>
      <c r="B24" s="460" t="s">
        <v>675</v>
      </c>
      <c r="C24" s="458" t="s">
        <v>676</v>
      </c>
      <c r="D24" s="510" t="s">
        <v>677</v>
      </c>
      <c r="E24" s="498">
        <f t="shared" si="0"/>
        <v>480</v>
      </c>
      <c r="F24" s="498">
        <v>7.2</v>
      </c>
      <c r="G24" s="498">
        <v>434</v>
      </c>
      <c r="H24" s="498">
        <v>38.799999999999997</v>
      </c>
      <c r="I24" s="498">
        <f>SUM(J24:L24)</f>
        <v>340</v>
      </c>
      <c r="J24" s="498">
        <v>6</v>
      </c>
      <c r="K24" s="498">
        <v>318</v>
      </c>
      <c r="L24" s="668">
        <v>16</v>
      </c>
      <c r="M24" s="672">
        <v>0</v>
      </c>
      <c r="N24" s="659">
        <v>0</v>
      </c>
      <c r="O24" s="669" t="s">
        <v>678</v>
      </c>
      <c r="P24" s="463" t="s">
        <v>1588</v>
      </c>
      <c r="Q24" s="672">
        <v>0</v>
      </c>
      <c r="R24" s="672">
        <v>0</v>
      </c>
      <c r="S24" s="672">
        <v>0</v>
      </c>
      <c r="T24" s="672">
        <v>0</v>
      </c>
      <c r="U24" s="463" t="s">
        <v>679</v>
      </c>
      <c r="V24" s="463">
        <v>3.07</v>
      </c>
      <c r="W24" s="498">
        <v>2722</v>
      </c>
      <c r="X24" s="463" t="s">
        <v>626</v>
      </c>
      <c r="Y24" s="463" t="s">
        <v>636</v>
      </c>
      <c r="Z24" s="463" t="s">
        <v>680</v>
      </c>
      <c r="AA24" s="463" t="s">
        <v>680</v>
      </c>
      <c r="AB24" s="459" t="s">
        <v>1767</v>
      </c>
    </row>
    <row r="25" spans="1:28" ht="24" customHeight="1">
      <c r="A25" s="584"/>
      <c r="B25" s="460" t="s">
        <v>675</v>
      </c>
      <c r="C25" s="458" t="s">
        <v>681</v>
      </c>
      <c r="D25" s="510" t="s">
        <v>682</v>
      </c>
      <c r="E25" s="498">
        <f t="shared" si="0"/>
        <v>201</v>
      </c>
      <c r="F25" s="498">
        <v>5.6</v>
      </c>
      <c r="G25" s="498">
        <v>164</v>
      </c>
      <c r="H25" s="498">
        <v>31.4</v>
      </c>
      <c r="I25" s="498">
        <f t="shared" ref="I25:I36" si="2">SUM(J25:L25)</f>
        <v>220</v>
      </c>
      <c r="J25" s="498">
        <v>8</v>
      </c>
      <c r="K25" s="498">
        <v>194</v>
      </c>
      <c r="L25" s="668">
        <v>18</v>
      </c>
      <c r="M25" s="672">
        <v>0</v>
      </c>
      <c r="N25" s="659">
        <v>0</v>
      </c>
      <c r="O25" s="669" t="s">
        <v>1588</v>
      </c>
      <c r="P25" s="463" t="s">
        <v>1588</v>
      </c>
      <c r="Q25" s="672">
        <v>0</v>
      </c>
      <c r="R25" s="672">
        <v>0</v>
      </c>
      <c r="S25" s="672">
        <v>0</v>
      </c>
      <c r="T25" s="672">
        <v>0</v>
      </c>
      <c r="U25" s="463" t="s">
        <v>683</v>
      </c>
      <c r="V25" s="463">
        <v>4.08</v>
      </c>
      <c r="W25" s="498">
        <v>1702</v>
      </c>
      <c r="X25" s="463" t="s">
        <v>626</v>
      </c>
      <c r="Y25" s="463" t="s">
        <v>636</v>
      </c>
      <c r="Z25" s="463" t="s">
        <v>680</v>
      </c>
      <c r="AA25" s="463" t="s">
        <v>680</v>
      </c>
      <c r="AB25" s="459" t="s">
        <v>1767</v>
      </c>
    </row>
    <row r="26" spans="1:28" ht="24" customHeight="1">
      <c r="A26" s="584"/>
      <c r="B26" s="460" t="s">
        <v>675</v>
      </c>
      <c r="C26" s="458" t="s">
        <v>684</v>
      </c>
      <c r="D26" s="510" t="s">
        <v>685</v>
      </c>
      <c r="E26" s="498">
        <f>SUM(F26:H26)</f>
        <v>460</v>
      </c>
      <c r="F26" s="498">
        <v>0</v>
      </c>
      <c r="G26" s="498">
        <v>460</v>
      </c>
      <c r="H26" s="498">
        <v>0</v>
      </c>
      <c r="I26" s="498">
        <f t="shared" si="2"/>
        <v>230</v>
      </c>
      <c r="J26" s="498">
        <v>0</v>
      </c>
      <c r="K26" s="498">
        <v>230</v>
      </c>
      <c r="L26" s="668">
        <v>0</v>
      </c>
      <c r="M26" s="672">
        <v>52</v>
      </c>
      <c r="N26" s="659">
        <v>11.96</v>
      </c>
      <c r="O26" s="669" t="s">
        <v>686</v>
      </c>
      <c r="P26" s="463" t="s">
        <v>687</v>
      </c>
      <c r="Q26" s="672">
        <v>0</v>
      </c>
      <c r="R26" s="672">
        <v>0</v>
      </c>
      <c r="S26" s="672">
        <v>0</v>
      </c>
      <c r="T26" s="672">
        <v>0</v>
      </c>
      <c r="U26" s="463" t="s">
        <v>7403</v>
      </c>
      <c r="V26" s="463">
        <v>2003.11</v>
      </c>
      <c r="W26" s="498">
        <v>572</v>
      </c>
      <c r="X26" s="463" t="s">
        <v>626</v>
      </c>
      <c r="Y26" s="463" t="s">
        <v>636</v>
      </c>
      <c r="Z26" s="463" t="s">
        <v>688</v>
      </c>
      <c r="AA26" s="463" t="s">
        <v>674</v>
      </c>
      <c r="AB26" s="459" t="s">
        <v>674</v>
      </c>
    </row>
    <row r="27" spans="1:28" ht="24" customHeight="1">
      <c r="A27" s="584"/>
      <c r="B27" s="460" t="s">
        <v>675</v>
      </c>
      <c r="C27" s="458" t="s">
        <v>689</v>
      </c>
      <c r="D27" s="510" t="s">
        <v>690</v>
      </c>
      <c r="E27" s="498">
        <f t="shared" ref="E27:E36" si="3">SUM(F27:H27)</f>
        <v>100</v>
      </c>
      <c r="F27" s="498">
        <v>0</v>
      </c>
      <c r="G27" s="498">
        <v>100</v>
      </c>
      <c r="H27" s="498">
        <v>0</v>
      </c>
      <c r="I27" s="498">
        <f t="shared" si="2"/>
        <v>87</v>
      </c>
      <c r="J27" s="498">
        <v>0</v>
      </c>
      <c r="K27" s="498">
        <v>87</v>
      </c>
      <c r="L27" s="668">
        <v>0</v>
      </c>
      <c r="M27" s="672">
        <v>87</v>
      </c>
      <c r="N27" s="659">
        <v>7.569</v>
      </c>
      <c r="O27" s="669" t="s">
        <v>686</v>
      </c>
      <c r="P27" s="463" t="s">
        <v>691</v>
      </c>
      <c r="Q27" s="672">
        <v>0</v>
      </c>
      <c r="R27" s="672">
        <v>0</v>
      </c>
      <c r="S27" s="672">
        <v>0</v>
      </c>
      <c r="T27" s="672">
        <v>0</v>
      </c>
      <c r="U27" s="463" t="s">
        <v>7403</v>
      </c>
      <c r="V27" s="463">
        <v>2005.3</v>
      </c>
      <c r="W27" s="498">
        <v>648</v>
      </c>
      <c r="X27" s="463" t="s">
        <v>626</v>
      </c>
      <c r="Y27" s="463" t="s">
        <v>636</v>
      </c>
      <c r="Z27" s="463" t="s">
        <v>688</v>
      </c>
      <c r="AA27" s="463" t="s">
        <v>674</v>
      </c>
      <c r="AB27" s="459" t="s">
        <v>674</v>
      </c>
    </row>
    <row r="28" spans="1:28" ht="24" customHeight="1">
      <c r="A28" s="584"/>
      <c r="B28" s="460" t="s">
        <v>675</v>
      </c>
      <c r="C28" s="458" t="s">
        <v>692</v>
      </c>
      <c r="D28" s="510" t="s">
        <v>693</v>
      </c>
      <c r="E28" s="498">
        <f t="shared" si="3"/>
        <v>60</v>
      </c>
      <c r="F28" s="498">
        <v>0</v>
      </c>
      <c r="G28" s="498">
        <v>60</v>
      </c>
      <c r="H28" s="498">
        <v>0</v>
      </c>
      <c r="I28" s="498">
        <f t="shared" si="2"/>
        <v>40</v>
      </c>
      <c r="J28" s="498">
        <v>0</v>
      </c>
      <c r="K28" s="498">
        <v>40</v>
      </c>
      <c r="L28" s="668">
        <v>0</v>
      </c>
      <c r="M28" s="672">
        <v>67</v>
      </c>
      <c r="N28" s="659">
        <v>2.68</v>
      </c>
      <c r="O28" s="669" t="s">
        <v>686</v>
      </c>
      <c r="P28" s="463" t="s">
        <v>694</v>
      </c>
      <c r="Q28" s="672">
        <v>0</v>
      </c>
      <c r="R28" s="672">
        <v>0</v>
      </c>
      <c r="S28" s="672">
        <v>0</v>
      </c>
      <c r="T28" s="672">
        <v>0</v>
      </c>
      <c r="U28" s="463" t="s">
        <v>7403</v>
      </c>
      <c r="V28" s="463">
        <v>2005.3</v>
      </c>
      <c r="W28" s="498">
        <v>373</v>
      </c>
      <c r="X28" s="463" t="s">
        <v>626</v>
      </c>
      <c r="Y28" s="463" t="s">
        <v>636</v>
      </c>
      <c r="Z28" s="463" t="s">
        <v>695</v>
      </c>
      <c r="AA28" s="463" t="s">
        <v>674</v>
      </c>
      <c r="AB28" s="459" t="s">
        <v>674</v>
      </c>
    </row>
    <row r="29" spans="1:28" ht="24" customHeight="1">
      <c r="A29" s="584"/>
      <c r="B29" s="460" t="s">
        <v>675</v>
      </c>
      <c r="C29" s="458" t="s">
        <v>696</v>
      </c>
      <c r="D29" s="510" t="s">
        <v>7399</v>
      </c>
      <c r="E29" s="498">
        <f t="shared" si="3"/>
        <v>160</v>
      </c>
      <c r="F29" s="498">
        <v>0</v>
      </c>
      <c r="G29" s="498">
        <v>0</v>
      </c>
      <c r="H29" s="498">
        <v>160</v>
      </c>
      <c r="I29" s="498">
        <f t="shared" si="2"/>
        <v>100</v>
      </c>
      <c r="J29" s="498">
        <v>0</v>
      </c>
      <c r="K29" s="498">
        <v>0</v>
      </c>
      <c r="L29" s="668">
        <v>100</v>
      </c>
      <c r="M29" s="672">
        <v>62</v>
      </c>
      <c r="N29" s="659">
        <v>6.2</v>
      </c>
      <c r="O29" s="669" t="s">
        <v>697</v>
      </c>
      <c r="P29" s="463" t="s">
        <v>698</v>
      </c>
      <c r="Q29" s="672">
        <v>0</v>
      </c>
      <c r="R29" s="672">
        <v>0</v>
      </c>
      <c r="S29" s="672">
        <v>0</v>
      </c>
      <c r="T29" s="672">
        <v>0</v>
      </c>
      <c r="U29" s="463" t="s">
        <v>7403</v>
      </c>
      <c r="V29" s="463">
        <v>2006.6</v>
      </c>
      <c r="W29" s="498">
        <v>1301</v>
      </c>
      <c r="X29" s="463" t="s">
        <v>626</v>
      </c>
      <c r="Y29" s="463" t="s">
        <v>631</v>
      </c>
      <c r="Z29" s="463" t="s">
        <v>688</v>
      </c>
      <c r="AA29" s="463" t="s">
        <v>674</v>
      </c>
      <c r="AB29" s="459" t="s">
        <v>674</v>
      </c>
    </row>
    <row r="30" spans="1:28" ht="24" customHeight="1">
      <c r="A30" s="584"/>
      <c r="B30" s="460" t="s">
        <v>675</v>
      </c>
      <c r="C30" s="458" t="s">
        <v>699</v>
      </c>
      <c r="D30" s="510" t="s">
        <v>7400</v>
      </c>
      <c r="E30" s="498">
        <f t="shared" si="3"/>
        <v>70</v>
      </c>
      <c r="F30" s="498">
        <v>0</v>
      </c>
      <c r="G30" s="498">
        <v>0</v>
      </c>
      <c r="H30" s="498">
        <v>70</v>
      </c>
      <c r="I30" s="498">
        <f t="shared" si="2"/>
        <v>40</v>
      </c>
      <c r="J30" s="498">
        <v>0</v>
      </c>
      <c r="K30" s="498">
        <v>0</v>
      </c>
      <c r="L30" s="668">
        <v>40</v>
      </c>
      <c r="M30" s="672">
        <v>57</v>
      </c>
      <c r="N30" s="659">
        <v>2.2799999999999998</v>
      </c>
      <c r="O30" s="669" t="s">
        <v>697</v>
      </c>
      <c r="P30" s="463" t="s">
        <v>698</v>
      </c>
      <c r="Q30" s="672">
        <v>0</v>
      </c>
      <c r="R30" s="672">
        <v>0</v>
      </c>
      <c r="S30" s="672">
        <v>0</v>
      </c>
      <c r="T30" s="672">
        <v>0</v>
      </c>
      <c r="U30" s="463" t="s">
        <v>7403</v>
      </c>
      <c r="V30" s="463">
        <v>2006.6</v>
      </c>
      <c r="W30" s="498">
        <v>1127</v>
      </c>
      <c r="X30" s="463" t="s">
        <v>626</v>
      </c>
      <c r="Y30" s="463" t="s">
        <v>631</v>
      </c>
      <c r="Z30" s="463" t="s">
        <v>695</v>
      </c>
      <c r="AA30" s="463" t="s">
        <v>674</v>
      </c>
      <c r="AB30" s="459" t="s">
        <v>674</v>
      </c>
    </row>
    <row r="31" spans="1:28" ht="24" customHeight="1">
      <c r="A31" s="584"/>
      <c r="B31" s="460" t="s">
        <v>675</v>
      </c>
      <c r="C31" s="458" t="s">
        <v>700</v>
      </c>
      <c r="D31" s="510" t="s">
        <v>7401</v>
      </c>
      <c r="E31" s="498">
        <f t="shared" si="3"/>
        <v>50</v>
      </c>
      <c r="F31" s="498">
        <v>0</v>
      </c>
      <c r="G31" s="498">
        <v>0</v>
      </c>
      <c r="H31" s="498">
        <v>50</v>
      </c>
      <c r="I31" s="498">
        <f t="shared" si="2"/>
        <v>30</v>
      </c>
      <c r="J31" s="498">
        <v>0</v>
      </c>
      <c r="K31" s="498">
        <v>0</v>
      </c>
      <c r="L31" s="668">
        <v>30</v>
      </c>
      <c r="M31" s="672">
        <v>60</v>
      </c>
      <c r="N31" s="659">
        <v>1.8</v>
      </c>
      <c r="O31" s="669" t="s">
        <v>697</v>
      </c>
      <c r="P31" s="463" t="s">
        <v>2241</v>
      </c>
      <c r="Q31" s="672">
        <v>0</v>
      </c>
      <c r="R31" s="672">
        <v>0</v>
      </c>
      <c r="S31" s="672">
        <v>0</v>
      </c>
      <c r="T31" s="672">
        <v>0</v>
      </c>
      <c r="U31" s="463" t="s">
        <v>7403</v>
      </c>
      <c r="V31" s="463">
        <v>2006.6</v>
      </c>
      <c r="W31" s="498">
        <v>746</v>
      </c>
      <c r="X31" s="463" t="s">
        <v>626</v>
      </c>
      <c r="Y31" s="463" t="s">
        <v>631</v>
      </c>
      <c r="Z31" s="463" t="s">
        <v>701</v>
      </c>
      <c r="AA31" s="463" t="s">
        <v>674</v>
      </c>
      <c r="AB31" s="459" t="s">
        <v>674</v>
      </c>
    </row>
    <row r="32" spans="1:28" ht="24" customHeight="1">
      <c r="A32" s="584"/>
      <c r="B32" s="460" t="s">
        <v>675</v>
      </c>
      <c r="C32" s="458" t="s">
        <v>702</v>
      </c>
      <c r="D32" s="510" t="s">
        <v>7402</v>
      </c>
      <c r="E32" s="498">
        <f t="shared" si="3"/>
        <v>50</v>
      </c>
      <c r="F32" s="498">
        <v>0</v>
      </c>
      <c r="G32" s="498">
        <v>0</v>
      </c>
      <c r="H32" s="498">
        <v>50</v>
      </c>
      <c r="I32" s="498">
        <f t="shared" si="2"/>
        <v>30</v>
      </c>
      <c r="J32" s="498">
        <v>0</v>
      </c>
      <c r="K32" s="498">
        <v>0</v>
      </c>
      <c r="L32" s="668">
        <v>30</v>
      </c>
      <c r="M32" s="672">
        <v>60</v>
      </c>
      <c r="N32" s="659">
        <v>1.8</v>
      </c>
      <c r="O32" s="669" t="s">
        <v>697</v>
      </c>
      <c r="P32" s="463" t="s">
        <v>703</v>
      </c>
      <c r="Q32" s="672">
        <v>0</v>
      </c>
      <c r="R32" s="672">
        <v>0</v>
      </c>
      <c r="S32" s="672">
        <v>0</v>
      </c>
      <c r="T32" s="672">
        <v>0</v>
      </c>
      <c r="U32" s="463" t="s">
        <v>7403</v>
      </c>
      <c r="V32" s="463">
        <v>2006.6</v>
      </c>
      <c r="W32" s="498">
        <v>1033</v>
      </c>
      <c r="X32" s="463" t="s">
        <v>626</v>
      </c>
      <c r="Y32" s="463" t="s">
        <v>631</v>
      </c>
      <c r="Z32" s="463" t="s">
        <v>704</v>
      </c>
      <c r="AA32" s="463" t="s">
        <v>674</v>
      </c>
      <c r="AB32" s="459" t="s">
        <v>674</v>
      </c>
    </row>
    <row r="33" spans="1:28" ht="24" customHeight="1">
      <c r="A33" s="584"/>
      <c r="B33" s="460" t="s">
        <v>675</v>
      </c>
      <c r="C33" s="458" t="s">
        <v>705</v>
      </c>
      <c r="D33" s="510" t="s">
        <v>706</v>
      </c>
      <c r="E33" s="498">
        <f t="shared" si="3"/>
        <v>130</v>
      </c>
      <c r="F33" s="498">
        <v>0</v>
      </c>
      <c r="G33" s="498">
        <v>130</v>
      </c>
      <c r="H33" s="498">
        <v>0</v>
      </c>
      <c r="I33" s="498">
        <f t="shared" si="2"/>
        <v>78</v>
      </c>
      <c r="J33" s="498">
        <v>0</v>
      </c>
      <c r="K33" s="498">
        <v>78</v>
      </c>
      <c r="L33" s="668">
        <v>0</v>
      </c>
      <c r="M33" s="672">
        <v>0</v>
      </c>
      <c r="N33" s="659">
        <v>0</v>
      </c>
      <c r="O33" s="669" t="s">
        <v>707</v>
      </c>
      <c r="P33" s="463" t="s">
        <v>1588</v>
      </c>
      <c r="Q33" s="672">
        <v>0</v>
      </c>
      <c r="R33" s="672">
        <v>0</v>
      </c>
      <c r="S33" s="672" t="s">
        <v>1768</v>
      </c>
      <c r="T33" s="672" t="s">
        <v>1768</v>
      </c>
      <c r="U33" s="463" t="s">
        <v>708</v>
      </c>
      <c r="V33" s="463">
        <v>2001.05</v>
      </c>
      <c r="W33" s="498">
        <v>1545</v>
      </c>
      <c r="X33" s="463" t="s">
        <v>626</v>
      </c>
      <c r="Y33" s="463" t="s">
        <v>636</v>
      </c>
      <c r="Z33" s="463" t="s">
        <v>709</v>
      </c>
      <c r="AA33" s="463" t="s">
        <v>674</v>
      </c>
      <c r="AB33" s="459" t="s">
        <v>674</v>
      </c>
    </row>
    <row r="34" spans="1:28" ht="24" customHeight="1">
      <c r="A34" s="584"/>
      <c r="B34" s="460" t="s">
        <v>675</v>
      </c>
      <c r="C34" s="458" t="s">
        <v>710</v>
      </c>
      <c r="D34" s="510" t="s">
        <v>711</v>
      </c>
      <c r="E34" s="498">
        <f t="shared" si="3"/>
        <v>60</v>
      </c>
      <c r="F34" s="498">
        <v>0</v>
      </c>
      <c r="G34" s="498">
        <v>60</v>
      </c>
      <c r="H34" s="498">
        <v>0</v>
      </c>
      <c r="I34" s="498">
        <f t="shared" si="2"/>
        <v>43</v>
      </c>
      <c r="J34" s="498">
        <v>0</v>
      </c>
      <c r="K34" s="498">
        <v>43</v>
      </c>
      <c r="L34" s="668">
        <v>0</v>
      </c>
      <c r="M34" s="672">
        <v>0</v>
      </c>
      <c r="N34" s="659">
        <v>0</v>
      </c>
      <c r="O34" s="669" t="s">
        <v>712</v>
      </c>
      <c r="P34" s="463" t="s">
        <v>1588</v>
      </c>
      <c r="Q34" s="672">
        <v>0</v>
      </c>
      <c r="R34" s="672">
        <v>0</v>
      </c>
      <c r="S34" s="672">
        <v>0</v>
      </c>
      <c r="T34" s="672">
        <v>0</v>
      </c>
      <c r="U34" s="463" t="s">
        <v>708</v>
      </c>
      <c r="V34" s="463">
        <v>2001.12</v>
      </c>
      <c r="W34" s="498">
        <v>377</v>
      </c>
      <c r="X34" s="463" t="s">
        <v>626</v>
      </c>
      <c r="Y34" s="463" t="s">
        <v>636</v>
      </c>
      <c r="Z34" s="463" t="s">
        <v>709</v>
      </c>
      <c r="AA34" s="463" t="s">
        <v>674</v>
      </c>
      <c r="AB34" s="459" t="s">
        <v>674</v>
      </c>
    </row>
    <row r="35" spans="1:28" ht="24" customHeight="1">
      <c r="A35" s="584"/>
      <c r="B35" s="460" t="s">
        <v>675</v>
      </c>
      <c r="C35" s="458" t="s">
        <v>713</v>
      </c>
      <c r="D35" s="510" t="s">
        <v>714</v>
      </c>
      <c r="E35" s="498">
        <f t="shared" si="3"/>
        <v>210</v>
      </c>
      <c r="F35" s="498">
        <v>0</v>
      </c>
      <c r="G35" s="498">
        <v>210</v>
      </c>
      <c r="H35" s="498">
        <v>0</v>
      </c>
      <c r="I35" s="498">
        <f t="shared" si="2"/>
        <v>162</v>
      </c>
      <c r="J35" s="498">
        <v>0</v>
      </c>
      <c r="K35" s="498">
        <v>162</v>
      </c>
      <c r="L35" s="668">
        <v>0</v>
      </c>
      <c r="M35" s="672">
        <v>0</v>
      </c>
      <c r="N35" s="659">
        <v>0</v>
      </c>
      <c r="O35" s="669" t="s">
        <v>715</v>
      </c>
      <c r="P35" s="463" t="s">
        <v>1588</v>
      </c>
      <c r="Q35" s="672">
        <v>0</v>
      </c>
      <c r="R35" s="672">
        <v>0</v>
      </c>
      <c r="S35" s="672">
        <v>0</v>
      </c>
      <c r="T35" s="672">
        <v>0</v>
      </c>
      <c r="U35" s="463" t="s">
        <v>708</v>
      </c>
      <c r="V35" s="463">
        <v>2002.07</v>
      </c>
      <c r="W35" s="498">
        <v>1455</v>
      </c>
      <c r="X35" s="463" t="s">
        <v>626</v>
      </c>
      <c r="Y35" s="463" t="s">
        <v>636</v>
      </c>
      <c r="Z35" s="463" t="s">
        <v>709</v>
      </c>
      <c r="AA35" s="463" t="s">
        <v>674</v>
      </c>
      <c r="AB35" s="459" t="s">
        <v>674</v>
      </c>
    </row>
    <row r="36" spans="1:28" ht="24" customHeight="1">
      <c r="A36" s="583"/>
      <c r="B36" s="460" t="s">
        <v>675</v>
      </c>
      <c r="C36" s="458" t="s">
        <v>716</v>
      </c>
      <c r="D36" s="510" t="s">
        <v>717</v>
      </c>
      <c r="E36" s="498">
        <f t="shared" si="3"/>
        <v>90</v>
      </c>
      <c r="F36" s="498">
        <v>0</v>
      </c>
      <c r="G36" s="498">
        <v>90</v>
      </c>
      <c r="H36" s="498">
        <v>0</v>
      </c>
      <c r="I36" s="498">
        <f t="shared" si="2"/>
        <v>51</v>
      </c>
      <c r="J36" s="498">
        <v>0</v>
      </c>
      <c r="K36" s="498">
        <v>51</v>
      </c>
      <c r="L36" s="668">
        <v>0</v>
      </c>
      <c r="M36" s="672">
        <v>0</v>
      </c>
      <c r="N36" s="659">
        <v>0</v>
      </c>
      <c r="O36" s="669" t="s">
        <v>718</v>
      </c>
      <c r="P36" s="463" t="s">
        <v>1588</v>
      </c>
      <c r="Q36" s="672">
        <v>0</v>
      </c>
      <c r="R36" s="672">
        <v>0</v>
      </c>
      <c r="S36" s="672">
        <v>0</v>
      </c>
      <c r="T36" s="672">
        <v>0</v>
      </c>
      <c r="U36" s="463" t="s">
        <v>708</v>
      </c>
      <c r="V36" s="463">
        <v>2004.07</v>
      </c>
      <c r="W36" s="498">
        <v>553</v>
      </c>
      <c r="X36" s="463" t="s">
        <v>626</v>
      </c>
      <c r="Y36" s="463" t="s">
        <v>636</v>
      </c>
      <c r="Z36" s="463" t="s">
        <v>628</v>
      </c>
      <c r="AA36" s="463" t="s">
        <v>674</v>
      </c>
      <c r="AB36" s="459" t="s">
        <v>674</v>
      </c>
    </row>
    <row r="37" spans="1:28" ht="24" customHeight="1">
      <c r="A37" s="584" t="s">
        <v>1971</v>
      </c>
      <c r="B37" s="458" t="s">
        <v>5930</v>
      </c>
      <c r="C37" s="579"/>
      <c r="D37" s="579"/>
      <c r="E37" s="498" t="s">
        <v>6084</v>
      </c>
      <c r="F37" s="498">
        <v>0</v>
      </c>
      <c r="G37" s="498">
        <v>0</v>
      </c>
      <c r="H37" s="498" t="s">
        <v>6084</v>
      </c>
      <c r="I37" s="498" t="s">
        <v>6085</v>
      </c>
      <c r="J37" s="498">
        <v>0</v>
      </c>
      <c r="K37" s="498">
        <v>0</v>
      </c>
      <c r="L37" s="668" t="s">
        <v>6085</v>
      </c>
      <c r="M37" s="672">
        <v>0</v>
      </c>
      <c r="N37" s="659" t="s">
        <v>6087</v>
      </c>
      <c r="O37" s="669" t="s">
        <v>1588</v>
      </c>
      <c r="P37" s="463" t="s">
        <v>1588</v>
      </c>
      <c r="Q37" s="672" t="s">
        <v>6088</v>
      </c>
      <c r="R37" s="672">
        <v>0</v>
      </c>
      <c r="S37" s="672" t="s">
        <v>6089</v>
      </c>
      <c r="T37" s="672" t="s">
        <v>6090</v>
      </c>
      <c r="U37" s="463"/>
      <c r="V37" s="463"/>
      <c r="W37" s="498">
        <f>SUM(W38:W50)</f>
        <v>815430</v>
      </c>
      <c r="X37" s="463"/>
      <c r="Y37" s="463"/>
      <c r="Z37" s="463"/>
      <c r="AA37" s="463"/>
      <c r="AB37" s="459"/>
    </row>
    <row r="38" spans="1:28" ht="24" customHeight="1">
      <c r="A38" s="582"/>
      <c r="B38" s="460" t="s">
        <v>2201</v>
      </c>
      <c r="C38" s="458" t="s">
        <v>2195</v>
      </c>
      <c r="D38" s="510" t="s">
        <v>719</v>
      </c>
      <c r="E38" s="653">
        <f t="shared" ref="E38:E50" si="4">F38+G38+H38</f>
        <v>400000</v>
      </c>
      <c r="F38" s="653">
        <v>0</v>
      </c>
      <c r="G38" s="653">
        <v>0</v>
      </c>
      <c r="H38" s="653">
        <v>400000</v>
      </c>
      <c r="I38" s="653">
        <v>242192</v>
      </c>
      <c r="J38" s="653">
        <v>0</v>
      </c>
      <c r="K38" s="653">
        <v>0</v>
      </c>
      <c r="L38" s="698">
        <v>242192</v>
      </c>
      <c r="M38" s="673">
        <v>89.9</v>
      </c>
      <c r="N38" s="659">
        <v>28536</v>
      </c>
      <c r="O38" s="669" t="s">
        <v>6086</v>
      </c>
      <c r="P38" s="463" t="s">
        <v>1588</v>
      </c>
      <c r="Q38" s="673">
        <v>793</v>
      </c>
      <c r="R38" s="673">
        <v>0</v>
      </c>
      <c r="S38" s="673">
        <v>571</v>
      </c>
      <c r="T38" s="673">
        <v>0</v>
      </c>
      <c r="U38" s="463" t="s">
        <v>7430</v>
      </c>
      <c r="V38" s="463" t="s">
        <v>6052</v>
      </c>
      <c r="W38" s="653">
        <v>165334</v>
      </c>
      <c r="X38" s="463" t="s">
        <v>2276</v>
      </c>
      <c r="Y38" s="463" t="s">
        <v>720</v>
      </c>
      <c r="Z38" s="463" t="s">
        <v>2195</v>
      </c>
      <c r="AA38" s="463" t="s">
        <v>1786</v>
      </c>
      <c r="AB38" s="459" t="s">
        <v>1767</v>
      </c>
    </row>
    <row r="39" spans="1:28" ht="24" customHeight="1">
      <c r="A39" s="584"/>
      <c r="B39" s="460" t="s">
        <v>2201</v>
      </c>
      <c r="C39" s="458" t="s">
        <v>2250</v>
      </c>
      <c r="D39" s="510" t="s">
        <v>2375</v>
      </c>
      <c r="E39" s="653">
        <f t="shared" si="4"/>
        <v>520000</v>
      </c>
      <c r="F39" s="653">
        <v>0</v>
      </c>
      <c r="G39" s="653">
        <v>0</v>
      </c>
      <c r="H39" s="653">
        <v>520000</v>
      </c>
      <c r="I39" s="653">
        <v>374368</v>
      </c>
      <c r="J39" s="653">
        <v>0</v>
      </c>
      <c r="K39" s="653">
        <v>0</v>
      </c>
      <c r="L39" s="698">
        <v>374368</v>
      </c>
      <c r="M39" s="673">
        <v>92.6</v>
      </c>
      <c r="N39" s="659">
        <v>111262</v>
      </c>
      <c r="O39" s="669" t="s">
        <v>6086</v>
      </c>
      <c r="P39" s="463" t="s">
        <v>1588</v>
      </c>
      <c r="Q39" s="673">
        <v>1137</v>
      </c>
      <c r="R39" s="673">
        <v>0</v>
      </c>
      <c r="S39" s="673">
        <v>0</v>
      </c>
      <c r="T39" s="673">
        <v>0</v>
      </c>
      <c r="U39" s="463" t="s">
        <v>7431</v>
      </c>
      <c r="V39" s="463" t="s">
        <v>4165</v>
      </c>
      <c r="W39" s="653">
        <v>200577</v>
      </c>
      <c r="X39" s="463" t="s">
        <v>2276</v>
      </c>
      <c r="Y39" s="463"/>
      <c r="Z39" s="463" t="s">
        <v>2196</v>
      </c>
      <c r="AA39" s="463" t="s">
        <v>1786</v>
      </c>
      <c r="AB39" s="459" t="s">
        <v>1767</v>
      </c>
    </row>
    <row r="40" spans="1:28" ht="24" customHeight="1">
      <c r="A40" s="584"/>
      <c r="B40" s="460" t="s">
        <v>2201</v>
      </c>
      <c r="C40" s="458" t="s">
        <v>1787</v>
      </c>
      <c r="D40" s="510" t="s">
        <v>721</v>
      </c>
      <c r="E40" s="653">
        <f t="shared" si="4"/>
        <v>680000</v>
      </c>
      <c r="F40" s="653">
        <v>0</v>
      </c>
      <c r="G40" s="653">
        <v>0</v>
      </c>
      <c r="H40" s="653">
        <v>680000</v>
      </c>
      <c r="I40" s="653">
        <v>466963</v>
      </c>
      <c r="J40" s="653">
        <v>0</v>
      </c>
      <c r="K40" s="653">
        <v>0</v>
      </c>
      <c r="L40" s="698">
        <v>466963</v>
      </c>
      <c r="M40" s="673">
        <v>92.4</v>
      </c>
      <c r="N40" s="659">
        <v>99641</v>
      </c>
      <c r="O40" s="669" t="s">
        <v>6086</v>
      </c>
      <c r="P40" s="463" t="s">
        <v>1588</v>
      </c>
      <c r="Q40" s="673">
        <v>0</v>
      </c>
      <c r="R40" s="673">
        <v>0</v>
      </c>
      <c r="S40" s="673">
        <v>0</v>
      </c>
      <c r="T40" s="673">
        <v>292</v>
      </c>
      <c r="U40" s="463" t="s">
        <v>7432</v>
      </c>
      <c r="V40" s="463" t="s">
        <v>6053</v>
      </c>
      <c r="W40" s="653">
        <v>243631</v>
      </c>
      <c r="X40" s="463" t="s">
        <v>2276</v>
      </c>
      <c r="Y40" s="463"/>
      <c r="Z40" s="463" t="s">
        <v>1786</v>
      </c>
      <c r="AA40" s="463" t="s">
        <v>1786</v>
      </c>
      <c r="AB40" s="459" t="s">
        <v>1767</v>
      </c>
    </row>
    <row r="41" spans="1:28" ht="24" customHeight="1">
      <c r="A41" s="584"/>
      <c r="B41" s="460" t="s">
        <v>2201</v>
      </c>
      <c r="C41" s="458" t="s">
        <v>320</v>
      </c>
      <c r="D41" s="510" t="s">
        <v>722</v>
      </c>
      <c r="E41" s="653">
        <f t="shared" si="4"/>
        <v>170000</v>
      </c>
      <c r="F41" s="653">
        <v>0</v>
      </c>
      <c r="G41" s="653">
        <v>0</v>
      </c>
      <c r="H41" s="653">
        <v>170000</v>
      </c>
      <c r="I41" s="653">
        <v>104845</v>
      </c>
      <c r="J41" s="653">
        <v>0</v>
      </c>
      <c r="K41" s="653">
        <v>0</v>
      </c>
      <c r="L41" s="698">
        <v>104845</v>
      </c>
      <c r="M41" s="673">
        <v>92.3</v>
      </c>
      <c r="N41" s="659">
        <v>35377</v>
      </c>
      <c r="O41" s="669" t="s">
        <v>6086</v>
      </c>
      <c r="P41" s="463" t="s">
        <v>1588</v>
      </c>
      <c r="Q41" s="673">
        <v>0</v>
      </c>
      <c r="R41" s="673">
        <v>0</v>
      </c>
      <c r="S41" s="673">
        <v>0</v>
      </c>
      <c r="T41" s="673">
        <v>0</v>
      </c>
      <c r="U41" s="463" t="s">
        <v>7433</v>
      </c>
      <c r="V41" s="463" t="s">
        <v>6054</v>
      </c>
      <c r="W41" s="653">
        <v>81044</v>
      </c>
      <c r="X41" s="463" t="s">
        <v>2276</v>
      </c>
      <c r="Y41" s="463"/>
      <c r="Z41" s="463" t="s">
        <v>2195</v>
      </c>
      <c r="AA41" s="463" t="s">
        <v>1786</v>
      </c>
      <c r="AB41" s="459" t="s">
        <v>1767</v>
      </c>
    </row>
    <row r="42" spans="1:28" ht="24" customHeight="1">
      <c r="A42" s="584"/>
      <c r="B42" s="460" t="s">
        <v>2201</v>
      </c>
      <c r="C42" s="458" t="s">
        <v>2033</v>
      </c>
      <c r="D42" s="510" t="s">
        <v>723</v>
      </c>
      <c r="E42" s="653">
        <f t="shared" si="4"/>
        <v>45000</v>
      </c>
      <c r="F42" s="653">
        <v>0</v>
      </c>
      <c r="G42" s="653">
        <v>0</v>
      </c>
      <c r="H42" s="653">
        <v>45000</v>
      </c>
      <c r="I42" s="653">
        <v>25054</v>
      </c>
      <c r="J42" s="653">
        <v>0</v>
      </c>
      <c r="K42" s="653">
        <v>0</v>
      </c>
      <c r="L42" s="698">
        <v>25054</v>
      </c>
      <c r="M42" s="673">
        <v>94.5</v>
      </c>
      <c r="N42" s="659">
        <v>3549</v>
      </c>
      <c r="O42" s="669" t="s">
        <v>6086</v>
      </c>
      <c r="P42" s="463" t="s">
        <v>1588</v>
      </c>
      <c r="Q42" s="673">
        <v>0</v>
      </c>
      <c r="R42" s="673">
        <v>0</v>
      </c>
      <c r="S42" s="673">
        <v>0</v>
      </c>
      <c r="T42" s="673">
        <v>0</v>
      </c>
      <c r="U42" s="463" t="s">
        <v>7434</v>
      </c>
      <c r="V42" s="463" t="s">
        <v>6055</v>
      </c>
      <c r="W42" s="653">
        <v>54950</v>
      </c>
      <c r="X42" s="463" t="s">
        <v>2276</v>
      </c>
      <c r="Y42" s="463"/>
      <c r="Z42" s="463" t="s">
        <v>1787</v>
      </c>
      <c r="AA42" s="463" t="s">
        <v>1786</v>
      </c>
      <c r="AB42" s="459" t="s">
        <v>1767</v>
      </c>
    </row>
    <row r="43" spans="1:28" ht="24" customHeight="1">
      <c r="A43" s="584"/>
      <c r="B43" s="460" t="s">
        <v>2201</v>
      </c>
      <c r="C43" s="458" t="s">
        <v>321</v>
      </c>
      <c r="D43" s="510" t="s">
        <v>724</v>
      </c>
      <c r="E43" s="653">
        <f t="shared" si="4"/>
        <v>47000</v>
      </c>
      <c r="F43" s="653">
        <v>0</v>
      </c>
      <c r="G43" s="653">
        <v>0</v>
      </c>
      <c r="H43" s="653">
        <v>47000</v>
      </c>
      <c r="I43" s="653">
        <v>29487</v>
      </c>
      <c r="J43" s="653">
        <v>0</v>
      </c>
      <c r="K43" s="653">
        <v>0</v>
      </c>
      <c r="L43" s="698">
        <v>29487</v>
      </c>
      <c r="M43" s="673">
        <v>93.2</v>
      </c>
      <c r="N43" s="659">
        <v>3524</v>
      </c>
      <c r="O43" s="669" t="s">
        <v>6086</v>
      </c>
      <c r="P43" s="463" t="s">
        <v>1588</v>
      </c>
      <c r="Q43" s="673">
        <v>0</v>
      </c>
      <c r="R43" s="673">
        <v>0</v>
      </c>
      <c r="S43" s="673">
        <v>0</v>
      </c>
      <c r="T43" s="673">
        <v>0</v>
      </c>
      <c r="U43" s="463" t="s">
        <v>7435</v>
      </c>
      <c r="V43" s="463" t="s">
        <v>6055</v>
      </c>
      <c r="W43" s="653">
        <v>66345</v>
      </c>
      <c r="X43" s="463" t="s">
        <v>2276</v>
      </c>
      <c r="Y43" s="463"/>
      <c r="Z43" s="463" t="s">
        <v>1786</v>
      </c>
      <c r="AA43" s="463" t="s">
        <v>1786</v>
      </c>
      <c r="AB43" s="459" t="s">
        <v>1767</v>
      </c>
    </row>
    <row r="44" spans="1:28" ht="24" customHeight="1">
      <c r="A44" s="584"/>
      <c r="B44" s="460" t="s">
        <v>675</v>
      </c>
      <c r="C44" s="458" t="s">
        <v>725</v>
      </c>
      <c r="D44" s="510" t="s">
        <v>726</v>
      </c>
      <c r="E44" s="498">
        <f t="shared" si="4"/>
        <v>35</v>
      </c>
      <c r="F44" s="498">
        <v>0</v>
      </c>
      <c r="G44" s="498">
        <v>0</v>
      </c>
      <c r="H44" s="498">
        <v>35</v>
      </c>
      <c r="I44" s="498">
        <v>7.8</v>
      </c>
      <c r="J44" s="498">
        <v>0</v>
      </c>
      <c r="K44" s="498">
        <v>0</v>
      </c>
      <c r="L44" s="668">
        <v>7.8</v>
      </c>
      <c r="M44" s="672">
        <v>95.2</v>
      </c>
      <c r="N44" s="659">
        <v>2.0049120000000004E-2</v>
      </c>
      <c r="O44" s="669" t="s">
        <v>727</v>
      </c>
      <c r="P44" s="463" t="s">
        <v>1588</v>
      </c>
      <c r="Q44" s="672">
        <v>0</v>
      </c>
      <c r="R44" s="672">
        <v>0</v>
      </c>
      <c r="S44" s="672">
        <v>0</v>
      </c>
      <c r="T44" s="672">
        <v>0</v>
      </c>
      <c r="U44" s="463" t="s">
        <v>7436</v>
      </c>
      <c r="V44" s="463" t="s">
        <v>728</v>
      </c>
      <c r="W44" s="498">
        <v>340</v>
      </c>
      <c r="X44" s="463" t="s">
        <v>626</v>
      </c>
      <c r="Y44" s="463" t="s">
        <v>729</v>
      </c>
      <c r="Z44" s="463"/>
      <c r="AA44" s="463" t="s">
        <v>730</v>
      </c>
      <c r="AB44" s="459" t="s">
        <v>1767</v>
      </c>
    </row>
    <row r="45" spans="1:28" ht="24" customHeight="1">
      <c r="A45" s="584"/>
      <c r="B45" s="460" t="s">
        <v>675</v>
      </c>
      <c r="C45" s="458" t="s">
        <v>731</v>
      </c>
      <c r="D45" s="510" t="s">
        <v>732</v>
      </c>
      <c r="E45" s="498">
        <f t="shared" si="4"/>
        <v>55</v>
      </c>
      <c r="F45" s="498">
        <v>0</v>
      </c>
      <c r="G45" s="498">
        <v>0</v>
      </c>
      <c r="H45" s="498">
        <v>55</v>
      </c>
      <c r="I45" s="498">
        <v>11.3</v>
      </c>
      <c r="J45" s="498">
        <v>0</v>
      </c>
      <c r="K45" s="498">
        <v>0</v>
      </c>
      <c r="L45" s="668">
        <v>11.3</v>
      </c>
      <c r="M45" s="672">
        <v>94.8</v>
      </c>
      <c r="N45" s="659">
        <v>2.1424800000000001E-2</v>
      </c>
      <c r="O45" s="669" t="s">
        <v>733</v>
      </c>
      <c r="P45" s="463" t="s">
        <v>1588</v>
      </c>
      <c r="Q45" s="672">
        <v>0</v>
      </c>
      <c r="R45" s="672">
        <v>0</v>
      </c>
      <c r="S45" s="672">
        <v>0</v>
      </c>
      <c r="T45" s="672">
        <v>0</v>
      </c>
      <c r="U45" s="463" t="s">
        <v>7436</v>
      </c>
      <c r="V45" s="463" t="s">
        <v>734</v>
      </c>
      <c r="W45" s="498">
        <v>497</v>
      </c>
      <c r="X45" s="463" t="s">
        <v>626</v>
      </c>
      <c r="Y45" s="463" t="s">
        <v>729</v>
      </c>
      <c r="Z45" s="463" t="s">
        <v>735</v>
      </c>
      <c r="AA45" s="463" t="s">
        <v>1767</v>
      </c>
      <c r="AB45" s="459" t="s">
        <v>1767</v>
      </c>
    </row>
    <row r="46" spans="1:28" ht="24" customHeight="1">
      <c r="A46" s="584"/>
      <c r="B46" s="460" t="s">
        <v>675</v>
      </c>
      <c r="C46" s="458" t="s">
        <v>736</v>
      </c>
      <c r="D46" s="510" t="s">
        <v>737</v>
      </c>
      <c r="E46" s="498">
        <f t="shared" si="4"/>
        <v>55</v>
      </c>
      <c r="F46" s="498">
        <v>0</v>
      </c>
      <c r="G46" s="498">
        <v>0</v>
      </c>
      <c r="H46" s="498">
        <v>55</v>
      </c>
      <c r="I46" s="498">
        <v>13.7</v>
      </c>
      <c r="J46" s="498">
        <v>0</v>
      </c>
      <c r="K46" s="498">
        <v>0</v>
      </c>
      <c r="L46" s="668">
        <v>13.7</v>
      </c>
      <c r="M46" s="672">
        <v>95.8</v>
      </c>
      <c r="N46" s="659">
        <v>1.9686899999999997E-2</v>
      </c>
      <c r="O46" s="669" t="s">
        <v>738</v>
      </c>
      <c r="P46" s="463" t="s">
        <v>1588</v>
      </c>
      <c r="Q46" s="672">
        <v>0</v>
      </c>
      <c r="R46" s="672">
        <v>0</v>
      </c>
      <c r="S46" s="672">
        <v>0</v>
      </c>
      <c r="T46" s="672">
        <v>0</v>
      </c>
      <c r="U46" s="463" t="s">
        <v>7436</v>
      </c>
      <c r="V46" s="463" t="s">
        <v>739</v>
      </c>
      <c r="W46" s="498">
        <v>497</v>
      </c>
      <c r="X46" s="463" t="s">
        <v>626</v>
      </c>
      <c r="Y46" s="463" t="s">
        <v>729</v>
      </c>
      <c r="Z46" s="463" t="s">
        <v>740</v>
      </c>
      <c r="AA46" s="463" t="s">
        <v>1767</v>
      </c>
      <c r="AB46" s="459" t="s">
        <v>1767</v>
      </c>
    </row>
    <row r="47" spans="1:28" ht="24" customHeight="1">
      <c r="A47" s="584"/>
      <c r="B47" s="460" t="s">
        <v>675</v>
      </c>
      <c r="C47" s="458" t="s">
        <v>2221</v>
      </c>
      <c r="D47" s="510" t="s">
        <v>741</v>
      </c>
      <c r="E47" s="498">
        <f t="shared" si="4"/>
        <v>100</v>
      </c>
      <c r="F47" s="498">
        <v>0</v>
      </c>
      <c r="G47" s="498">
        <v>0</v>
      </c>
      <c r="H47" s="498">
        <v>100</v>
      </c>
      <c r="I47" s="498">
        <v>21.5</v>
      </c>
      <c r="J47" s="498">
        <v>0</v>
      </c>
      <c r="K47" s="498">
        <v>0</v>
      </c>
      <c r="L47" s="668">
        <v>21.5</v>
      </c>
      <c r="M47" s="672">
        <v>95.5</v>
      </c>
      <c r="N47" s="659">
        <v>4.9278000000000002E-2</v>
      </c>
      <c r="O47" s="669" t="s">
        <v>742</v>
      </c>
      <c r="P47" s="463" t="s">
        <v>1588</v>
      </c>
      <c r="Q47" s="672">
        <v>0</v>
      </c>
      <c r="R47" s="672">
        <v>0</v>
      </c>
      <c r="S47" s="672">
        <v>0</v>
      </c>
      <c r="T47" s="672">
        <v>0</v>
      </c>
      <c r="U47" s="463" t="s">
        <v>7436</v>
      </c>
      <c r="V47" s="463" t="s">
        <v>743</v>
      </c>
      <c r="W47" s="498">
        <v>402</v>
      </c>
      <c r="X47" s="463" t="s">
        <v>626</v>
      </c>
      <c r="Y47" s="463" t="s">
        <v>729</v>
      </c>
      <c r="Z47" s="463"/>
      <c r="AA47" s="463" t="s">
        <v>744</v>
      </c>
      <c r="AB47" s="459" t="s">
        <v>1767</v>
      </c>
    </row>
    <row r="48" spans="1:28" ht="24" customHeight="1">
      <c r="A48" s="584"/>
      <c r="B48" s="460" t="s">
        <v>675</v>
      </c>
      <c r="C48" s="458" t="s">
        <v>1613</v>
      </c>
      <c r="D48" s="510" t="s">
        <v>745</v>
      </c>
      <c r="E48" s="498">
        <f t="shared" si="4"/>
        <v>80</v>
      </c>
      <c r="F48" s="498">
        <v>0</v>
      </c>
      <c r="G48" s="498">
        <v>0</v>
      </c>
      <c r="H48" s="498">
        <v>80</v>
      </c>
      <c r="I48" s="498">
        <v>22.3</v>
      </c>
      <c r="J48" s="498">
        <v>0</v>
      </c>
      <c r="K48" s="498">
        <v>0</v>
      </c>
      <c r="L48" s="668">
        <v>22.3</v>
      </c>
      <c r="M48" s="672">
        <v>95.5</v>
      </c>
      <c r="N48" s="659">
        <v>0.19592779999999999</v>
      </c>
      <c r="O48" s="669" t="s">
        <v>742</v>
      </c>
      <c r="P48" s="463" t="s">
        <v>1588</v>
      </c>
      <c r="Q48" s="672">
        <v>0</v>
      </c>
      <c r="R48" s="672">
        <v>0</v>
      </c>
      <c r="S48" s="672">
        <v>0</v>
      </c>
      <c r="T48" s="672">
        <v>0</v>
      </c>
      <c r="U48" s="463" t="s">
        <v>7436</v>
      </c>
      <c r="V48" s="463" t="s">
        <v>743</v>
      </c>
      <c r="W48" s="498">
        <v>312</v>
      </c>
      <c r="X48" s="463" t="s">
        <v>626</v>
      </c>
      <c r="Y48" s="463" t="s">
        <v>729</v>
      </c>
      <c r="Z48" s="463"/>
      <c r="AA48" s="463" t="s">
        <v>744</v>
      </c>
      <c r="AB48" s="459" t="s">
        <v>1767</v>
      </c>
    </row>
    <row r="49" spans="1:28" ht="24" customHeight="1">
      <c r="A49" s="584"/>
      <c r="B49" s="460" t="s">
        <v>675</v>
      </c>
      <c r="C49" s="458" t="s">
        <v>746</v>
      </c>
      <c r="D49" s="510" t="s">
        <v>747</v>
      </c>
      <c r="E49" s="498">
        <f t="shared" si="4"/>
        <v>75</v>
      </c>
      <c r="F49" s="498">
        <v>0</v>
      </c>
      <c r="G49" s="498">
        <v>0</v>
      </c>
      <c r="H49" s="498">
        <v>75</v>
      </c>
      <c r="I49" s="498">
        <v>9.6999999999999993</v>
      </c>
      <c r="J49" s="498">
        <v>0</v>
      </c>
      <c r="K49" s="498">
        <v>0</v>
      </c>
      <c r="L49" s="668">
        <v>9.6999999999999993</v>
      </c>
      <c r="M49" s="672">
        <v>95.9</v>
      </c>
      <c r="N49" s="659">
        <v>1.488368E-2</v>
      </c>
      <c r="O49" s="669" t="s">
        <v>742</v>
      </c>
      <c r="P49" s="463" t="s">
        <v>1588</v>
      </c>
      <c r="Q49" s="672">
        <v>0</v>
      </c>
      <c r="R49" s="672">
        <v>0</v>
      </c>
      <c r="S49" s="672">
        <v>0</v>
      </c>
      <c r="T49" s="672">
        <v>0</v>
      </c>
      <c r="U49" s="463" t="s">
        <v>7436</v>
      </c>
      <c r="V49" s="463" t="s">
        <v>743</v>
      </c>
      <c r="W49" s="498">
        <v>301</v>
      </c>
      <c r="X49" s="463" t="s">
        <v>626</v>
      </c>
      <c r="Y49" s="463" t="s">
        <v>729</v>
      </c>
      <c r="Z49" s="463" t="s">
        <v>748</v>
      </c>
      <c r="AA49" s="463" t="s">
        <v>744</v>
      </c>
      <c r="AB49" s="459" t="s">
        <v>1767</v>
      </c>
    </row>
    <row r="50" spans="1:28" ht="24" customHeight="1">
      <c r="A50" s="583"/>
      <c r="B50" s="460" t="s">
        <v>675</v>
      </c>
      <c r="C50" s="458" t="s">
        <v>749</v>
      </c>
      <c r="D50" s="510" t="s">
        <v>750</v>
      </c>
      <c r="E50" s="498">
        <f t="shared" si="4"/>
        <v>90</v>
      </c>
      <c r="F50" s="498">
        <v>0</v>
      </c>
      <c r="G50" s="498">
        <v>0</v>
      </c>
      <c r="H50" s="498">
        <v>90</v>
      </c>
      <c r="I50" s="498">
        <v>35.299999999999997</v>
      </c>
      <c r="J50" s="498">
        <v>0</v>
      </c>
      <c r="K50" s="498">
        <v>0</v>
      </c>
      <c r="L50" s="668">
        <v>35.299999999999997</v>
      </c>
      <c r="M50" s="672">
        <v>95.1</v>
      </c>
      <c r="N50" s="659">
        <v>0.15442337999999997</v>
      </c>
      <c r="O50" s="669" t="s">
        <v>751</v>
      </c>
      <c r="P50" s="463" t="s">
        <v>1588</v>
      </c>
      <c r="Q50" s="672">
        <v>0</v>
      </c>
      <c r="R50" s="672">
        <v>0</v>
      </c>
      <c r="S50" s="672">
        <v>0</v>
      </c>
      <c r="T50" s="672">
        <v>0</v>
      </c>
      <c r="U50" s="463" t="s">
        <v>7436</v>
      </c>
      <c r="V50" s="463" t="s">
        <v>752</v>
      </c>
      <c r="W50" s="498">
        <v>1200</v>
      </c>
      <c r="X50" s="463" t="s">
        <v>626</v>
      </c>
      <c r="Y50" s="463" t="s">
        <v>605</v>
      </c>
      <c r="Z50" s="463" t="s">
        <v>3156</v>
      </c>
      <c r="AA50" s="463" t="s">
        <v>1589</v>
      </c>
      <c r="AB50" s="459" t="s">
        <v>1589</v>
      </c>
    </row>
    <row r="51" spans="1:28" ht="24" customHeight="1">
      <c r="A51" s="584" t="s">
        <v>1791</v>
      </c>
      <c r="B51" s="458" t="s">
        <v>5931</v>
      </c>
      <c r="C51" s="579"/>
      <c r="D51" s="579"/>
      <c r="E51" s="498" t="s">
        <v>6091</v>
      </c>
      <c r="F51" s="498">
        <v>0</v>
      </c>
      <c r="G51" s="498" t="s">
        <v>6092</v>
      </c>
      <c r="H51" s="498" t="s">
        <v>6093</v>
      </c>
      <c r="I51" s="498" t="s">
        <v>6094</v>
      </c>
      <c r="J51" s="498" t="s">
        <v>6095</v>
      </c>
      <c r="K51" s="498" t="s">
        <v>6096</v>
      </c>
      <c r="L51" s="668" t="s">
        <v>6097</v>
      </c>
      <c r="M51" s="672">
        <v>0</v>
      </c>
      <c r="N51" s="659" t="s">
        <v>6098</v>
      </c>
      <c r="O51" s="669" t="s">
        <v>1588</v>
      </c>
      <c r="P51" s="463" t="s">
        <v>1588</v>
      </c>
      <c r="Q51" s="672" t="s">
        <v>6099</v>
      </c>
      <c r="R51" s="672">
        <v>0</v>
      </c>
      <c r="S51" s="672" t="s">
        <v>6100</v>
      </c>
      <c r="T51" s="672">
        <v>0</v>
      </c>
      <c r="U51" s="463"/>
      <c r="V51" s="463"/>
      <c r="W51" s="498">
        <f>SUM(W52:W60)</f>
        <v>395865</v>
      </c>
      <c r="X51" s="463"/>
      <c r="Y51" s="463"/>
      <c r="Z51" s="463"/>
      <c r="AA51" s="463"/>
      <c r="AB51" s="459"/>
    </row>
    <row r="52" spans="1:28" ht="24" customHeight="1">
      <c r="A52" s="582"/>
      <c r="B52" s="460" t="s">
        <v>2201</v>
      </c>
      <c r="C52" s="458" t="s">
        <v>2376</v>
      </c>
      <c r="D52" s="510" t="s">
        <v>3157</v>
      </c>
      <c r="E52" s="498">
        <f>F52+G52+H52</f>
        <v>350000</v>
      </c>
      <c r="F52" s="498">
        <v>0</v>
      </c>
      <c r="G52" s="498">
        <v>260000</v>
      </c>
      <c r="H52" s="498">
        <v>90000</v>
      </c>
      <c r="I52" s="498">
        <f t="shared" ref="I52:I60" si="5">J52+K52+L52</f>
        <v>311953</v>
      </c>
      <c r="J52" s="498">
        <v>0</v>
      </c>
      <c r="K52" s="498">
        <v>245275</v>
      </c>
      <c r="L52" s="668">
        <v>66678</v>
      </c>
      <c r="M52" s="672">
        <v>89</v>
      </c>
      <c r="N52" s="659">
        <v>39563</v>
      </c>
      <c r="O52" s="669" t="s">
        <v>1535</v>
      </c>
      <c r="P52" s="465" t="s">
        <v>1588</v>
      </c>
      <c r="Q52" s="672">
        <v>465</v>
      </c>
      <c r="R52" s="672">
        <v>0</v>
      </c>
      <c r="S52" s="672">
        <v>122.92</v>
      </c>
      <c r="T52" s="672">
        <v>0</v>
      </c>
      <c r="U52" s="463" t="s">
        <v>7437</v>
      </c>
      <c r="V52" s="463" t="s">
        <v>3158</v>
      </c>
      <c r="W52" s="498">
        <v>112024</v>
      </c>
      <c r="X52" s="463" t="s">
        <v>1532</v>
      </c>
      <c r="Y52" s="463" t="s">
        <v>1533</v>
      </c>
      <c r="Z52" s="463"/>
      <c r="AA52" s="463" t="s">
        <v>1596</v>
      </c>
      <c r="AB52" s="459" t="s">
        <v>1587</v>
      </c>
    </row>
    <row r="53" spans="1:28" ht="24" customHeight="1">
      <c r="A53" s="584"/>
      <c r="B53" s="460" t="s">
        <v>2201</v>
      </c>
      <c r="C53" s="458" t="s">
        <v>136</v>
      </c>
      <c r="D53" s="510" t="s">
        <v>3159</v>
      </c>
      <c r="E53" s="498">
        <f>F53+G53+H53</f>
        <v>26000</v>
      </c>
      <c r="F53" s="498">
        <v>0</v>
      </c>
      <c r="G53" s="498">
        <v>26000</v>
      </c>
      <c r="H53" s="498">
        <v>0</v>
      </c>
      <c r="I53" s="498">
        <f t="shared" si="5"/>
        <v>19887</v>
      </c>
      <c r="J53" s="498">
        <v>0</v>
      </c>
      <c r="K53" s="498">
        <v>19887</v>
      </c>
      <c r="L53" s="668">
        <v>0</v>
      </c>
      <c r="M53" s="672">
        <v>94</v>
      </c>
      <c r="N53" s="659">
        <v>3255</v>
      </c>
      <c r="O53" s="669" t="s">
        <v>1535</v>
      </c>
      <c r="P53" s="465" t="s">
        <v>1588</v>
      </c>
      <c r="Q53" s="672">
        <v>0</v>
      </c>
      <c r="R53" s="672">
        <v>0</v>
      </c>
      <c r="S53" s="672">
        <v>0</v>
      </c>
      <c r="T53" s="672">
        <v>0</v>
      </c>
      <c r="U53" s="463" t="s">
        <v>7438</v>
      </c>
      <c r="V53" s="463" t="s">
        <v>3160</v>
      </c>
      <c r="W53" s="498">
        <v>35629</v>
      </c>
      <c r="X53" s="463" t="s">
        <v>2199</v>
      </c>
      <c r="Y53" s="463" t="s">
        <v>3161</v>
      </c>
      <c r="Z53" s="463"/>
      <c r="AA53" s="463" t="s">
        <v>1596</v>
      </c>
      <c r="AB53" s="459" t="s">
        <v>1587</v>
      </c>
    </row>
    <row r="54" spans="1:28" ht="24" customHeight="1">
      <c r="A54" s="584"/>
      <c r="B54" s="460" t="s">
        <v>2201</v>
      </c>
      <c r="C54" s="458" t="s">
        <v>2086</v>
      </c>
      <c r="D54" s="510" t="s">
        <v>3162</v>
      </c>
      <c r="E54" s="498">
        <f t="shared" ref="E54:E60" si="6">F54+G54+H54</f>
        <v>12000</v>
      </c>
      <c r="F54" s="498">
        <v>0</v>
      </c>
      <c r="G54" s="498">
        <v>0</v>
      </c>
      <c r="H54" s="498">
        <v>12000</v>
      </c>
      <c r="I54" s="498">
        <f t="shared" si="5"/>
        <v>4976</v>
      </c>
      <c r="J54" s="498">
        <v>0</v>
      </c>
      <c r="K54" s="498">
        <v>0</v>
      </c>
      <c r="L54" s="668">
        <v>4976</v>
      </c>
      <c r="M54" s="672">
        <v>93</v>
      </c>
      <c r="N54" s="659">
        <v>839</v>
      </c>
      <c r="O54" s="669" t="s">
        <v>3163</v>
      </c>
      <c r="P54" s="463" t="s">
        <v>3163</v>
      </c>
      <c r="Q54" s="672">
        <v>0</v>
      </c>
      <c r="R54" s="672">
        <v>0</v>
      </c>
      <c r="S54" s="672">
        <v>0</v>
      </c>
      <c r="T54" s="672">
        <v>0</v>
      </c>
      <c r="U54" s="463" t="s">
        <v>7439</v>
      </c>
      <c r="V54" s="466" t="s">
        <v>3164</v>
      </c>
      <c r="W54" s="498">
        <v>13222</v>
      </c>
      <c r="X54" s="463" t="s">
        <v>1532</v>
      </c>
      <c r="Y54" s="463" t="s">
        <v>1404</v>
      </c>
      <c r="Z54" s="463"/>
      <c r="AA54" s="463" t="s">
        <v>1596</v>
      </c>
      <c r="AB54" s="459" t="s">
        <v>1587</v>
      </c>
    </row>
    <row r="55" spans="1:28" ht="24" customHeight="1">
      <c r="A55" s="584"/>
      <c r="B55" s="460" t="s">
        <v>2201</v>
      </c>
      <c r="C55" s="458" t="s">
        <v>134</v>
      </c>
      <c r="D55" s="510" t="s">
        <v>3165</v>
      </c>
      <c r="E55" s="498">
        <f t="shared" si="6"/>
        <v>240000</v>
      </c>
      <c r="F55" s="498">
        <v>0</v>
      </c>
      <c r="G55" s="498">
        <v>240000</v>
      </c>
      <c r="H55" s="498">
        <v>0</v>
      </c>
      <c r="I55" s="498">
        <f t="shared" si="5"/>
        <v>287742</v>
      </c>
      <c r="J55" s="498">
        <v>47742</v>
      </c>
      <c r="K55" s="498">
        <v>240000</v>
      </c>
      <c r="L55" s="668">
        <v>0</v>
      </c>
      <c r="M55" s="672">
        <v>87</v>
      </c>
      <c r="N55" s="659">
        <v>22080</v>
      </c>
      <c r="O55" s="669" t="s">
        <v>1535</v>
      </c>
      <c r="P55" s="465" t="s">
        <v>1588</v>
      </c>
      <c r="Q55" s="672">
        <v>0</v>
      </c>
      <c r="R55" s="672">
        <v>0</v>
      </c>
      <c r="S55" s="672">
        <v>37</v>
      </c>
      <c r="T55" s="672">
        <v>0</v>
      </c>
      <c r="U55" s="463" t="s">
        <v>7440</v>
      </c>
      <c r="V55" s="466" t="s">
        <v>3166</v>
      </c>
      <c r="W55" s="498">
        <v>74000</v>
      </c>
      <c r="X55" s="463" t="s">
        <v>1532</v>
      </c>
      <c r="Y55" s="463" t="s">
        <v>1533</v>
      </c>
      <c r="Z55" s="463"/>
      <c r="AA55" s="463" t="s">
        <v>1596</v>
      </c>
      <c r="AB55" s="459" t="s">
        <v>1587</v>
      </c>
    </row>
    <row r="56" spans="1:28" ht="24" customHeight="1">
      <c r="A56" s="584"/>
      <c r="B56" s="460" t="s">
        <v>2201</v>
      </c>
      <c r="C56" s="458" t="s">
        <v>135</v>
      </c>
      <c r="D56" s="510" t="s">
        <v>3167</v>
      </c>
      <c r="E56" s="498">
        <f t="shared" si="6"/>
        <v>30000</v>
      </c>
      <c r="F56" s="498">
        <v>0</v>
      </c>
      <c r="G56" s="498">
        <v>0</v>
      </c>
      <c r="H56" s="498">
        <v>30000</v>
      </c>
      <c r="I56" s="498">
        <f t="shared" si="5"/>
        <v>6498</v>
      </c>
      <c r="J56" s="498">
        <v>0</v>
      </c>
      <c r="K56" s="498">
        <v>0</v>
      </c>
      <c r="L56" s="668">
        <v>6498</v>
      </c>
      <c r="M56" s="672">
        <v>96</v>
      </c>
      <c r="N56" s="659">
        <v>909.5</v>
      </c>
      <c r="O56" s="669" t="s">
        <v>3168</v>
      </c>
      <c r="P56" s="463" t="s">
        <v>3168</v>
      </c>
      <c r="Q56" s="672">
        <v>0</v>
      </c>
      <c r="R56" s="672">
        <v>0</v>
      </c>
      <c r="S56" s="672">
        <v>0</v>
      </c>
      <c r="T56" s="672">
        <v>0</v>
      </c>
      <c r="U56" s="463" t="s">
        <v>7441</v>
      </c>
      <c r="V56" s="466" t="s">
        <v>3169</v>
      </c>
      <c r="W56" s="498">
        <v>50247</v>
      </c>
      <c r="X56" s="463" t="s">
        <v>2199</v>
      </c>
      <c r="Y56" s="463" t="s">
        <v>3161</v>
      </c>
      <c r="Z56" s="463"/>
      <c r="AA56" s="463" t="s">
        <v>1596</v>
      </c>
      <c r="AB56" s="459" t="s">
        <v>1587</v>
      </c>
    </row>
    <row r="57" spans="1:28" ht="24" customHeight="1">
      <c r="A57" s="584"/>
      <c r="B57" s="460" t="s">
        <v>2201</v>
      </c>
      <c r="C57" s="458" t="s">
        <v>2085</v>
      </c>
      <c r="D57" s="510" t="s">
        <v>3170</v>
      </c>
      <c r="E57" s="498">
        <f t="shared" si="6"/>
        <v>70000</v>
      </c>
      <c r="F57" s="498">
        <v>0</v>
      </c>
      <c r="G57" s="498">
        <v>0</v>
      </c>
      <c r="H57" s="498">
        <v>70000</v>
      </c>
      <c r="I57" s="498">
        <f t="shared" si="5"/>
        <v>58353</v>
      </c>
      <c r="J57" s="498">
        <v>0</v>
      </c>
      <c r="K57" s="498">
        <v>0</v>
      </c>
      <c r="L57" s="668">
        <v>58353</v>
      </c>
      <c r="M57" s="672">
        <v>97</v>
      </c>
      <c r="N57" s="659">
        <v>8416.7999999999993</v>
      </c>
      <c r="O57" s="669" t="s">
        <v>3171</v>
      </c>
      <c r="P57" s="463" t="s">
        <v>3171</v>
      </c>
      <c r="Q57" s="672">
        <v>0</v>
      </c>
      <c r="R57" s="672">
        <v>0</v>
      </c>
      <c r="S57" s="672">
        <v>0</v>
      </c>
      <c r="T57" s="672">
        <v>0</v>
      </c>
      <c r="U57" s="463" t="s">
        <v>7442</v>
      </c>
      <c r="V57" s="466" t="s">
        <v>3169</v>
      </c>
      <c r="W57" s="498">
        <v>80746</v>
      </c>
      <c r="X57" s="463" t="s">
        <v>2199</v>
      </c>
      <c r="Y57" s="463" t="s">
        <v>3161</v>
      </c>
      <c r="Z57" s="463"/>
      <c r="AA57" s="463" t="s">
        <v>1596</v>
      </c>
      <c r="AB57" s="459" t="s">
        <v>1587</v>
      </c>
    </row>
    <row r="58" spans="1:28" ht="24" customHeight="1">
      <c r="A58" s="584"/>
      <c r="B58" s="460" t="s">
        <v>2201</v>
      </c>
      <c r="C58" s="458" t="s">
        <v>2377</v>
      </c>
      <c r="D58" s="510" t="s">
        <v>3172</v>
      </c>
      <c r="E58" s="498">
        <f t="shared" si="6"/>
        <v>9000</v>
      </c>
      <c r="F58" s="498">
        <v>0</v>
      </c>
      <c r="G58" s="498">
        <v>9000</v>
      </c>
      <c r="H58" s="498">
        <v>0</v>
      </c>
      <c r="I58" s="498">
        <f t="shared" si="5"/>
        <v>8221</v>
      </c>
      <c r="J58" s="498">
        <v>0</v>
      </c>
      <c r="K58" s="498">
        <v>8221</v>
      </c>
      <c r="L58" s="668">
        <v>0</v>
      </c>
      <c r="M58" s="672">
        <v>97.7</v>
      </c>
      <c r="N58" s="659">
        <v>575</v>
      </c>
      <c r="O58" s="669" t="s">
        <v>3173</v>
      </c>
      <c r="P58" s="465" t="s">
        <v>1588</v>
      </c>
      <c r="Q58" s="672">
        <v>0</v>
      </c>
      <c r="R58" s="672">
        <v>0</v>
      </c>
      <c r="S58" s="672">
        <v>2.6240000000000001</v>
      </c>
      <c r="T58" s="672">
        <v>0</v>
      </c>
      <c r="U58" s="463" t="s">
        <v>7443</v>
      </c>
      <c r="V58" s="466" t="s">
        <v>3174</v>
      </c>
      <c r="W58" s="498">
        <v>28567</v>
      </c>
      <c r="X58" s="463" t="s">
        <v>1532</v>
      </c>
      <c r="Y58" s="463" t="s">
        <v>3161</v>
      </c>
      <c r="Z58" s="463"/>
      <c r="AA58" s="463" t="s">
        <v>1596</v>
      </c>
      <c r="AB58" s="459" t="s">
        <v>1587</v>
      </c>
    </row>
    <row r="59" spans="1:28" ht="24" customHeight="1">
      <c r="A59" s="584"/>
      <c r="B59" s="460" t="s">
        <v>675</v>
      </c>
      <c r="C59" s="458" t="s">
        <v>471</v>
      </c>
      <c r="D59" s="510" t="s">
        <v>3175</v>
      </c>
      <c r="E59" s="498">
        <f t="shared" si="6"/>
        <v>50</v>
      </c>
      <c r="F59" s="498">
        <v>0</v>
      </c>
      <c r="G59" s="498">
        <v>0</v>
      </c>
      <c r="H59" s="498">
        <v>50</v>
      </c>
      <c r="I59" s="498">
        <f t="shared" si="5"/>
        <v>17</v>
      </c>
      <c r="J59" s="498">
        <v>0</v>
      </c>
      <c r="K59" s="498">
        <v>0</v>
      </c>
      <c r="L59" s="668">
        <v>17</v>
      </c>
      <c r="M59" s="672">
        <v>96.35</v>
      </c>
      <c r="N59" s="659">
        <v>304.82</v>
      </c>
      <c r="O59" s="669" t="s">
        <v>3176</v>
      </c>
      <c r="P59" s="465" t="s">
        <v>3177</v>
      </c>
      <c r="Q59" s="672">
        <v>0</v>
      </c>
      <c r="R59" s="672">
        <v>0</v>
      </c>
      <c r="S59" s="672">
        <v>0</v>
      </c>
      <c r="T59" s="672">
        <v>0</v>
      </c>
      <c r="U59" s="463" t="s">
        <v>7444</v>
      </c>
      <c r="V59" s="466" t="s">
        <v>3178</v>
      </c>
      <c r="W59" s="498">
        <v>530</v>
      </c>
      <c r="X59" s="463" t="s">
        <v>2276</v>
      </c>
      <c r="Y59" s="463" t="s">
        <v>1533</v>
      </c>
      <c r="Z59" s="463"/>
      <c r="AA59" s="463" t="s">
        <v>1596</v>
      </c>
      <c r="AB59" s="459" t="s">
        <v>1587</v>
      </c>
    </row>
    <row r="60" spans="1:28" ht="24" customHeight="1">
      <c r="A60" s="583"/>
      <c r="B60" s="460" t="s">
        <v>675</v>
      </c>
      <c r="C60" s="458" t="s">
        <v>472</v>
      </c>
      <c r="D60" s="510" t="s">
        <v>3179</v>
      </c>
      <c r="E60" s="498">
        <f t="shared" si="6"/>
        <v>300</v>
      </c>
      <c r="F60" s="498">
        <v>0</v>
      </c>
      <c r="G60" s="498">
        <v>0</v>
      </c>
      <c r="H60" s="498">
        <v>300</v>
      </c>
      <c r="I60" s="498">
        <f t="shared" si="5"/>
        <v>28.07</v>
      </c>
      <c r="J60" s="498">
        <v>0</v>
      </c>
      <c r="K60" s="498">
        <v>0</v>
      </c>
      <c r="L60" s="668">
        <v>28.07</v>
      </c>
      <c r="M60" s="672">
        <v>91.7</v>
      </c>
      <c r="N60" s="659">
        <v>71.040000000000006</v>
      </c>
      <c r="O60" s="669" t="s">
        <v>3180</v>
      </c>
      <c r="P60" s="465" t="s">
        <v>3177</v>
      </c>
      <c r="Q60" s="672">
        <v>0</v>
      </c>
      <c r="R60" s="672">
        <v>0</v>
      </c>
      <c r="S60" s="672">
        <v>0</v>
      </c>
      <c r="T60" s="672">
        <v>0</v>
      </c>
      <c r="U60" s="463" t="s">
        <v>7444</v>
      </c>
      <c r="V60" s="466" t="s">
        <v>3181</v>
      </c>
      <c r="W60" s="498">
        <v>900</v>
      </c>
      <c r="X60" s="463" t="s">
        <v>2276</v>
      </c>
      <c r="Y60" s="463" t="s">
        <v>1533</v>
      </c>
      <c r="Z60" s="463"/>
      <c r="AA60" s="463" t="s">
        <v>1596</v>
      </c>
      <c r="AB60" s="459" t="s">
        <v>1587</v>
      </c>
    </row>
    <row r="61" spans="1:28" ht="24" customHeight="1">
      <c r="A61" s="584" t="s">
        <v>1798</v>
      </c>
      <c r="B61" s="458" t="s">
        <v>5932</v>
      </c>
      <c r="C61" s="579"/>
      <c r="D61" s="579"/>
      <c r="E61" s="498" t="s">
        <v>6101</v>
      </c>
      <c r="F61" s="498">
        <v>0</v>
      </c>
      <c r="G61" s="498" t="s">
        <v>6102</v>
      </c>
      <c r="H61" s="498" t="s">
        <v>6103</v>
      </c>
      <c r="I61" s="498" t="s">
        <v>6104</v>
      </c>
      <c r="J61" s="498">
        <v>0</v>
      </c>
      <c r="K61" s="498" t="s">
        <v>6105</v>
      </c>
      <c r="L61" s="668" t="s">
        <v>6106</v>
      </c>
      <c r="M61" s="672">
        <v>0</v>
      </c>
      <c r="N61" s="659" t="s">
        <v>6107</v>
      </c>
      <c r="O61" s="669" t="s">
        <v>1588</v>
      </c>
      <c r="P61" s="463" t="s">
        <v>1588</v>
      </c>
      <c r="Q61" s="672" t="s">
        <v>6108</v>
      </c>
      <c r="R61" s="672">
        <v>0</v>
      </c>
      <c r="S61" s="672" t="s">
        <v>6109</v>
      </c>
      <c r="T61" s="672" t="s">
        <v>6110</v>
      </c>
      <c r="U61" s="463"/>
      <c r="V61" s="463"/>
      <c r="W61" s="498">
        <f>SUM(W62:W66)</f>
        <v>285130</v>
      </c>
      <c r="X61" s="463"/>
      <c r="Y61" s="463"/>
      <c r="Z61" s="463"/>
      <c r="AA61" s="463"/>
      <c r="AB61" s="459"/>
    </row>
    <row r="62" spans="1:28" ht="24" customHeight="1">
      <c r="A62" s="582"/>
      <c r="B62" s="460" t="s">
        <v>2201</v>
      </c>
      <c r="C62" s="458" t="s">
        <v>3182</v>
      </c>
      <c r="D62" s="510" t="s">
        <v>3183</v>
      </c>
      <c r="E62" s="653">
        <f>SUM(F62:H62)</f>
        <v>600000</v>
      </c>
      <c r="F62" s="498">
        <v>0</v>
      </c>
      <c r="G62" s="498">
        <v>600000</v>
      </c>
      <c r="H62" s="498">
        <v>0</v>
      </c>
      <c r="I62" s="498">
        <f>SUM(J62:L62)</f>
        <v>556942</v>
      </c>
      <c r="J62" s="498">
        <v>0</v>
      </c>
      <c r="K62" s="498">
        <v>556942</v>
      </c>
      <c r="L62" s="668">
        <v>0</v>
      </c>
      <c r="M62" s="672">
        <v>86</v>
      </c>
      <c r="N62" s="659">
        <f>108.9*I62*M62*(1/100000)</f>
        <v>52159.846068000006</v>
      </c>
      <c r="O62" s="669" t="s">
        <v>1535</v>
      </c>
      <c r="P62" s="463" t="s">
        <v>1588</v>
      </c>
      <c r="Q62" s="672">
        <v>2881</v>
      </c>
      <c r="R62" s="672">
        <v>0</v>
      </c>
      <c r="S62" s="672">
        <v>392</v>
      </c>
      <c r="T62" s="672">
        <v>190</v>
      </c>
      <c r="U62" s="463" t="s">
        <v>3184</v>
      </c>
      <c r="V62" s="620">
        <v>33253</v>
      </c>
      <c r="W62" s="653">
        <v>177075</v>
      </c>
      <c r="X62" s="463" t="s">
        <v>2276</v>
      </c>
      <c r="Y62" s="463" t="s">
        <v>3185</v>
      </c>
      <c r="Z62" s="463" t="s">
        <v>1591</v>
      </c>
      <c r="AA62" s="463" t="s">
        <v>1591</v>
      </c>
      <c r="AB62" s="459" t="s">
        <v>1591</v>
      </c>
    </row>
    <row r="63" spans="1:28" ht="24" customHeight="1">
      <c r="A63" s="584"/>
      <c r="B63" s="460" t="s">
        <v>2201</v>
      </c>
      <c r="C63" s="458" t="s">
        <v>3186</v>
      </c>
      <c r="D63" s="510" t="s">
        <v>3187</v>
      </c>
      <c r="E63" s="653">
        <f>SUM(F63:H63)</f>
        <v>120000</v>
      </c>
      <c r="F63" s="498">
        <v>0</v>
      </c>
      <c r="G63" s="498">
        <v>60000</v>
      </c>
      <c r="H63" s="498">
        <v>60000</v>
      </c>
      <c r="I63" s="498">
        <f>SUM(J63:L63)</f>
        <v>109066</v>
      </c>
      <c r="J63" s="498">
        <v>0</v>
      </c>
      <c r="K63" s="498">
        <v>51166</v>
      </c>
      <c r="L63" s="668">
        <v>57900</v>
      </c>
      <c r="M63" s="672">
        <v>93.3</v>
      </c>
      <c r="N63" s="659">
        <f>112.4*I63*M63*(1/100000)</f>
        <v>11437.664167200001</v>
      </c>
      <c r="O63" s="669" t="s">
        <v>3188</v>
      </c>
      <c r="P63" s="463" t="s">
        <v>1588</v>
      </c>
      <c r="Q63" s="672">
        <v>0</v>
      </c>
      <c r="R63" s="672">
        <v>0</v>
      </c>
      <c r="S63" s="672">
        <v>284</v>
      </c>
      <c r="T63" s="672">
        <v>67</v>
      </c>
      <c r="U63" s="463" t="s">
        <v>3189</v>
      </c>
      <c r="V63" s="620">
        <v>36083</v>
      </c>
      <c r="W63" s="653">
        <v>107000</v>
      </c>
      <c r="X63" s="463" t="s">
        <v>626</v>
      </c>
      <c r="Y63" s="463" t="s">
        <v>3190</v>
      </c>
      <c r="Z63" s="463" t="s">
        <v>1591</v>
      </c>
      <c r="AA63" s="463" t="s">
        <v>1591</v>
      </c>
      <c r="AB63" s="459" t="s">
        <v>1591</v>
      </c>
    </row>
    <row r="64" spans="1:28" ht="24" customHeight="1">
      <c r="A64" s="584"/>
      <c r="B64" s="460" t="s">
        <v>675</v>
      </c>
      <c r="C64" s="458" t="s">
        <v>3191</v>
      </c>
      <c r="D64" s="510" t="s">
        <v>3192</v>
      </c>
      <c r="E64" s="653">
        <f>SUM(F64:H64)</f>
        <v>80</v>
      </c>
      <c r="F64" s="653">
        <v>0</v>
      </c>
      <c r="G64" s="653">
        <v>0</v>
      </c>
      <c r="H64" s="653">
        <v>80</v>
      </c>
      <c r="I64" s="653">
        <f>SUM(J64:L64)</f>
        <v>45</v>
      </c>
      <c r="J64" s="653">
        <v>0</v>
      </c>
      <c r="K64" s="653">
        <v>0</v>
      </c>
      <c r="L64" s="698">
        <v>45</v>
      </c>
      <c r="M64" s="674">
        <v>95</v>
      </c>
      <c r="N64" s="659">
        <f>45.8*I64*M64*(1/100000)</f>
        <v>1.9579500000000001</v>
      </c>
      <c r="O64" s="699" t="s">
        <v>3193</v>
      </c>
      <c r="P64" s="462" t="s">
        <v>1588</v>
      </c>
      <c r="Q64" s="672">
        <v>0</v>
      </c>
      <c r="R64" s="672">
        <v>0</v>
      </c>
      <c r="S64" s="672">
        <v>0</v>
      </c>
      <c r="T64" s="672">
        <v>0</v>
      </c>
      <c r="U64" s="463" t="s">
        <v>3194</v>
      </c>
      <c r="V64" s="518">
        <v>38293</v>
      </c>
      <c r="W64" s="653">
        <v>343</v>
      </c>
      <c r="X64" s="462" t="s">
        <v>2193</v>
      </c>
      <c r="Y64" s="462" t="s">
        <v>3195</v>
      </c>
      <c r="Z64" s="462" t="s">
        <v>3196</v>
      </c>
      <c r="AA64" s="462" t="s">
        <v>1591</v>
      </c>
      <c r="AB64" s="467" t="s">
        <v>1591</v>
      </c>
    </row>
    <row r="65" spans="1:28" ht="24" customHeight="1">
      <c r="A65" s="584"/>
      <c r="B65" s="460" t="s">
        <v>675</v>
      </c>
      <c r="C65" s="458" t="s">
        <v>3197</v>
      </c>
      <c r="D65" s="510" t="s">
        <v>3198</v>
      </c>
      <c r="E65" s="653">
        <f>SUM(F65:H65)</f>
        <v>50</v>
      </c>
      <c r="F65" s="653">
        <v>0</v>
      </c>
      <c r="G65" s="653">
        <v>50</v>
      </c>
      <c r="H65" s="653">
        <v>0</v>
      </c>
      <c r="I65" s="653">
        <f>SUM(J65:L65)</f>
        <v>30</v>
      </c>
      <c r="J65" s="653">
        <v>0</v>
      </c>
      <c r="K65" s="653">
        <v>30</v>
      </c>
      <c r="L65" s="698">
        <v>0</v>
      </c>
      <c r="M65" s="674">
        <v>86</v>
      </c>
      <c r="N65" s="659">
        <f>39.99*I65*M65*(1/100000)</f>
        <v>1.0317420000000002</v>
      </c>
      <c r="O65" s="699" t="s">
        <v>3199</v>
      </c>
      <c r="P65" s="463" t="s">
        <v>1588</v>
      </c>
      <c r="Q65" s="672">
        <v>0</v>
      </c>
      <c r="R65" s="672">
        <v>0</v>
      </c>
      <c r="S65" s="672">
        <v>0</v>
      </c>
      <c r="T65" s="672">
        <v>0</v>
      </c>
      <c r="U65" s="463" t="s">
        <v>3200</v>
      </c>
      <c r="V65" s="518">
        <v>37042</v>
      </c>
      <c r="W65" s="653">
        <v>300</v>
      </c>
      <c r="X65" s="462" t="s">
        <v>2193</v>
      </c>
      <c r="Y65" s="462" t="s">
        <v>1533</v>
      </c>
      <c r="Z65" s="462" t="s">
        <v>1893</v>
      </c>
      <c r="AA65" s="462" t="s">
        <v>1591</v>
      </c>
      <c r="AB65" s="467" t="s">
        <v>1591</v>
      </c>
    </row>
    <row r="66" spans="1:28" ht="24" customHeight="1">
      <c r="A66" s="583"/>
      <c r="B66" s="460" t="s">
        <v>675</v>
      </c>
      <c r="C66" s="458" t="s">
        <v>3201</v>
      </c>
      <c r="D66" s="510" t="s">
        <v>3202</v>
      </c>
      <c r="E66" s="653">
        <f>SUM(F66:H66)</f>
        <v>60</v>
      </c>
      <c r="F66" s="653">
        <v>0</v>
      </c>
      <c r="G66" s="653">
        <v>0</v>
      </c>
      <c r="H66" s="653">
        <v>60</v>
      </c>
      <c r="I66" s="653">
        <f>SUM(J66:L66)</f>
        <v>47</v>
      </c>
      <c r="J66" s="653">
        <v>0</v>
      </c>
      <c r="K66" s="653">
        <v>0</v>
      </c>
      <c r="L66" s="698">
        <v>47</v>
      </c>
      <c r="M66" s="674">
        <v>93.7</v>
      </c>
      <c r="N66" s="659">
        <f>54.33*I66*M66*(1/100000)</f>
        <v>2.3926388699999999</v>
      </c>
      <c r="O66" s="699" t="s">
        <v>3193</v>
      </c>
      <c r="P66" s="462" t="s">
        <v>1588</v>
      </c>
      <c r="Q66" s="672">
        <v>0</v>
      </c>
      <c r="R66" s="672">
        <v>0</v>
      </c>
      <c r="S66" s="672">
        <v>0</v>
      </c>
      <c r="T66" s="672">
        <v>0</v>
      </c>
      <c r="U66" s="463" t="s">
        <v>3200</v>
      </c>
      <c r="V66" s="518">
        <v>38721</v>
      </c>
      <c r="W66" s="653">
        <v>412</v>
      </c>
      <c r="X66" s="462" t="s">
        <v>2193</v>
      </c>
      <c r="Y66" s="462" t="s">
        <v>3195</v>
      </c>
      <c r="Z66" s="462" t="s">
        <v>1893</v>
      </c>
      <c r="AA66" s="462" t="s">
        <v>1591</v>
      </c>
      <c r="AB66" s="467" t="s">
        <v>1591</v>
      </c>
    </row>
    <row r="67" spans="1:28" ht="24" customHeight="1">
      <c r="A67" s="584" t="s">
        <v>1972</v>
      </c>
      <c r="B67" s="458" t="s">
        <v>5933</v>
      </c>
      <c r="C67" s="579"/>
      <c r="D67" s="579"/>
      <c r="E67" s="498" t="s">
        <v>6111</v>
      </c>
      <c r="F67" s="498">
        <v>0</v>
      </c>
      <c r="G67" s="498" t="s">
        <v>6112</v>
      </c>
      <c r="H67" s="498" t="s">
        <v>6113</v>
      </c>
      <c r="I67" s="498" t="s">
        <v>6114</v>
      </c>
      <c r="J67" s="498">
        <v>0</v>
      </c>
      <c r="K67" s="498" t="s">
        <v>6115</v>
      </c>
      <c r="L67" s="668" t="s">
        <v>6116</v>
      </c>
      <c r="M67" s="672">
        <v>0</v>
      </c>
      <c r="N67" s="659" t="s">
        <v>6117</v>
      </c>
      <c r="O67" s="669" t="s">
        <v>1588</v>
      </c>
      <c r="P67" s="463" t="s">
        <v>1588</v>
      </c>
      <c r="Q67" s="672" t="s">
        <v>6118</v>
      </c>
      <c r="R67" s="672">
        <v>0</v>
      </c>
      <c r="S67" s="672" t="s">
        <v>6119</v>
      </c>
      <c r="T67" s="672">
        <v>0</v>
      </c>
      <c r="U67" s="463"/>
      <c r="V67" s="463"/>
      <c r="W67" s="498">
        <f>SUM(W68:W69)</f>
        <v>313967</v>
      </c>
      <c r="X67" s="463"/>
      <c r="Y67" s="463"/>
      <c r="Z67" s="463"/>
      <c r="AA67" s="463"/>
      <c r="AB67" s="459"/>
    </row>
    <row r="68" spans="1:28" ht="24" customHeight="1">
      <c r="A68" s="582"/>
      <c r="B68" s="460" t="s">
        <v>2201</v>
      </c>
      <c r="C68" s="458" t="s">
        <v>2379</v>
      </c>
      <c r="D68" s="510" t="s">
        <v>3203</v>
      </c>
      <c r="E68" s="498">
        <f>F68+G68+H68</f>
        <v>900000</v>
      </c>
      <c r="F68" s="498">
        <v>0</v>
      </c>
      <c r="G68" s="498">
        <v>900000</v>
      </c>
      <c r="H68" s="498">
        <v>0</v>
      </c>
      <c r="I68" s="498">
        <f>J68+K68+L68</f>
        <v>621953</v>
      </c>
      <c r="J68" s="498">
        <v>0</v>
      </c>
      <c r="K68" s="498">
        <v>621953</v>
      </c>
      <c r="L68" s="668">
        <v>0</v>
      </c>
      <c r="M68" s="672">
        <v>89</v>
      </c>
      <c r="N68" s="659">
        <v>5197723</v>
      </c>
      <c r="O68" s="669" t="s">
        <v>1535</v>
      </c>
      <c r="P68" s="463" t="s">
        <v>1588</v>
      </c>
      <c r="Q68" s="672">
        <v>917</v>
      </c>
      <c r="R68" s="672">
        <v>0</v>
      </c>
      <c r="S68" s="672">
        <v>565</v>
      </c>
      <c r="T68" s="672">
        <v>0</v>
      </c>
      <c r="U68" s="463" t="s">
        <v>7445</v>
      </c>
      <c r="V68" s="463" t="s">
        <v>3204</v>
      </c>
      <c r="W68" s="498">
        <v>306358</v>
      </c>
      <c r="X68" s="463" t="s">
        <v>3205</v>
      </c>
      <c r="Y68" s="466" t="s">
        <v>1588</v>
      </c>
      <c r="Z68" s="463" t="s">
        <v>3206</v>
      </c>
      <c r="AA68" s="463" t="s">
        <v>1592</v>
      </c>
      <c r="AB68" s="459" t="s">
        <v>1592</v>
      </c>
    </row>
    <row r="69" spans="1:28" ht="24" customHeight="1">
      <c r="A69" s="583"/>
      <c r="B69" s="460" t="s">
        <v>2201</v>
      </c>
      <c r="C69" s="458" t="s">
        <v>465</v>
      </c>
      <c r="D69" s="510" t="s">
        <v>3207</v>
      </c>
      <c r="E69" s="498">
        <f>F69+G69+H69</f>
        <v>1000</v>
      </c>
      <c r="F69" s="498">
        <v>0</v>
      </c>
      <c r="G69" s="498">
        <v>0</v>
      </c>
      <c r="H69" s="653">
        <v>1000</v>
      </c>
      <c r="I69" s="498">
        <f>J69+K69+L69</f>
        <v>290</v>
      </c>
      <c r="J69" s="498">
        <v>0</v>
      </c>
      <c r="K69" s="498">
        <v>0</v>
      </c>
      <c r="L69" s="668">
        <v>290</v>
      </c>
      <c r="M69" s="672">
        <v>2.1</v>
      </c>
      <c r="N69" s="659">
        <v>652761</v>
      </c>
      <c r="O69" s="669" t="s">
        <v>3208</v>
      </c>
      <c r="P69" s="463" t="s">
        <v>1588</v>
      </c>
      <c r="Q69" s="672">
        <v>0</v>
      </c>
      <c r="R69" s="672">
        <v>0</v>
      </c>
      <c r="S69" s="672">
        <v>0</v>
      </c>
      <c r="T69" s="672">
        <v>0</v>
      </c>
      <c r="U69" s="463" t="s">
        <v>7446</v>
      </c>
      <c r="V69" s="463" t="s">
        <v>3209</v>
      </c>
      <c r="W69" s="653">
        <v>7609</v>
      </c>
      <c r="X69" s="463" t="s">
        <v>3205</v>
      </c>
      <c r="Y69" s="463" t="s">
        <v>3161</v>
      </c>
      <c r="Z69" s="463" t="s">
        <v>3206</v>
      </c>
      <c r="AA69" s="463" t="s">
        <v>1592</v>
      </c>
      <c r="AB69" s="459" t="s">
        <v>1592</v>
      </c>
    </row>
    <row r="70" spans="1:28" ht="24" customHeight="1">
      <c r="A70" s="584" t="s">
        <v>1973</v>
      </c>
      <c r="B70" s="458" t="s">
        <v>5934</v>
      </c>
      <c r="C70" s="579"/>
      <c r="D70" s="579"/>
      <c r="E70" s="498" t="s">
        <v>6120</v>
      </c>
      <c r="F70" s="498">
        <v>0</v>
      </c>
      <c r="G70" s="498" t="s">
        <v>6121</v>
      </c>
      <c r="H70" s="498" t="s">
        <v>6122</v>
      </c>
      <c r="I70" s="498" t="s">
        <v>6123</v>
      </c>
      <c r="J70" s="498">
        <v>0</v>
      </c>
      <c r="K70" s="498" t="s">
        <v>6124</v>
      </c>
      <c r="L70" s="668" t="s">
        <v>6125</v>
      </c>
      <c r="M70" s="672">
        <v>0</v>
      </c>
      <c r="N70" s="659" t="s">
        <v>6126</v>
      </c>
      <c r="O70" s="669" t="s">
        <v>1588</v>
      </c>
      <c r="P70" s="463" t="s">
        <v>1588</v>
      </c>
      <c r="Q70" s="672" t="s">
        <v>6127</v>
      </c>
      <c r="R70" s="672">
        <v>0</v>
      </c>
      <c r="S70" s="672" t="s">
        <v>6128</v>
      </c>
      <c r="T70" s="672" t="s">
        <v>6129</v>
      </c>
      <c r="U70" s="463"/>
      <c r="V70" s="463"/>
      <c r="W70" s="498">
        <f>SUM(W71:W81)</f>
        <v>308362</v>
      </c>
      <c r="X70" s="463"/>
      <c r="Y70" s="463"/>
      <c r="Z70" s="463"/>
      <c r="AA70" s="463"/>
      <c r="AB70" s="459"/>
    </row>
    <row r="71" spans="1:28" ht="24" customHeight="1">
      <c r="A71" s="582"/>
      <c r="B71" s="460" t="s">
        <v>2201</v>
      </c>
      <c r="C71" s="458" t="s">
        <v>2089</v>
      </c>
      <c r="D71" s="510" t="s">
        <v>3210</v>
      </c>
      <c r="E71" s="498">
        <f t="shared" ref="E71:E81" si="7">SUM(F71:H71)</f>
        <v>250000</v>
      </c>
      <c r="F71" s="498">
        <v>0</v>
      </c>
      <c r="G71" s="498">
        <v>250000</v>
      </c>
      <c r="H71" s="498">
        <v>0</v>
      </c>
      <c r="I71" s="498">
        <f t="shared" ref="I71:I81" si="8">SUM(J71:L71)</f>
        <v>235356</v>
      </c>
      <c r="J71" s="498">
        <v>0</v>
      </c>
      <c r="K71" s="498">
        <v>235356</v>
      </c>
      <c r="L71" s="668" t="s">
        <v>3211</v>
      </c>
      <c r="M71" s="672">
        <v>89.5</v>
      </c>
      <c r="N71" s="659">
        <f>(105.2*235356*M71*1/1000)</f>
        <v>2215970.8824</v>
      </c>
      <c r="O71" s="702" t="s">
        <v>1535</v>
      </c>
      <c r="P71" s="468" t="s">
        <v>1588</v>
      </c>
      <c r="Q71" s="672">
        <v>123</v>
      </c>
      <c r="R71" s="672">
        <v>0</v>
      </c>
      <c r="S71" s="672">
        <v>260</v>
      </c>
      <c r="T71" s="672">
        <v>0</v>
      </c>
      <c r="U71" s="468" t="s">
        <v>7447</v>
      </c>
      <c r="V71" s="468">
        <v>34929</v>
      </c>
      <c r="W71" s="653">
        <v>154425</v>
      </c>
      <c r="X71" s="468" t="s">
        <v>1532</v>
      </c>
      <c r="Y71" s="468" t="s">
        <v>3161</v>
      </c>
      <c r="Z71" s="468"/>
      <c r="AA71" s="468" t="s">
        <v>1915</v>
      </c>
      <c r="AB71" s="469" t="s">
        <v>1537</v>
      </c>
    </row>
    <row r="72" spans="1:28" ht="24" customHeight="1">
      <c r="A72" s="584"/>
      <c r="B72" s="460" t="s">
        <v>2201</v>
      </c>
      <c r="C72" s="458" t="s">
        <v>2091</v>
      </c>
      <c r="D72" s="510" t="s">
        <v>3212</v>
      </c>
      <c r="E72" s="498">
        <f t="shared" si="7"/>
        <v>150000</v>
      </c>
      <c r="F72" s="498">
        <v>0</v>
      </c>
      <c r="G72" s="498">
        <v>150000</v>
      </c>
      <c r="H72" s="498">
        <v>0</v>
      </c>
      <c r="I72" s="498">
        <f t="shared" si="8"/>
        <v>69835</v>
      </c>
      <c r="J72" s="498">
        <v>0</v>
      </c>
      <c r="K72" s="498">
        <v>69835</v>
      </c>
      <c r="L72" s="668">
        <v>0</v>
      </c>
      <c r="M72" s="672">
        <v>87</v>
      </c>
      <c r="N72" s="659">
        <v>5426</v>
      </c>
      <c r="O72" s="702" t="s">
        <v>1535</v>
      </c>
      <c r="P72" s="468" t="s">
        <v>1588</v>
      </c>
      <c r="Q72" s="672">
        <v>0</v>
      </c>
      <c r="R72" s="672">
        <v>0</v>
      </c>
      <c r="S72" s="672">
        <v>333</v>
      </c>
      <c r="T72" s="672">
        <v>0</v>
      </c>
      <c r="U72" s="468" t="s">
        <v>7448</v>
      </c>
      <c r="V72" s="468" t="s">
        <v>3213</v>
      </c>
      <c r="W72" s="498">
        <v>58302</v>
      </c>
      <c r="X72" s="468" t="s">
        <v>1532</v>
      </c>
      <c r="Y72" s="468"/>
      <c r="Z72" s="468"/>
      <c r="AA72" s="468" t="s">
        <v>1915</v>
      </c>
      <c r="AB72" s="469" t="s">
        <v>1537</v>
      </c>
    </row>
    <row r="73" spans="1:28" ht="24" customHeight="1">
      <c r="A73" s="584"/>
      <c r="B73" s="460" t="s">
        <v>2201</v>
      </c>
      <c r="C73" s="458" t="s">
        <v>2094</v>
      </c>
      <c r="D73" s="510" t="s">
        <v>3214</v>
      </c>
      <c r="E73" s="498">
        <f t="shared" si="7"/>
        <v>60000</v>
      </c>
      <c r="F73" s="498">
        <v>0</v>
      </c>
      <c r="G73" s="498">
        <v>0</v>
      </c>
      <c r="H73" s="653">
        <v>60000</v>
      </c>
      <c r="I73" s="498">
        <f t="shared" si="8"/>
        <v>19234</v>
      </c>
      <c r="J73" s="498">
        <v>0</v>
      </c>
      <c r="K73" s="498">
        <v>0</v>
      </c>
      <c r="L73" s="668">
        <v>19234</v>
      </c>
      <c r="M73" s="672">
        <v>98.1</v>
      </c>
      <c r="N73" s="659">
        <v>1617</v>
      </c>
      <c r="O73" s="702" t="s">
        <v>3215</v>
      </c>
      <c r="P73" s="468" t="s">
        <v>3215</v>
      </c>
      <c r="Q73" s="672">
        <v>0</v>
      </c>
      <c r="R73" s="672">
        <v>0</v>
      </c>
      <c r="S73" s="672">
        <v>0</v>
      </c>
      <c r="T73" s="672">
        <v>0</v>
      </c>
      <c r="U73" s="468" t="s">
        <v>7449</v>
      </c>
      <c r="V73" s="468" t="s">
        <v>3216</v>
      </c>
      <c r="W73" s="498">
        <v>72804</v>
      </c>
      <c r="X73" s="468" t="s">
        <v>2276</v>
      </c>
      <c r="Y73" s="468" t="s">
        <v>3161</v>
      </c>
      <c r="Z73" s="468"/>
      <c r="AA73" s="468" t="s">
        <v>1896</v>
      </c>
      <c r="AB73" s="469" t="s">
        <v>1537</v>
      </c>
    </row>
    <row r="74" spans="1:28" ht="24" customHeight="1">
      <c r="A74" s="584"/>
      <c r="B74" s="460" t="s">
        <v>2201</v>
      </c>
      <c r="C74" s="458" t="s">
        <v>139</v>
      </c>
      <c r="D74" s="510" t="s">
        <v>3217</v>
      </c>
      <c r="E74" s="498">
        <f t="shared" si="7"/>
        <v>32000</v>
      </c>
      <c r="F74" s="498">
        <v>0</v>
      </c>
      <c r="G74" s="498">
        <v>32000</v>
      </c>
      <c r="H74" s="498">
        <v>0</v>
      </c>
      <c r="I74" s="498">
        <f t="shared" si="8"/>
        <v>31403</v>
      </c>
      <c r="J74" s="498">
        <v>0</v>
      </c>
      <c r="K74" s="498">
        <v>31403</v>
      </c>
      <c r="L74" s="668">
        <v>0</v>
      </c>
      <c r="M74" s="672">
        <v>95.2</v>
      </c>
      <c r="N74" s="659">
        <v>4126.3999999999996</v>
      </c>
      <c r="O74" s="702" t="s">
        <v>1535</v>
      </c>
      <c r="P74" s="468" t="s">
        <v>1588</v>
      </c>
      <c r="Q74" s="672">
        <v>0</v>
      </c>
      <c r="R74" s="672">
        <v>0</v>
      </c>
      <c r="S74" s="672">
        <v>0</v>
      </c>
      <c r="T74" s="672">
        <v>0</v>
      </c>
      <c r="U74" s="703" t="s">
        <v>7450</v>
      </c>
      <c r="V74" s="468" t="s">
        <v>3218</v>
      </c>
      <c r="W74" s="498">
        <v>11808</v>
      </c>
      <c r="X74" s="468" t="s">
        <v>2276</v>
      </c>
      <c r="Y74" s="468" t="s">
        <v>3161</v>
      </c>
      <c r="Z74" s="468"/>
      <c r="AA74" s="468" t="s">
        <v>3219</v>
      </c>
      <c r="AB74" s="469"/>
    </row>
    <row r="75" spans="1:28" ht="24" customHeight="1">
      <c r="A75" s="584"/>
      <c r="B75" s="460" t="s">
        <v>2201</v>
      </c>
      <c r="C75" s="458" t="s">
        <v>2097</v>
      </c>
      <c r="D75" s="510" t="s">
        <v>3220</v>
      </c>
      <c r="E75" s="498">
        <f t="shared" si="7"/>
        <v>4600</v>
      </c>
      <c r="F75" s="498">
        <v>0</v>
      </c>
      <c r="G75" s="498">
        <v>4600</v>
      </c>
      <c r="H75" s="498">
        <v>0</v>
      </c>
      <c r="I75" s="498">
        <f t="shared" si="8"/>
        <v>1492</v>
      </c>
      <c r="J75" s="498">
        <v>0</v>
      </c>
      <c r="K75" s="498">
        <v>1492</v>
      </c>
      <c r="L75" s="668">
        <v>0</v>
      </c>
      <c r="M75" s="672">
        <v>89.7</v>
      </c>
      <c r="N75" s="659">
        <v>206.8</v>
      </c>
      <c r="O75" s="702" t="s">
        <v>3221</v>
      </c>
      <c r="P75" s="468" t="s">
        <v>1588</v>
      </c>
      <c r="Q75" s="672">
        <v>0</v>
      </c>
      <c r="R75" s="672">
        <v>0</v>
      </c>
      <c r="S75" s="672">
        <v>0</v>
      </c>
      <c r="T75" s="672">
        <v>0</v>
      </c>
      <c r="U75" s="468" t="s">
        <v>7451</v>
      </c>
      <c r="V75" s="468" t="s">
        <v>3222</v>
      </c>
      <c r="W75" s="498">
        <v>2787</v>
      </c>
      <c r="X75" s="468" t="s">
        <v>2276</v>
      </c>
      <c r="Y75" s="468" t="s">
        <v>3161</v>
      </c>
      <c r="Z75" s="468" t="s">
        <v>1906</v>
      </c>
      <c r="AA75" s="468" t="s">
        <v>1896</v>
      </c>
      <c r="AB75" s="469"/>
    </row>
    <row r="76" spans="1:28" ht="24" customHeight="1">
      <c r="A76" s="584"/>
      <c r="B76" s="460" t="s">
        <v>2201</v>
      </c>
      <c r="C76" s="458" t="s">
        <v>2099</v>
      </c>
      <c r="D76" s="510" t="s">
        <v>3223</v>
      </c>
      <c r="E76" s="498">
        <f t="shared" si="7"/>
        <v>100000</v>
      </c>
      <c r="F76" s="498">
        <v>0</v>
      </c>
      <c r="G76" s="498">
        <v>0</v>
      </c>
      <c r="H76" s="498">
        <v>100000</v>
      </c>
      <c r="I76" s="498">
        <f t="shared" si="8"/>
        <v>52228</v>
      </c>
      <c r="J76" s="498">
        <v>0</v>
      </c>
      <c r="K76" s="498">
        <v>0</v>
      </c>
      <c r="L76" s="668">
        <v>52228</v>
      </c>
      <c r="M76" s="672">
        <v>95.1</v>
      </c>
      <c r="N76" s="659">
        <v>518046</v>
      </c>
      <c r="O76" s="702" t="s">
        <v>2197</v>
      </c>
      <c r="P76" s="468" t="s">
        <v>1588</v>
      </c>
      <c r="Q76" s="672">
        <v>0</v>
      </c>
      <c r="R76" s="672">
        <v>0</v>
      </c>
      <c r="S76" s="672">
        <v>0</v>
      </c>
      <c r="T76" s="672">
        <v>17.96</v>
      </c>
      <c r="U76" s="468" t="s">
        <v>7452</v>
      </c>
      <c r="V76" s="470" t="s">
        <v>2100</v>
      </c>
      <c r="W76" s="578"/>
      <c r="X76" s="468" t="s">
        <v>2199</v>
      </c>
      <c r="Y76" s="468" t="s">
        <v>3224</v>
      </c>
      <c r="Z76" s="468"/>
      <c r="AA76" s="468" t="s">
        <v>1915</v>
      </c>
      <c r="AB76" s="469" t="s">
        <v>1537</v>
      </c>
    </row>
    <row r="77" spans="1:28" ht="24" customHeight="1">
      <c r="A77" s="584"/>
      <c r="B77" s="460" t="s">
        <v>675</v>
      </c>
      <c r="C77" s="458" t="s">
        <v>1662</v>
      </c>
      <c r="D77" s="510" t="s">
        <v>3225</v>
      </c>
      <c r="E77" s="498">
        <f t="shared" si="7"/>
        <v>70</v>
      </c>
      <c r="F77" s="498">
        <v>0</v>
      </c>
      <c r="G77" s="498">
        <v>70</v>
      </c>
      <c r="H77" s="498">
        <v>0</v>
      </c>
      <c r="I77" s="498">
        <f t="shared" si="8"/>
        <v>40</v>
      </c>
      <c r="J77" s="498">
        <v>0</v>
      </c>
      <c r="K77" s="498">
        <v>40</v>
      </c>
      <c r="L77" s="668">
        <v>0</v>
      </c>
      <c r="M77" s="672">
        <v>57</v>
      </c>
      <c r="N77" s="659">
        <v>1.9</v>
      </c>
      <c r="O77" s="702" t="s">
        <v>3226</v>
      </c>
      <c r="P77" s="468" t="s">
        <v>1588</v>
      </c>
      <c r="Q77" s="672">
        <v>0</v>
      </c>
      <c r="R77" s="672">
        <v>0</v>
      </c>
      <c r="S77" s="672">
        <v>0</v>
      </c>
      <c r="T77" s="672">
        <v>0</v>
      </c>
      <c r="U77" s="468" t="s">
        <v>7453</v>
      </c>
      <c r="V77" s="471" t="s">
        <v>3227</v>
      </c>
      <c r="W77" s="498">
        <v>569</v>
      </c>
      <c r="X77" s="468" t="s">
        <v>2193</v>
      </c>
      <c r="Y77" s="468"/>
      <c r="Z77" s="468"/>
      <c r="AA77" s="468" t="s">
        <v>1915</v>
      </c>
      <c r="AB77" s="469" t="s">
        <v>1537</v>
      </c>
    </row>
    <row r="78" spans="1:28" ht="24" customHeight="1">
      <c r="A78" s="584"/>
      <c r="B78" s="460" t="s">
        <v>675</v>
      </c>
      <c r="C78" s="458" t="s">
        <v>3228</v>
      </c>
      <c r="D78" s="510" t="s">
        <v>3229</v>
      </c>
      <c r="E78" s="498">
        <f t="shared" si="7"/>
        <v>200</v>
      </c>
      <c r="F78" s="498">
        <v>0</v>
      </c>
      <c r="G78" s="498">
        <v>200</v>
      </c>
      <c r="H78" s="498">
        <v>0</v>
      </c>
      <c r="I78" s="498">
        <f t="shared" si="8"/>
        <v>102</v>
      </c>
      <c r="J78" s="498">
        <v>0</v>
      </c>
      <c r="K78" s="498">
        <v>102</v>
      </c>
      <c r="L78" s="668">
        <v>0</v>
      </c>
      <c r="M78" s="672">
        <v>98</v>
      </c>
      <c r="N78" s="659">
        <v>0.6</v>
      </c>
      <c r="O78" s="702" t="s">
        <v>3230</v>
      </c>
      <c r="P78" s="468" t="s">
        <v>1588</v>
      </c>
      <c r="Q78" s="672">
        <v>0</v>
      </c>
      <c r="R78" s="672">
        <v>0</v>
      </c>
      <c r="S78" s="672">
        <v>0</v>
      </c>
      <c r="T78" s="672">
        <v>0</v>
      </c>
      <c r="U78" s="468" t="s">
        <v>7454</v>
      </c>
      <c r="V78" s="471" t="s">
        <v>3231</v>
      </c>
      <c r="W78" s="498">
        <v>600</v>
      </c>
      <c r="X78" s="468" t="s">
        <v>2276</v>
      </c>
      <c r="Y78" s="468" t="s">
        <v>3232</v>
      </c>
      <c r="Z78" s="468"/>
      <c r="AA78" s="468" t="s">
        <v>1915</v>
      </c>
      <c r="AB78" s="469" t="s">
        <v>1537</v>
      </c>
    </row>
    <row r="79" spans="1:28" ht="24" customHeight="1">
      <c r="A79" s="584"/>
      <c r="B79" s="460" t="s">
        <v>675</v>
      </c>
      <c r="C79" s="458" t="s">
        <v>3233</v>
      </c>
      <c r="D79" s="510" t="s">
        <v>3234</v>
      </c>
      <c r="E79" s="498">
        <f t="shared" si="7"/>
        <v>460</v>
      </c>
      <c r="F79" s="498">
        <v>0</v>
      </c>
      <c r="G79" s="498">
        <v>460</v>
      </c>
      <c r="H79" s="498">
        <v>0</v>
      </c>
      <c r="I79" s="498">
        <f t="shared" si="8"/>
        <v>137</v>
      </c>
      <c r="J79" s="498">
        <v>0</v>
      </c>
      <c r="K79" s="498">
        <v>137</v>
      </c>
      <c r="L79" s="668">
        <v>0</v>
      </c>
      <c r="M79" s="672">
        <v>97</v>
      </c>
      <c r="N79" s="659">
        <v>0.7</v>
      </c>
      <c r="O79" s="702" t="s">
        <v>3230</v>
      </c>
      <c r="P79" s="468" t="s">
        <v>1588</v>
      </c>
      <c r="Q79" s="672">
        <v>0</v>
      </c>
      <c r="R79" s="672">
        <v>0</v>
      </c>
      <c r="S79" s="672">
        <v>0</v>
      </c>
      <c r="T79" s="672">
        <v>0</v>
      </c>
      <c r="U79" s="468" t="s">
        <v>3235</v>
      </c>
      <c r="V79" s="472" t="s">
        <v>3236</v>
      </c>
      <c r="W79" s="498">
        <v>3510</v>
      </c>
      <c r="X79" s="468" t="s">
        <v>2276</v>
      </c>
      <c r="Y79" s="468" t="s">
        <v>3232</v>
      </c>
      <c r="Z79" s="468"/>
      <c r="AA79" s="468" t="s">
        <v>1915</v>
      </c>
      <c r="AB79" s="469" t="s">
        <v>1537</v>
      </c>
    </row>
    <row r="80" spans="1:28" ht="24" customHeight="1">
      <c r="A80" s="584"/>
      <c r="B80" s="460" t="s">
        <v>675</v>
      </c>
      <c r="C80" s="458" t="s">
        <v>3237</v>
      </c>
      <c r="D80" s="510" t="s">
        <v>3238</v>
      </c>
      <c r="E80" s="498">
        <f t="shared" si="7"/>
        <v>250</v>
      </c>
      <c r="F80" s="498">
        <v>0</v>
      </c>
      <c r="G80" s="498">
        <v>250</v>
      </c>
      <c r="H80" s="498">
        <v>0</v>
      </c>
      <c r="I80" s="498">
        <f t="shared" si="8"/>
        <v>95</v>
      </c>
      <c r="J80" s="498">
        <v>0</v>
      </c>
      <c r="K80" s="498">
        <v>95</v>
      </c>
      <c r="L80" s="668">
        <v>0</v>
      </c>
      <c r="M80" s="672">
        <v>99</v>
      </c>
      <c r="N80" s="659">
        <v>0.4</v>
      </c>
      <c r="O80" s="702" t="s">
        <v>3230</v>
      </c>
      <c r="P80" s="468" t="s">
        <v>1588</v>
      </c>
      <c r="Q80" s="672">
        <v>0</v>
      </c>
      <c r="R80" s="672">
        <v>0</v>
      </c>
      <c r="S80" s="672">
        <v>0</v>
      </c>
      <c r="T80" s="672">
        <v>0</v>
      </c>
      <c r="U80" s="468" t="s">
        <v>3235</v>
      </c>
      <c r="V80" s="472" t="s">
        <v>3239</v>
      </c>
      <c r="W80" s="498">
        <v>770</v>
      </c>
      <c r="X80" s="468" t="s">
        <v>2276</v>
      </c>
      <c r="Y80" s="468" t="s">
        <v>3232</v>
      </c>
      <c r="Z80" s="468"/>
      <c r="AA80" s="468" t="s">
        <v>1915</v>
      </c>
      <c r="AB80" s="469" t="s">
        <v>1537</v>
      </c>
    </row>
    <row r="81" spans="1:28" ht="24" customHeight="1">
      <c r="A81" s="583"/>
      <c r="B81" s="460" t="s">
        <v>675</v>
      </c>
      <c r="C81" s="458" t="s">
        <v>3240</v>
      </c>
      <c r="D81" s="510" t="s">
        <v>3241</v>
      </c>
      <c r="E81" s="498">
        <f t="shared" si="7"/>
        <v>290</v>
      </c>
      <c r="F81" s="498">
        <v>0</v>
      </c>
      <c r="G81" s="498">
        <v>290</v>
      </c>
      <c r="H81" s="498">
        <v>0</v>
      </c>
      <c r="I81" s="498">
        <f t="shared" si="8"/>
        <v>165</v>
      </c>
      <c r="J81" s="498">
        <v>0</v>
      </c>
      <c r="K81" s="498">
        <v>165</v>
      </c>
      <c r="L81" s="668">
        <v>0</v>
      </c>
      <c r="M81" s="672">
        <v>97</v>
      </c>
      <c r="N81" s="659">
        <v>0.8</v>
      </c>
      <c r="O81" s="702" t="s">
        <v>3230</v>
      </c>
      <c r="P81" s="468" t="s">
        <v>1588</v>
      </c>
      <c r="Q81" s="672">
        <v>0</v>
      </c>
      <c r="R81" s="672">
        <v>0</v>
      </c>
      <c r="S81" s="672">
        <v>0</v>
      </c>
      <c r="T81" s="672">
        <v>0</v>
      </c>
      <c r="U81" s="468" t="s">
        <v>3235</v>
      </c>
      <c r="V81" s="472" t="s">
        <v>3242</v>
      </c>
      <c r="W81" s="498">
        <v>2787</v>
      </c>
      <c r="X81" s="468" t="s">
        <v>2276</v>
      </c>
      <c r="Y81" s="468" t="s">
        <v>3232</v>
      </c>
      <c r="Z81" s="468"/>
      <c r="AA81" s="468" t="s">
        <v>1915</v>
      </c>
      <c r="AB81" s="469" t="s">
        <v>1537</v>
      </c>
    </row>
    <row r="82" spans="1:28" ht="24" customHeight="1">
      <c r="A82" s="583" t="s">
        <v>1808</v>
      </c>
      <c r="B82" s="458" t="s">
        <v>5937</v>
      </c>
      <c r="C82" s="458"/>
      <c r="D82" s="510"/>
      <c r="E82" s="498" t="s">
        <v>7368</v>
      </c>
      <c r="F82" s="498">
        <v>0</v>
      </c>
      <c r="G82" s="498" t="s">
        <v>6296</v>
      </c>
      <c r="H82" s="498" t="s">
        <v>7369</v>
      </c>
      <c r="I82" s="498" t="s">
        <v>7390</v>
      </c>
      <c r="J82" s="498" t="s">
        <v>6134</v>
      </c>
      <c r="K82" s="498" t="s">
        <v>7391</v>
      </c>
      <c r="L82" s="668" t="s">
        <v>7392</v>
      </c>
      <c r="M82" s="672">
        <v>0</v>
      </c>
      <c r="N82" s="659" t="s">
        <v>7393</v>
      </c>
      <c r="O82" s="669" t="s">
        <v>1588</v>
      </c>
      <c r="P82" s="463" t="s">
        <v>1588</v>
      </c>
      <c r="Q82" s="672" t="s">
        <v>6297</v>
      </c>
      <c r="R82" s="672" t="s">
        <v>6299</v>
      </c>
      <c r="S82" s="672" t="s">
        <v>6300</v>
      </c>
      <c r="T82" s="672" t="s">
        <v>6302</v>
      </c>
      <c r="U82" s="463"/>
      <c r="V82" s="463"/>
      <c r="W82" s="498">
        <f>W83+W194</f>
        <v>3761110.2810000004</v>
      </c>
      <c r="X82" s="463"/>
      <c r="Y82" s="463"/>
      <c r="Z82" s="463"/>
      <c r="AA82" s="463"/>
      <c r="AB82" s="459"/>
    </row>
    <row r="83" spans="1:28" ht="24" customHeight="1">
      <c r="A83" s="582" t="s">
        <v>1674</v>
      </c>
      <c r="B83" s="453" t="s">
        <v>5935</v>
      </c>
      <c r="C83" s="579"/>
      <c r="D83" s="579"/>
      <c r="E83" s="498" t="s">
        <v>6130</v>
      </c>
      <c r="F83" s="498">
        <v>0</v>
      </c>
      <c r="G83" s="498" t="s">
        <v>6131</v>
      </c>
      <c r="H83" s="498" t="s">
        <v>6132</v>
      </c>
      <c r="I83" s="498" t="s">
        <v>6133</v>
      </c>
      <c r="J83" s="498" t="s">
        <v>6134</v>
      </c>
      <c r="K83" s="498" t="s">
        <v>6135</v>
      </c>
      <c r="L83" s="668" t="s">
        <v>6136</v>
      </c>
      <c r="M83" s="672">
        <v>0</v>
      </c>
      <c r="N83" s="659" t="s">
        <v>6137</v>
      </c>
      <c r="O83" s="669" t="s">
        <v>1588</v>
      </c>
      <c r="P83" s="463" t="s">
        <v>1588</v>
      </c>
      <c r="Q83" s="672" t="s">
        <v>6138</v>
      </c>
      <c r="R83" s="672" t="s">
        <v>6298</v>
      </c>
      <c r="S83" s="672" t="s">
        <v>6139</v>
      </c>
      <c r="T83" s="672" t="s">
        <v>6301</v>
      </c>
      <c r="U83" s="463"/>
      <c r="V83" s="463"/>
      <c r="W83" s="498">
        <f>SUM(W84:W193)</f>
        <v>3208386.0610000002</v>
      </c>
      <c r="X83" s="463"/>
      <c r="Y83" s="463"/>
      <c r="Z83" s="463"/>
      <c r="AA83" s="463"/>
      <c r="AB83" s="459"/>
    </row>
    <row r="84" spans="1:28" ht="24" customHeight="1">
      <c r="A84" s="586" t="s">
        <v>1809</v>
      </c>
      <c r="B84" s="615" t="s">
        <v>2201</v>
      </c>
      <c r="C84" s="704" t="s">
        <v>3243</v>
      </c>
      <c r="D84" s="705" t="s">
        <v>3244</v>
      </c>
      <c r="E84" s="654">
        <v>220000</v>
      </c>
      <c r="F84" s="654">
        <v>0</v>
      </c>
      <c r="G84" s="654">
        <v>220000</v>
      </c>
      <c r="H84" s="654">
        <v>0</v>
      </c>
      <c r="I84" s="654">
        <f t="shared" ref="I84:I92" si="9">SUM(J84:L84)</f>
        <v>208340</v>
      </c>
      <c r="J84" s="654">
        <v>0</v>
      </c>
      <c r="K84" s="654">
        <v>208340</v>
      </c>
      <c r="L84" s="706">
        <v>0</v>
      </c>
      <c r="M84" s="675">
        <v>100</v>
      </c>
      <c r="N84" s="659">
        <v>36104</v>
      </c>
      <c r="O84" s="707" t="s">
        <v>1535</v>
      </c>
      <c r="P84" s="474" t="s">
        <v>3245</v>
      </c>
      <c r="Q84" s="836">
        <v>0</v>
      </c>
      <c r="R84" s="836">
        <v>0</v>
      </c>
      <c r="S84" s="836">
        <v>0</v>
      </c>
      <c r="T84" s="836">
        <v>0</v>
      </c>
      <c r="U84" s="475"/>
      <c r="V84" s="475" t="s">
        <v>3246</v>
      </c>
      <c r="W84" s="498">
        <v>79186</v>
      </c>
      <c r="X84" s="476" t="s">
        <v>1532</v>
      </c>
      <c r="Y84" s="475"/>
      <c r="Z84" s="476" t="s">
        <v>3247</v>
      </c>
      <c r="AA84" s="476" t="s">
        <v>1820</v>
      </c>
      <c r="AB84" s="133"/>
    </row>
    <row r="85" spans="1:28" ht="24" customHeight="1">
      <c r="A85" s="585"/>
      <c r="B85" s="611" t="s">
        <v>2201</v>
      </c>
      <c r="C85" s="704" t="s">
        <v>3248</v>
      </c>
      <c r="D85" s="705" t="s">
        <v>508</v>
      </c>
      <c r="E85" s="654">
        <v>300000</v>
      </c>
      <c r="F85" s="654">
        <v>0</v>
      </c>
      <c r="G85" s="654">
        <v>0</v>
      </c>
      <c r="H85" s="654">
        <v>300000</v>
      </c>
      <c r="I85" s="654">
        <f>SUM(J85:L85)</f>
        <v>258577</v>
      </c>
      <c r="J85" s="654">
        <v>0</v>
      </c>
      <c r="K85" s="654">
        <v>0</v>
      </c>
      <c r="L85" s="706">
        <v>258577</v>
      </c>
      <c r="M85" s="675">
        <v>100</v>
      </c>
      <c r="N85" s="659">
        <v>44810</v>
      </c>
      <c r="O85" s="708" t="s">
        <v>3249</v>
      </c>
      <c r="P85" s="464" t="s">
        <v>1588</v>
      </c>
      <c r="Q85" s="836">
        <v>502</v>
      </c>
      <c r="R85" s="836">
        <v>0</v>
      </c>
      <c r="S85" s="836">
        <v>426</v>
      </c>
      <c r="T85" s="836">
        <v>0</v>
      </c>
      <c r="U85" s="475"/>
      <c r="V85" s="476" t="s">
        <v>3250</v>
      </c>
      <c r="W85" s="498">
        <v>190391</v>
      </c>
      <c r="X85" s="476" t="s">
        <v>1532</v>
      </c>
      <c r="Y85" s="475"/>
      <c r="Z85" s="476" t="s">
        <v>3247</v>
      </c>
      <c r="AA85" s="476" t="s">
        <v>1820</v>
      </c>
      <c r="AB85" s="133"/>
    </row>
    <row r="86" spans="1:28" ht="24" customHeight="1">
      <c r="A86" s="587" t="s">
        <v>1810</v>
      </c>
      <c r="B86" s="611" t="s">
        <v>2201</v>
      </c>
      <c r="C86" s="500" t="s">
        <v>2019</v>
      </c>
      <c r="D86" s="705" t="s">
        <v>3251</v>
      </c>
      <c r="E86" s="654">
        <v>435000</v>
      </c>
      <c r="F86" s="654">
        <v>0</v>
      </c>
      <c r="G86" s="654">
        <v>395000</v>
      </c>
      <c r="H86" s="654">
        <v>40000</v>
      </c>
      <c r="I86" s="654">
        <f t="shared" si="9"/>
        <v>411979</v>
      </c>
      <c r="J86" s="654">
        <v>0</v>
      </c>
      <c r="K86" s="654">
        <v>371979</v>
      </c>
      <c r="L86" s="706">
        <v>40000</v>
      </c>
      <c r="M86" s="675">
        <v>87.5</v>
      </c>
      <c r="N86" s="659">
        <v>68527</v>
      </c>
      <c r="O86" s="709" t="s">
        <v>3252</v>
      </c>
      <c r="P86" s="463" t="s">
        <v>1588</v>
      </c>
      <c r="Q86" s="836">
        <v>362</v>
      </c>
      <c r="R86" s="836">
        <v>0</v>
      </c>
      <c r="S86" s="836">
        <v>0</v>
      </c>
      <c r="T86" s="836">
        <v>0</v>
      </c>
      <c r="U86" s="132" t="s">
        <v>3253</v>
      </c>
      <c r="V86" s="132" t="s">
        <v>3254</v>
      </c>
      <c r="W86" s="498">
        <v>142709</v>
      </c>
      <c r="X86" s="132" t="s">
        <v>1532</v>
      </c>
      <c r="Y86" s="477" t="s">
        <v>3255</v>
      </c>
      <c r="Z86" s="132" t="s">
        <v>1811</v>
      </c>
      <c r="AA86" s="132" t="s">
        <v>1534</v>
      </c>
      <c r="AB86" s="133" t="s">
        <v>1534</v>
      </c>
    </row>
    <row r="87" spans="1:28" ht="24" customHeight="1">
      <c r="A87" s="582" t="s">
        <v>1988</v>
      </c>
      <c r="B87" s="460" t="s">
        <v>2201</v>
      </c>
      <c r="C87" s="458" t="s">
        <v>2202</v>
      </c>
      <c r="D87" s="510" t="s">
        <v>2203</v>
      </c>
      <c r="E87" s="655">
        <v>270000</v>
      </c>
      <c r="F87" s="655">
        <v>0</v>
      </c>
      <c r="G87" s="655">
        <v>270000</v>
      </c>
      <c r="H87" s="655">
        <v>0</v>
      </c>
      <c r="I87" s="655">
        <f t="shared" si="9"/>
        <v>212993</v>
      </c>
      <c r="J87" s="655">
        <v>0</v>
      </c>
      <c r="K87" s="655">
        <v>212993</v>
      </c>
      <c r="L87" s="710">
        <v>0</v>
      </c>
      <c r="M87" s="676">
        <v>88</v>
      </c>
      <c r="N87" s="659">
        <v>32407</v>
      </c>
      <c r="O87" s="669" t="s">
        <v>1535</v>
      </c>
      <c r="P87" s="463" t="s">
        <v>1588</v>
      </c>
      <c r="Q87" s="837">
        <v>209</v>
      </c>
      <c r="R87" s="837">
        <v>0</v>
      </c>
      <c r="S87" s="837">
        <v>0</v>
      </c>
      <c r="T87" s="837">
        <v>0</v>
      </c>
      <c r="U87" s="463" t="s">
        <v>3256</v>
      </c>
      <c r="V87" s="466" t="s">
        <v>3257</v>
      </c>
      <c r="W87" s="498">
        <v>100600</v>
      </c>
      <c r="X87" s="479" t="s">
        <v>3205</v>
      </c>
      <c r="Y87" s="480" t="s">
        <v>3161</v>
      </c>
      <c r="Z87" s="480" t="s">
        <v>1595</v>
      </c>
      <c r="AA87" s="480" t="s">
        <v>1534</v>
      </c>
      <c r="AB87" s="481"/>
    </row>
    <row r="88" spans="1:28" ht="24" customHeight="1">
      <c r="A88" s="584"/>
      <c r="B88" s="460" t="s">
        <v>2201</v>
      </c>
      <c r="C88" s="458" t="s">
        <v>140</v>
      </c>
      <c r="D88" s="510" t="s">
        <v>3258</v>
      </c>
      <c r="E88" s="655">
        <v>30000</v>
      </c>
      <c r="F88" s="655">
        <v>0</v>
      </c>
      <c r="G88" s="655">
        <v>0</v>
      </c>
      <c r="H88" s="655">
        <v>30000</v>
      </c>
      <c r="I88" s="655">
        <f t="shared" si="9"/>
        <v>14082</v>
      </c>
      <c r="J88" s="655">
        <v>0</v>
      </c>
      <c r="K88" s="655">
        <v>0</v>
      </c>
      <c r="L88" s="710">
        <v>14082</v>
      </c>
      <c r="M88" s="676">
        <v>97.6</v>
      </c>
      <c r="N88" s="659">
        <v>1423</v>
      </c>
      <c r="O88" s="669" t="s">
        <v>3259</v>
      </c>
      <c r="P88" s="463" t="s">
        <v>1588</v>
      </c>
      <c r="Q88" s="837">
        <v>0</v>
      </c>
      <c r="R88" s="837">
        <v>0</v>
      </c>
      <c r="S88" s="837">
        <v>0</v>
      </c>
      <c r="T88" s="837">
        <v>0</v>
      </c>
      <c r="U88" s="463" t="s">
        <v>3256</v>
      </c>
      <c r="V88" s="480" t="s">
        <v>3260</v>
      </c>
      <c r="W88" s="498">
        <v>58560</v>
      </c>
      <c r="X88" s="479" t="s">
        <v>2199</v>
      </c>
      <c r="Y88" s="482" t="s">
        <v>3161</v>
      </c>
      <c r="Z88" s="463" t="s">
        <v>560</v>
      </c>
      <c r="AA88" s="463" t="s">
        <v>1534</v>
      </c>
      <c r="AB88" s="459"/>
    </row>
    <row r="89" spans="1:28" ht="24" customHeight="1">
      <c r="A89" s="586" t="s">
        <v>1812</v>
      </c>
      <c r="B89" s="473" t="s">
        <v>2201</v>
      </c>
      <c r="C89" s="500" t="s">
        <v>3261</v>
      </c>
      <c r="D89" s="705" t="s">
        <v>3262</v>
      </c>
      <c r="E89" s="654">
        <f>SUM(F89:H89)</f>
        <v>900000</v>
      </c>
      <c r="F89" s="654">
        <v>0</v>
      </c>
      <c r="G89" s="654">
        <v>600000</v>
      </c>
      <c r="H89" s="654">
        <v>300000</v>
      </c>
      <c r="I89" s="654">
        <f t="shared" si="9"/>
        <v>783218</v>
      </c>
      <c r="J89" s="654">
        <v>0</v>
      </c>
      <c r="K89" s="654">
        <v>560765</v>
      </c>
      <c r="L89" s="706">
        <v>222453</v>
      </c>
      <c r="M89" s="675">
        <v>85.64</v>
      </c>
      <c r="N89" s="659">
        <v>117630</v>
      </c>
      <c r="O89" s="709" t="s">
        <v>3263</v>
      </c>
      <c r="P89" s="132" t="s">
        <v>3264</v>
      </c>
      <c r="Q89" s="836">
        <v>359</v>
      </c>
      <c r="R89" s="836">
        <v>0</v>
      </c>
      <c r="S89" s="836">
        <v>142</v>
      </c>
      <c r="T89" s="836">
        <v>0</v>
      </c>
      <c r="U89" s="132" t="s">
        <v>2204</v>
      </c>
      <c r="V89" s="132" t="s">
        <v>3265</v>
      </c>
      <c r="W89" s="498">
        <v>399388</v>
      </c>
      <c r="X89" s="132" t="s">
        <v>2199</v>
      </c>
      <c r="Y89" s="132" t="s">
        <v>605</v>
      </c>
      <c r="Z89" s="132" t="s">
        <v>561</v>
      </c>
      <c r="AA89" s="132" t="s">
        <v>1534</v>
      </c>
      <c r="AB89" s="133" t="s">
        <v>1534</v>
      </c>
    </row>
    <row r="90" spans="1:28" ht="24" customHeight="1">
      <c r="A90" s="587"/>
      <c r="B90" s="473" t="s">
        <v>2201</v>
      </c>
      <c r="C90" s="500" t="s">
        <v>3266</v>
      </c>
      <c r="D90" s="705" t="s">
        <v>3267</v>
      </c>
      <c r="E90" s="654">
        <f>SUM(F90:H90)</f>
        <v>50000</v>
      </c>
      <c r="F90" s="654">
        <v>0</v>
      </c>
      <c r="G90" s="654">
        <v>0</v>
      </c>
      <c r="H90" s="654">
        <v>50000</v>
      </c>
      <c r="I90" s="654">
        <f t="shared" si="9"/>
        <v>29092</v>
      </c>
      <c r="J90" s="654">
        <v>0</v>
      </c>
      <c r="K90" s="654">
        <v>0</v>
      </c>
      <c r="L90" s="706">
        <v>29092</v>
      </c>
      <c r="M90" s="675">
        <v>96.29</v>
      </c>
      <c r="N90" s="659">
        <v>6750</v>
      </c>
      <c r="O90" s="709" t="s">
        <v>3268</v>
      </c>
      <c r="P90" s="132" t="s">
        <v>3215</v>
      </c>
      <c r="Q90" s="836">
        <v>0</v>
      </c>
      <c r="R90" s="836">
        <v>0</v>
      </c>
      <c r="S90" s="836">
        <v>0</v>
      </c>
      <c r="T90" s="836">
        <v>0</v>
      </c>
      <c r="U90" s="132" t="s">
        <v>7455</v>
      </c>
      <c r="V90" s="483" t="s">
        <v>3269</v>
      </c>
      <c r="W90" s="498">
        <v>89093</v>
      </c>
      <c r="X90" s="132" t="s">
        <v>2199</v>
      </c>
      <c r="Y90" s="132" t="s">
        <v>3161</v>
      </c>
      <c r="Z90" s="132" t="s">
        <v>3270</v>
      </c>
      <c r="AA90" s="132" t="s">
        <v>562</v>
      </c>
      <c r="AB90" s="133" t="s">
        <v>1534</v>
      </c>
    </row>
    <row r="91" spans="1:28" ht="24" customHeight="1">
      <c r="A91" s="586" t="s">
        <v>1813</v>
      </c>
      <c r="B91" s="473" t="s">
        <v>2201</v>
      </c>
      <c r="C91" s="500" t="s">
        <v>2050</v>
      </c>
      <c r="D91" s="705" t="s">
        <v>3271</v>
      </c>
      <c r="E91" s="654">
        <f>F91+G91+H91</f>
        <v>300000</v>
      </c>
      <c r="F91" s="654">
        <v>0</v>
      </c>
      <c r="G91" s="654">
        <v>300000</v>
      </c>
      <c r="H91" s="654">
        <v>0</v>
      </c>
      <c r="I91" s="654">
        <f t="shared" si="9"/>
        <v>181214.8</v>
      </c>
      <c r="J91" s="654">
        <v>0</v>
      </c>
      <c r="K91" s="654">
        <v>181214.8</v>
      </c>
      <c r="L91" s="706">
        <v>0</v>
      </c>
      <c r="M91" s="675">
        <v>94.8</v>
      </c>
      <c r="N91" s="659">
        <f>164.1*I91*M91/100*1/1000</f>
        <v>28191.006548639994</v>
      </c>
      <c r="O91" s="709" t="s">
        <v>2198</v>
      </c>
      <c r="P91" s="463" t="s">
        <v>1588</v>
      </c>
      <c r="Q91" s="836">
        <v>211.27390624999998</v>
      </c>
      <c r="R91" s="836">
        <v>0</v>
      </c>
      <c r="S91" s="836">
        <v>130</v>
      </c>
      <c r="T91" s="836">
        <v>0</v>
      </c>
      <c r="U91" s="484" t="s">
        <v>2205</v>
      </c>
      <c r="V91" s="484" t="s">
        <v>3272</v>
      </c>
      <c r="W91" s="498">
        <v>123920</v>
      </c>
      <c r="X91" s="484" t="s">
        <v>2244</v>
      </c>
      <c r="Y91" s="484" t="s">
        <v>673</v>
      </c>
      <c r="Z91" s="484" t="s">
        <v>562</v>
      </c>
      <c r="AA91" s="484" t="s">
        <v>1534</v>
      </c>
      <c r="AB91" s="485" t="s">
        <v>1534</v>
      </c>
    </row>
    <row r="92" spans="1:28" ht="24" customHeight="1">
      <c r="A92" s="587"/>
      <c r="B92" s="615" t="s">
        <v>2201</v>
      </c>
      <c r="C92" s="500" t="s">
        <v>2206</v>
      </c>
      <c r="D92" s="705" t="s">
        <v>3273</v>
      </c>
      <c r="E92" s="654">
        <f>F92+G92+H92</f>
        <v>300000</v>
      </c>
      <c r="F92" s="654">
        <v>0</v>
      </c>
      <c r="G92" s="654">
        <v>262500</v>
      </c>
      <c r="H92" s="654">
        <v>37500</v>
      </c>
      <c r="I92" s="654">
        <f t="shared" si="9"/>
        <v>188944.81369863014</v>
      </c>
      <c r="J92" s="654">
        <v>0</v>
      </c>
      <c r="K92" s="654">
        <v>175059.81369863014</v>
      </c>
      <c r="L92" s="706">
        <v>13885</v>
      </c>
      <c r="M92" s="675">
        <v>95.3</v>
      </c>
      <c r="N92" s="659">
        <f>164.1*I92*M92/100*1/1000</f>
        <v>29548.569263331781</v>
      </c>
      <c r="O92" s="709" t="s">
        <v>2198</v>
      </c>
      <c r="P92" s="132" t="s">
        <v>3274</v>
      </c>
      <c r="Q92" s="838">
        <v>178</v>
      </c>
      <c r="R92" s="836">
        <v>0</v>
      </c>
      <c r="S92" s="836">
        <v>0</v>
      </c>
      <c r="T92" s="836">
        <v>0</v>
      </c>
      <c r="U92" s="484" t="s">
        <v>2207</v>
      </c>
      <c r="V92" s="484" t="s">
        <v>3275</v>
      </c>
      <c r="W92" s="498">
        <v>157676</v>
      </c>
      <c r="X92" s="484" t="s">
        <v>2244</v>
      </c>
      <c r="Y92" s="484" t="s">
        <v>673</v>
      </c>
      <c r="Z92" s="484" t="s">
        <v>562</v>
      </c>
      <c r="AA92" s="484" t="s">
        <v>1534</v>
      </c>
      <c r="AB92" s="485" t="s">
        <v>1534</v>
      </c>
    </row>
    <row r="93" spans="1:28" ht="24" customHeight="1">
      <c r="A93" s="586" t="s">
        <v>1814</v>
      </c>
      <c r="B93" s="615" t="s">
        <v>2201</v>
      </c>
      <c r="C93" s="704" t="s">
        <v>3244</v>
      </c>
      <c r="D93" s="705" t="s">
        <v>3276</v>
      </c>
      <c r="E93" s="654">
        <v>385000</v>
      </c>
      <c r="F93" s="654">
        <v>0</v>
      </c>
      <c r="G93" s="654">
        <v>385000</v>
      </c>
      <c r="H93" s="654">
        <v>0</v>
      </c>
      <c r="I93" s="654">
        <f t="shared" ref="I93:I99" si="10">SUM(J93:L93)</f>
        <v>282277</v>
      </c>
      <c r="J93" s="654">
        <v>0</v>
      </c>
      <c r="K93" s="654">
        <v>282277</v>
      </c>
      <c r="L93" s="706">
        <v>0</v>
      </c>
      <c r="M93" s="675">
        <v>91.3</v>
      </c>
      <c r="N93" s="659">
        <v>47305</v>
      </c>
      <c r="O93" s="709" t="s">
        <v>1535</v>
      </c>
      <c r="P93" s="463" t="s">
        <v>1588</v>
      </c>
      <c r="Q93" s="836">
        <v>431</v>
      </c>
      <c r="R93" s="836">
        <v>0</v>
      </c>
      <c r="S93" s="836">
        <v>269</v>
      </c>
      <c r="T93" s="836">
        <v>0</v>
      </c>
      <c r="U93" s="132" t="s">
        <v>3277</v>
      </c>
      <c r="V93" s="132">
        <v>97.12</v>
      </c>
      <c r="W93" s="498">
        <v>153715</v>
      </c>
      <c r="X93" s="132" t="s">
        <v>2199</v>
      </c>
      <c r="Y93" s="132" t="s">
        <v>605</v>
      </c>
      <c r="Z93" s="132" t="s">
        <v>1588</v>
      </c>
      <c r="AA93" s="132" t="s">
        <v>1596</v>
      </c>
      <c r="AB93" s="133" t="s">
        <v>1596</v>
      </c>
    </row>
    <row r="94" spans="1:28" ht="24" customHeight="1">
      <c r="A94" s="587"/>
      <c r="B94" s="611" t="s">
        <v>2201</v>
      </c>
      <c r="C94" s="704" t="s">
        <v>508</v>
      </c>
      <c r="D94" s="705" t="s">
        <v>3278</v>
      </c>
      <c r="E94" s="654">
        <f>F94+G94+H94</f>
        <v>149000</v>
      </c>
      <c r="F94" s="654">
        <v>0</v>
      </c>
      <c r="G94" s="654">
        <v>0</v>
      </c>
      <c r="H94" s="654">
        <v>149000</v>
      </c>
      <c r="I94" s="654">
        <f t="shared" si="10"/>
        <v>97513</v>
      </c>
      <c r="J94" s="654">
        <v>0</v>
      </c>
      <c r="K94" s="654">
        <v>0</v>
      </c>
      <c r="L94" s="706">
        <v>97513</v>
      </c>
      <c r="M94" s="675">
        <v>92</v>
      </c>
      <c r="N94" s="659">
        <v>13426</v>
      </c>
      <c r="O94" s="709" t="s">
        <v>3279</v>
      </c>
      <c r="P94" s="463" t="s">
        <v>1588</v>
      </c>
      <c r="Q94" s="836">
        <v>0</v>
      </c>
      <c r="R94" s="836">
        <v>0</v>
      </c>
      <c r="S94" s="836">
        <v>0</v>
      </c>
      <c r="T94" s="836">
        <v>0</v>
      </c>
      <c r="U94" s="132" t="s">
        <v>3280</v>
      </c>
      <c r="V94" s="132" t="s">
        <v>3281</v>
      </c>
      <c r="W94" s="498">
        <v>116953</v>
      </c>
      <c r="X94" s="132" t="s">
        <v>2199</v>
      </c>
      <c r="Y94" s="132" t="s">
        <v>605</v>
      </c>
      <c r="Z94" s="132" t="s">
        <v>1588</v>
      </c>
      <c r="AA94" s="132" t="s">
        <v>1596</v>
      </c>
      <c r="AB94" s="133" t="s">
        <v>1596</v>
      </c>
    </row>
    <row r="95" spans="1:28" ht="24" customHeight="1">
      <c r="A95" s="587"/>
      <c r="B95" s="611" t="s">
        <v>2201</v>
      </c>
      <c r="C95" s="500" t="s">
        <v>145</v>
      </c>
      <c r="D95" s="705" t="s">
        <v>2103</v>
      </c>
      <c r="E95" s="654">
        <v>3000</v>
      </c>
      <c r="F95" s="654">
        <v>0</v>
      </c>
      <c r="G95" s="654" t="s">
        <v>1704</v>
      </c>
      <c r="H95" s="654">
        <v>3000</v>
      </c>
      <c r="I95" s="654">
        <f t="shared" si="10"/>
        <v>464</v>
      </c>
      <c r="J95" s="654">
        <v>0</v>
      </c>
      <c r="K95" s="654">
        <v>0</v>
      </c>
      <c r="L95" s="706">
        <v>464</v>
      </c>
      <c r="M95" s="675">
        <v>94.7</v>
      </c>
      <c r="N95" s="659">
        <v>54.7</v>
      </c>
      <c r="O95" s="709" t="s">
        <v>3282</v>
      </c>
      <c r="P95" s="463" t="s">
        <v>1588</v>
      </c>
      <c r="Q95" s="836">
        <v>0</v>
      </c>
      <c r="R95" s="836">
        <v>0</v>
      </c>
      <c r="S95" s="836" t="s">
        <v>1704</v>
      </c>
      <c r="T95" s="836" t="s">
        <v>1704</v>
      </c>
      <c r="U95" s="132" t="s">
        <v>7456</v>
      </c>
      <c r="V95" s="483" t="s">
        <v>3283</v>
      </c>
      <c r="W95" s="498">
        <v>26261</v>
      </c>
      <c r="X95" s="132" t="s">
        <v>2199</v>
      </c>
      <c r="Y95" s="132" t="s">
        <v>3161</v>
      </c>
      <c r="Z95" s="132" t="s">
        <v>3284</v>
      </c>
      <c r="AA95" s="132" t="s">
        <v>1596</v>
      </c>
      <c r="AB95" s="133" t="s">
        <v>1596</v>
      </c>
    </row>
    <row r="96" spans="1:28" ht="24" customHeight="1">
      <c r="A96" s="586" t="s">
        <v>1815</v>
      </c>
      <c r="B96" s="473" t="s">
        <v>2201</v>
      </c>
      <c r="C96" s="500" t="s">
        <v>2212</v>
      </c>
      <c r="D96" s="705" t="s">
        <v>3285</v>
      </c>
      <c r="E96" s="654">
        <v>50000</v>
      </c>
      <c r="F96" s="654">
        <v>0</v>
      </c>
      <c r="G96" s="654">
        <v>0</v>
      </c>
      <c r="H96" s="654">
        <v>50000</v>
      </c>
      <c r="I96" s="654">
        <f t="shared" si="10"/>
        <v>27814</v>
      </c>
      <c r="J96" s="654">
        <v>0</v>
      </c>
      <c r="K96" s="654">
        <v>0</v>
      </c>
      <c r="L96" s="706">
        <v>27814</v>
      </c>
      <c r="M96" s="675">
        <v>96</v>
      </c>
      <c r="N96" s="659">
        <v>487568</v>
      </c>
      <c r="O96" s="709" t="s">
        <v>2303</v>
      </c>
      <c r="P96" s="132" t="s">
        <v>3286</v>
      </c>
      <c r="Q96" s="836">
        <v>90</v>
      </c>
      <c r="R96" s="836">
        <v>0</v>
      </c>
      <c r="S96" s="836">
        <v>0</v>
      </c>
      <c r="T96" s="836">
        <v>0</v>
      </c>
      <c r="U96" s="132" t="s">
        <v>3287</v>
      </c>
      <c r="V96" s="483" t="s">
        <v>3288</v>
      </c>
      <c r="W96" s="498">
        <v>65010</v>
      </c>
      <c r="X96" s="132" t="s">
        <v>2199</v>
      </c>
      <c r="Y96" s="132" t="s">
        <v>3289</v>
      </c>
      <c r="Z96" s="132" t="s">
        <v>1594</v>
      </c>
      <c r="AA96" s="132" t="s">
        <v>1820</v>
      </c>
      <c r="AB96" s="133" t="s">
        <v>1596</v>
      </c>
    </row>
    <row r="97" spans="1:28" ht="24" customHeight="1">
      <c r="A97" s="587"/>
      <c r="B97" s="473" t="s">
        <v>2201</v>
      </c>
      <c r="C97" s="500" t="s">
        <v>509</v>
      </c>
      <c r="D97" s="705" t="s">
        <v>3290</v>
      </c>
      <c r="E97" s="654">
        <v>35000</v>
      </c>
      <c r="F97" s="654" t="s">
        <v>1588</v>
      </c>
      <c r="G97" s="654" t="s">
        <v>1588</v>
      </c>
      <c r="H97" s="654">
        <v>35000</v>
      </c>
      <c r="I97" s="654">
        <f t="shared" si="10"/>
        <v>16660</v>
      </c>
      <c r="J97" s="654" t="s">
        <v>1588</v>
      </c>
      <c r="K97" s="654" t="s">
        <v>1588</v>
      </c>
      <c r="L97" s="706">
        <v>16660</v>
      </c>
      <c r="M97" s="675">
        <v>94.5</v>
      </c>
      <c r="N97" s="659">
        <v>418624</v>
      </c>
      <c r="O97" s="711" t="s">
        <v>3215</v>
      </c>
      <c r="P97" s="486" t="s">
        <v>3291</v>
      </c>
      <c r="Q97" s="836" t="s">
        <v>1588</v>
      </c>
      <c r="R97" s="836" t="s">
        <v>1588</v>
      </c>
      <c r="S97" s="836" t="s">
        <v>1588</v>
      </c>
      <c r="T97" s="836" t="s">
        <v>1588</v>
      </c>
      <c r="U97" s="487" t="s">
        <v>3292</v>
      </c>
      <c r="V97" s="483" t="s">
        <v>3288</v>
      </c>
      <c r="W97" s="498">
        <v>84582</v>
      </c>
      <c r="X97" s="488" t="s">
        <v>2199</v>
      </c>
      <c r="Y97" s="132" t="s">
        <v>3289</v>
      </c>
      <c r="Z97" s="132" t="s">
        <v>1820</v>
      </c>
      <c r="AA97" s="489" t="s">
        <v>1588</v>
      </c>
      <c r="AB97" s="133" t="s">
        <v>1596</v>
      </c>
    </row>
    <row r="98" spans="1:28" ht="24" customHeight="1">
      <c r="A98" s="587"/>
      <c r="B98" s="473" t="s">
        <v>2201</v>
      </c>
      <c r="C98" s="500" t="s">
        <v>2210</v>
      </c>
      <c r="D98" s="705" t="s">
        <v>3293</v>
      </c>
      <c r="E98" s="654">
        <v>48000</v>
      </c>
      <c r="F98" s="654">
        <v>0</v>
      </c>
      <c r="G98" s="654">
        <v>0</v>
      </c>
      <c r="H98" s="654">
        <v>48000</v>
      </c>
      <c r="I98" s="654">
        <f t="shared" si="10"/>
        <v>45280</v>
      </c>
      <c r="J98" s="654">
        <v>0</v>
      </c>
      <c r="K98" s="654">
        <v>0</v>
      </c>
      <c r="L98" s="706">
        <v>45280</v>
      </c>
      <c r="M98" s="675">
        <v>94.1</v>
      </c>
      <c r="N98" s="659">
        <v>937436.17</v>
      </c>
      <c r="O98" s="709" t="s">
        <v>2303</v>
      </c>
      <c r="P98" s="463" t="s">
        <v>1588</v>
      </c>
      <c r="Q98" s="836">
        <v>120</v>
      </c>
      <c r="R98" s="836">
        <v>1100</v>
      </c>
      <c r="S98" s="836">
        <v>0</v>
      </c>
      <c r="T98" s="836">
        <v>0</v>
      </c>
      <c r="U98" s="132" t="s">
        <v>3294</v>
      </c>
      <c r="V98" s="132" t="s">
        <v>3295</v>
      </c>
      <c r="W98" s="498">
        <v>70466</v>
      </c>
      <c r="X98" s="132" t="s">
        <v>1532</v>
      </c>
      <c r="Y98" s="132" t="s">
        <v>720</v>
      </c>
      <c r="Z98" s="132" t="s">
        <v>1816</v>
      </c>
      <c r="AA98" s="132" t="s">
        <v>1836</v>
      </c>
      <c r="AB98" s="133" t="s">
        <v>1534</v>
      </c>
    </row>
    <row r="99" spans="1:28" ht="24" customHeight="1">
      <c r="A99" s="587"/>
      <c r="B99" s="473" t="s">
        <v>675</v>
      </c>
      <c r="C99" s="500" t="s">
        <v>3296</v>
      </c>
      <c r="D99" s="705" t="s">
        <v>3297</v>
      </c>
      <c r="E99" s="654">
        <v>23</v>
      </c>
      <c r="F99" s="654">
        <v>0</v>
      </c>
      <c r="G99" s="654">
        <v>0</v>
      </c>
      <c r="H99" s="654">
        <v>23</v>
      </c>
      <c r="I99" s="654">
        <f t="shared" si="10"/>
        <v>23</v>
      </c>
      <c r="J99" s="654">
        <v>0</v>
      </c>
      <c r="K99" s="654">
        <v>0</v>
      </c>
      <c r="L99" s="706">
        <v>23</v>
      </c>
      <c r="M99" s="675">
        <v>90</v>
      </c>
      <c r="N99" s="659">
        <v>217.66</v>
      </c>
      <c r="O99" s="709" t="s">
        <v>3298</v>
      </c>
      <c r="P99" s="463" t="s">
        <v>1588</v>
      </c>
      <c r="Q99" s="836">
        <v>0</v>
      </c>
      <c r="R99" s="836">
        <v>0</v>
      </c>
      <c r="S99" s="836">
        <v>0</v>
      </c>
      <c r="T99" s="836">
        <v>0</v>
      </c>
      <c r="U99" s="132" t="s">
        <v>3294</v>
      </c>
      <c r="V99" s="132" t="s">
        <v>3299</v>
      </c>
      <c r="W99" s="498">
        <v>150</v>
      </c>
      <c r="X99" s="132" t="s">
        <v>1532</v>
      </c>
      <c r="Y99" s="132" t="s">
        <v>3232</v>
      </c>
      <c r="Z99" s="132" t="s">
        <v>3300</v>
      </c>
      <c r="AA99" s="132" t="s">
        <v>3301</v>
      </c>
      <c r="AB99" s="133" t="s">
        <v>1596</v>
      </c>
    </row>
    <row r="100" spans="1:28" ht="24" customHeight="1">
      <c r="A100" s="587"/>
      <c r="B100" s="473" t="s">
        <v>675</v>
      </c>
      <c r="C100" s="500" t="s">
        <v>3302</v>
      </c>
      <c r="D100" s="705" t="s">
        <v>3303</v>
      </c>
      <c r="E100" s="654">
        <v>39</v>
      </c>
      <c r="F100" s="654">
        <v>0</v>
      </c>
      <c r="G100" s="654">
        <v>0</v>
      </c>
      <c r="H100" s="654">
        <v>39</v>
      </c>
      <c r="I100" s="654">
        <f t="shared" ref="I100:I108" si="11">SUM(J100:L100)</f>
        <v>39</v>
      </c>
      <c r="J100" s="654">
        <v>0</v>
      </c>
      <c r="K100" s="654">
        <v>0</v>
      </c>
      <c r="L100" s="706">
        <v>39</v>
      </c>
      <c r="M100" s="675">
        <v>95</v>
      </c>
      <c r="N100" s="659">
        <v>415.14</v>
      </c>
      <c r="O100" s="709" t="s">
        <v>3298</v>
      </c>
      <c r="P100" s="463" t="s">
        <v>1588</v>
      </c>
      <c r="Q100" s="836">
        <v>0</v>
      </c>
      <c r="R100" s="836">
        <v>0</v>
      </c>
      <c r="S100" s="836">
        <v>0</v>
      </c>
      <c r="T100" s="836">
        <v>0</v>
      </c>
      <c r="U100" s="132" t="s">
        <v>3294</v>
      </c>
      <c r="V100" s="132" t="s">
        <v>3304</v>
      </c>
      <c r="W100" s="498">
        <v>85</v>
      </c>
      <c r="X100" s="132" t="s">
        <v>1532</v>
      </c>
      <c r="Y100" s="132" t="s">
        <v>3232</v>
      </c>
      <c r="Z100" s="132" t="s">
        <v>3305</v>
      </c>
      <c r="AA100" s="132" t="s">
        <v>3301</v>
      </c>
      <c r="AB100" s="133" t="s">
        <v>1596</v>
      </c>
    </row>
    <row r="101" spans="1:28" ht="24" customHeight="1">
      <c r="A101" s="587"/>
      <c r="B101" s="473" t="s">
        <v>675</v>
      </c>
      <c r="C101" s="500" t="s">
        <v>3306</v>
      </c>
      <c r="D101" s="705" t="s">
        <v>3307</v>
      </c>
      <c r="E101" s="654">
        <v>35</v>
      </c>
      <c r="F101" s="654">
        <v>0</v>
      </c>
      <c r="G101" s="654">
        <v>0</v>
      </c>
      <c r="H101" s="654">
        <v>35</v>
      </c>
      <c r="I101" s="654">
        <f t="shared" si="11"/>
        <v>35</v>
      </c>
      <c r="J101" s="654">
        <v>0</v>
      </c>
      <c r="K101" s="654">
        <v>0</v>
      </c>
      <c r="L101" s="706">
        <v>35</v>
      </c>
      <c r="M101" s="675">
        <v>96.6</v>
      </c>
      <c r="N101" s="659">
        <v>353.07</v>
      </c>
      <c r="O101" s="709" t="s">
        <v>3298</v>
      </c>
      <c r="P101" s="463" t="s">
        <v>1588</v>
      </c>
      <c r="Q101" s="836">
        <v>0</v>
      </c>
      <c r="R101" s="836">
        <v>0</v>
      </c>
      <c r="S101" s="836">
        <v>0</v>
      </c>
      <c r="T101" s="836">
        <v>0</v>
      </c>
      <c r="U101" s="132" t="s">
        <v>3294</v>
      </c>
      <c r="V101" s="132" t="s">
        <v>3308</v>
      </c>
      <c r="W101" s="498">
        <v>93</v>
      </c>
      <c r="X101" s="132" t="s">
        <v>1532</v>
      </c>
      <c r="Y101" s="132" t="s">
        <v>3232</v>
      </c>
      <c r="Z101" s="132" t="s">
        <v>3309</v>
      </c>
      <c r="AA101" s="132" t="s">
        <v>3301</v>
      </c>
      <c r="AB101" s="133" t="s">
        <v>1596</v>
      </c>
    </row>
    <row r="102" spans="1:28" ht="24" customHeight="1">
      <c r="A102" s="587"/>
      <c r="B102" s="473" t="s">
        <v>675</v>
      </c>
      <c r="C102" s="500" t="s">
        <v>3310</v>
      </c>
      <c r="D102" s="705" t="s">
        <v>3311</v>
      </c>
      <c r="E102" s="654">
        <v>40</v>
      </c>
      <c r="F102" s="654">
        <v>0</v>
      </c>
      <c r="G102" s="654">
        <v>0</v>
      </c>
      <c r="H102" s="654">
        <v>40</v>
      </c>
      <c r="I102" s="654">
        <f t="shared" si="11"/>
        <v>40</v>
      </c>
      <c r="J102" s="654">
        <v>0</v>
      </c>
      <c r="K102" s="654">
        <v>0</v>
      </c>
      <c r="L102" s="706">
        <v>40</v>
      </c>
      <c r="M102" s="675">
        <v>95</v>
      </c>
      <c r="N102" s="659">
        <v>442.85</v>
      </c>
      <c r="O102" s="709" t="s">
        <v>3298</v>
      </c>
      <c r="P102" s="463" t="s">
        <v>1588</v>
      </c>
      <c r="Q102" s="836">
        <v>0</v>
      </c>
      <c r="R102" s="836">
        <v>0</v>
      </c>
      <c r="S102" s="836">
        <v>0</v>
      </c>
      <c r="T102" s="836">
        <v>0</v>
      </c>
      <c r="U102" s="132" t="s">
        <v>3294</v>
      </c>
      <c r="V102" s="132" t="s">
        <v>3312</v>
      </c>
      <c r="W102" s="498">
        <v>415</v>
      </c>
      <c r="X102" s="132" t="s">
        <v>1532</v>
      </c>
      <c r="Y102" s="132" t="s">
        <v>3232</v>
      </c>
      <c r="Z102" s="132" t="s">
        <v>3313</v>
      </c>
      <c r="AA102" s="132" t="s">
        <v>3301</v>
      </c>
      <c r="AB102" s="133" t="s">
        <v>1596</v>
      </c>
    </row>
    <row r="103" spans="1:28" ht="24" customHeight="1">
      <c r="A103" s="587"/>
      <c r="B103" s="473" t="s">
        <v>675</v>
      </c>
      <c r="C103" s="500" t="s">
        <v>3314</v>
      </c>
      <c r="D103" s="705" t="s">
        <v>3315</v>
      </c>
      <c r="E103" s="654">
        <v>100</v>
      </c>
      <c r="F103" s="654">
        <v>0</v>
      </c>
      <c r="G103" s="654">
        <v>0</v>
      </c>
      <c r="H103" s="654">
        <v>100</v>
      </c>
      <c r="I103" s="654">
        <f t="shared" si="11"/>
        <v>100</v>
      </c>
      <c r="J103" s="654">
        <v>0</v>
      </c>
      <c r="K103" s="654">
        <v>0</v>
      </c>
      <c r="L103" s="706">
        <v>100</v>
      </c>
      <c r="M103" s="675">
        <v>95</v>
      </c>
      <c r="N103" s="659">
        <v>984.48</v>
      </c>
      <c r="O103" s="709" t="s">
        <v>3316</v>
      </c>
      <c r="P103" s="463" t="s">
        <v>1588</v>
      </c>
      <c r="Q103" s="836">
        <v>0</v>
      </c>
      <c r="R103" s="836">
        <v>0</v>
      </c>
      <c r="S103" s="836">
        <v>0</v>
      </c>
      <c r="T103" s="836">
        <v>0</v>
      </c>
      <c r="U103" s="132" t="s">
        <v>3294</v>
      </c>
      <c r="V103" s="132" t="s">
        <v>3317</v>
      </c>
      <c r="W103" s="498">
        <v>617</v>
      </c>
      <c r="X103" s="132" t="s">
        <v>1532</v>
      </c>
      <c r="Y103" s="132" t="s">
        <v>3232</v>
      </c>
      <c r="Z103" s="132" t="s">
        <v>3318</v>
      </c>
      <c r="AA103" s="132" t="s">
        <v>1816</v>
      </c>
      <c r="AB103" s="133" t="s">
        <v>1534</v>
      </c>
    </row>
    <row r="104" spans="1:28" ht="24" customHeight="1">
      <c r="A104" s="587"/>
      <c r="B104" s="615" t="s">
        <v>675</v>
      </c>
      <c r="C104" s="500" t="s">
        <v>2154</v>
      </c>
      <c r="D104" s="705" t="s">
        <v>3319</v>
      </c>
      <c r="E104" s="654">
        <v>150</v>
      </c>
      <c r="F104" s="654">
        <v>0</v>
      </c>
      <c r="G104" s="654">
        <v>0</v>
      </c>
      <c r="H104" s="654">
        <v>150</v>
      </c>
      <c r="I104" s="654">
        <f t="shared" si="11"/>
        <v>150</v>
      </c>
      <c r="J104" s="654">
        <v>0</v>
      </c>
      <c r="K104" s="654">
        <v>0</v>
      </c>
      <c r="L104" s="706">
        <v>150</v>
      </c>
      <c r="M104" s="675">
        <v>95</v>
      </c>
      <c r="N104" s="659">
        <v>1577.9</v>
      </c>
      <c r="O104" s="709" t="s">
        <v>3320</v>
      </c>
      <c r="P104" s="463" t="s">
        <v>1588</v>
      </c>
      <c r="Q104" s="836">
        <v>0</v>
      </c>
      <c r="R104" s="836">
        <v>0</v>
      </c>
      <c r="S104" s="836">
        <v>0</v>
      </c>
      <c r="T104" s="836">
        <v>0</v>
      </c>
      <c r="U104" s="132" t="s">
        <v>3294</v>
      </c>
      <c r="V104" s="132" t="s">
        <v>3321</v>
      </c>
      <c r="W104" s="498">
        <v>1185</v>
      </c>
      <c r="X104" s="132" t="s">
        <v>1532</v>
      </c>
      <c r="Y104" s="132" t="s">
        <v>3232</v>
      </c>
      <c r="Z104" s="132" t="s">
        <v>3322</v>
      </c>
      <c r="AA104" s="132" t="s">
        <v>1816</v>
      </c>
      <c r="AB104" s="133" t="s">
        <v>1534</v>
      </c>
    </row>
    <row r="105" spans="1:28" ht="24" customHeight="1">
      <c r="A105" s="582" t="s">
        <v>1817</v>
      </c>
      <c r="B105" s="612" t="s">
        <v>2201</v>
      </c>
      <c r="C105" s="704" t="s">
        <v>3323</v>
      </c>
      <c r="D105" s="705" t="s">
        <v>3324</v>
      </c>
      <c r="E105" s="654">
        <v>60000</v>
      </c>
      <c r="F105" s="654">
        <v>0</v>
      </c>
      <c r="G105" s="654">
        <v>60000</v>
      </c>
      <c r="H105" s="654">
        <v>0</v>
      </c>
      <c r="I105" s="654">
        <f t="shared" si="11"/>
        <v>29088</v>
      </c>
      <c r="J105" s="654">
        <v>0</v>
      </c>
      <c r="K105" s="654">
        <v>29088</v>
      </c>
      <c r="L105" s="706">
        <v>0</v>
      </c>
      <c r="M105" s="675">
        <v>90</v>
      </c>
      <c r="N105" s="659">
        <v>4402</v>
      </c>
      <c r="O105" s="709" t="s">
        <v>1535</v>
      </c>
      <c r="P105" s="463" t="s">
        <v>1588</v>
      </c>
      <c r="Q105" s="836">
        <v>253.85</v>
      </c>
      <c r="R105" s="836">
        <v>0</v>
      </c>
      <c r="S105" s="836">
        <v>0</v>
      </c>
      <c r="T105" s="836">
        <v>0</v>
      </c>
      <c r="U105" s="132" t="s">
        <v>3325</v>
      </c>
      <c r="V105" s="132" t="s">
        <v>3326</v>
      </c>
      <c r="W105" s="498">
        <v>13107</v>
      </c>
      <c r="X105" s="132" t="s">
        <v>1532</v>
      </c>
      <c r="Y105" s="132" t="s">
        <v>3327</v>
      </c>
      <c r="Z105" s="132" t="s">
        <v>563</v>
      </c>
      <c r="AA105" s="132" t="s">
        <v>1534</v>
      </c>
      <c r="AB105" s="133" t="s">
        <v>1534</v>
      </c>
    </row>
    <row r="106" spans="1:28" ht="24" customHeight="1">
      <c r="A106" s="587"/>
      <c r="B106" s="616" t="s">
        <v>2201</v>
      </c>
      <c r="C106" s="704" t="s">
        <v>3328</v>
      </c>
      <c r="D106" s="705" t="s">
        <v>3324</v>
      </c>
      <c r="E106" s="654">
        <v>80000</v>
      </c>
      <c r="F106" s="654">
        <v>0</v>
      </c>
      <c r="G106" s="654">
        <v>80000</v>
      </c>
      <c r="H106" s="654">
        <v>0</v>
      </c>
      <c r="I106" s="654">
        <f t="shared" si="11"/>
        <v>75798</v>
      </c>
      <c r="J106" s="654">
        <v>0</v>
      </c>
      <c r="K106" s="654">
        <v>75798</v>
      </c>
      <c r="L106" s="706">
        <v>0</v>
      </c>
      <c r="M106" s="675">
        <v>89.5</v>
      </c>
      <c r="N106" s="659">
        <v>13040</v>
      </c>
      <c r="O106" s="709" t="s">
        <v>1535</v>
      </c>
      <c r="P106" s="463" t="s">
        <v>1588</v>
      </c>
      <c r="Q106" s="836">
        <v>0</v>
      </c>
      <c r="R106" s="836">
        <v>0</v>
      </c>
      <c r="S106" s="836">
        <v>0</v>
      </c>
      <c r="T106" s="836">
        <v>0</v>
      </c>
      <c r="U106" s="132"/>
      <c r="V106" s="132" t="s">
        <v>3329</v>
      </c>
      <c r="W106" s="498">
        <v>32815</v>
      </c>
      <c r="X106" s="132" t="s">
        <v>1532</v>
      </c>
      <c r="Y106" s="132" t="s">
        <v>3327</v>
      </c>
      <c r="Z106" s="132" t="s">
        <v>563</v>
      </c>
      <c r="AA106" s="132" t="s">
        <v>1534</v>
      </c>
      <c r="AB106" s="133" t="s">
        <v>1534</v>
      </c>
    </row>
    <row r="107" spans="1:28" ht="24" customHeight="1">
      <c r="A107" s="587"/>
      <c r="B107" s="611" t="s">
        <v>2201</v>
      </c>
      <c r="C107" s="704" t="s">
        <v>3330</v>
      </c>
      <c r="D107" s="705" t="s">
        <v>3324</v>
      </c>
      <c r="E107" s="654">
        <v>60000</v>
      </c>
      <c r="F107" s="654">
        <v>0</v>
      </c>
      <c r="G107" s="654">
        <v>60000</v>
      </c>
      <c r="H107" s="654">
        <v>0</v>
      </c>
      <c r="I107" s="654">
        <f t="shared" si="11"/>
        <v>51004</v>
      </c>
      <c r="J107" s="654">
        <v>0</v>
      </c>
      <c r="K107" s="654">
        <v>51004</v>
      </c>
      <c r="L107" s="706">
        <v>0</v>
      </c>
      <c r="M107" s="675">
        <v>91.7</v>
      </c>
      <c r="N107" s="659">
        <v>8774</v>
      </c>
      <c r="O107" s="709" t="s">
        <v>1535</v>
      </c>
      <c r="P107" s="463" t="s">
        <v>1588</v>
      </c>
      <c r="Q107" s="836">
        <v>0</v>
      </c>
      <c r="R107" s="836">
        <v>0</v>
      </c>
      <c r="S107" s="836">
        <v>0</v>
      </c>
      <c r="T107" s="836">
        <v>0</v>
      </c>
      <c r="U107" s="132"/>
      <c r="V107" s="132" t="s">
        <v>3331</v>
      </c>
      <c r="W107" s="498">
        <v>51715</v>
      </c>
      <c r="X107" s="132" t="s">
        <v>1532</v>
      </c>
      <c r="Y107" s="132" t="s">
        <v>3327</v>
      </c>
      <c r="Z107" s="132" t="s">
        <v>563</v>
      </c>
      <c r="AA107" s="132" t="s">
        <v>1534</v>
      </c>
      <c r="AB107" s="133" t="s">
        <v>1534</v>
      </c>
    </row>
    <row r="108" spans="1:28" ht="24" customHeight="1">
      <c r="A108" s="586" t="s">
        <v>1818</v>
      </c>
      <c r="B108" s="611" t="s">
        <v>2201</v>
      </c>
      <c r="C108" s="500" t="s">
        <v>148</v>
      </c>
      <c r="D108" s="705" t="s">
        <v>3332</v>
      </c>
      <c r="E108" s="654">
        <v>25000</v>
      </c>
      <c r="F108" s="654">
        <v>0</v>
      </c>
      <c r="G108" s="654">
        <v>0</v>
      </c>
      <c r="H108" s="654">
        <v>25000</v>
      </c>
      <c r="I108" s="654">
        <f t="shared" si="11"/>
        <v>18608</v>
      </c>
      <c r="J108" s="654">
        <v>0</v>
      </c>
      <c r="K108" s="654">
        <v>0</v>
      </c>
      <c r="L108" s="706">
        <v>18608</v>
      </c>
      <c r="M108" s="675">
        <v>74.432000000000002</v>
      </c>
      <c r="N108" s="659">
        <v>177719.8069393349</v>
      </c>
      <c r="O108" s="712" t="s">
        <v>3333</v>
      </c>
      <c r="P108" s="834" t="s">
        <v>1588</v>
      </c>
      <c r="Q108" s="1805">
        <v>41</v>
      </c>
      <c r="R108" s="1805">
        <v>321.3</v>
      </c>
      <c r="S108" s="1805">
        <v>0</v>
      </c>
      <c r="T108" s="1805">
        <v>0</v>
      </c>
      <c r="U108" s="490" t="s">
        <v>3334</v>
      </c>
      <c r="V108" s="491" t="s">
        <v>2084</v>
      </c>
      <c r="W108" s="498">
        <v>50702</v>
      </c>
      <c r="X108" s="132" t="s">
        <v>3335</v>
      </c>
      <c r="Y108" s="132" t="s">
        <v>3336</v>
      </c>
      <c r="Z108" s="492" t="s">
        <v>3337</v>
      </c>
      <c r="AA108" s="492" t="s">
        <v>1999</v>
      </c>
      <c r="AB108" s="493" t="s">
        <v>1534</v>
      </c>
    </row>
    <row r="109" spans="1:28" ht="24" customHeight="1">
      <c r="A109" s="587"/>
      <c r="B109" s="473" t="s">
        <v>2201</v>
      </c>
      <c r="C109" s="500" t="s">
        <v>149</v>
      </c>
      <c r="D109" s="705" t="s">
        <v>3338</v>
      </c>
      <c r="E109" s="654">
        <v>18000</v>
      </c>
      <c r="F109" s="654">
        <v>0</v>
      </c>
      <c r="G109" s="654">
        <v>0</v>
      </c>
      <c r="H109" s="654">
        <v>18000</v>
      </c>
      <c r="I109" s="654">
        <f t="shared" ref="I109:I167" si="12">SUM(J109:L109)</f>
        <v>12882.640081394011</v>
      </c>
      <c r="J109" s="654">
        <v>0</v>
      </c>
      <c r="K109" s="654">
        <v>0</v>
      </c>
      <c r="L109" s="706">
        <v>12882.640081394011</v>
      </c>
      <c r="M109" s="675">
        <v>71.570222674411184</v>
      </c>
      <c r="N109" s="659">
        <v>118310.02082247453</v>
      </c>
      <c r="O109" s="712" t="s">
        <v>3333</v>
      </c>
      <c r="P109" s="834" t="s">
        <v>1588</v>
      </c>
      <c r="Q109" s="1805"/>
      <c r="R109" s="1805"/>
      <c r="S109" s="1805"/>
      <c r="T109" s="1805"/>
      <c r="U109" s="490" t="s">
        <v>3339</v>
      </c>
      <c r="V109" s="132" t="s">
        <v>3340</v>
      </c>
      <c r="W109" s="498">
        <v>64162</v>
      </c>
      <c r="X109" s="132" t="s">
        <v>3335</v>
      </c>
      <c r="Y109" s="132" t="s">
        <v>3336</v>
      </c>
      <c r="Z109" s="492" t="s">
        <v>3337</v>
      </c>
      <c r="AA109" s="492" t="s">
        <v>1999</v>
      </c>
      <c r="AB109" s="493" t="s">
        <v>1534</v>
      </c>
    </row>
    <row r="110" spans="1:28" ht="24" customHeight="1">
      <c r="A110" s="587"/>
      <c r="B110" s="473" t="s">
        <v>2201</v>
      </c>
      <c r="C110" s="500" t="s">
        <v>150</v>
      </c>
      <c r="D110" s="705" t="s">
        <v>3341</v>
      </c>
      <c r="E110" s="654">
        <v>200</v>
      </c>
      <c r="F110" s="654">
        <v>0</v>
      </c>
      <c r="G110" s="654">
        <v>0</v>
      </c>
      <c r="H110" s="654">
        <v>200</v>
      </c>
      <c r="I110" s="654">
        <f t="shared" si="12"/>
        <v>256.18454307424474</v>
      </c>
      <c r="J110" s="654">
        <v>0</v>
      </c>
      <c r="K110" s="654">
        <v>0</v>
      </c>
      <c r="L110" s="706">
        <v>256.18454307424474</v>
      </c>
      <c r="M110" s="675">
        <v>128.09227153712237</v>
      </c>
      <c r="N110" s="659">
        <v>4049.2243815058418</v>
      </c>
      <c r="O110" s="712" t="s">
        <v>3342</v>
      </c>
      <c r="P110" s="834" t="s">
        <v>1588</v>
      </c>
      <c r="Q110" s="836">
        <v>0</v>
      </c>
      <c r="R110" s="836">
        <v>0</v>
      </c>
      <c r="S110" s="836">
        <v>0</v>
      </c>
      <c r="T110" s="836">
        <v>0</v>
      </c>
      <c r="U110" s="490" t="s">
        <v>3343</v>
      </c>
      <c r="V110" s="494" t="s">
        <v>3344</v>
      </c>
      <c r="W110" s="498">
        <v>572</v>
      </c>
      <c r="X110" s="132" t="s">
        <v>3335</v>
      </c>
      <c r="Y110" s="132" t="s">
        <v>3336</v>
      </c>
      <c r="Z110" s="492" t="s">
        <v>1588</v>
      </c>
      <c r="AA110" s="492" t="s">
        <v>1999</v>
      </c>
      <c r="AB110" s="493" t="s">
        <v>1534</v>
      </c>
    </row>
    <row r="111" spans="1:28" ht="24" customHeight="1">
      <c r="A111" s="587"/>
      <c r="B111" s="473" t="s">
        <v>2201</v>
      </c>
      <c r="C111" s="500" t="s">
        <v>151</v>
      </c>
      <c r="D111" s="705" t="s">
        <v>3345</v>
      </c>
      <c r="E111" s="654">
        <v>250</v>
      </c>
      <c r="F111" s="654">
        <v>0</v>
      </c>
      <c r="G111" s="654">
        <v>0</v>
      </c>
      <c r="H111" s="654">
        <v>250</v>
      </c>
      <c r="I111" s="654">
        <f t="shared" si="12"/>
        <v>247.21240262573608</v>
      </c>
      <c r="J111" s="654">
        <v>0</v>
      </c>
      <c r="K111" s="654">
        <v>0</v>
      </c>
      <c r="L111" s="706">
        <v>247.21240262573608</v>
      </c>
      <c r="M111" s="675">
        <v>98.884961050294436</v>
      </c>
      <c r="N111" s="659">
        <v>2653.7302179929247</v>
      </c>
      <c r="O111" s="712" t="s">
        <v>3342</v>
      </c>
      <c r="P111" s="834" t="s">
        <v>1588</v>
      </c>
      <c r="Q111" s="836">
        <v>0</v>
      </c>
      <c r="R111" s="836">
        <v>0</v>
      </c>
      <c r="S111" s="836">
        <v>0</v>
      </c>
      <c r="T111" s="836">
        <v>0</v>
      </c>
      <c r="U111" s="490" t="s">
        <v>3343</v>
      </c>
      <c r="V111" s="494" t="s">
        <v>3344</v>
      </c>
      <c r="W111" s="498">
        <v>775</v>
      </c>
      <c r="X111" s="132" t="s">
        <v>3335</v>
      </c>
      <c r="Y111" s="132" t="s">
        <v>3336</v>
      </c>
      <c r="Z111" s="492" t="s">
        <v>1588</v>
      </c>
      <c r="AA111" s="492" t="s">
        <v>1999</v>
      </c>
      <c r="AB111" s="493" t="s">
        <v>1534</v>
      </c>
    </row>
    <row r="112" spans="1:28" ht="24" customHeight="1">
      <c r="A112" s="587"/>
      <c r="B112" s="473" t="s">
        <v>2201</v>
      </c>
      <c r="C112" s="500" t="s">
        <v>152</v>
      </c>
      <c r="D112" s="705" t="s">
        <v>3346</v>
      </c>
      <c r="E112" s="654">
        <v>200</v>
      </c>
      <c r="F112" s="654">
        <v>0</v>
      </c>
      <c r="G112" s="654">
        <v>0</v>
      </c>
      <c r="H112" s="654">
        <v>200</v>
      </c>
      <c r="I112" s="654">
        <f t="shared" si="12"/>
        <v>199.52908365335381</v>
      </c>
      <c r="J112" s="654">
        <v>0</v>
      </c>
      <c r="K112" s="654">
        <v>0</v>
      </c>
      <c r="L112" s="706">
        <v>199.52908365335381</v>
      </c>
      <c r="M112" s="675">
        <v>99.764541826676904</v>
      </c>
      <c r="N112" s="659">
        <v>1650.9113267379676</v>
      </c>
      <c r="O112" s="712" t="s">
        <v>3347</v>
      </c>
      <c r="P112" s="834" t="s">
        <v>1588</v>
      </c>
      <c r="Q112" s="836">
        <v>0</v>
      </c>
      <c r="R112" s="836">
        <v>0</v>
      </c>
      <c r="S112" s="836">
        <v>0</v>
      </c>
      <c r="T112" s="836">
        <v>0</v>
      </c>
      <c r="U112" s="490" t="s">
        <v>3343</v>
      </c>
      <c r="V112" s="494" t="s">
        <v>3348</v>
      </c>
      <c r="W112" s="498">
        <v>3412</v>
      </c>
      <c r="X112" s="132" t="s">
        <v>3335</v>
      </c>
      <c r="Y112" s="132" t="s">
        <v>3336</v>
      </c>
      <c r="Z112" s="492" t="s">
        <v>3349</v>
      </c>
      <c r="AA112" s="492" t="s">
        <v>1999</v>
      </c>
      <c r="AB112" s="493" t="s">
        <v>1534</v>
      </c>
    </row>
    <row r="113" spans="1:28" ht="24" customHeight="1">
      <c r="A113" s="587"/>
      <c r="B113" s="473" t="s">
        <v>2201</v>
      </c>
      <c r="C113" s="500" t="s">
        <v>153</v>
      </c>
      <c r="D113" s="705" t="s">
        <v>3350</v>
      </c>
      <c r="E113" s="654">
        <v>200</v>
      </c>
      <c r="F113" s="654">
        <v>0</v>
      </c>
      <c r="G113" s="654">
        <v>0</v>
      </c>
      <c r="H113" s="654">
        <v>200</v>
      </c>
      <c r="I113" s="654">
        <f t="shared" si="12"/>
        <v>122.45965296998206</v>
      </c>
      <c r="J113" s="654">
        <v>0</v>
      </c>
      <c r="K113" s="654">
        <v>0</v>
      </c>
      <c r="L113" s="706">
        <v>122.45965296998206</v>
      </c>
      <c r="M113" s="675">
        <v>61.229826484991037</v>
      </c>
      <c r="N113" s="659">
        <v>743.47271402377658</v>
      </c>
      <c r="O113" s="712" t="s">
        <v>3347</v>
      </c>
      <c r="P113" s="834" t="s">
        <v>1588</v>
      </c>
      <c r="Q113" s="836">
        <v>0</v>
      </c>
      <c r="R113" s="836">
        <v>0</v>
      </c>
      <c r="S113" s="836">
        <v>0</v>
      </c>
      <c r="T113" s="836">
        <v>0</v>
      </c>
      <c r="U113" s="490" t="s">
        <v>3343</v>
      </c>
      <c r="V113" s="494" t="s">
        <v>3351</v>
      </c>
      <c r="W113" s="498">
        <v>2518</v>
      </c>
      <c r="X113" s="132" t="s">
        <v>3335</v>
      </c>
      <c r="Y113" s="132" t="s">
        <v>3336</v>
      </c>
      <c r="Z113" s="492" t="s">
        <v>1588</v>
      </c>
      <c r="AA113" s="492" t="s">
        <v>1999</v>
      </c>
      <c r="AB113" s="493" t="s">
        <v>1534</v>
      </c>
    </row>
    <row r="114" spans="1:28" ht="24" customHeight="1">
      <c r="A114" s="587"/>
      <c r="B114" s="473" t="s">
        <v>2201</v>
      </c>
      <c r="C114" s="500" t="s">
        <v>154</v>
      </c>
      <c r="D114" s="705" t="s">
        <v>3352</v>
      </c>
      <c r="E114" s="654">
        <v>200</v>
      </c>
      <c r="F114" s="654">
        <v>0</v>
      </c>
      <c r="G114" s="654">
        <v>0</v>
      </c>
      <c r="H114" s="654">
        <v>200</v>
      </c>
      <c r="I114" s="654">
        <f t="shared" si="12"/>
        <v>109.49638908090117</v>
      </c>
      <c r="J114" s="654">
        <v>0</v>
      </c>
      <c r="K114" s="654">
        <v>0</v>
      </c>
      <c r="L114" s="706">
        <v>109.49638908090117</v>
      </c>
      <c r="M114" s="675">
        <v>54.748194540450577</v>
      </c>
      <c r="N114" s="659">
        <v>507.88361024070065</v>
      </c>
      <c r="O114" s="712" t="s">
        <v>3347</v>
      </c>
      <c r="P114" s="834" t="s">
        <v>1588</v>
      </c>
      <c r="Q114" s="836">
        <v>0</v>
      </c>
      <c r="R114" s="836">
        <v>0</v>
      </c>
      <c r="S114" s="836">
        <v>0</v>
      </c>
      <c r="T114" s="836">
        <v>0</v>
      </c>
      <c r="U114" s="492" t="s">
        <v>3343</v>
      </c>
      <c r="V114" s="494" t="s">
        <v>3353</v>
      </c>
      <c r="W114" s="498">
        <v>3747</v>
      </c>
      <c r="X114" s="132" t="s">
        <v>3335</v>
      </c>
      <c r="Y114" s="132" t="s">
        <v>3336</v>
      </c>
      <c r="Z114" s="492" t="s">
        <v>3354</v>
      </c>
      <c r="AA114" s="492" t="s">
        <v>1999</v>
      </c>
      <c r="AB114" s="493" t="s">
        <v>1534</v>
      </c>
    </row>
    <row r="115" spans="1:28" ht="24" customHeight="1">
      <c r="A115" s="587"/>
      <c r="B115" s="473" t="s">
        <v>2201</v>
      </c>
      <c r="C115" s="500" t="s">
        <v>155</v>
      </c>
      <c r="D115" s="705" t="s">
        <v>3355</v>
      </c>
      <c r="E115" s="654">
        <v>200</v>
      </c>
      <c r="F115" s="654">
        <v>0</v>
      </c>
      <c r="G115" s="654">
        <v>0</v>
      </c>
      <c r="H115" s="654">
        <v>200</v>
      </c>
      <c r="I115" s="654">
        <f t="shared" si="12"/>
        <v>138.68105504352278</v>
      </c>
      <c r="J115" s="654">
        <v>0</v>
      </c>
      <c r="K115" s="654">
        <v>0</v>
      </c>
      <c r="L115" s="706">
        <v>138.68105504352278</v>
      </c>
      <c r="M115" s="675">
        <v>69.340527521761388</v>
      </c>
      <c r="N115" s="659">
        <v>793.42409652205652</v>
      </c>
      <c r="O115" s="712" t="s">
        <v>3347</v>
      </c>
      <c r="P115" s="834" t="s">
        <v>1588</v>
      </c>
      <c r="Q115" s="836">
        <v>0</v>
      </c>
      <c r="R115" s="836">
        <v>0</v>
      </c>
      <c r="S115" s="836">
        <v>0</v>
      </c>
      <c r="T115" s="836">
        <v>0</v>
      </c>
      <c r="U115" s="490" t="s">
        <v>3343</v>
      </c>
      <c r="V115" s="494" t="s">
        <v>3356</v>
      </c>
      <c r="W115" s="498">
        <v>976</v>
      </c>
      <c r="X115" s="132" t="s">
        <v>3335</v>
      </c>
      <c r="Y115" s="132" t="s">
        <v>3336</v>
      </c>
      <c r="Z115" s="492" t="s">
        <v>1588</v>
      </c>
      <c r="AA115" s="492" t="s">
        <v>1999</v>
      </c>
      <c r="AB115" s="493" t="s">
        <v>1534</v>
      </c>
    </row>
    <row r="116" spans="1:28" ht="24" customHeight="1">
      <c r="A116" s="587"/>
      <c r="B116" s="473" t="s">
        <v>2201</v>
      </c>
      <c r="C116" s="500" t="s">
        <v>156</v>
      </c>
      <c r="D116" s="705" t="s">
        <v>3357</v>
      </c>
      <c r="E116" s="654">
        <v>650</v>
      </c>
      <c r="F116" s="654">
        <v>0</v>
      </c>
      <c r="G116" s="654">
        <v>0</v>
      </c>
      <c r="H116" s="654">
        <v>650</v>
      </c>
      <c r="I116" s="654">
        <f t="shared" si="12"/>
        <v>328.45883369978884</v>
      </c>
      <c r="J116" s="654">
        <v>0</v>
      </c>
      <c r="K116" s="654">
        <v>0</v>
      </c>
      <c r="L116" s="706">
        <v>328.45883369978884</v>
      </c>
      <c r="M116" s="675">
        <v>50.532128261505974</v>
      </c>
      <c r="N116" s="659">
        <v>1315.9795331042681</v>
      </c>
      <c r="O116" s="712" t="s">
        <v>3347</v>
      </c>
      <c r="P116" s="834" t="s">
        <v>1588</v>
      </c>
      <c r="Q116" s="836">
        <v>0</v>
      </c>
      <c r="R116" s="836">
        <v>0</v>
      </c>
      <c r="S116" s="836">
        <v>0</v>
      </c>
      <c r="T116" s="836">
        <v>0</v>
      </c>
      <c r="U116" s="491" t="s">
        <v>3343</v>
      </c>
      <c r="V116" s="491" t="s">
        <v>3358</v>
      </c>
      <c r="W116" s="498">
        <v>3515</v>
      </c>
      <c r="X116" s="132" t="s">
        <v>3335</v>
      </c>
      <c r="Y116" s="132" t="s">
        <v>3336</v>
      </c>
      <c r="Z116" s="495" t="s">
        <v>1588</v>
      </c>
      <c r="AA116" s="495" t="s">
        <v>1999</v>
      </c>
      <c r="AB116" s="493" t="s">
        <v>1534</v>
      </c>
    </row>
    <row r="117" spans="1:28" ht="24" customHeight="1">
      <c r="A117" s="587"/>
      <c r="B117" s="473" t="s">
        <v>2201</v>
      </c>
      <c r="C117" s="500" t="s">
        <v>2216</v>
      </c>
      <c r="D117" s="705" t="s">
        <v>3359</v>
      </c>
      <c r="E117" s="654">
        <v>80000</v>
      </c>
      <c r="F117" s="654">
        <v>0</v>
      </c>
      <c r="G117" s="654">
        <v>0</v>
      </c>
      <c r="H117" s="654">
        <v>80000</v>
      </c>
      <c r="I117" s="654">
        <f t="shared" si="12"/>
        <v>82580.552035330256</v>
      </c>
      <c r="J117" s="654">
        <v>0</v>
      </c>
      <c r="K117" s="654">
        <v>0</v>
      </c>
      <c r="L117" s="706">
        <v>82580.552035330256</v>
      </c>
      <c r="M117" s="675">
        <v>103.22569004416282</v>
      </c>
      <c r="N117" s="659">
        <v>1215236</v>
      </c>
      <c r="O117" s="713" t="s">
        <v>3259</v>
      </c>
      <c r="P117" s="462" t="s">
        <v>1588</v>
      </c>
      <c r="Q117" s="836">
        <v>226</v>
      </c>
      <c r="R117" s="836">
        <v>44</v>
      </c>
      <c r="S117" s="836">
        <v>0</v>
      </c>
      <c r="T117" s="836">
        <v>0</v>
      </c>
      <c r="U117" s="132" t="s">
        <v>3360</v>
      </c>
      <c r="V117" s="132" t="s">
        <v>2238</v>
      </c>
      <c r="W117" s="498">
        <v>52915</v>
      </c>
      <c r="X117" s="132" t="s">
        <v>2199</v>
      </c>
      <c r="Y117" s="132" t="s">
        <v>3336</v>
      </c>
      <c r="Z117" s="132" t="s">
        <v>3361</v>
      </c>
      <c r="AA117" s="132" t="s">
        <v>1999</v>
      </c>
      <c r="AB117" s="493" t="s">
        <v>1534</v>
      </c>
    </row>
    <row r="118" spans="1:28" ht="24" customHeight="1">
      <c r="A118" s="586" t="s">
        <v>1819</v>
      </c>
      <c r="B118" s="460" t="s">
        <v>2201</v>
      </c>
      <c r="C118" s="458" t="s">
        <v>2021</v>
      </c>
      <c r="D118" s="510" t="s">
        <v>3362</v>
      </c>
      <c r="E118" s="655">
        <v>75000</v>
      </c>
      <c r="F118" s="655">
        <v>0</v>
      </c>
      <c r="G118" s="655">
        <v>30000</v>
      </c>
      <c r="H118" s="655">
        <v>45000</v>
      </c>
      <c r="I118" s="655">
        <f t="shared" si="12"/>
        <v>42817</v>
      </c>
      <c r="J118" s="655">
        <v>0</v>
      </c>
      <c r="K118" s="655">
        <v>0</v>
      </c>
      <c r="L118" s="710">
        <v>42817</v>
      </c>
      <c r="M118" s="676">
        <v>92.9</v>
      </c>
      <c r="N118" s="659">
        <v>4622.0865866000004</v>
      </c>
      <c r="O118" s="669" t="s">
        <v>1535</v>
      </c>
      <c r="P118" s="463" t="s">
        <v>3363</v>
      </c>
      <c r="Q118" s="837">
        <v>0</v>
      </c>
      <c r="R118" s="837">
        <v>0</v>
      </c>
      <c r="S118" s="837">
        <v>0</v>
      </c>
      <c r="T118" s="837">
        <v>0</v>
      </c>
      <c r="U118" s="463" t="s">
        <v>2218</v>
      </c>
      <c r="V118" s="466" t="s">
        <v>3364</v>
      </c>
      <c r="W118" s="498">
        <v>23748</v>
      </c>
      <c r="X118" s="463" t="s">
        <v>2199</v>
      </c>
      <c r="Y118" s="132" t="s">
        <v>3336</v>
      </c>
      <c r="Z118" s="497" t="s">
        <v>3365</v>
      </c>
      <c r="AA118" s="497" t="s">
        <v>3366</v>
      </c>
      <c r="AB118" s="133" t="s">
        <v>3367</v>
      </c>
    </row>
    <row r="119" spans="1:28" ht="24" customHeight="1">
      <c r="A119" s="587"/>
      <c r="B119" s="460" t="s">
        <v>2201</v>
      </c>
      <c r="C119" s="458" t="s">
        <v>157</v>
      </c>
      <c r="D119" s="510" t="s">
        <v>3368</v>
      </c>
      <c r="E119" s="655">
        <v>65000</v>
      </c>
      <c r="F119" s="655">
        <v>0</v>
      </c>
      <c r="G119" s="655">
        <v>40000</v>
      </c>
      <c r="H119" s="655">
        <v>25000</v>
      </c>
      <c r="I119" s="655">
        <f t="shared" si="12"/>
        <v>41926</v>
      </c>
      <c r="J119" s="655">
        <v>0</v>
      </c>
      <c r="K119" s="655">
        <v>31919</v>
      </c>
      <c r="L119" s="710">
        <v>10007</v>
      </c>
      <c r="M119" s="676">
        <f>(40000*149-40000*20)/(40000*149)*100</f>
        <v>86.577181208053688</v>
      </c>
      <c r="N119" s="659">
        <f>106.9*41926*M119/100*1/1000</f>
        <v>3880.2935073825502</v>
      </c>
      <c r="O119" s="669" t="s">
        <v>1535</v>
      </c>
      <c r="P119" s="463" t="s">
        <v>3363</v>
      </c>
      <c r="Q119" s="837">
        <v>0</v>
      </c>
      <c r="R119" s="837">
        <v>0</v>
      </c>
      <c r="S119" s="837">
        <v>0</v>
      </c>
      <c r="T119" s="837">
        <v>0</v>
      </c>
      <c r="U119" s="463" t="s">
        <v>3369</v>
      </c>
      <c r="V119" s="466" t="s">
        <v>3364</v>
      </c>
      <c r="W119" s="498">
        <v>36498</v>
      </c>
      <c r="X119" s="463" t="s">
        <v>2199</v>
      </c>
      <c r="Y119" s="463" t="s">
        <v>3370</v>
      </c>
      <c r="Z119" s="497" t="s">
        <v>3371</v>
      </c>
      <c r="AA119" s="497" t="s">
        <v>3366</v>
      </c>
      <c r="AB119" s="133" t="s">
        <v>3367</v>
      </c>
    </row>
    <row r="120" spans="1:28" ht="24" customHeight="1">
      <c r="A120" s="587"/>
      <c r="B120" s="460" t="s">
        <v>675</v>
      </c>
      <c r="C120" s="458" t="s">
        <v>3372</v>
      </c>
      <c r="D120" s="510" t="s">
        <v>3373</v>
      </c>
      <c r="E120" s="655">
        <v>110</v>
      </c>
      <c r="F120" s="655">
        <v>0</v>
      </c>
      <c r="G120" s="655">
        <v>0</v>
      </c>
      <c r="H120" s="655">
        <v>110</v>
      </c>
      <c r="I120" s="655">
        <f t="shared" si="12"/>
        <v>56</v>
      </c>
      <c r="J120" s="655">
        <v>0</v>
      </c>
      <c r="K120" s="655">
        <v>0</v>
      </c>
      <c r="L120" s="710">
        <v>56</v>
      </c>
      <c r="M120" s="676">
        <f>(110*211-110*20)/(110*211)*100</f>
        <v>90.521327014218016</v>
      </c>
      <c r="N120" s="659">
        <f>118.7*56*M120/100*1/1000</f>
        <v>6.0171336492890992</v>
      </c>
      <c r="O120" s="669" t="s">
        <v>3374</v>
      </c>
      <c r="P120" s="463" t="s">
        <v>1588</v>
      </c>
      <c r="Q120" s="837">
        <v>0</v>
      </c>
      <c r="R120" s="837">
        <v>0</v>
      </c>
      <c r="S120" s="837">
        <v>0</v>
      </c>
      <c r="T120" s="837">
        <v>0</v>
      </c>
      <c r="U120" s="463" t="s">
        <v>3369</v>
      </c>
      <c r="V120" s="466" t="s">
        <v>3375</v>
      </c>
      <c r="W120" s="498">
        <v>400</v>
      </c>
      <c r="X120" s="463" t="s">
        <v>2199</v>
      </c>
      <c r="Y120" s="463" t="s">
        <v>3376</v>
      </c>
      <c r="Z120" s="497">
        <v>0</v>
      </c>
      <c r="AA120" s="498" t="s">
        <v>3377</v>
      </c>
      <c r="AB120" s="133" t="s">
        <v>3367</v>
      </c>
    </row>
    <row r="121" spans="1:28" ht="24" customHeight="1">
      <c r="A121" s="587"/>
      <c r="B121" s="460" t="s">
        <v>2201</v>
      </c>
      <c r="C121" s="458" t="s">
        <v>2022</v>
      </c>
      <c r="D121" s="510" t="s">
        <v>3378</v>
      </c>
      <c r="E121" s="655">
        <v>40000</v>
      </c>
      <c r="F121" s="655">
        <v>0</v>
      </c>
      <c r="G121" s="655">
        <v>40000</v>
      </c>
      <c r="H121" s="655">
        <v>0</v>
      </c>
      <c r="I121" s="655">
        <f t="shared" si="12"/>
        <v>22458</v>
      </c>
      <c r="J121" s="655">
        <v>0</v>
      </c>
      <c r="K121" s="655">
        <v>22458</v>
      </c>
      <c r="L121" s="710">
        <v>0</v>
      </c>
      <c r="M121" s="676">
        <v>94</v>
      </c>
      <c r="N121" s="659">
        <v>1958</v>
      </c>
      <c r="O121" s="669" t="s">
        <v>1535</v>
      </c>
      <c r="P121" s="463" t="s">
        <v>1588</v>
      </c>
      <c r="Q121" s="837">
        <v>0</v>
      </c>
      <c r="R121" s="837">
        <v>0</v>
      </c>
      <c r="S121" s="837">
        <v>117</v>
      </c>
      <c r="T121" s="837">
        <v>0</v>
      </c>
      <c r="U121" s="463" t="s">
        <v>3379</v>
      </c>
      <c r="V121" s="466" t="s">
        <v>3380</v>
      </c>
      <c r="W121" s="498">
        <v>48475</v>
      </c>
      <c r="X121" s="463" t="s">
        <v>2199</v>
      </c>
      <c r="Y121" s="132" t="s">
        <v>3336</v>
      </c>
      <c r="Z121" s="497">
        <v>0</v>
      </c>
      <c r="AA121" s="497">
        <v>0</v>
      </c>
      <c r="AB121" s="133" t="s">
        <v>3367</v>
      </c>
    </row>
    <row r="122" spans="1:28" ht="24" customHeight="1">
      <c r="A122" s="585"/>
      <c r="B122" s="460" t="s">
        <v>2201</v>
      </c>
      <c r="C122" s="458" t="s">
        <v>158</v>
      </c>
      <c r="D122" s="510" t="s">
        <v>3381</v>
      </c>
      <c r="E122" s="655">
        <v>10000</v>
      </c>
      <c r="F122" s="655">
        <v>0</v>
      </c>
      <c r="G122" s="655">
        <v>0</v>
      </c>
      <c r="H122" s="655">
        <v>10000</v>
      </c>
      <c r="I122" s="655">
        <f t="shared" si="12"/>
        <v>6650</v>
      </c>
      <c r="J122" s="655">
        <v>0</v>
      </c>
      <c r="K122" s="655">
        <v>0</v>
      </c>
      <c r="L122" s="710">
        <v>6650</v>
      </c>
      <c r="M122" s="676">
        <v>97</v>
      </c>
      <c r="N122" s="659">
        <v>774</v>
      </c>
      <c r="O122" s="669" t="s">
        <v>3173</v>
      </c>
      <c r="P122" s="463" t="s">
        <v>1588</v>
      </c>
      <c r="Q122" s="837">
        <v>0</v>
      </c>
      <c r="R122" s="837">
        <v>0</v>
      </c>
      <c r="S122" s="837">
        <v>0</v>
      </c>
      <c r="T122" s="837">
        <v>0</v>
      </c>
      <c r="U122" s="463" t="s">
        <v>3382</v>
      </c>
      <c r="V122" s="466" t="s">
        <v>3383</v>
      </c>
      <c r="W122" s="498">
        <v>23404</v>
      </c>
      <c r="X122" s="463" t="s">
        <v>2199</v>
      </c>
      <c r="Y122" s="463" t="s">
        <v>3376</v>
      </c>
      <c r="Z122" s="497" t="s">
        <v>3384</v>
      </c>
      <c r="AA122" s="497" t="s">
        <v>3366</v>
      </c>
      <c r="AB122" s="133" t="s">
        <v>3367</v>
      </c>
    </row>
    <row r="123" spans="1:28" ht="24" customHeight="1">
      <c r="A123" s="584" t="s">
        <v>1823</v>
      </c>
      <c r="B123" s="460" t="s">
        <v>2201</v>
      </c>
      <c r="C123" s="458" t="s">
        <v>323</v>
      </c>
      <c r="D123" s="510" t="s">
        <v>2219</v>
      </c>
      <c r="E123" s="655">
        <v>279000</v>
      </c>
      <c r="F123" s="655">
        <v>0</v>
      </c>
      <c r="G123" s="655">
        <v>0</v>
      </c>
      <c r="H123" s="655">
        <v>279000</v>
      </c>
      <c r="I123" s="655">
        <f t="shared" si="12"/>
        <v>212416</v>
      </c>
      <c r="J123" s="655">
        <v>0</v>
      </c>
      <c r="K123" s="655">
        <v>0</v>
      </c>
      <c r="L123" s="668">
        <v>212416</v>
      </c>
      <c r="M123" s="677">
        <v>97.1</v>
      </c>
      <c r="N123" s="659">
        <v>57586</v>
      </c>
      <c r="O123" s="669" t="s">
        <v>1535</v>
      </c>
      <c r="P123" s="463" t="s">
        <v>1588</v>
      </c>
      <c r="Q123" s="837">
        <v>0</v>
      </c>
      <c r="R123" s="837">
        <v>249</v>
      </c>
      <c r="S123" s="837">
        <v>221</v>
      </c>
      <c r="T123" s="837">
        <v>0</v>
      </c>
      <c r="U123" s="463" t="s">
        <v>3385</v>
      </c>
      <c r="V123" s="463" t="s">
        <v>3386</v>
      </c>
      <c r="W123" s="498">
        <v>114903</v>
      </c>
      <c r="X123" s="463" t="s">
        <v>1532</v>
      </c>
      <c r="Y123" s="463" t="s">
        <v>1533</v>
      </c>
      <c r="Z123" s="463"/>
      <c r="AA123" s="463"/>
      <c r="AB123" s="459" t="s">
        <v>1596</v>
      </c>
    </row>
    <row r="124" spans="1:28" ht="24" customHeight="1">
      <c r="A124" s="586" t="s">
        <v>1825</v>
      </c>
      <c r="B124" s="473" t="s">
        <v>2201</v>
      </c>
      <c r="C124" s="500" t="s">
        <v>159</v>
      </c>
      <c r="D124" s="705" t="s">
        <v>3387</v>
      </c>
      <c r="E124" s="654">
        <f>SUM(F124:H124)</f>
        <v>22000</v>
      </c>
      <c r="F124" s="654">
        <v>0</v>
      </c>
      <c r="G124" s="654">
        <v>0</v>
      </c>
      <c r="H124" s="654">
        <v>22000</v>
      </c>
      <c r="I124" s="654">
        <f t="shared" si="12"/>
        <v>0</v>
      </c>
      <c r="J124" s="654">
        <v>0</v>
      </c>
      <c r="K124" s="654">
        <v>0</v>
      </c>
      <c r="L124" s="706">
        <v>0</v>
      </c>
      <c r="M124" s="675">
        <v>0</v>
      </c>
      <c r="N124" s="659">
        <v>0</v>
      </c>
      <c r="O124" s="709" t="s">
        <v>3388</v>
      </c>
      <c r="P124" s="132" t="s">
        <v>3388</v>
      </c>
      <c r="Q124" s="836">
        <v>0</v>
      </c>
      <c r="R124" s="836">
        <v>0</v>
      </c>
      <c r="S124" s="836">
        <v>0</v>
      </c>
      <c r="T124" s="836">
        <v>0</v>
      </c>
      <c r="U124" s="132"/>
      <c r="V124" s="499" t="s">
        <v>3389</v>
      </c>
      <c r="W124" s="498">
        <v>39888</v>
      </c>
      <c r="X124" s="132" t="s">
        <v>2276</v>
      </c>
      <c r="Y124" s="132" t="s">
        <v>3390</v>
      </c>
      <c r="Z124" s="132" t="s">
        <v>3391</v>
      </c>
      <c r="AA124" s="132" t="s">
        <v>3392</v>
      </c>
      <c r="AB124" s="133" t="s">
        <v>3367</v>
      </c>
    </row>
    <row r="125" spans="1:28" ht="24" customHeight="1">
      <c r="A125" s="587"/>
      <c r="B125" s="473" t="s">
        <v>2201</v>
      </c>
      <c r="C125" s="500" t="s">
        <v>160</v>
      </c>
      <c r="D125" s="705" t="s">
        <v>2106</v>
      </c>
      <c r="E125" s="654">
        <f>SUM(F125:H125)</f>
        <v>8000</v>
      </c>
      <c r="F125" s="654">
        <v>0</v>
      </c>
      <c r="G125" s="654">
        <v>0</v>
      </c>
      <c r="H125" s="654">
        <v>8000</v>
      </c>
      <c r="I125" s="654">
        <f t="shared" si="12"/>
        <v>0</v>
      </c>
      <c r="J125" s="654">
        <v>0</v>
      </c>
      <c r="K125" s="654">
        <v>0</v>
      </c>
      <c r="L125" s="706">
        <v>0</v>
      </c>
      <c r="M125" s="675">
        <v>0</v>
      </c>
      <c r="N125" s="659">
        <v>0</v>
      </c>
      <c r="O125" s="709" t="s">
        <v>3388</v>
      </c>
      <c r="P125" s="132" t="s">
        <v>3388</v>
      </c>
      <c r="Q125" s="836">
        <v>0</v>
      </c>
      <c r="R125" s="836">
        <v>0</v>
      </c>
      <c r="S125" s="836">
        <v>0</v>
      </c>
      <c r="T125" s="836">
        <v>0</v>
      </c>
      <c r="U125" s="132"/>
      <c r="V125" s="499" t="s">
        <v>3389</v>
      </c>
      <c r="W125" s="498">
        <v>17424</v>
      </c>
      <c r="X125" s="132" t="s">
        <v>2276</v>
      </c>
      <c r="Y125" s="132" t="s">
        <v>3390</v>
      </c>
      <c r="Z125" s="132" t="s">
        <v>1735</v>
      </c>
      <c r="AA125" s="132" t="s">
        <v>3393</v>
      </c>
      <c r="AB125" s="133" t="s">
        <v>3367</v>
      </c>
    </row>
    <row r="126" spans="1:28" ht="24" customHeight="1">
      <c r="A126" s="587"/>
      <c r="B126" s="473" t="s">
        <v>2201</v>
      </c>
      <c r="C126" s="500" t="s">
        <v>161</v>
      </c>
      <c r="D126" s="705" t="s">
        <v>2108</v>
      </c>
      <c r="E126" s="654">
        <f>SUM(F126:H126)</f>
        <v>8000</v>
      </c>
      <c r="F126" s="654">
        <v>0</v>
      </c>
      <c r="G126" s="654">
        <v>0</v>
      </c>
      <c r="H126" s="654">
        <v>8000</v>
      </c>
      <c r="I126" s="654">
        <f t="shared" si="12"/>
        <v>0</v>
      </c>
      <c r="J126" s="654">
        <v>0</v>
      </c>
      <c r="K126" s="654">
        <v>0</v>
      </c>
      <c r="L126" s="706">
        <v>0</v>
      </c>
      <c r="M126" s="675">
        <v>0</v>
      </c>
      <c r="N126" s="659">
        <v>0</v>
      </c>
      <c r="O126" s="709" t="s">
        <v>3388</v>
      </c>
      <c r="P126" s="132" t="s">
        <v>3388</v>
      </c>
      <c r="Q126" s="836">
        <v>0</v>
      </c>
      <c r="R126" s="836">
        <v>0</v>
      </c>
      <c r="S126" s="836">
        <v>0</v>
      </c>
      <c r="T126" s="836">
        <v>0</v>
      </c>
      <c r="U126" s="132"/>
      <c r="V126" s="499" t="s">
        <v>3389</v>
      </c>
      <c r="W126" s="498">
        <v>21951</v>
      </c>
      <c r="X126" s="132" t="s">
        <v>2276</v>
      </c>
      <c r="Y126" s="132" t="s">
        <v>3390</v>
      </c>
      <c r="Z126" s="132" t="s">
        <v>3394</v>
      </c>
      <c r="AA126" s="132" t="s">
        <v>3395</v>
      </c>
      <c r="AB126" s="133" t="s">
        <v>3367</v>
      </c>
    </row>
    <row r="127" spans="1:28" ht="24" customHeight="1">
      <c r="A127" s="582" t="s">
        <v>1826</v>
      </c>
      <c r="B127" s="460" t="s">
        <v>2201</v>
      </c>
      <c r="C127" s="458" t="s">
        <v>162</v>
      </c>
      <c r="D127" s="510" t="s">
        <v>3396</v>
      </c>
      <c r="E127" s="655">
        <f t="shared" ref="E127:E135" si="13">F127+G127+H127</f>
        <v>27000</v>
      </c>
      <c r="F127" s="655">
        <v>0</v>
      </c>
      <c r="G127" s="655">
        <v>0</v>
      </c>
      <c r="H127" s="655">
        <v>27000</v>
      </c>
      <c r="I127" s="655">
        <f t="shared" si="12"/>
        <v>20453</v>
      </c>
      <c r="J127" s="655">
        <v>0</v>
      </c>
      <c r="K127" s="655">
        <v>0</v>
      </c>
      <c r="L127" s="710">
        <v>20453</v>
      </c>
      <c r="M127" s="676">
        <v>93.3</v>
      </c>
      <c r="N127" s="659">
        <v>305895</v>
      </c>
      <c r="O127" s="669" t="s">
        <v>3388</v>
      </c>
      <c r="P127" s="463" t="s">
        <v>3388</v>
      </c>
      <c r="Q127" s="837">
        <v>0</v>
      </c>
      <c r="R127" s="837">
        <v>0</v>
      </c>
      <c r="S127" s="837">
        <v>0</v>
      </c>
      <c r="T127" s="837">
        <v>0</v>
      </c>
      <c r="U127" s="463" t="s">
        <v>3397</v>
      </c>
      <c r="V127" s="466" t="s">
        <v>3398</v>
      </c>
      <c r="W127" s="498">
        <v>33777</v>
      </c>
      <c r="X127" s="463" t="s">
        <v>2199</v>
      </c>
      <c r="Y127" s="463" t="s">
        <v>3399</v>
      </c>
      <c r="Z127" s="463" t="s">
        <v>560</v>
      </c>
      <c r="AA127" s="463" t="s">
        <v>1534</v>
      </c>
      <c r="AB127" s="459" t="s">
        <v>1534</v>
      </c>
    </row>
    <row r="128" spans="1:28" ht="24" customHeight="1">
      <c r="A128" s="584"/>
      <c r="B128" s="460" t="s">
        <v>2201</v>
      </c>
      <c r="C128" s="458" t="s">
        <v>163</v>
      </c>
      <c r="D128" s="510" t="s">
        <v>3400</v>
      </c>
      <c r="E128" s="655">
        <f t="shared" si="13"/>
        <v>2000</v>
      </c>
      <c r="F128" s="655">
        <v>0</v>
      </c>
      <c r="G128" s="655">
        <v>0</v>
      </c>
      <c r="H128" s="655">
        <v>2000</v>
      </c>
      <c r="I128" s="655">
        <f t="shared" si="12"/>
        <v>1228</v>
      </c>
      <c r="J128" s="655">
        <v>0</v>
      </c>
      <c r="K128" s="655">
        <v>0</v>
      </c>
      <c r="L128" s="710">
        <v>1228</v>
      </c>
      <c r="M128" s="676">
        <v>93.9</v>
      </c>
      <c r="N128" s="659">
        <v>30718</v>
      </c>
      <c r="O128" s="669" t="s">
        <v>3401</v>
      </c>
      <c r="P128" s="463" t="s">
        <v>3401</v>
      </c>
      <c r="Q128" s="837">
        <v>0</v>
      </c>
      <c r="R128" s="837">
        <v>0</v>
      </c>
      <c r="S128" s="837">
        <v>0</v>
      </c>
      <c r="T128" s="837">
        <v>0</v>
      </c>
      <c r="U128" s="463" t="s">
        <v>3402</v>
      </c>
      <c r="V128" s="466" t="s">
        <v>3403</v>
      </c>
      <c r="W128" s="498">
        <v>7053</v>
      </c>
      <c r="X128" s="463" t="s">
        <v>2199</v>
      </c>
      <c r="Y128" s="463" t="s">
        <v>3399</v>
      </c>
      <c r="Z128" s="463" t="s">
        <v>564</v>
      </c>
      <c r="AA128" s="463" t="s">
        <v>1597</v>
      </c>
      <c r="AB128" s="459" t="s">
        <v>1534</v>
      </c>
    </row>
    <row r="129" spans="1:28" ht="24" customHeight="1">
      <c r="A129" s="584"/>
      <c r="B129" s="460" t="s">
        <v>2201</v>
      </c>
      <c r="C129" s="458" t="s">
        <v>164</v>
      </c>
      <c r="D129" s="510" t="s">
        <v>3404</v>
      </c>
      <c r="E129" s="655">
        <f t="shared" si="13"/>
        <v>16000</v>
      </c>
      <c r="F129" s="655">
        <v>0</v>
      </c>
      <c r="G129" s="655">
        <v>0</v>
      </c>
      <c r="H129" s="655">
        <v>16000</v>
      </c>
      <c r="I129" s="655">
        <f t="shared" si="12"/>
        <v>9097</v>
      </c>
      <c r="J129" s="655">
        <v>0</v>
      </c>
      <c r="K129" s="655">
        <v>0</v>
      </c>
      <c r="L129" s="710">
        <v>9097</v>
      </c>
      <c r="M129" s="676">
        <v>95.4</v>
      </c>
      <c r="N129" s="659">
        <v>112647</v>
      </c>
      <c r="O129" s="669" t="s">
        <v>3405</v>
      </c>
      <c r="P129" s="463" t="s">
        <v>3405</v>
      </c>
      <c r="Q129" s="837">
        <v>0</v>
      </c>
      <c r="R129" s="837">
        <v>0</v>
      </c>
      <c r="S129" s="837">
        <v>0</v>
      </c>
      <c r="T129" s="837">
        <v>0</v>
      </c>
      <c r="U129" s="463" t="s">
        <v>3406</v>
      </c>
      <c r="V129" s="466" t="s">
        <v>3407</v>
      </c>
      <c r="W129" s="498">
        <v>40233</v>
      </c>
      <c r="X129" s="463" t="s">
        <v>2199</v>
      </c>
      <c r="Y129" s="463" t="s">
        <v>3399</v>
      </c>
      <c r="Z129" s="463"/>
      <c r="AA129" s="463" t="s">
        <v>1534</v>
      </c>
      <c r="AB129" s="459" t="s">
        <v>1534</v>
      </c>
    </row>
    <row r="130" spans="1:28" ht="24" customHeight="1">
      <c r="A130" s="584"/>
      <c r="B130" s="460" t="s">
        <v>675</v>
      </c>
      <c r="C130" s="458" t="s">
        <v>478</v>
      </c>
      <c r="D130" s="510" t="s">
        <v>3408</v>
      </c>
      <c r="E130" s="655">
        <f t="shared" si="13"/>
        <v>120</v>
      </c>
      <c r="F130" s="655">
        <v>0</v>
      </c>
      <c r="G130" s="655">
        <v>0</v>
      </c>
      <c r="H130" s="655">
        <v>120</v>
      </c>
      <c r="I130" s="655">
        <f t="shared" si="12"/>
        <v>60</v>
      </c>
      <c r="J130" s="655">
        <v>0</v>
      </c>
      <c r="K130" s="655">
        <v>0</v>
      </c>
      <c r="L130" s="710">
        <v>60</v>
      </c>
      <c r="M130" s="676">
        <v>92.7</v>
      </c>
      <c r="N130" s="659">
        <v>807.6</v>
      </c>
      <c r="O130" s="669" t="s">
        <v>3409</v>
      </c>
      <c r="P130" s="463" t="s">
        <v>3409</v>
      </c>
      <c r="Q130" s="837">
        <v>0</v>
      </c>
      <c r="R130" s="837">
        <v>0</v>
      </c>
      <c r="S130" s="837">
        <v>0</v>
      </c>
      <c r="T130" s="837">
        <v>0</v>
      </c>
      <c r="U130" s="463"/>
      <c r="V130" s="466" t="s">
        <v>3410</v>
      </c>
      <c r="W130" s="498">
        <v>275</v>
      </c>
      <c r="X130" s="463" t="s">
        <v>2199</v>
      </c>
      <c r="Y130" s="463"/>
      <c r="Z130" s="463"/>
      <c r="AA130" s="463" t="s">
        <v>1597</v>
      </c>
      <c r="AB130" s="459" t="s">
        <v>1534</v>
      </c>
    </row>
    <row r="131" spans="1:28" ht="24" customHeight="1">
      <c r="A131" s="584"/>
      <c r="B131" s="460" t="s">
        <v>675</v>
      </c>
      <c r="C131" s="458" t="s">
        <v>479</v>
      </c>
      <c r="D131" s="510" t="s">
        <v>3411</v>
      </c>
      <c r="E131" s="655">
        <f t="shared" si="13"/>
        <v>30</v>
      </c>
      <c r="F131" s="655">
        <v>0</v>
      </c>
      <c r="G131" s="655">
        <v>0</v>
      </c>
      <c r="H131" s="655">
        <v>30</v>
      </c>
      <c r="I131" s="655">
        <f t="shared" si="12"/>
        <v>36.799999999999997</v>
      </c>
      <c r="J131" s="655">
        <v>0</v>
      </c>
      <c r="K131" s="655">
        <v>0</v>
      </c>
      <c r="L131" s="710">
        <v>36.799999999999997</v>
      </c>
      <c r="M131" s="676">
        <v>95.3</v>
      </c>
      <c r="N131" s="659">
        <v>484.5</v>
      </c>
      <c r="O131" s="669" t="s">
        <v>3412</v>
      </c>
      <c r="P131" s="463" t="s">
        <v>1588</v>
      </c>
      <c r="Q131" s="837">
        <v>0</v>
      </c>
      <c r="R131" s="837">
        <v>0</v>
      </c>
      <c r="S131" s="837">
        <v>0</v>
      </c>
      <c r="T131" s="837">
        <v>0</v>
      </c>
      <c r="U131" s="463"/>
      <c r="V131" s="466" t="s">
        <v>3413</v>
      </c>
      <c r="W131" s="498">
        <v>105</v>
      </c>
      <c r="X131" s="463" t="s">
        <v>2199</v>
      </c>
      <c r="Y131" s="463"/>
      <c r="Z131" s="463"/>
      <c r="AA131" s="463" t="s">
        <v>1597</v>
      </c>
      <c r="AB131" s="459" t="s">
        <v>1534</v>
      </c>
    </row>
    <row r="132" spans="1:28" ht="24" customHeight="1">
      <c r="A132" s="584"/>
      <c r="B132" s="460" t="s">
        <v>675</v>
      </c>
      <c r="C132" s="458" t="s">
        <v>480</v>
      </c>
      <c r="D132" s="510" t="s">
        <v>3414</v>
      </c>
      <c r="E132" s="655">
        <f t="shared" si="13"/>
        <v>40</v>
      </c>
      <c r="F132" s="655">
        <v>0</v>
      </c>
      <c r="G132" s="655">
        <v>40</v>
      </c>
      <c r="H132" s="655">
        <v>0</v>
      </c>
      <c r="I132" s="655">
        <f t="shared" si="12"/>
        <v>18.100000000000001</v>
      </c>
      <c r="J132" s="655">
        <v>0</v>
      </c>
      <c r="K132" s="655">
        <v>0</v>
      </c>
      <c r="L132" s="710">
        <v>18.100000000000001</v>
      </c>
      <c r="M132" s="676">
        <v>95.5</v>
      </c>
      <c r="N132" s="659">
        <v>216.1</v>
      </c>
      <c r="O132" s="669" t="s">
        <v>3415</v>
      </c>
      <c r="P132" s="463" t="s">
        <v>1588</v>
      </c>
      <c r="Q132" s="837">
        <v>0</v>
      </c>
      <c r="R132" s="837">
        <v>0</v>
      </c>
      <c r="S132" s="837">
        <v>0</v>
      </c>
      <c r="T132" s="837">
        <v>0</v>
      </c>
      <c r="U132" s="463"/>
      <c r="V132" s="466" t="s">
        <v>3416</v>
      </c>
      <c r="W132" s="498">
        <v>140</v>
      </c>
      <c r="X132" s="463" t="s">
        <v>2199</v>
      </c>
      <c r="Y132" s="463"/>
      <c r="Z132" s="463" t="s">
        <v>1827</v>
      </c>
      <c r="AA132" s="463" t="s">
        <v>1597</v>
      </c>
      <c r="AB132" s="459" t="s">
        <v>1534</v>
      </c>
    </row>
    <row r="133" spans="1:28" ht="24" customHeight="1">
      <c r="A133" s="584"/>
      <c r="B133" s="460" t="s">
        <v>675</v>
      </c>
      <c r="C133" s="458" t="s">
        <v>481</v>
      </c>
      <c r="D133" s="510" t="s">
        <v>3417</v>
      </c>
      <c r="E133" s="655">
        <f t="shared" si="13"/>
        <v>40</v>
      </c>
      <c r="F133" s="655">
        <v>0</v>
      </c>
      <c r="G133" s="655">
        <v>40</v>
      </c>
      <c r="H133" s="655">
        <v>0</v>
      </c>
      <c r="I133" s="655">
        <f t="shared" si="12"/>
        <v>24</v>
      </c>
      <c r="J133" s="655">
        <v>0</v>
      </c>
      <c r="K133" s="655">
        <v>0</v>
      </c>
      <c r="L133" s="710">
        <v>24</v>
      </c>
      <c r="M133" s="676">
        <v>95.5</v>
      </c>
      <c r="N133" s="659">
        <v>302.3</v>
      </c>
      <c r="O133" s="669" t="s">
        <v>3415</v>
      </c>
      <c r="P133" s="463" t="s">
        <v>1588</v>
      </c>
      <c r="Q133" s="837">
        <v>0</v>
      </c>
      <c r="R133" s="837">
        <v>0</v>
      </c>
      <c r="S133" s="837">
        <v>0</v>
      </c>
      <c r="T133" s="837">
        <v>0</v>
      </c>
      <c r="U133" s="463"/>
      <c r="V133" s="466" t="s">
        <v>3416</v>
      </c>
      <c r="W133" s="498">
        <v>108</v>
      </c>
      <c r="X133" s="463" t="s">
        <v>2199</v>
      </c>
      <c r="Y133" s="463"/>
      <c r="Z133" s="463" t="s">
        <v>560</v>
      </c>
      <c r="AA133" s="463" t="s">
        <v>1534</v>
      </c>
      <c r="AB133" s="459" t="s">
        <v>1534</v>
      </c>
    </row>
    <row r="134" spans="1:28" ht="24" customHeight="1">
      <c r="A134" s="584"/>
      <c r="B134" s="460" t="s">
        <v>675</v>
      </c>
      <c r="C134" s="458" t="s">
        <v>482</v>
      </c>
      <c r="D134" s="510" t="s">
        <v>3418</v>
      </c>
      <c r="E134" s="655">
        <f t="shared" si="13"/>
        <v>120</v>
      </c>
      <c r="F134" s="655">
        <v>0</v>
      </c>
      <c r="G134" s="655">
        <v>120</v>
      </c>
      <c r="H134" s="655">
        <v>0</v>
      </c>
      <c r="I134" s="655">
        <f t="shared" si="12"/>
        <v>35.700000000000003</v>
      </c>
      <c r="J134" s="655">
        <v>0</v>
      </c>
      <c r="K134" s="655">
        <v>0</v>
      </c>
      <c r="L134" s="710">
        <v>35.700000000000003</v>
      </c>
      <c r="M134" s="676">
        <v>96.9</v>
      </c>
      <c r="N134" s="659">
        <v>433.1</v>
      </c>
      <c r="O134" s="669" t="s">
        <v>3419</v>
      </c>
      <c r="P134" s="463" t="s">
        <v>3419</v>
      </c>
      <c r="Q134" s="837">
        <v>0</v>
      </c>
      <c r="R134" s="837">
        <v>0</v>
      </c>
      <c r="S134" s="837">
        <v>0</v>
      </c>
      <c r="T134" s="837">
        <v>0</v>
      </c>
      <c r="U134" s="463"/>
      <c r="V134" s="466" t="s">
        <v>3420</v>
      </c>
      <c r="W134" s="498">
        <v>727</v>
      </c>
      <c r="X134" s="463" t="s">
        <v>2199</v>
      </c>
      <c r="Y134" s="463" t="s">
        <v>720</v>
      </c>
      <c r="Z134" s="463"/>
      <c r="AA134" s="463" t="s">
        <v>1597</v>
      </c>
      <c r="AB134" s="459" t="s">
        <v>1534</v>
      </c>
    </row>
    <row r="135" spans="1:28" ht="24" customHeight="1">
      <c r="A135" s="584"/>
      <c r="B135" s="460" t="s">
        <v>675</v>
      </c>
      <c r="C135" s="458" t="s">
        <v>483</v>
      </c>
      <c r="D135" s="510" t="s">
        <v>3421</v>
      </c>
      <c r="E135" s="655">
        <f t="shared" si="13"/>
        <v>114</v>
      </c>
      <c r="F135" s="655">
        <v>0</v>
      </c>
      <c r="G135" s="655">
        <v>114</v>
      </c>
      <c r="H135" s="655">
        <v>0</v>
      </c>
      <c r="I135" s="655">
        <f t="shared" si="12"/>
        <v>21.3</v>
      </c>
      <c r="J135" s="655">
        <v>0</v>
      </c>
      <c r="K135" s="655">
        <v>0</v>
      </c>
      <c r="L135" s="710">
        <v>21.3</v>
      </c>
      <c r="M135" s="676">
        <v>96</v>
      </c>
      <c r="N135" s="659">
        <v>240.5</v>
      </c>
      <c r="O135" s="669" t="s">
        <v>3347</v>
      </c>
      <c r="P135" s="463" t="s">
        <v>1588</v>
      </c>
      <c r="Q135" s="837">
        <v>0</v>
      </c>
      <c r="R135" s="837">
        <v>0</v>
      </c>
      <c r="S135" s="837">
        <v>0</v>
      </c>
      <c r="T135" s="837">
        <v>0</v>
      </c>
      <c r="U135" s="463"/>
      <c r="V135" s="466" t="s">
        <v>3422</v>
      </c>
      <c r="W135" s="498">
        <v>186</v>
      </c>
      <c r="X135" s="463" t="s">
        <v>2199</v>
      </c>
      <c r="Y135" s="463"/>
      <c r="Z135" s="463"/>
      <c r="AA135" s="463" t="s">
        <v>1597</v>
      </c>
      <c r="AB135" s="459" t="s">
        <v>1534</v>
      </c>
    </row>
    <row r="136" spans="1:28" ht="24" customHeight="1">
      <c r="A136" s="582" t="s">
        <v>1829</v>
      </c>
      <c r="B136" s="460" t="s">
        <v>2201</v>
      </c>
      <c r="C136" s="458" t="s">
        <v>2221</v>
      </c>
      <c r="D136" s="510" t="s">
        <v>3423</v>
      </c>
      <c r="E136" s="655">
        <v>30000</v>
      </c>
      <c r="F136" s="655">
        <v>0</v>
      </c>
      <c r="G136" s="655">
        <v>0</v>
      </c>
      <c r="H136" s="655">
        <v>30000</v>
      </c>
      <c r="I136" s="655">
        <f t="shared" si="12"/>
        <v>26824</v>
      </c>
      <c r="J136" s="655">
        <v>0</v>
      </c>
      <c r="K136" s="655">
        <v>0</v>
      </c>
      <c r="L136" s="710">
        <v>26824</v>
      </c>
      <c r="M136" s="676">
        <v>96.06</v>
      </c>
      <c r="N136" s="659">
        <f>198.1*26824*M136/100*0.001</f>
        <v>5104.4693246400002</v>
      </c>
      <c r="O136" s="669" t="s">
        <v>3405</v>
      </c>
      <c r="P136" s="463" t="s">
        <v>1588</v>
      </c>
      <c r="Q136" s="837">
        <v>0</v>
      </c>
      <c r="R136" s="837">
        <v>119.5</v>
      </c>
      <c r="S136" s="837">
        <v>0</v>
      </c>
      <c r="T136" s="837">
        <v>0</v>
      </c>
      <c r="U136" s="463" t="s">
        <v>2222</v>
      </c>
      <c r="V136" s="463" t="s">
        <v>3424</v>
      </c>
      <c r="W136" s="498">
        <v>33313</v>
      </c>
      <c r="X136" s="463" t="s">
        <v>2199</v>
      </c>
      <c r="Y136" s="463" t="s">
        <v>3336</v>
      </c>
      <c r="Z136" s="463" t="s">
        <v>1830</v>
      </c>
      <c r="AA136" s="463" t="s">
        <v>1615</v>
      </c>
      <c r="AB136" s="133" t="s">
        <v>1534</v>
      </c>
    </row>
    <row r="137" spans="1:28" ht="24" customHeight="1">
      <c r="A137" s="584"/>
      <c r="B137" s="460" t="s">
        <v>2201</v>
      </c>
      <c r="C137" s="458" t="s">
        <v>1831</v>
      </c>
      <c r="D137" s="510" t="s">
        <v>3425</v>
      </c>
      <c r="E137" s="655">
        <v>10000</v>
      </c>
      <c r="F137" s="655">
        <v>0</v>
      </c>
      <c r="G137" s="655">
        <v>10000</v>
      </c>
      <c r="H137" s="655">
        <v>0</v>
      </c>
      <c r="I137" s="655">
        <f t="shared" si="12"/>
        <v>6162</v>
      </c>
      <c r="J137" s="655">
        <v>0</v>
      </c>
      <c r="K137" s="655">
        <v>6162</v>
      </c>
      <c r="L137" s="710">
        <v>0</v>
      </c>
      <c r="M137" s="676">
        <v>94.9</v>
      </c>
      <c r="N137" s="659">
        <f>95.9*6162*M137/100*0.001</f>
        <v>560.7980742000002</v>
      </c>
      <c r="O137" s="669" t="s">
        <v>1535</v>
      </c>
      <c r="P137" s="463" t="s">
        <v>1588</v>
      </c>
      <c r="Q137" s="837">
        <v>0</v>
      </c>
      <c r="R137" s="837">
        <v>0</v>
      </c>
      <c r="S137" s="837">
        <v>0</v>
      </c>
      <c r="T137" s="837">
        <v>0</v>
      </c>
      <c r="U137" s="463" t="s">
        <v>3426</v>
      </c>
      <c r="V137" s="463" t="s">
        <v>2104</v>
      </c>
      <c r="W137" s="498">
        <v>16800</v>
      </c>
      <c r="X137" s="463" t="s">
        <v>2199</v>
      </c>
      <c r="Y137" s="463" t="s">
        <v>3336</v>
      </c>
      <c r="Z137" s="463" t="s">
        <v>1598</v>
      </c>
      <c r="AA137" s="463" t="s">
        <v>1615</v>
      </c>
      <c r="AB137" s="133" t="s">
        <v>1534</v>
      </c>
    </row>
    <row r="138" spans="1:28" ht="24" customHeight="1">
      <c r="A138" s="584"/>
      <c r="B138" s="460" t="s">
        <v>2201</v>
      </c>
      <c r="C138" s="458" t="s">
        <v>165</v>
      </c>
      <c r="D138" s="510" t="s">
        <v>3427</v>
      </c>
      <c r="E138" s="655">
        <v>2000</v>
      </c>
      <c r="F138" s="655">
        <v>0</v>
      </c>
      <c r="G138" s="655">
        <v>0</v>
      </c>
      <c r="H138" s="655">
        <v>2000</v>
      </c>
      <c r="I138" s="655">
        <f t="shared" si="12"/>
        <v>1016</v>
      </c>
      <c r="J138" s="655">
        <v>0</v>
      </c>
      <c r="K138" s="655">
        <v>0</v>
      </c>
      <c r="L138" s="710">
        <v>1016</v>
      </c>
      <c r="M138" s="676">
        <v>0</v>
      </c>
      <c r="N138" s="659">
        <f>177.5*26824*M138/100*0.001</f>
        <v>0</v>
      </c>
      <c r="O138" s="669" t="s">
        <v>3428</v>
      </c>
      <c r="P138" s="463" t="s">
        <v>1588</v>
      </c>
      <c r="Q138" s="837">
        <v>0</v>
      </c>
      <c r="R138" s="837">
        <v>0</v>
      </c>
      <c r="S138" s="837">
        <v>0</v>
      </c>
      <c r="T138" s="837">
        <v>0</v>
      </c>
      <c r="U138" s="463" t="s">
        <v>3429</v>
      </c>
      <c r="V138" s="466" t="s">
        <v>3430</v>
      </c>
      <c r="W138" s="498">
        <v>8821</v>
      </c>
      <c r="X138" s="463" t="s">
        <v>3431</v>
      </c>
      <c r="Y138" s="463" t="s">
        <v>3336</v>
      </c>
      <c r="Z138" s="463" t="s">
        <v>1830</v>
      </c>
      <c r="AA138" s="463" t="s">
        <v>1615</v>
      </c>
      <c r="AB138" s="133" t="s">
        <v>1534</v>
      </c>
    </row>
    <row r="139" spans="1:28" ht="24" customHeight="1">
      <c r="A139" s="584"/>
      <c r="B139" s="460" t="s">
        <v>675</v>
      </c>
      <c r="C139" s="458" t="s">
        <v>3432</v>
      </c>
      <c r="D139" s="510" t="s">
        <v>3433</v>
      </c>
      <c r="E139" s="655">
        <v>500</v>
      </c>
      <c r="F139" s="655">
        <v>0</v>
      </c>
      <c r="G139" s="655">
        <v>500</v>
      </c>
      <c r="H139" s="655">
        <v>0</v>
      </c>
      <c r="I139" s="655">
        <f t="shared" si="12"/>
        <v>562</v>
      </c>
      <c r="J139" s="655">
        <v>0</v>
      </c>
      <c r="K139" s="655">
        <v>562</v>
      </c>
      <c r="L139" s="710">
        <v>0</v>
      </c>
      <c r="M139" s="676">
        <v>89.1</v>
      </c>
      <c r="N139" s="659">
        <f>51.5*5624*M139/100*0.001</f>
        <v>258.065676</v>
      </c>
      <c r="O139" s="669" t="s">
        <v>3434</v>
      </c>
      <c r="P139" s="463" t="s">
        <v>1588</v>
      </c>
      <c r="Q139" s="837">
        <v>0</v>
      </c>
      <c r="R139" s="837">
        <v>0</v>
      </c>
      <c r="S139" s="837">
        <v>0</v>
      </c>
      <c r="T139" s="837">
        <v>0</v>
      </c>
      <c r="U139" s="463" t="s">
        <v>3435</v>
      </c>
      <c r="V139" s="463" t="s">
        <v>3436</v>
      </c>
      <c r="W139" s="498">
        <v>398</v>
      </c>
      <c r="X139" s="463" t="s">
        <v>2199</v>
      </c>
      <c r="Y139" s="463" t="s">
        <v>1533</v>
      </c>
      <c r="Z139" s="463" t="s">
        <v>1830</v>
      </c>
      <c r="AA139" s="463" t="s">
        <v>1615</v>
      </c>
      <c r="AB139" s="133" t="s">
        <v>1534</v>
      </c>
    </row>
    <row r="140" spans="1:28" ht="24" customHeight="1">
      <c r="A140" s="584"/>
      <c r="B140" s="460" t="s">
        <v>675</v>
      </c>
      <c r="C140" s="458" t="s">
        <v>3437</v>
      </c>
      <c r="D140" s="510" t="s">
        <v>3438</v>
      </c>
      <c r="E140" s="655">
        <v>300</v>
      </c>
      <c r="F140" s="655">
        <v>0</v>
      </c>
      <c r="G140" s="655">
        <v>300</v>
      </c>
      <c r="H140" s="655">
        <v>0</v>
      </c>
      <c r="I140" s="655">
        <f t="shared" si="12"/>
        <v>178</v>
      </c>
      <c r="J140" s="655">
        <v>0</v>
      </c>
      <c r="K140" s="655">
        <v>178</v>
      </c>
      <c r="L140" s="710">
        <v>0</v>
      </c>
      <c r="M140" s="676">
        <v>89.3</v>
      </c>
      <c r="N140" s="659">
        <f>76.3*178*M140/100*0.001</f>
        <v>12.128190200000001</v>
      </c>
      <c r="O140" s="669" t="s">
        <v>3439</v>
      </c>
      <c r="P140" s="463" t="s">
        <v>1588</v>
      </c>
      <c r="Q140" s="837">
        <v>0</v>
      </c>
      <c r="R140" s="837">
        <v>0</v>
      </c>
      <c r="S140" s="837">
        <v>0</v>
      </c>
      <c r="T140" s="837">
        <v>0</v>
      </c>
      <c r="U140" s="463" t="s">
        <v>2222</v>
      </c>
      <c r="V140" s="466" t="s">
        <v>3440</v>
      </c>
      <c r="W140" s="498">
        <v>600</v>
      </c>
      <c r="X140" s="463" t="s">
        <v>2199</v>
      </c>
      <c r="Y140" s="463" t="s">
        <v>1533</v>
      </c>
      <c r="Z140" s="463" t="s">
        <v>1598</v>
      </c>
      <c r="AA140" s="463" t="s">
        <v>1615</v>
      </c>
      <c r="AB140" s="133" t="s">
        <v>1534</v>
      </c>
    </row>
    <row r="141" spans="1:28" ht="24" customHeight="1">
      <c r="A141" s="584"/>
      <c r="B141" s="460" t="s">
        <v>675</v>
      </c>
      <c r="C141" s="458" t="s">
        <v>3441</v>
      </c>
      <c r="D141" s="510" t="s">
        <v>3442</v>
      </c>
      <c r="E141" s="655">
        <v>90</v>
      </c>
      <c r="F141" s="655">
        <v>0</v>
      </c>
      <c r="G141" s="655">
        <v>90</v>
      </c>
      <c r="H141" s="655">
        <v>0</v>
      </c>
      <c r="I141" s="655">
        <f t="shared" si="12"/>
        <v>0</v>
      </c>
      <c r="J141" s="655">
        <v>0</v>
      </c>
      <c r="K141" s="655">
        <v>0</v>
      </c>
      <c r="L141" s="710">
        <v>0</v>
      </c>
      <c r="M141" s="676">
        <v>80</v>
      </c>
      <c r="N141" s="659">
        <v>0</v>
      </c>
      <c r="O141" s="669" t="s">
        <v>3443</v>
      </c>
      <c r="P141" s="463" t="s">
        <v>1588</v>
      </c>
      <c r="Q141" s="837">
        <v>0</v>
      </c>
      <c r="R141" s="837">
        <v>0</v>
      </c>
      <c r="S141" s="837">
        <v>0</v>
      </c>
      <c r="T141" s="837">
        <v>0</v>
      </c>
      <c r="U141" s="463" t="s">
        <v>2222</v>
      </c>
      <c r="V141" s="466" t="s">
        <v>3444</v>
      </c>
      <c r="W141" s="498">
        <v>380</v>
      </c>
      <c r="X141" s="463" t="s">
        <v>2199</v>
      </c>
      <c r="Y141" s="463" t="s">
        <v>1533</v>
      </c>
      <c r="Z141" s="463" t="s">
        <v>1830</v>
      </c>
      <c r="AA141" s="463" t="s">
        <v>1615</v>
      </c>
      <c r="AB141" s="133" t="s">
        <v>1534</v>
      </c>
    </row>
    <row r="142" spans="1:28" ht="24" customHeight="1">
      <c r="A142" s="584"/>
      <c r="B142" s="460" t="s">
        <v>675</v>
      </c>
      <c r="C142" s="458" t="s">
        <v>3445</v>
      </c>
      <c r="D142" s="510" t="s">
        <v>3446</v>
      </c>
      <c r="E142" s="655">
        <v>50</v>
      </c>
      <c r="F142" s="655">
        <v>0</v>
      </c>
      <c r="G142" s="655">
        <v>0</v>
      </c>
      <c r="H142" s="655">
        <v>50</v>
      </c>
      <c r="I142" s="655">
        <f t="shared" si="12"/>
        <v>81</v>
      </c>
      <c r="J142" s="655">
        <v>0</v>
      </c>
      <c r="K142" s="655">
        <v>0</v>
      </c>
      <c r="L142" s="710">
        <v>81</v>
      </c>
      <c r="M142" s="676">
        <v>81.099999999999994</v>
      </c>
      <c r="N142" s="659">
        <f>47.9*81*M142/100*0.001</f>
        <v>3.1465988999999999</v>
      </c>
      <c r="O142" s="669" t="s">
        <v>3447</v>
      </c>
      <c r="P142" s="463" t="s">
        <v>1588</v>
      </c>
      <c r="Q142" s="837">
        <v>0</v>
      </c>
      <c r="R142" s="837">
        <v>0</v>
      </c>
      <c r="S142" s="837">
        <v>0</v>
      </c>
      <c r="T142" s="837">
        <v>0</v>
      </c>
      <c r="U142" s="463" t="s">
        <v>2222</v>
      </c>
      <c r="V142" s="463" t="s">
        <v>3448</v>
      </c>
      <c r="W142" s="498">
        <v>220</v>
      </c>
      <c r="X142" s="463" t="s">
        <v>2199</v>
      </c>
      <c r="Y142" s="463" t="s">
        <v>1533</v>
      </c>
      <c r="Z142" s="463" t="s">
        <v>1830</v>
      </c>
      <c r="AA142" s="463" t="s">
        <v>1615</v>
      </c>
      <c r="AB142" s="133" t="s">
        <v>1534</v>
      </c>
    </row>
    <row r="143" spans="1:28" ht="24" customHeight="1">
      <c r="A143" s="584"/>
      <c r="B143" s="460" t="s">
        <v>675</v>
      </c>
      <c r="C143" s="458" t="s">
        <v>3449</v>
      </c>
      <c r="D143" s="510" t="s">
        <v>3450</v>
      </c>
      <c r="E143" s="655">
        <v>40</v>
      </c>
      <c r="F143" s="655">
        <v>0</v>
      </c>
      <c r="G143" s="655">
        <v>0</v>
      </c>
      <c r="H143" s="655">
        <v>40</v>
      </c>
      <c r="I143" s="655">
        <f t="shared" si="12"/>
        <v>21</v>
      </c>
      <c r="J143" s="655">
        <v>0</v>
      </c>
      <c r="K143" s="655">
        <v>0</v>
      </c>
      <c r="L143" s="710">
        <v>21</v>
      </c>
      <c r="M143" s="676">
        <v>81.099999999999994</v>
      </c>
      <c r="N143" s="659">
        <f>38.2*21*M143/100*0.001</f>
        <v>0.65058420000000006</v>
      </c>
      <c r="O143" s="669" t="s">
        <v>3451</v>
      </c>
      <c r="P143" s="463" t="s">
        <v>1588</v>
      </c>
      <c r="Q143" s="837">
        <v>0</v>
      </c>
      <c r="R143" s="837">
        <v>0</v>
      </c>
      <c r="S143" s="837">
        <v>0</v>
      </c>
      <c r="T143" s="837">
        <v>0</v>
      </c>
      <c r="U143" s="463" t="s">
        <v>2222</v>
      </c>
      <c r="V143" s="463" t="s">
        <v>3452</v>
      </c>
      <c r="W143" s="498">
        <v>171</v>
      </c>
      <c r="X143" s="463" t="s">
        <v>2199</v>
      </c>
      <c r="Y143" s="463" t="s">
        <v>1533</v>
      </c>
      <c r="Z143" s="463" t="s">
        <v>1830</v>
      </c>
      <c r="AA143" s="463" t="s">
        <v>1615</v>
      </c>
      <c r="AB143" s="133" t="s">
        <v>1534</v>
      </c>
    </row>
    <row r="144" spans="1:28" ht="24" customHeight="1">
      <c r="A144" s="584"/>
      <c r="B144" s="460" t="s">
        <v>675</v>
      </c>
      <c r="C144" s="458" t="s">
        <v>3453</v>
      </c>
      <c r="D144" s="510" t="s">
        <v>3454</v>
      </c>
      <c r="E144" s="655">
        <v>80</v>
      </c>
      <c r="F144" s="655">
        <v>0</v>
      </c>
      <c r="G144" s="655">
        <v>0</v>
      </c>
      <c r="H144" s="655">
        <v>80</v>
      </c>
      <c r="I144" s="655">
        <f t="shared" si="12"/>
        <v>108</v>
      </c>
      <c r="J144" s="655">
        <v>0</v>
      </c>
      <c r="K144" s="655">
        <v>0</v>
      </c>
      <c r="L144" s="710">
        <v>108</v>
      </c>
      <c r="M144" s="676">
        <v>83.6</v>
      </c>
      <c r="N144" s="659">
        <f>48.7*108*M144/100*0.001</f>
        <v>4.3970256000000001</v>
      </c>
      <c r="O144" s="669" t="s">
        <v>3455</v>
      </c>
      <c r="P144" s="463" t="s">
        <v>1588</v>
      </c>
      <c r="Q144" s="837">
        <v>0</v>
      </c>
      <c r="R144" s="837">
        <v>0</v>
      </c>
      <c r="S144" s="837">
        <v>0</v>
      </c>
      <c r="T144" s="837">
        <v>0</v>
      </c>
      <c r="U144" s="463" t="s">
        <v>2222</v>
      </c>
      <c r="V144" s="466" t="s">
        <v>3456</v>
      </c>
      <c r="W144" s="498">
        <v>189</v>
      </c>
      <c r="X144" s="463" t="s">
        <v>2199</v>
      </c>
      <c r="Y144" s="463" t="s">
        <v>1533</v>
      </c>
      <c r="Z144" s="463" t="s">
        <v>1830</v>
      </c>
      <c r="AA144" s="463" t="s">
        <v>1615</v>
      </c>
      <c r="AB144" s="133" t="s">
        <v>1534</v>
      </c>
    </row>
    <row r="145" spans="1:28" ht="24" customHeight="1">
      <c r="A145" s="584"/>
      <c r="B145" s="460" t="s">
        <v>675</v>
      </c>
      <c r="C145" s="458" t="s">
        <v>3457</v>
      </c>
      <c r="D145" s="510" t="s">
        <v>3458</v>
      </c>
      <c r="E145" s="655">
        <v>50</v>
      </c>
      <c r="F145" s="655">
        <v>0</v>
      </c>
      <c r="G145" s="655">
        <v>0</v>
      </c>
      <c r="H145" s="655">
        <v>50</v>
      </c>
      <c r="I145" s="655">
        <f t="shared" si="12"/>
        <v>41</v>
      </c>
      <c r="J145" s="655">
        <v>0</v>
      </c>
      <c r="K145" s="655">
        <v>0</v>
      </c>
      <c r="L145" s="710">
        <v>41</v>
      </c>
      <c r="M145" s="676">
        <v>81.099999999999994</v>
      </c>
      <c r="N145" s="659">
        <f>47.6*41*M145/100*0.001</f>
        <v>1.5827476000000003</v>
      </c>
      <c r="O145" s="669" t="s">
        <v>3451</v>
      </c>
      <c r="P145" s="463" t="s">
        <v>1588</v>
      </c>
      <c r="Q145" s="837">
        <v>0</v>
      </c>
      <c r="R145" s="837">
        <v>0</v>
      </c>
      <c r="S145" s="837">
        <v>0</v>
      </c>
      <c r="T145" s="837">
        <v>0</v>
      </c>
      <c r="U145" s="463" t="s">
        <v>2222</v>
      </c>
      <c r="V145" s="466" t="s">
        <v>3459</v>
      </c>
      <c r="W145" s="498">
        <v>172</v>
      </c>
      <c r="X145" s="463" t="s">
        <v>2199</v>
      </c>
      <c r="Y145" s="463" t="s">
        <v>1533</v>
      </c>
      <c r="Z145" s="463" t="s">
        <v>1830</v>
      </c>
      <c r="AA145" s="463" t="s">
        <v>1615</v>
      </c>
      <c r="AB145" s="133" t="s">
        <v>1534</v>
      </c>
    </row>
    <row r="146" spans="1:28" ht="24" customHeight="1">
      <c r="A146" s="582" t="s">
        <v>1832</v>
      </c>
      <c r="B146" s="460" t="s">
        <v>2201</v>
      </c>
      <c r="C146" s="458" t="s">
        <v>510</v>
      </c>
      <c r="D146" s="510" t="s">
        <v>3460</v>
      </c>
      <c r="E146" s="655">
        <v>160000</v>
      </c>
      <c r="F146" s="655">
        <v>0</v>
      </c>
      <c r="G146" s="655">
        <v>0</v>
      </c>
      <c r="H146" s="655">
        <v>160000</v>
      </c>
      <c r="I146" s="655">
        <f t="shared" si="12"/>
        <v>147159</v>
      </c>
      <c r="J146" s="655">
        <v>0</v>
      </c>
      <c r="K146" s="655">
        <v>0</v>
      </c>
      <c r="L146" s="710">
        <v>147159</v>
      </c>
      <c r="M146" s="676">
        <v>94.1</v>
      </c>
      <c r="N146" s="659">
        <v>1385096</v>
      </c>
      <c r="O146" s="669" t="s">
        <v>3461</v>
      </c>
      <c r="P146" s="463" t="s">
        <v>1588</v>
      </c>
      <c r="Q146" s="837">
        <v>154</v>
      </c>
      <c r="R146" s="837">
        <v>0</v>
      </c>
      <c r="S146" s="837">
        <v>0</v>
      </c>
      <c r="T146" s="837">
        <v>0</v>
      </c>
      <c r="U146" s="463" t="s">
        <v>2225</v>
      </c>
      <c r="V146" s="463" t="s">
        <v>3462</v>
      </c>
      <c r="W146" s="498">
        <v>12619</v>
      </c>
      <c r="X146" s="463" t="s">
        <v>1532</v>
      </c>
      <c r="Y146" s="463" t="s">
        <v>3463</v>
      </c>
      <c r="Z146" s="463" t="s">
        <v>3361</v>
      </c>
      <c r="AA146" s="463" t="s">
        <v>1534</v>
      </c>
      <c r="AB146" s="133" t="s">
        <v>1534</v>
      </c>
    </row>
    <row r="147" spans="1:28" ht="24" customHeight="1">
      <c r="A147" s="584"/>
      <c r="B147" s="460" t="s">
        <v>675</v>
      </c>
      <c r="C147" s="458" t="s">
        <v>3464</v>
      </c>
      <c r="D147" s="510" t="s">
        <v>3465</v>
      </c>
      <c r="E147" s="655">
        <v>200</v>
      </c>
      <c r="F147" s="655">
        <v>0</v>
      </c>
      <c r="G147" s="655">
        <v>0</v>
      </c>
      <c r="H147" s="655">
        <v>200</v>
      </c>
      <c r="I147" s="655">
        <f t="shared" si="12"/>
        <v>71</v>
      </c>
      <c r="J147" s="655">
        <v>0</v>
      </c>
      <c r="K147" s="655">
        <v>0</v>
      </c>
      <c r="L147" s="710">
        <v>71</v>
      </c>
      <c r="M147" s="676">
        <v>94.4</v>
      </c>
      <c r="N147" s="659">
        <v>2091</v>
      </c>
      <c r="O147" s="669" t="s">
        <v>3282</v>
      </c>
      <c r="P147" s="463" t="s">
        <v>1588</v>
      </c>
      <c r="Q147" s="837">
        <v>0</v>
      </c>
      <c r="R147" s="837">
        <v>0</v>
      </c>
      <c r="S147" s="837">
        <v>0</v>
      </c>
      <c r="T147" s="837">
        <v>0</v>
      </c>
      <c r="U147" s="463" t="s">
        <v>2225</v>
      </c>
      <c r="V147" s="463" t="s">
        <v>3466</v>
      </c>
      <c r="W147" s="498">
        <v>1966</v>
      </c>
      <c r="X147" s="463" t="s">
        <v>1532</v>
      </c>
      <c r="Y147" s="463" t="s">
        <v>1533</v>
      </c>
      <c r="Z147" s="463" t="s">
        <v>1534</v>
      </c>
      <c r="AA147" s="463" t="s">
        <v>1534</v>
      </c>
      <c r="AB147" s="133" t="s">
        <v>1534</v>
      </c>
    </row>
    <row r="148" spans="1:28" ht="24" customHeight="1">
      <c r="A148" s="586" t="s">
        <v>1833</v>
      </c>
      <c r="B148" s="473" t="s">
        <v>2201</v>
      </c>
      <c r="C148" s="500" t="s">
        <v>2226</v>
      </c>
      <c r="D148" s="705" t="s">
        <v>3467</v>
      </c>
      <c r="E148" s="654">
        <v>40000</v>
      </c>
      <c r="F148" s="654">
        <v>0</v>
      </c>
      <c r="G148" s="654">
        <v>0</v>
      </c>
      <c r="H148" s="654">
        <v>40000</v>
      </c>
      <c r="I148" s="654">
        <f t="shared" si="12"/>
        <v>33802</v>
      </c>
      <c r="J148" s="654">
        <v>0</v>
      </c>
      <c r="K148" s="654">
        <v>0</v>
      </c>
      <c r="L148" s="706">
        <v>33802</v>
      </c>
      <c r="M148" s="675">
        <v>95</v>
      </c>
      <c r="N148" s="659">
        <v>0</v>
      </c>
      <c r="O148" s="714" t="s">
        <v>3468</v>
      </c>
      <c r="P148" s="463" t="s">
        <v>1588</v>
      </c>
      <c r="Q148" s="836">
        <v>40</v>
      </c>
      <c r="R148" s="836">
        <v>0</v>
      </c>
      <c r="S148" s="836">
        <v>0</v>
      </c>
      <c r="T148" s="836">
        <v>0</v>
      </c>
      <c r="U148" s="132" t="s">
        <v>3469</v>
      </c>
      <c r="V148" s="500" t="s">
        <v>3470</v>
      </c>
      <c r="W148" s="498">
        <v>76507</v>
      </c>
      <c r="X148" s="132" t="s">
        <v>2276</v>
      </c>
      <c r="Y148" s="132"/>
      <c r="Z148" s="132" t="s">
        <v>1534</v>
      </c>
      <c r="AA148" s="132" t="s">
        <v>1534</v>
      </c>
      <c r="AB148" s="133" t="s">
        <v>1534</v>
      </c>
    </row>
    <row r="149" spans="1:28" ht="24" customHeight="1">
      <c r="A149" s="587"/>
      <c r="B149" s="473" t="s">
        <v>675</v>
      </c>
      <c r="C149" s="500" t="s">
        <v>3471</v>
      </c>
      <c r="D149" s="705" t="s">
        <v>3472</v>
      </c>
      <c r="E149" s="654">
        <v>50</v>
      </c>
      <c r="F149" s="654">
        <v>0</v>
      </c>
      <c r="G149" s="654">
        <v>50</v>
      </c>
      <c r="H149" s="654">
        <v>0</v>
      </c>
      <c r="I149" s="654">
        <f t="shared" si="12"/>
        <v>44.48</v>
      </c>
      <c r="J149" s="654">
        <v>0</v>
      </c>
      <c r="K149" s="654">
        <v>44.48</v>
      </c>
      <c r="L149" s="706">
        <v>0</v>
      </c>
      <c r="M149" s="675">
        <v>0</v>
      </c>
      <c r="N149" s="659">
        <v>0</v>
      </c>
      <c r="O149" s="709" t="s">
        <v>1408</v>
      </c>
      <c r="P149" s="463" t="s">
        <v>1588</v>
      </c>
      <c r="Q149" s="836">
        <v>0</v>
      </c>
      <c r="R149" s="836">
        <v>0</v>
      </c>
      <c r="S149" s="836">
        <v>0</v>
      </c>
      <c r="T149" s="836">
        <v>0</v>
      </c>
      <c r="U149" s="132" t="s">
        <v>3473</v>
      </c>
      <c r="V149" s="500" t="s">
        <v>3474</v>
      </c>
      <c r="W149" s="498">
        <v>200</v>
      </c>
      <c r="X149" s="132" t="s">
        <v>2276</v>
      </c>
      <c r="Y149" s="132"/>
      <c r="Z149" s="132" t="s">
        <v>1534</v>
      </c>
      <c r="AA149" s="132" t="s">
        <v>1534</v>
      </c>
      <c r="AB149" s="133" t="s">
        <v>1534</v>
      </c>
    </row>
    <row r="150" spans="1:28" ht="24" customHeight="1">
      <c r="A150" s="587"/>
      <c r="B150" s="473" t="s">
        <v>675</v>
      </c>
      <c r="C150" s="500" t="s">
        <v>3475</v>
      </c>
      <c r="D150" s="705" t="s">
        <v>3476</v>
      </c>
      <c r="E150" s="654">
        <v>46</v>
      </c>
      <c r="F150" s="654">
        <v>0</v>
      </c>
      <c r="G150" s="654">
        <v>46</v>
      </c>
      <c r="H150" s="654">
        <v>0</v>
      </c>
      <c r="I150" s="654">
        <f t="shared" si="12"/>
        <v>32.909999999999997</v>
      </c>
      <c r="J150" s="654">
        <v>0</v>
      </c>
      <c r="K150" s="654">
        <v>32.909999999999997</v>
      </c>
      <c r="L150" s="706">
        <v>0</v>
      </c>
      <c r="M150" s="675">
        <v>0</v>
      </c>
      <c r="N150" s="659">
        <v>0</v>
      </c>
      <c r="O150" s="714" t="s">
        <v>3477</v>
      </c>
      <c r="P150" s="463" t="s">
        <v>1588</v>
      </c>
      <c r="Q150" s="836">
        <v>0</v>
      </c>
      <c r="R150" s="836">
        <v>0</v>
      </c>
      <c r="S150" s="836">
        <v>0</v>
      </c>
      <c r="T150" s="836">
        <v>0</v>
      </c>
      <c r="U150" s="132" t="s">
        <v>3473</v>
      </c>
      <c r="V150" s="500" t="s">
        <v>3478</v>
      </c>
      <c r="W150" s="498">
        <v>187</v>
      </c>
      <c r="X150" s="132" t="s">
        <v>2276</v>
      </c>
      <c r="Y150" s="132"/>
      <c r="Z150" s="132" t="s">
        <v>1534</v>
      </c>
      <c r="AA150" s="132" t="s">
        <v>1534</v>
      </c>
      <c r="AB150" s="133" t="s">
        <v>1534</v>
      </c>
    </row>
    <row r="151" spans="1:28" ht="24" customHeight="1">
      <c r="A151" s="587"/>
      <c r="B151" s="473" t="s">
        <v>675</v>
      </c>
      <c r="C151" s="500" t="s">
        <v>3479</v>
      </c>
      <c r="D151" s="705" t="s">
        <v>3480</v>
      </c>
      <c r="E151" s="654">
        <v>23</v>
      </c>
      <c r="F151" s="654">
        <v>0</v>
      </c>
      <c r="G151" s="654">
        <v>23</v>
      </c>
      <c r="H151" s="654">
        <v>0</v>
      </c>
      <c r="I151" s="654">
        <f t="shared" si="12"/>
        <v>16</v>
      </c>
      <c r="J151" s="654">
        <v>0</v>
      </c>
      <c r="K151" s="654">
        <v>16</v>
      </c>
      <c r="L151" s="706">
        <v>0</v>
      </c>
      <c r="M151" s="675">
        <v>0</v>
      </c>
      <c r="N151" s="659">
        <v>0</v>
      </c>
      <c r="O151" s="714" t="s">
        <v>3477</v>
      </c>
      <c r="P151" s="463" t="s">
        <v>1588</v>
      </c>
      <c r="Q151" s="836">
        <v>0</v>
      </c>
      <c r="R151" s="836">
        <v>0</v>
      </c>
      <c r="S151" s="836">
        <v>0</v>
      </c>
      <c r="T151" s="836">
        <v>0</v>
      </c>
      <c r="U151" s="132" t="s">
        <v>3473</v>
      </c>
      <c r="V151" s="500" t="s">
        <v>3481</v>
      </c>
      <c r="W151" s="498">
        <v>128</v>
      </c>
      <c r="X151" s="132" t="s">
        <v>2276</v>
      </c>
      <c r="Y151" s="132"/>
      <c r="Z151" s="132" t="s">
        <v>1534</v>
      </c>
      <c r="AA151" s="132" t="s">
        <v>1534</v>
      </c>
      <c r="AB151" s="133" t="s">
        <v>1534</v>
      </c>
    </row>
    <row r="152" spans="1:28" ht="24" customHeight="1">
      <c r="A152" s="587"/>
      <c r="B152" s="473" t="s">
        <v>675</v>
      </c>
      <c r="C152" s="500" t="s">
        <v>3482</v>
      </c>
      <c r="D152" s="705" t="s">
        <v>3483</v>
      </c>
      <c r="E152" s="654">
        <v>30</v>
      </c>
      <c r="F152" s="654">
        <v>0</v>
      </c>
      <c r="G152" s="654">
        <v>30</v>
      </c>
      <c r="H152" s="654">
        <v>0</v>
      </c>
      <c r="I152" s="654">
        <f t="shared" si="12"/>
        <v>26.16</v>
      </c>
      <c r="J152" s="654">
        <v>0</v>
      </c>
      <c r="K152" s="654">
        <v>26.16</v>
      </c>
      <c r="L152" s="706">
        <v>0</v>
      </c>
      <c r="M152" s="675">
        <v>0</v>
      </c>
      <c r="N152" s="659">
        <v>0</v>
      </c>
      <c r="O152" s="714" t="s">
        <v>3477</v>
      </c>
      <c r="P152" s="463" t="s">
        <v>1588</v>
      </c>
      <c r="Q152" s="836">
        <v>0</v>
      </c>
      <c r="R152" s="836">
        <v>0</v>
      </c>
      <c r="S152" s="836">
        <v>0</v>
      </c>
      <c r="T152" s="836">
        <v>0</v>
      </c>
      <c r="U152" s="132" t="s">
        <v>3473</v>
      </c>
      <c r="V152" s="500" t="s">
        <v>3484</v>
      </c>
      <c r="W152" s="498">
        <v>126</v>
      </c>
      <c r="X152" s="132" t="s">
        <v>2276</v>
      </c>
      <c r="Y152" s="132"/>
      <c r="Z152" s="132" t="s">
        <v>1534</v>
      </c>
      <c r="AA152" s="132" t="s">
        <v>1534</v>
      </c>
      <c r="AB152" s="133" t="s">
        <v>1534</v>
      </c>
    </row>
    <row r="153" spans="1:28" ht="24" customHeight="1">
      <c r="A153" s="587"/>
      <c r="B153" s="473" t="s">
        <v>675</v>
      </c>
      <c r="C153" s="500" t="s">
        <v>2076</v>
      </c>
      <c r="D153" s="705" t="s">
        <v>3485</v>
      </c>
      <c r="E153" s="654">
        <v>30</v>
      </c>
      <c r="F153" s="654">
        <v>0</v>
      </c>
      <c r="G153" s="654">
        <v>30</v>
      </c>
      <c r="H153" s="654">
        <v>0</v>
      </c>
      <c r="I153" s="654">
        <f t="shared" si="12"/>
        <v>20.75</v>
      </c>
      <c r="J153" s="654">
        <v>0</v>
      </c>
      <c r="K153" s="654">
        <v>20.75</v>
      </c>
      <c r="L153" s="706">
        <v>0</v>
      </c>
      <c r="M153" s="675">
        <v>0</v>
      </c>
      <c r="N153" s="659">
        <v>0</v>
      </c>
      <c r="O153" s="714" t="s">
        <v>3486</v>
      </c>
      <c r="P153" s="463" t="s">
        <v>1588</v>
      </c>
      <c r="Q153" s="836">
        <v>0</v>
      </c>
      <c r="R153" s="836">
        <v>0</v>
      </c>
      <c r="S153" s="836">
        <v>0</v>
      </c>
      <c r="T153" s="836">
        <v>0</v>
      </c>
      <c r="U153" s="132" t="s">
        <v>3473</v>
      </c>
      <c r="V153" s="500" t="s">
        <v>3481</v>
      </c>
      <c r="W153" s="498">
        <v>127</v>
      </c>
      <c r="X153" s="132" t="s">
        <v>2276</v>
      </c>
      <c r="Y153" s="132"/>
      <c r="Z153" s="132" t="s">
        <v>1534</v>
      </c>
      <c r="AA153" s="132" t="s">
        <v>1534</v>
      </c>
      <c r="AB153" s="133" t="s">
        <v>1534</v>
      </c>
    </row>
    <row r="154" spans="1:28" ht="24" customHeight="1">
      <c r="A154" s="587"/>
      <c r="B154" s="473" t="s">
        <v>675</v>
      </c>
      <c r="C154" s="500" t="s">
        <v>2014</v>
      </c>
      <c r="D154" s="705" t="s">
        <v>3487</v>
      </c>
      <c r="E154" s="654">
        <v>68</v>
      </c>
      <c r="F154" s="654">
        <v>0</v>
      </c>
      <c r="G154" s="654">
        <v>68</v>
      </c>
      <c r="H154" s="654">
        <v>0</v>
      </c>
      <c r="I154" s="654">
        <f t="shared" si="12"/>
        <v>53</v>
      </c>
      <c r="J154" s="654">
        <v>0</v>
      </c>
      <c r="K154" s="654">
        <v>53</v>
      </c>
      <c r="L154" s="706">
        <v>0</v>
      </c>
      <c r="M154" s="675">
        <v>0</v>
      </c>
      <c r="N154" s="659">
        <v>0</v>
      </c>
      <c r="O154" s="714" t="s">
        <v>3477</v>
      </c>
      <c r="P154" s="463" t="s">
        <v>1588</v>
      </c>
      <c r="Q154" s="836">
        <v>0</v>
      </c>
      <c r="R154" s="836">
        <v>0</v>
      </c>
      <c r="S154" s="836">
        <v>0</v>
      </c>
      <c r="T154" s="836">
        <v>0</v>
      </c>
      <c r="U154" s="132" t="s">
        <v>3473</v>
      </c>
      <c r="V154" s="500" t="s">
        <v>3488</v>
      </c>
      <c r="W154" s="498">
        <v>400</v>
      </c>
      <c r="X154" s="132" t="s">
        <v>2276</v>
      </c>
      <c r="Y154" s="132"/>
      <c r="Z154" s="132" t="s">
        <v>1534</v>
      </c>
      <c r="AA154" s="132" t="s">
        <v>1534</v>
      </c>
      <c r="AB154" s="133" t="s">
        <v>1534</v>
      </c>
    </row>
    <row r="155" spans="1:28" ht="24" customHeight="1">
      <c r="A155" s="586" t="s">
        <v>1834</v>
      </c>
      <c r="B155" s="460" t="s">
        <v>2201</v>
      </c>
      <c r="C155" s="500" t="s">
        <v>166</v>
      </c>
      <c r="D155" s="705" t="s">
        <v>3489</v>
      </c>
      <c r="E155" s="654">
        <v>16000</v>
      </c>
      <c r="F155" s="654">
        <v>0</v>
      </c>
      <c r="G155" s="654">
        <v>0</v>
      </c>
      <c r="H155" s="654">
        <v>16000</v>
      </c>
      <c r="I155" s="654">
        <f t="shared" si="12"/>
        <v>15441</v>
      </c>
      <c r="J155" s="654">
        <v>0</v>
      </c>
      <c r="K155" s="654">
        <v>0</v>
      </c>
      <c r="L155" s="706">
        <v>15441</v>
      </c>
      <c r="M155" s="675">
        <v>94</v>
      </c>
      <c r="N155" s="659">
        <v>1849</v>
      </c>
      <c r="O155" s="709" t="s">
        <v>3490</v>
      </c>
      <c r="P155" s="132" t="s">
        <v>3490</v>
      </c>
      <c r="Q155" s="836">
        <v>38.049999999999997</v>
      </c>
      <c r="R155" s="836">
        <v>0</v>
      </c>
      <c r="S155" s="836">
        <v>0</v>
      </c>
      <c r="T155" s="836">
        <v>0</v>
      </c>
      <c r="U155" s="132" t="s">
        <v>2227</v>
      </c>
      <c r="V155" s="132" t="s">
        <v>3491</v>
      </c>
      <c r="W155" s="498">
        <v>33086</v>
      </c>
      <c r="X155" s="132" t="s">
        <v>2199</v>
      </c>
      <c r="Y155" s="132" t="s">
        <v>3336</v>
      </c>
      <c r="Z155" s="132" t="s">
        <v>3492</v>
      </c>
      <c r="AA155" s="132" t="s">
        <v>1597</v>
      </c>
      <c r="AB155" s="133" t="s">
        <v>1534</v>
      </c>
    </row>
    <row r="156" spans="1:28" ht="24" customHeight="1">
      <c r="A156" s="587"/>
      <c r="B156" s="460" t="s">
        <v>2201</v>
      </c>
      <c r="C156" s="500" t="s">
        <v>2229</v>
      </c>
      <c r="D156" s="705" t="s">
        <v>3493</v>
      </c>
      <c r="E156" s="654">
        <v>1500</v>
      </c>
      <c r="F156" s="654">
        <v>0</v>
      </c>
      <c r="G156" s="654">
        <v>0</v>
      </c>
      <c r="H156" s="654">
        <v>1500</v>
      </c>
      <c r="I156" s="654">
        <f t="shared" si="12"/>
        <v>1255</v>
      </c>
      <c r="J156" s="654">
        <v>0</v>
      </c>
      <c r="K156" s="654">
        <v>0</v>
      </c>
      <c r="L156" s="706">
        <v>1255</v>
      </c>
      <c r="M156" s="675">
        <v>95</v>
      </c>
      <c r="N156" s="659">
        <v>187</v>
      </c>
      <c r="O156" s="709" t="s">
        <v>3494</v>
      </c>
      <c r="P156" s="132" t="s">
        <v>3494</v>
      </c>
      <c r="Q156" s="836">
        <v>0</v>
      </c>
      <c r="R156" s="836">
        <v>0</v>
      </c>
      <c r="S156" s="836">
        <v>0</v>
      </c>
      <c r="T156" s="836">
        <v>0</v>
      </c>
      <c r="U156" s="132" t="s">
        <v>2230</v>
      </c>
      <c r="V156" s="132" t="s">
        <v>2231</v>
      </c>
      <c r="W156" s="498">
        <v>11836</v>
      </c>
      <c r="X156" s="132" t="s">
        <v>2199</v>
      </c>
      <c r="Y156" s="132" t="s">
        <v>3336</v>
      </c>
      <c r="Z156" s="132" t="s">
        <v>2228</v>
      </c>
      <c r="AA156" s="132" t="s">
        <v>1597</v>
      </c>
      <c r="AB156" s="133" t="s">
        <v>1534</v>
      </c>
    </row>
    <row r="157" spans="1:28" ht="24" customHeight="1">
      <c r="A157" s="587"/>
      <c r="B157" s="460" t="s">
        <v>2201</v>
      </c>
      <c r="C157" s="500" t="s">
        <v>2232</v>
      </c>
      <c r="D157" s="705" t="s">
        <v>3495</v>
      </c>
      <c r="E157" s="654">
        <v>4000</v>
      </c>
      <c r="F157" s="654">
        <v>0</v>
      </c>
      <c r="G157" s="654">
        <v>0</v>
      </c>
      <c r="H157" s="654">
        <v>4000</v>
      </c>
      <c r="I157" s="654">
        <f t="shared" si="12"/>
        <v>2673</v>
      </c>
      <c r="J157" s="654">
        <v>0</v>
      </c>
      <c r="K157" s="654">
        <v>0</v>
      </c>
      <c r="L157" s="706">
        <v>2673</v>
      </c>
      <c r="M157" s="675">
        <v>94.7</v>
      </c>
      <c r="N157" s="659">
        <v>330</v>
      </c>
      <c r="O157" s="709" t="s">
        <v>3490</v>
      </c>
      <c r="P157" s="132" t="s">
        <v>3490</v>
      </c>
      <c r="Q157" s="836">
        <v>6.28</v>
      </c>
      <c r="R157" s="836">
        <v>0</v>
      </c>
      <c r="S157" s="836">
        <v>0</v>
      </c>
      <c r="T157" s="836">
        <v>0</v>
      </c>
      <c r="U157" s="132" t="s">
        <v>2233</v>
      </c>
      <c r="V157" s="132" t="s">
        <v>2234</v>
      </c>
      <c r="W157" s="498">
        <v>19750</v>
      </c>
      <c r="X157" s="132" t="s">
        <v>2199</v>
      </c>
      <c r="Y157" s="132" t="s">
        <v>3336</v>
      </c>
      <c r="Z157" s="132" t="s">
        <v>3496</v>
      </c>
      <c r="AA157" s="132" t="s">
        <v>1597</v>
      </c>
      <c r="AB157" s="133" t="s">
        <v>1534</v>
      </c>
    </row>
    <row r="158" spans="1:28" ht="24" customHeight="1">
      <c r="A158" s="587"/>
      <c r="B158" s="460" t="s">
        <v>2201</v>
      </c>
      <c r="C158" s="500" t="s">
        <v>167</v>
      </c>
      <c r="D158" s="705" t="s">
        <v>3497</v>
      </c>
      <c r="E158" s="654">
        <v>15000</v>
      </c>
      <c r="F158" s="654">
        <v>0</v>
      </c>
      <c r="G158" s="654">
        <v>0</v>
      </c>
      <c r="H158" s="654">
        <v>15000</v>
      </c>
      <c r="I158" s="654">
        <f t="shared" si="12"/>
        <v>11967</v>
      </c>
      <c r="J158" s="654">
        <v>0</v>
      </c>
      <c r="K158" s="654">
        <v>0</v>
      </c>
      <c r="L158" s="706">
        <v>11967</v>
      </c>
      <c r="M158" s="675">
        <v>95</v>
      </c>
      <c r="N158" s="659">
        <v>2866</v>
      </c>
      <c r="O158" s="709" t="s">
        <v>3490</v>
      </c>
      <c r="P158" s="132" t="s">
        <v>3490</v>
      </c>
      <c r="Q158" s="836">
        <v>0</v>
      </c>
      <c r="R158" s="836">
        <v>0</v>
      </c>
      <c r="S158" s="836">
        <v>0</v>
      </c>
      <c r="T158" s="836">
        <v>0</v>
      </c>
      <c r="U158" s="132" t="s">
        <v>3498</v>
      </c>
      <c r="V158" s="132" t="s">
        <v>3499</v>
      </c>
      <c r="W158" s="498">
        <v>29291</v>
      </c>
      <c r="X158" s="132" t="s">
        <v>2199</v>
      </c>
      <c r="Y158" s="132" t="s">
        <v>3336</v>
      </c>
      <c r="Z158" s="132" t="s">
        <v>3492</v>
      </c>
      <c r="AA158" s="132" t="s">
        <v>1597</v>
      </c>
      <c r="AB158" s="133" t="s">
        <v>1534</v>
      </c>
    </row>
    <row r="159" spans="1:28" ht="24" customHeight="1">
      <c r="A159" s="587"/>
      <c r="B159" s="460" t="s">
        <v>2201</v>
      </c>
      <c r="C159" s="500" t="s">
        <v>168</v>
      </c>
      <c r="D159" s="705" t="s">
        <v>3500</v>
      </c>
      <c r="E159" s="654">
        <v>1200</v>
      </c>
      <c r="F159" s="654">
        <v>0</v>
      </c>
      <c r="G159" s="654">
        <v>0</v>
      </c>
      <c r="H159" s="654">
        <v>1200</v>
      </c>
      <c r="I159" s="654">
        <f t="shared" si="12"/>
        <v>1074</v>
      </c>
      <c r="J159" s="654">
        <v>0</v>
      </c>
      <c r="K159" s="654">
        <v>0</v>
      </c>
      <c r="L159" s="706">
        <v>1074</v>
      </c>
      <c r="M159" s="675">
        <v>95</v>
      </c>
      <c r="N159" s="659">
        <v>113</v>
      </c>
      <c r="O159" s="709" t="s">
        <v>3494</v>
      </c>
      <c r="P159" s="132" t="s">
        <v>3501</v>
      </c>
      <c r="Q159" s="836">
        <v>0</v>
      </c>
      <c r="R159" s="836">
        <v>0</v>
      </c>
      <c r="S159" s="836">
        <v>0</v>
      </c>
      <c r="T159" s="836">
        <v>0</v>
      </c>
      <c r="U159" s="132" t="s">
        <v>3502</v>
      </c>
      <c r="V159" s="132" t="s">
        <v>2172</v>
      </c>
      <c r="W159" s="498">
        <v>16645</v>
      </c>
      <c r="X159" s="132" t="s">
        <v>2199</v>
      </c>
      <c r="Y159" s="132" t="s">
        <v>3336</v>
      </c>
      <c r="Z159" s="132" t="s">
        <v>3361</v>
      </c>
      <c r="AA159" s="132" t="s">
        <v>1534</v>
      </c>
      <c r="AB159" s="133" t="s">
        <v>1534</v>
      </c>
    </row>
    <row r="160" spans="1:28" ht="24" customHeight="1">
      <c r="A160" s="587"/>
      <c r="B160" s="473" t="s">
        <v>675</v>
      </c>
      <c r="C160" s="500" t="s">
        <v>3503</v>
      </c>
      <c r="D160" s="705" t="s">
        <v>3504</v>
      </c>
      <c r="E160" s="654">
        <v>40</v>
      </c>
      <c r="F160" s="654">
        <v>0</v>
      </c>
      <c r="G160" s="654">
        <v>40</v>
      </c>
      <c r="H160" s="654">
        <v>0</v>
      </c>
      <c r="I160" s="654">
        <f t="shared" si="12"/>
        <v>29</v>
      </c>
      <c r="J160" s="654">
        <v>0</v>
      </c>
      <c r="K160" s="654">
        <v>29</v>
      </c>
      <c r="L160" s="706">
        <v>0</v>
      </c>
      <c r="M160" s="675">
        <v>90</v>
      </c>
      <c r="N160" s="659">
        <v>3</v>
      </c>
      <c r="O160" s="709" t="s">
        <v>3505</v>
      </c>
      <c r="P160" s="463" t="s">
        <v>1588</v>
      </c>
      <c r="Q160" s="836">
        <v>0</v>
      </c>
      <c r="R160" s="836">
        <v>0</v>
      </c>
      <c r="S160" s="836">
        <v>0</v>
      </c>
      <c r="T160" s="836">
        <v>0</v>
      </c>
      <c r="U160" s="132" t="s">
        <v>2227</v>
      </c>
      <c r="V160" s="132" t="s">
        <v>3506</v>
      </c>
      <c r="W160" s="498">
        <v>132</v>
      </c>
      <c r="X160" s="132" t="s">
        <v>2199</v>
      </c>
      <c r="Y160" s="132" t="s">
        <v>3507</v>
      </c>
      <c r="Z160" s="132" t="s">
        <v>2228</v>
      </c>
      <c r="AA160" s="132" t="s">
        <v>1597</v>
      </c>
      <c r="AB160" s="133" t="s">
        <v>1534</v>
      </c>
    </row>
    <row r="161" spans="1:28" ht="24" customHeight="1">
      <c r="A161" s="587"/>
      <c r="B161" s="473" t="s">
        <v>675</v>
      </c>
      <c r="C161" s="500" t="s">
        <v>3508</v>
      </c>
      <c r="D161" s="705" t="s">
        <v>3509</v>
      </c>
      <c r="E161" s="654">
        <v>40</v>
      </c>
      <c r="F161" s="654">
        <v>0</v>
      </c>
      <c r="G161" s="654">
        <v>40</v>
      </c>
      <c r="H161" s="654">
        <v>0</v>
      </c>
      <c r="I161" s="654">
        <f t="shared" si="12"/>
        <v>37</v>
      </c>
      <c r="J161" s="654">
        <v>0</v>
      </c>
      <c r="K161" s="654">
        <v>37</v>
      </c>
      <c r="L161" s="706">
        <v>0</v>
      </c>
      <c r="M161" s="675">
        <v>90</v>
      </c>
      <c r="N161" s="659">
        <v>4</v>
      </c>
      <c r="O161" s="709" t="s">
        <v>3505</v>
      </c>
      <c r="P161" s="463" t="s">
        <v>1588</v>
      </c>
      <c r="Q161" s="836">
        <v>0</v>
      </c>
      <c r="R161" s="836">
        <v>0</v>
      </c>
      <c r="S161" s="836">
        <v>0</v>
      </c>
      <c r="T161" s="836">
        <v>0</v>
      </c>
      <c r="U161" s="132" t="s">
        <v>2227</v>
      </c>
      <c r="V161" s="132" t="s">
        <v>3510</v>
      </c>
      <c r="W161" s="498">
        <v>149</v>
      </c>
      <c r="X161" s="132" t="s">
        <v>2199</v>
      </c>
      <c r="Y161" s="132" t="s">
        <v>3507</v>
      </c>
      <c r="Z161" s="132" t="s">
        <v>3496</v>
      </c>
      <c r="AA161" s="132" t="s">
        <v>1597</v>
      </c>
      <c r="AB161" s="133" t="s">
        <v>1534</v>
      </c>
    </row>
    <row r="162" spans="1:28" ht="24" customHeight="1">
      <c r="A162" s="587"/>
      <c r="B162" s="473" t="s">
        <v>675</v>
      </c>
      <c r="C162" s="500" t="s">
        <v>3511</v>
      </c>
      <c r="D162" s="705" t="s">
        <v>3512</v>
      </c>
      <c r="E162" s="654">
        <v>60</v>
      </c>
      <c r="F162" s="654">
        <v>0</v>
      </c>
      <c r="G162" s="654">
        <v>60</v>
      </c>
      <c r="H162" s="654">
        <v>0</v>
      </c>
      <c r="I162" s="654">
        <f t="shared" si="12"/>
        <v>55</v>
      </c>
      <c r="J162" s="654">
        <v>0</v>
      </c>
      <c r="K162" s="654">
        <v>55</v>
      </c>
      <c r="L162" s="706">
        <v>0</v>
      </c>
      <c r="M162" s="675">
        <v>90</v>
      </c>
      <c r="N162" s="659">
        <v>5</v>
      </c>
      <c r="O162" s="709" t="s">
        <v>3505</v>
      </c>
      <c r="P162" s="463" t="s">
        <v>1588</v>
      </c>
      <c r="Q162" s="836">
        <v>0</v>
      </c>
      <c r="R162" s="836">
        <v>0</v>
      </c>
      <c r="S162" s="836">
        <v>0</v>
      </c>
      <c r="T162" s="836">
        <v>0</v>
      </c>
      <c r="U162" s="132" t="s">
        <v>2227</v>
      </c>
      <c r="V162" s="132" t="s">
        <v>3510</v>
      </c>
      <c r="W162" s="498">
        <v>170</v>
      </c>
      <c r="X162" s="132" t="s">
        <v>2199</v>
      </c>
      <c r="Y162" s="132" t="s">
        <v>3507</v>
      </c>
      <c r="Z162" s="132" t="s">
        <v>3492</v>
      </c>
      <c r="AA162" s="132" t="s">
        <v>1597</v>
      </c>
      <c r="AB162" s="133" t="s">
        <v>1534</v>
      </c>
    </row>
    <row r="163" spans="1:28" ht="24" customHeight="1">
      <c r="A163" s="587"/>
      <c r="B163" s="473" t="s">
        <v>675</v>
      </c>
      <c r="C163" s="500" t="s">
        <v>3513</v>
      </c>
      <c r="D163" s="705" t="s">
        <v>3514</v>
      </c>
      <c r="E163" s="654">
        <v>39</v>
      </c>
      <c r="F163" s="654">
        <v>0</v>
      </c>
      <c r="G163" s="654">
        <v>39</v>
      </c>
      <c r="H163" s="654">
        <v>0</v>
      </c>
      <c r="I163" s="654">
        <f t="shared" si="12"/>
        <v>27</v>
      </c>
      <c r="J163" s="654">
        <v>0</v>
      </c>
      <c r="K163" s="654">
        <v>27</v>
      </c>
      <c r="L163" s="706">
        <v>0</v>
      </c>
      <c r="M163" s="675">
        <v>90</v>
      </c>
      <c r="N163" s="659">
        <v>3</v>
      </c>
      <c r="O163" s="709" t="s">
        <v>3505</v>
      </c>
      <c r="P163" s="463" t="s">
        <v>1588</v>
      </c>
      <c r="Q163" s="836">
        <v>0</v>
      </c>
      <c r="R163" s="836">
        <v>0</v>
      </c>
      <c r="S163" s="836">
        <v>0</v>
      </c>
      <c r="T163" s="836">
        <v>0</v>
      </c>
      <c r="U163" s="132" t="s">
        <v>2227</v>
      </c>
      <c r="V163" s="132" t="s">
        <v>3515</v>
      </c>
      <c r="W163" s="498">
        <v>200</v>
      </c>
      <c r="X163" s="132" t="s">
        <v>2199</v>
      </c>
      <c r="Y163" s="132" t="s">
        <v>3507</v>
      </c>
      <c r="Z163" s="132" t="s">
        <v>2228</v>
      </c>
      <c r="AA163" s="132" t="s">
        <v>1597</v>
      </c>
      <c r="AB163" s="133" t="s">
        <v>1534</v>
      </c>
    </row>
    <row r="164" spans="1:28" ht="24" customHeight="1">
      <c r="A164" s="587"/>
      <c r="B164" s="473" t="s">
        <v>675</v>
      </c>
      <c r="C164" s="500" t="s">
        <v>2044</v>
      </c>
      <c r="D164" s="705" t="s">
        <v>3516</v>
      </c>
      <c r="E164" s="654">
        <v>40</v>
      </c>
      <c r="F164" s="654">
        <v>0</v>
      </c>
      <c r="G164" s="654">
        <v>40</v>
      </c>
      <c r="H164" s="654">
        <v>0</v>
      </c>
      <c r="I164" s="654">
        <f t="shared" si="12"/>
        <v>24</v>
      </c>
      <c r="J164" s="654">
        <v>0</v>
      </c>
      <c r="K164" s="654">
        <v>24</v>
      </c>
      <c r="L164" s="706">
        <v>0</v>
      </c>
      <c r="M164" s="675">
        <v>90</v>
      </c>
      <c r="N164" s="659">
        <v>3</v>
      </c>
      <c r="O164" s="709" t="s">
        <v>3517</v>
      </c>
      <c r="P164" s="463" t="s">
        <v>1588</v>
      </c>
      <c r="Q164" s="836">
        <v>0</v>
      </c>
      <c r="R164" s="836">
        <v>0</v>
      </c>
      <c r="S164" s="836">
        <v>0</v>
      </c>
      <c r="T164" s="836">
        <v>0</v>
      </c>
      <c r="U164" s="132" t="s">
        <v>2227</v>
      </c>
      <c r="V164" s="132" t="s">
        <v>3518</v>
      </c>
      <c r="W164" s="498">
        <v>200</v>
      </c>
      <c r="X164" s="132" t="s">
        <v>2199</v>
      </c>
      <c r="Y164" s="132" t="s">
        <v>3507</v>
      </c>
      <c r="Z164" s="132" t="s">
        <v>2263</v>
      </c>
      <c r="AA164" s="132" t="s">
        <v>1597</v>
      </c>
      <c r="AB164" s="133" t="s">
        <v>1534</v>
      </c>
    </row>
    <row r="165" spans="1:28" ht="24" customHeight="1">
      <c r="A165" s="586" t="s">
        <v>1835</v>
      </c>
      <c r="B165" s="473" t="s">
        <v>2201</v>
      </c>
      <c r="C165" s="500" t="s">
        <v>2015</v>
      </c>
      <c r="D165" s="705" t="s">
        <v>3519</v>
      </c>
      <c r="E165" s="654">
        <f t="shared" ref="E165:E175" si="14">G165+H165</f>
        <v>25000</v>
      </c>
      <c r="F165" s="654">
        <v>0</v>
      </c>
      <c r="G165" s="654">
        <v>0</v>
      </c>
      <c r="H165" s="654">
        <v>25000</v>
      </c>
      <c r="I165" s="654">
        <f t="shared" si="12"/>
        <v>23947</v>
      </c>
      <c r="J165" s="654">
        <v>0</v>
      </c>
      <c r="K165" s="654">
        <v>0</v>
      </c>
      <c r="L165" s="706">
        <v>23947</v>
      </c>
      <c r="M165" s="675">
        <v>93.2</v>
      </c>
      <c r="N165" s="659">
        <f>129.1*I165*M165/100*0.001</f>
        <v>2881.3317763999999</v>
      </c>
      <c r="O165" s="709" t="s">
        <v>3520</v>
      </c>
      <c r="P165" s="463" t="s">
        <v>1588</v>
      </c>
      <c r="Q165" s="836">
        <v>0</v>
      </c>
      <c r="R165" s="836">
        <v>0</v>
      </c>
      <c r="S165" s="836">
        <v>0</v>
      </c>
      <c r="T165" s="836">
        <v>0</v>
      </c>
      <c r="U165" s="132" t="s">
        <v>3521</v>
      </c>
      <c r="V165" s="483" t="s">
        <v>2113</v>
      </c>
      <c r="W165" s="498">
        <v>51274</v>
      </c>
      <c r="X165" s="132" t="s">
        <v>2199</v>
      </c>
      <c r="Y165" s="132" t="s">
        <v>3336</v>
      </c>
      <c r="Z165" s="132" t="s">
        <v>1816</v>
      </c>
      <c r="AA165" s="132" t="s">
        <v>1534</v>
      </c>
      <c r="AB165" s="133" t="s">
        <v>1534</v>
      </c>
    </row>
    <row r="166" spans="1:28" ht="24" customHeight="1">
      <c r="A166" s="587"/>
      <c r="B166" s="473" t="s">
        <v>2201</v>
      </c>
      <c r="C166" s="500" t="s">
        <v>2378</v>
      </c>
      <c r="D166" s="705" t="s">
        <v>3522</v>
      </c>
      <c r="E166" s="656">
        <f t="shared" si="14"/>
        <v>25000</v>
      </c>
      <c r="F166" s="664">
        <v>0</v>
      </c>
      <c r="G166" s="656">
        <v>25000</v>
      </c>
      <c r="H166" s="656">
        <v>0</v>
      </c>
      <c r="I166" s="656">
        <f t="shared" si="12"/>
        <v>23080</v>
      </c>
      <c r="J166" s="489">
        <v>376</v>
      </c>
      <c r="K166" s="654">
        <v>22704</v>
      </c>
      <c r="L166" s="706">
        <v>0</v>
      </c>
      <c r="M166" s="678">
        <v>0.9</v>
      </c>
      <c r="N166" s="659">
        <f>136.6*I166*M166/1000</f>
        <v>2837.4552000000003</v>
      </c>
      <c r="O166" s="709" t="s">
        <v>3523</v>
      </c>
      <c r="P166" s="479" t="s">
        <v>1588</v>
      </c>
      <c r="Q166" s="690">
        <v>42.3</v>
      </c>
      <c r="R166" s="690">
        <v>0</v>
      </c>
      <c r="S166" s="690">
        <v>0</v>
      </c>
      <c r="T166" s="690">
        <v>0</v>
      </c>
      <c r="U166" s="132" t="s">
        <v>3524</v>
      </c>
      <c r="V166" s="621" t="s">
        <v>3525</v>
      </c>
      <c r="W166" s="498">
        <v>31504</v>
      </c>
      <c r="X166" s="132" t="s">
        <v>2199</v>
      </c>
      <c r="Y166" s="132" t="s">
        <v>1533</v>
      </c>
      <c r="Z166" s="132" t="s">
        <v>1816</v>
      </c>
      <c r="AA166" s="132" t="s">
        <v>1534</v>
      </c>
      <c r="AB166" s="133" t="s">
        <v>1534</v>
      </c>
    </row>
    <row r="167" spans="1:28" ht="24" customHeight="1">
      <c r="A167" s="587"/>
      <c r="B167" s="473" t="s">
        <v>2201</v>
      </c>
      <c r="C167" s="500" t="s">
        <v>513</v>
      </c>
      <c r="D167" s="705" t="s">
        <v>3526</v>
      </c>
      <c r="E167" s="654">
        <f t="shared" si="14"/>
        <v>20000</v>
      </c>
      <c r="F167" s="654">
        <v>0</v>
      </c>
      <c r="G167" s="654">
        <v>0</v>
      </c>
      <c r="H167" s="654">
        <v>20000</v>
      </c>
      <c r="I167" s="654">
        <f t="shared" si="12"/>
        <v>15163</v>
      </c>
      <c r="J167" s="654">
        <v>0</v>
      </c>
      <c r="K167" s="654">
        <v>0</v>
      </c>
      <c r="L167" s="706">
        <v>15163</v>
      </c>
      <c r="M167" s="675">
        <v>97.3</v>
      </c>
      <c r="N167" s="659">
        <f t="shared" ref="N167:N178" si="15">129.1*I167*M167/100*0.001</f>
        <v>1904.6896308999999</v>
      </c>
      <c r="O167" s="709" t="s">
        <v>3527</v>
      </c>
      <c r="P167" s="477" t="s">
        <v>3528</v>
      </c>
      <c r="Q167" s="836">
        <v>46.5</v>
      </c>
      <c r="R167" s="836">
        <v>15.8</v>
      </c>
      <c r="S167" s="836">
        <v>0</v>
      </c>
      <c r="T167" s="836">
        <v>0</v>
      </c>
      <c r="U167" s="132" t="s">
        <v>3529</v>
      </c>
      <c r="V167" s="621" t="s">
        <v>3530</v>
      </c>
      <c r="W167" s="498">
        <v>31504</v>
      </c>
      <c r="X167" s="132" t="s">
        <v>2199</v>
      </c>
      <c r="Y167" s="132" t="s">
        <v>1533</v>
      </c>
      <c r="Z167" s="132" t="s">
        <v>1816</v>
      </c>
      <c r="AA167" s="132" t="s">
        <v>1534</v>
      </c>
      <c r="AB167" s="133" t="s">
        <v>1534</v>
      </c>
    </row>
    <row r="168" spans="1:28" ht="24" customHeight="1">
      <c r="A168" s="587"/>
      <c r="B168" s="473" t="s">
        <v>2201</v>
      </c>
      <c r="C168" s="500" t="s">
        <v>3531</v>
      </c>
      <c r="D168" s="705" t="s">
        <v>3532</v>
      </c>
      <c r="E168" s="654">
        <f t="shared" si="14"/>
        <v>500</v>
      </c>
      <c r="F168" s="654">
        <v>0</v>
      </c>
      <c r="G168" s="654">
        <v>500</v>
      </c>
      <c r="H168" s="654">
        <v>0</v>
      </c>
      <c r="I168" s="654">
        <f t="shared" ref="I168:I176" si="16">SUM(J168:L168)</f>
        <v>506</v>
      </c>
      <c r="J168" s="654">
        <v>0</v>
      </c>
      <c r="K168" s="654">
        <v>506</v>
      </c>
      <c r="L168" s="706">
        <v>0</v>
      </c>
      <c r="M168" s="675">
        <v>90</v>
      </c>
      <c r="N168" s="659">
        <f t="shared" si="15"/>
        <v>58.792140000000003</v>
      </c>
      <c r="O168" s="709" t="s">
        <v>3533</v>
      </c>
      <c r="P168" s="479" t="s">
        <v>1588</v>
      </c>
      <c r="Q168" s="836">
        <v>0</v>
      </c>
      <c r="R168" s="836">
        <v>0</v>
      </c>
      <c r="S168" s="836">
        <v>0</v>
      </c>
      <c r="T168" s="836">
        <v>0</v>
      </c>
      <c r="U168" s="132" t="s">
        <v>3534</v>
      </c>
      <c r="V168" s="483" t="s">
        <v>2111</v>
      </c>
      <c r="W168" s="498">
        <v>1126</v>
      </c>
      <c r="X168" s="132" t="s">
        <v>2199</v>
      </c>
      <c r="Y168" s="132" t="s">
        <v>3336</v>
      </c>
      <c r="Z168" s="132" t="s">
        <v>1816</v>
      </c>
      <c r="AA168" s="132" t="s">
        <v>1534</v>
      </c>
      <c r="AB168" s="133" t="s">
        <v>1534</v>
      </c>
    </row>
    <row r="169" spans="1:28" ht="24" customHeight="1">
      <c r="A169" s="587"/>
      <c r="B169" s="473" t="s">
        <v>2201</v>
      </c>
      <c r="C169" s="500" t="s">
        <v>3535</v>
      </c>
      <c r="D169" s="705" t="s">
        <v>3536</v>
      </c>
      <c r="E169" s="654">
        <f t="shared" si="14"/>
        <v>1250</v>
      </c>
      <c r="F169" s="654">
        <v>0</v>
      </c>
      <c r="G169" s="654">
        <v>0</v>
      </c>
      <c r="H169" s="654">
        <v>1250</v>
      </c>
      <c r="I169" s="654">
        <f t="shared" si="16"/>
        <v>1328</v>
      </c>
      <c r="J169" s="654">
        <v>0</v>
      </c>
      <c r="K169" s="654">
        <v>0</v>
      </c>
      <c r="L169" s="706">
        <v>1328</v>
      </c>
      <c r="M169" s="675">
        <v>94.1</v>
      </c>
      <c r="N169" s="659">
        <f t="shared" si="15"/>
        <v>161.32955680000001</v>
      </c>
      <c r="O169" s="709" t="s">
        <v>3537</v>
      </c>
      <c r="P169" s="477" t="s">
        <v>3538</v>
      </c>
      <c r="Q169" s="836">
        <v>0</v>
      </c>
      <c r="R169" s="836">
        <v>0</v>
      </c>
      <c r="S169" s="836">
        <v>0</v>
      </c>
      <c r="T169" s="836">
        <v>0</v>
      </c>
      <c r="U169" s="132" t="s">
        <v>3539</v>
      </c>
      <c r="V169" s="621" t="s">
        <v>2111</v>
      </c>
      <c r="W169" s="498">
        <v>11327</v>
      </c>
      <c r="X169" s="132" t="s">
        <v>2199</v>
      </c>
      <c r="Y169" s="132" t="s">
        <v>3336</v>
      </c>
      <c r="Z169" s="132" t="s">
        <v>3540</v>
      </c>
      <c r="AA169" s="132" t="s">
        <v>1534</v>
      </c>
      <c r="AB169" s="133" t="s">
        <v>1534</v>
      </c>
    </row>
    <row r="170" spans="1:28" ht="24" customHeight="1">
      <c r="A170" s="587"/>
      <c r="B170" s="473" t="s">
        <v>2201</v>
      </c>
      <c r="C170" s="500" t="s">
        <v>3541</v>
      </c>
      <c r="D170" s="705" t="s">
        <v>3542</v>
      </c>
      <c r="E170" s="654">
        <f t="shared" si="14"/>
        <v>1900</v>
      </c>
      <c r="F170" s="654">
        <v>0</v>
      </c>
      <c r="G170" s="654">
        <v>0</v>
      </c>
      <c r="H170" s="654">
        <v>1900</v>
      </c>
      <c r="I170" s="654">
        <f t="shared" si="16"/>
        <v>719</v>
      </c>
      <c r="J170" s="654">
        <v>0</v>
      </c>
      <c r="K170" s="654">
        <v>0</v>
      </c>
      <c r="L170" s="706">
        <v>719</v>
      </c>
      <c r="M170" s="675">
        <v>94.4</v>
      </c>
      <c r="N170" s="659">
        <f t="shared" si="15"/>
        <v>87.6248176</v>
      </c>
      <c r="O170" s="709" t="s">
        <v>3282</v>
      </c>
      <c r="P170" s="479" t="s">
        <v>1588</v>
      </c>
      <c r="Q170" s="836">
        <v>0</v>
      </c>
      <c r="R170" s="836">
        <v>0</v>
      </c>
      <c r="S170" s="836">
        <v>0</v>
      </c>
      <c r="T170" s="836">
        <v>0</v>
      </c>
      <c r="U170" s="132" t="s">
        <v>3543</v>
      </c>
      <c r="V170" s="621" t="s">
        <v>2111</v>
      </c>
      <c r="W170" s="498">
        <v>3313</v>
      </c>
      <c r="X170" s="132" t="s">
        <v>2199</v>
      </c>
      <c r="Y170" s="132" t="s">
        <v>3336</v>
      </c>
      <c r="Z170" s="132" t="s">
        <v>1836</v>
      </c>
      <c r="AA170" s="132" t="s">
        <v>1534</v>
      </c>
      <c r="AB170" s="133" t="s">
        <v>1534</v>
      </c>
    </row>
    <row r="171" spans="1:28" ht="24" customHeight="1">
      <c r="A171" s="587"/>
      <c r="B171" s="473" t="s">
        <v>2201</v>
      </c>
      <c r="C171" s="500" t="s">
        <v>3544</v>
      </c>
      <c r="D171" s="705" t="s">
        <v>3545</v>
      </c>
      <c r="E171" s="654">
        <f t="shared" si="14"/>
        <v>150</v>
      </c>
      <c r="F171" s="654">
        <v>0</v>
      </c>
      <c r="G171" s="654">
        <v>150</v>
      </c>
      <c r="H171" s="654">
        <v>0</v>
      </c>
      <c r="I171" s="654">
        <f t="shared" si="16"/>
        <v>81</v>
      </c>
      <c r="J171" s="654">
        <v>0</v>
      </c>
      <c r="K171" s="654">
        <v>81</v>
      </c>
      <c r="L171" s="706">
        <v>0</v>
      </c>
      <c r="M171" s="675">
        <v>90</v>
      </c>
      <c r="N171" s="659">
        <f t="shared" si="15"/>
        <v>9.411389999999999</v>
      </c>
      <c r="O171" s="709" t="s">
        <v>3546</v>
      </c>
      <c r="P171" s="479" t="s">
        <v>1588</v>
      </c>
      <c r="Q171" s="836">
        <v>0</v>
      </c>
      <c r="R171" s="836">
        <v>0</v>
      </c>
      <c r="S171" s="836">
        <v>0</v>
      </c>
      <c r="T171" s="836">
        <v>0</v>
      </c>
      <c r="U171" s="132" t="s">
        <v>3543</v>
      </c>
      <c r="V171" s="483" t="s">
        <v>2111</v>
      </c>
      <c r="W171" s="498">
        <v>808</v>
      </c>
      <c r="X171" s="132" t="s">
        <v>2199</v>
      </c>
      <c r="Y171" s="132" t="s">
        <v>3336</v>
      </c>
      <c r="Z171" s="132" t="s">
        <v>1836</v>
      </c>
      <c r="AA171" s="132" t="s">
        <v>1534</v>
      </c>
      <c r="AB171" s="133" t="s">
        <v>1534</v>
      </c>
    </row>
    <row r="172" spans="1:28" ht="24" customHeight="1">
      <c r="A172" s="587"/>
      <c r="B172" s="473" t="s">
        <v>2201</v>
      </c>
      <c r="C172" s="500" t="s">
        <v>3547</v>
      </c>
      <c r="D172" s="705" t="s">
        <v>3548</v>
      </c>
      <c r="E172" s="656">
        <f t="shared" si="14"/>
        <v>1200</v>
      </c>
      <c r="F172" s="664">
        <v>0</v>
      </c>
      <c r="G172" s="656">
        <v>1200</v>
      </c>
      <c r="H172" s="656">
        <v>0</v>
      </c>
      <c r="I172" s="656">
        <f t="shared" si="16"/>
        <v>420</v>
      </c>
      <c r="J172" s="489">
        <v>0</v>
      </c>
      <c r="K172" s="654">
        <v>420</v>
      </c>
      <c r="L172" s="706">
        <v>0</v>
      </c>
      <c r="M172" s="678">
        <v>0.90800000000000003</v>
      </c>
      <c r="N172" s="659">
        <f>266.9*I172*M172/1000</f>
        <v>101.78498399999999</v>
      </c>
      <c r="O172" s="709" t="s">
        <v>3173</v>
      </c>
      <c r="P172" s="479" t="s">
        <v>1588</v>
      </c>
      <c r="Q172" s="690">
        <v>0</v>
      </c>
      <c r="R172" s="690">
        <v>0</v>
      </c>
      <c r="S172" s="690">
        <v>0</v>
      </c>
      <c r="T172" s="690">
        <v>0</v>
      </c>
      <c r="U172" s="132" t="s">
        <v>3549</v>
      </c>
      <c r="V172" s="483" t="s">
        <v>3550</v>
      </c>
      <c r="W172" s="498">
        <v>3000</v>
      </c>
      <c r="X172" s="132" t="s">
        <v>2199</v>
      </c>
      <c r="Y172" s="132" t="s">
        <v>1533</v>
      </c>
      <c r="Z172" s="132" t="s">
        <v>3551</v>
      </c>
      <c r="AA172" s="132" t="s">
        <v>1534</v>
      </c>
      <c r="AB172" s="133" t="s">
        <v>1534</v>
      </c>
    </row>
    <row r="173" spans="1:28" ht="24" customHeight="1">
      <c r="A173" s="587"/>
      <c r="B173" s="473" t="s">
        <v>2201</v>
      </c>
      <c r="C173" s="500" t="s">
        <v>3552</v>
      </c>
      <c r="D173" s="705" t="s">
        <v>3553</v>
      </c>
      <c r="E173" s="656">
        <f t="shared" si="14"/>
        <v>2000</v>
      </c>
      <c r="F173" s="664">
        <v>0</v>
      </c>
      <c r="G173" s="656">
        <v>2000</v>
      </c>
      <c r="H173" s="656">
        <v>0</v>
      </c>
      <c r="I173" s="656">
        <f t="shared" si="16"/>
        <v>2043</v>
      </c>
      <c r="J173" s="489">
        <v>0</v>
      </c>
      <c r="K173" s="654">
        <v>2043</v>
      </c>
      <c r="L173" s="706">
        <v>0</v>
      </c>
      <c r="M173" s="678">
        <v>0.9</v>
      </c>
      <c r="N173" s="659">
        <f>129.7*I173*M173/1000</f>
        <v>238.47939</v>
      </c>
      <c r="O173" s="709" t="s">
        <v>3554</v>
      </c>
      <c r="P173" s="479" t="s">
        <v>1588</v>
      </c>
      <c r="Q173" s="690">
        <v>0</v>
      </c>
      <c r="R173" s="690">
        <v>0</v>
      </c>
      <c r="S173" s="690">
        <v>0</v>
      </c>
      <c r="T173" s="690">
        <v>0</v>
      </c>
      <c r="U173" s="132" t="s">
        <v>3555</v>
      </c>
      <c r="V173" s="483" t="s">
        <v>3556</v>
      </c>
      <c r="W173" s="498">
        <v>10547</v>
      </c>
      <c r="X173" s="132" t="s">
        <v>2199</v>
      </c>
      <c r="Y173" s="132" t="s">
        <v>1533</v>
      </c>
      <c r="Z173" s="132" t="s">
        <v>1816</v>
      </c>
      <c r="AA173" s="132" t="s">
        <v>1534</v>
      </c>
      <c r="AB173" s="133" t="s">
        <v>1534</v>
      </c>
    </row>
    <row r="174" spans="1:28" ht="24" customHeight="1">
      <c r="A174" s="587"/>
      <c r="B174" s="473" t="s">
        <v>2201</v>
      </c>
      <c r="C174" s="500" t="s">
        <v>3557</v>
      </c>
      <c r="D174" s="705" t="s">
        <v>3558</v>
      </c>
      <c r="E174" s="654">
        <f t="shared" si="14"/>
        <v>250</v>
      </c>
      <c r="F174" s="654">
        <v>0</v>
      </c>
      <c r="G174" s="654">
        <v>250</v>
      </c>
      <c r="H174" s="654">
        <v>0</v>
      </c>
      <c r="I174" s="654">
        <f t="shared" si="16"/>
        <v>248</v>
      </c>
      <c r="J174" s="654">
        <v>0</v>
      </c>
      <c r="K174" s="654">
        <v>248</v>
      </c>
      <c r="L174" s="706">
        <v>0</v>
      </c>
      <c r="M174" s="675">
        <v>94.1</v>
      </c>
      <c r="N174" s="659">
        <f t="shared" si="15"/>
        <v>30.1278088</v>
      </c>
      <c r="O174" s="709" t="s">
        <v>3559</v>
      </c>
      <c r="P174" s="463" t="s">
        <v>1588</v>
      </c>
      <c r="Q174" s="836">
        <v>0</v>
      </c>
      <c r="R174" s="836">
        <v>0</v>
      </c>
      <c r="S174" s="836">
        <v>0</v>
      </c>
      <c r="T174" s="836">
        <v>0</v>
      </c>
      <c r="U174" s="132" t="s">
        <v>3539</v>
      </c>
      <c r="V174" s="483" t="s">
        <v>2112</v>
      </c>
      <c r="W174" s="498">
        <v>4145</v>
      </c>
      <c r="X174" s="132" t="s">
        <v>2199</v>
      </c>
      <c r="Y174" s="132" t="s">
        <v>3336</v>
      </c>
      <c r="Z174" s="132" t="s">
        <v>1836</v>
      </c>
      <c r="AA174" s="132" t="s">
        <v>1534</v>
      </c>
      <c r="AB174" s="133" t="s">
        <v>1534</v>
      </c>
    </row>
    <row r="175" spans="1:28" ht="24" customHeight="1">
      <c r="A175" s="587"/>
      <c r="B175" s="473" t="s">
        <v>2201</v>
      </c>
      <c r="C175" s="500" t="s">
        <v>2042</v>
      </c>
      <c r="D175" s="705" t="s">
        <v>3560</v>
      </c>
      <c r="E175" s="654">
        <f t="shared" si="14"/>
        <v>7000</v>
      </c>
      <c r="F175" s="654">
        <v>0</v>
      </c>
      <c r="G175" s="654">
        <v>7000</v>
      </c>
      <c r="H175" s="654">
        <v>0</v>
      </c>
      <c r="I175" s="654">
        <f t="shared" si="16"/>
        <v>7796</v>
      </c>
      <c r="J175" s="654">
        <v>0</v>
      </c>
      <c r="K175" s="654">
        <v>7796</v>
      </c>
      <c r="L175" s="706">
        <v>0</v>
      </c>
      <c r="M175" s="675">
        <v>89.9</v>
      </c>
      <c r="N175" s="659">
        <f t="shared" si="15"/>
        <v>904.81077640000001</v>
      </c>
      <c r="O175" s="709" t="s">
        <v>3173</v>
      </c>
      <c r="P175" s="463" t="s">
        <v>1588</v>
      </c>
      <c r="Q175" s="836">
        <v>0</v>
      </c>
      <c r="R175" s="836">
        <v>0</v>
      </c>
      <c r="S175" s="836">
        <v>0</v>
      </c>
      <c r="T175" s="836">
        <v>0</v>
      </c>
      <c r="U175" s="132" t="s">
        <v>3561</v>
      </c>
      <c r="V175" s="483" t="s">
        <v>3562</v>
      </c>
      <c r="W175" s="498">
        <v>16714</v>
      </c>
      <c r="X175" s="132" t="s">
        <v>2199</v>
      </c>
      <c r="Y175" s="132" t="s">
        <v>1533</v>
      </c>
      <c r="Z175" s="132" t="s">
        <v>1816</v>
      </c>
      <c r="AA175" s="132" t="s">
        <v>1534</v>
      </c>
      <c r="AB175" s="133" t="s">
        <v>1534</v>
      </c>
    </row>
    <row r="176" spans="1:28" ht="24" customHeight="1">
      <c r="A176" s="587"/>
      <c r="B176" s="473" t="s">
        <v>675</v>
      </c>
      <c r="C176" s="500" t="s">
        <v>3563</v>
      </c>
      <c r="D176" s="705" t="s">
        <v>3564</v>
      </c>
      <c r="E176" s="654">
        <f>G176</f>
        <v>27.8</v>
      </c>
      <c r="F176" s="654">
        <v>0</v>
      </c>
      <c r="G176" s="654">
        <v>27.8</v>
      </c>
      <c r="H176" s="654">
        <v>0</v>
      </c>
      <c r="I176" s="654">
        <f t="shared" si="16"/>
        <v>0</v>
      </c>
      <c r="J176" s="654">
        <v>0</v>
      </c>
      <c r="K176" s="654">
        <v>0</v>
      </c>
      <c r="L176" s="706">
        <v>0</v>
      </c>
      <c r="M176" s="675">
        <v>95</v>
      </c>
      <c r="N176" s="659">
        <f t="shared" si="15"/>
        <v>0</v>
      </c>
      <c r="O176" s="709" t="s">
        <v>3517</v>
      </c>
      <c r="P176" s="463" t="s">
        <v>1588</v>
      </c>
      <c r="Q176" s="836">
        <v>0</v>
      </c>
      <c r="R176" s="836">
        <v>0</v>
      </c>
      <c r="S176" s="836">
        <v>0</v>
      </c>
      <c r="T176" s="836">
        <v>0</v>
      </c>
      <c r="U176" s="132" t="s">
        <v>3555</v>
      </c>
      <c r="V176" s="483" t="s">
        <v>3565</v>
      </c>
      <c r="W176" s="498">
        <v>72</v>
      </c>
      <c r="X176" s="132" t="s">
        <v>2199</v>
      </c>
      <c r="Y176" s="132" t="s">
        <v>3566</v>
      </c>
      <c r="Z176" s="132" t="s">
        <v>1816</v>
      </c>
      <c r="AA176" s="132" t="s">
        <v>1534</v>
      </c>
      <c r="AB176" s="133" t="s">
        <v>1534</v>
      </c>
    </row>
    <row r="177" spans="1:28" ht="24" customHeight="1">
      <c r="A177" s="587"/>
      <c r="B177" s="473" t="s">
        <v>675</v>
      </c>
      <c r="C177" s="500" t="s">
        <v>3567</v>
      </c>
      <c r="D177" s="705" t="s">
        <v>3568</v>
      </c>
      <c r="E177" s="654">
        <f>G177</f>
        <v>24</v>
      </c>
      <c r="F177" s="654">
        <v>0</v>
      </c>
      <c r="G177" s="654">
        <v>24</v>
      </c>
      <c r="H177" s="654">
        <v>0</v>
      </c>
      <c r="I177" s="654">
        <f t="shared" ref="I177:I183" si="17">SUM(J177:L177)</f>
        <v>0</v>
      </c>
      <c r="J177" s="654">
        <v>0</v>
      </c>
      <c r="K177" s="654">
        <v>0</v>
      </c>
      <c r="L177" s="706">
        <v>0</v>
      </c>
      <c r="M177" s="675">
        <v>90</v>
      </c>
      <c r="N177" s="659">
        <f t="shared" si="15"/>
        <v>0</v>
      </c>
      <c r="O177" s="709" t="s">
        <v>3569</v>
      </c>
      <c r="P177" s="463" t="s">
        <v>1588</v>
      </c>
      <c r="Q177" s="836">
        <v>0</v>
      </c>
      <c r="R177" s="836">
        <v>0</v>
      </c>
      <c r="S177" s="836">
        <v>0</v>
      </c>
      <c r="T177" s="836">
        <v>0</v>
      </c>
      <c r="U177" s="132" t="s">
        <v>3521</v>
      </c>
      <c r="V177" s="483" t="s">
        <v>3570</v>
      </c>
      <c r="W177" s="498">
        <v>49</v>
      </c>
      <c r="X177" s="132" t="s">
        <v>2199</v>
      </c>
      <c r="Y177" s="132" t="s">
        <v>3566</v>
      </c>
      <c r="Z177" s="132" t="s">
        <v>1816</v>
      </c>
      <c r="AA177" s="132" t="s">
        <v>1534</v>
      </c>
      <c r="AB177" s="133" t="s">
        <v>1534</v>
      </c>
    </row>
    <row r="178" spans="1:28" ht="24" customHeight="1">
      <c r="A178" s="587"/>
      <c r="B178" s="473" t="s">
        <v>675</v>
      </c>
      <c r="C178" s="500" t="s">
        <v>3571</v>
      </c>
      <c r="D178" s="705" t="s">
        <v>3572</v>
      </c>
      <c r="E178" s="654">
        <f>G178</f>
        <v>36</v>
      </c>
      <c r="F178" s="654">
        <v>0</v>
      </c>
      <c r="G178" s="654">
        <v>36</v>
      </c>
      <c r="H178" s="654">
        <v>0</v>
      </c>
      <c r="I178" s="654">
        <f t="shared" si="17"/>
        <v>0</v>
      </c>
      <c r="J178" s="654">
        <v>0</v>
      </c>
      <c r="K178" s="654">
        <v>0</v>
      </c>
      <c r="L178" s="706">
        <v>0</v>
      </c>
      <c r="M178" s="675">
        <v>95</v>
      </c>
      <c r="N178" s="659">
        <f t="shared" si="15"/>
        <v>0</v>
      </c>
      <c r="O178" s="709" t="s">
        <v>3569</v>
      </c>
      <c r="P178" s="463" t="s">
        <v>1588</v>
      </c>
      <c r="Q178" s="836">
        <v>0</v>
      </c>
      <c r="R178" s="836">
        <v>0</v>
      </c>
      <c r="S178" s="836">
        <v>0</v>
      </c>
      <c r="T178" s="836">
        <v>0</v>
      </c>
      <c r="U178" s="132"/>
      <c r="V178" s="483" t="s">
        <v>3573</v>
      </c>
      <c r="W178" s="498">
        <v>70</v>
      </c>
      <c r="X178" s="132" t="s">
        <v>2199</v>
      </c>
      <c r="Y178" s="132" t="s">
        <v>3566</v>
      </c>
      <c r="Z178" s="132" t="s">
        <v>1816</v>
      </c>
      <c r="AA178" s="132" t="s">
        <v>1534</v>
      </c>
      <c r="AB178" s="133" t="s">
        <v>1534</v>
      </c>
    </row>
    <row r="179" spans="1:28" ht="24" customHeight="1">
      <c r="A179" s="582" t="s">
        <v>1837</v>
      </c>
      <c r="B179" s="473" t="s">
        <v>2201</v>
      </c>
      <c r="C179" s="500" t="s">
        <v>2237</v>
      </c>
      <c r="D179" s="705" t="s">
        <v>3574</v>
      </c>
      <c r="E179" s="654">
        <v>17500</v>
      </c>
      <c r="F179" s="654">
        <v>0</v>
      </c>
      <c r="G179" s="654">
        <v>0</v>
      </c>
      <c r="H179" s="654">
        <v>17500</v>
      </c>
      <c r="I179" s="654">
        <f t="shared" si="17"/>
        <v>17793</v>
      </c>
      <c r="J179" s="654">
        <v>0</v>
      </c>
      <c r="K179" s="654">
        <v>0</v>
      </c>
      <c r="L179" s="706">
        <v>17793</v>
      </c>
      <c r="M179" s="675">
        <v>90.9</v>
      </c>
      <c r="N179" s="659">
        <v>107324</v>
      </c>
      <c r="O179" s="709" t="s">
        <v>3215</v>
      </c>
      <c r="P179" s="132" t="s">
        <v>3215</v>
      </c>
      <c r="Q179" s="836">
        <v>72</v>
      </c>
      <c r="R179" s="836">
        <v>70</v>
      </c>
      <c r="S179" s="836">
        <v>47</v>
      </c>
      <c r="T179" s="836">
        <v>0</v>
      </c>
      <c r="U179" s="132" t="s">
        <v>3575</v>
      </c>
      <c r="V179" s="483" t="s">
        <v>3576</v>
      </c>
      <c r="W179" s="498">
        <v>31430</v>
      </c>
      <c r="X179" s="132" t="s">
        <v>2199</v>
      </c>
      <c r="Y179" s="132" t="s">
        <v>3336</v>
      </c>
      <c r="Z179" s="132" t="s">
        <v>3366</v>
      </c>
      <c r="AA179" s="132" t="s">
        <v>3366</v>
      </c>
      <c r="AB179" s="133" t="s">
        <v>1596</v>
      </c>
    </row>
    <row r="180" spans="1:28" ht="24" customHeight="1">
      <c r="A180" s="587"/>
      <c r="B180" s="473" t="s">
        <v>675</v>
      </c>
      <c r="C180" s="500" t="s">
        <v>3577</v>
      </c>
      <c r="D180" s="705" t="s">
        <v>3578</v>
      </c>
      <c r="E180" s="654">
        <v>33</v>
      </c>
      <c r="F180" s="654">
        <v>0</v>
      </c>
      <c r="G180" s="654">
        <v>33</v>
      </c>
      <c r="H180" s="654">
        <v>0</v>
      </c>
      <c r="I180" s="654">
        <f t="shared" si="17"/>
        <v>6.9</v>
      </c>
      <c r="J180" s="654">
        <v>0</v>
      </c>
      <c r="K180" s="654">
        <v>6.9</v>
      </c>
      <c r="L180" s="706">
        <v>0</v>
      </c>
      <c r="M180" s="675">
        <v>95</v>
      </c>
      <c r="N180" s="659">
        <v>122.8</v>
      </c>
      <c r="O180" s="709" t="s">
        <v>3579</v>
      </c>
      <c r="P180" s="132" t="s">
        <v>3579</v>
      </c>
      <c r="Q180" s="836">
        <v>0</v>
      </c>
      <c r="R180" s="836">
        <v>0</v>
      </c>
      <c r="S180" s="836">
        <v>0</v>
      </c>
      <c r="T180" s="836">
        <v>0</v>
      </c>
      <c r="U180" s="132" t="s">
        <v>3575</v>
      </c>
      <c r="V180" s="483" t="s">
        <v>3580</v>
      </c>
      <c r="W180" s="498">
        <v>176.06100000000001</v>
      </c>
      <c r="X180" s="132" t="s">
        <v>2199</v>
      </c>
      <c r="Y180" s="132" t="s">
        <v>3336</v>
      </c>
      <c r="Z180" s="132" t="s">
        <v>3581</v>
      </c>
      <c r="AA180" s="132" t="s">
        <v>1595</v>
      </c>
      <c r="AB180" s="133" t="s">
        <v>1596</v>
      </c>
    </row>
    <row r="181" spans="1:28" ht="24" customHeight="1">
      <c r="A181" s="587"/>
      <c r="B181" s="473" t="s">
        <v>675</v>
      </c>
      <c r="C181" s="500" t="s">
        <v>3582</v>
      </c>
      <c r="D181" s="705" t="s">
        <v>3583</v>
      </c>
      <c r="E181" s="654">
        <v>30</v>
      </c>
      <c r="F181" s="654">
        <v>0</v>
      </c>
      <c r="G181" s="654">
        <v>30</v>
      </c>
      <c r="H181" s="654">
        <v>0</v>
      </c>
      <c r="I181" s="654">
        <f t="shared" si="17"/>
        <v>8.5</v>
      </c>
      <c r="J181" s="654">
        <v>0</v>
      </c>
      <c r="K181" s="654">
        <v>8.5</v>
      </c>
      <c r="L181" s="706">
        <v>0</v>
      </c>
      <c r="M181" s="675">
        <v>95</v>
      </c>
      <c r="N181" s="659">
        <v>119.3</v>
      </c>
      <c r="O181" s="709" t="s">
        <v>3584</v>
      </c>
      <c r="P181" s="132" t="s">
        <v>3585</v>
      </c>
      <c r="Q181" s="836">
        <v>0</v>
      </c>
      <c r="R181" s="836">
        <v>0</v>
      </c>
      <c r="S181" s="836">
        <v>0</v>
      </c>
      <c r="T181" s="836">
        <v>0</v>
      </c>
      <c r="U181" s="132" t="s">
        <v>3575</v>
      </c>
      <c r="V181" s="483" t="s">
        <v>3586</v>
      </c>
      <c r="W181" s="498">
        <v>184</v>
      </c>
      <c r="X181" s="132" t="s">
        <v>2244</v>
      </c>
      <c r="Y181" s="132" t="s">
        <v>3336</v>
      </c>
      <c r="Z181" s="132" t="s">
        <v>3581</v>
      </c>
      <c r="AA181" s="132" t="s">
        <v>1595</v>
      </c>
      <c r="AB181" s="133" t="s">
        <v>1596</v>
      </c>
    </row>
    <row r="182" spans="1:28" ht="24" customHeight="1">
      <c r="A182" s="587"/>
      <c r="B182" s="473" t="s">
        <v>675</v>
      </c>
      <c r="C182" s="500" t="s">
        <v>3587</v>
      </c>
      <c r="D182" s="705" t="s">
        <v>3588</v>
      </c>
      <c r="E182" s="654">
        <v>30</v>
      </c>
      <c r="F182" s="654">
        <v>0</v>
      </c>
      <c r="G182" s="654">
        <v>30</v>
      </c>
      <c r="H182" s="654">
        <v>0</v>
      </c>
      <c r="I182" s="654">
        <f t="shared" si="17"/>
        <v>11.01</v>
      </c>
      <c r="J182" s="654">
        <v>0</v>
      </c>
      <c r="K182" s="654">
        <v>11.01</v>
      </c>
      <c r="L182" s="706">
        <v>0</v>
      </c>
      <c r="M182" s="675">
        <v>95</v>
      </c>
      <c r="N182" s="659">
        <v>108.6</v>
      </c>
      <c r="O182" s="709" t="s">
        <v>3584</v>
      </c>
      <c r="P182" s="132" t="s">
        <v>3585</v>
      </c>
      <c r="Q182" s="836">
        <v>0</v>
      </c>
      <c r="R182" s="836">
        <v>0</v>
      </c>
      <c r="S182" s="836">
        <v>0</v>
      </c>
      <c r="T182" s="836">
        <v>0</v>
      </c>
      <c r="U182" s="132" t="s">
        <v>3575</v>
      </c>
      <c r="V182" s="483" t="s">
        <v>3589</v>
      </c>
      <c r="W182" s="498">
        <v>168</v>
      </c>
      <c r="X182" s="132" t="s">
        <v>2244</v>
      </c>
      <c r="Y182" s="132" t="s">
        <v>3336</v>
      </c>
      <c r="Z182" s="132" t="s">
        <v>3366</v>
      </c>
      <c r="AA182" s="132" t="s">
        <v>3366</v>
      </c>
      <c r="AB182" s="133" t="s">
        <v>1596</v>
      </c>
    </row>
    <row r="183" spans="1:28" ht="24" customHeight="1">
      <c r="A183" s="585"/>
      <c r="B183" s="473" t="s">
        <v>675</v>
      </c>
      <c r="C183" s="500" t="s">
        <v>3590</v>
      </c>
      <c r="D183" s="705" t="s">
        <v>3591</v>
      </c>
      <c r="E183" s="654">
        <v>235</v>
      </c>
      <c r="F183" s="654">
        <v>0</v>
      </c>
      <c r="G183" s="654">
        <v>235</v>
      </c>
      <c r="H183" s="654">
        <v>0</v>
      </c>
      <c r="I183" s="654">
        <f t="shared" si="17"/>
        <v>40</v>
      </c>
      <c r="J183" s="654">
        <v>0</v>
      </c>
      <c r="K183" s="654">
        <v>40</v>
      </c>
      <c r="L183" s="706">
        <v>0</v>
      </c>
      <c r="M183" s="675">
        <v>86</v>
      </c>
      <c r="N183" s="659">
        <v>372</v>
      </c>
      <c r="O183" s="709" t="s">
        <v>3592</v>
      </c>
      <c r="P183" s="132" t="s">
        <v>3592</v>
      </c>
      <c r="Q183" s="836">
        <v>0</v>
      </c>
      <c r="R183" s="836">
        <v>0</v>
      </c>
      <c r="S183" s="836">
        <v>0</v>
      </c>
      <c r="T183" s="836">
        <v>0</v>
      </c>
      <c r="U183" s="132" t="s">
        <v>3575</v>
      </c>
      <c r="V183" s="132" t="s">
        <v>2114</v>
      </c>
      <c r="W183" s="498">
        <v>2083</v>
      </c>
      <c r="X183" s="132" t="s">
        <v>2244</v>
      </c>
      <c r="Y183" s="132" t="s">
        <v>3336</v>
      </c>
      <c r="Z183" s="132" t="s">
        <v>3366</v>
      </c>
      <c r="AA183" s="132" t="s">
        <v>3366</v>
      </c>
      <c r="AB183" s="133" t="s">
        <v>1596</v>
      </c>
    </row>
    <row r="184" spans="1:28" ht="24" customHeight="1">
      <c r="A184" s="587" t="s">
        <v>1840</v>
      </c>
      <c r="B184" s="473" t="s">
        <v>2201</v>
      </c>
      <c r="C184" s="500" t="s">
        <v>179</v>
      </c>
      <c r="D184" s="705" t="s">
        <v>3593</v>
      </c>
      <c r="E184" s="654">
        <v>10000</v>
      </c>
      <c r="F184" s="654">
        <v>0</v>
      </c>
      <c r="G184" s="654">
        <v>0</v>
      </c>
      <c r="H184" s="654">
        <v>10000</v>
      </c>
      <c r="I184" s="654">
        <v>11514</v>
      </c>
      <c r="J184" s="654">
        <v>0</v>
      </c>
      <c r="K184" s="654">
        <v>0</v>
      </c>
      <c r="L184" s="706">
        <v>11514</v>
      </c>
      <c r="M184" s="675">
        <v>115</v>
      </c>
      <c r="N184" s="659">
        <v>1531</v>
      </c>
      <c r="O184" s="709" t="s">
        <v>3594</v>
      </c>
      <c r="P184" s="132" t="s">
        <v>3595</v>
      </c>
      <c r="Q184" s="836">
        <v>0</v>
      </c>
      <c r="R184" s="836">
        <v>12.5</v>
      </c>
      <c r="S184" s="836">
        <v>0</v>
      </c>
      <c r="T184" s="836">
        <v>0</v>
      </c>
      <c r="U184" s="132" t="s">
        <v>3596</v>
      </c>
      <c r="V184" s="483" t="s">
        <v>3597</v>
      </c>
      <c r="W184" s="498">
        <v>22240</v>
      </c>
      <c r="X184" s="132" t="s">
        <v>2276</v>
      </c>
      <c r="Y184" s="132" t="s">
        <v>3336</v>
      </c>
      <c r="Z184" s="132" t="s">
        <v>3598</v>
      </c>
      <c r="AA184" s="132" t="s">
        <v>1821</v>
      </c>
      <c r="AB184" s="133" t="s">
        <v>1596</v>
      </c>
    </row>
    <row r="185" spans="1:28" ht="24" customHeight="1">
      <c r="A185" s="582" t="s">
        <v>1841</v>
      </c>
      <c r="B185" s="460" t="s">
        <v>2201</v>
      </c>
      <c r="C185" s="458" t="s">
        <v>1599</v>
      </c>
      <c r="D185" s="510" t="s">
        <v>3599</v>
      </c>
      <c r="E185" s="655">
        <v>3000</v>
      </c>
      <c r="F185" s="655">
        <v>0</v>
      </c>
      <c r="G185" s="655">
        <v>0</v>
      </c>
      <c r="H185" s="655">
        <v>3000</v>
      </c>
      <c r="I185" s="654">
        <f>SUM(J185:L185)</f>
        <v>2045</v>
      </c>
      <c r="J185" s="655">
        <v>0</v>
      </c>
      <c r="K185" s="655">
        <v>0</v>
      </c>
      <c r="L185" s="710">
        <v>2045</v>
      </c>
      <c r="M185" s="676">
        <v>94.7</v>
      </c>
      <c r="N185" s="659">
        <v>175.45</v>
      </c>
      <c r="O185" s="715" t="s">
        <v>3600</v>
      </c>
      <c r="P185" s="501" t="s">
        <v>3600</v>
      </c>
      <c r="Q185" s="837">
        <v>0</v>
      </c>
      <c r="R185" s="837">
        <v>0</v>
      </c>
      <c r="S185" s="837">
        <v>0</v>
      </c>
      <c r="T185" s="837">
        <v>0</v>
      </c>
      <c r="U185" s="501" t="s">
        <v>3601</v>
      </c>
      <c r="V185" s="501" t="s">
        <v>3602</v>
      </c>
      <c r="W185" s="498">
        <v>15206</v>
      </c>
      <c r="X185" s="501" t="s">
        <v>2276</v>
      </c>
      <c r="Y185" s="501" t="s">
        <v>1533</v>
      </c>
      <c r="Z185" s="501" t="s">
        <v>1597</v>
      </c>
      <c r="AA185" s="501" t="s">
        <v>1534</v>
      </c>
      <c r="AB185" s="502" t="s">
        <v>1534</v>
      </c>
    </row>
    <row r="186" spans="1:28" ht="24" customHeight="1">
      <c r="A186" s="584"/>
      <c r="B186" s="460" t="s">
        <v>675</v>
      </c>
      <c r="C186" s="458" t="s">
        <v>3603</v>
      </c>
      <c r="D186" s="510" t="s">
        <v>3604</v>
      </c>
      <c r="E186" s="655">
        <v>31</v>
      </c>
      <c r="F186" s="655">
        <v>0</v>
      </c>
      <c r="G186" s="655">
        <v>31</v>
      </c>
      <c r="H186" s="655">
        <v>0</v>
      </c>
      <c r="I186" s="655">
        <v>31</v>
      </c>
      <c r="J186" s="655">
        <v>0</v>
      </c>
      <c r="K186" s="655">
        <v>31</v>
      </c>
      <c r="L186" s="710">
        <v>0</v>
      </c>
      <c r="M186" s="676">
        <v>0</v>
      </c>
      <c r="N186" s="659">
        <v>0</v>
      </c>
      <c r="O186" s="715" t="s">
        <v>3605</v>
      </c>
      <c r="P186" s="501" t="s">
        <v>1588</v>
      </c>
      <c r="Q186" s="837">
        <v>0</v>
      </c>
      <c r="R186" s="837">
        <v>0</v>
      </c>
      <c r="S186" s="837">
        <v>0</v>
      </c>
      <c r="T186" s="837">
        <v>0</v>
      </c>
      <c r="U186" s="501"/>
      <c r="V186" s="501" t="s">
        <v>3606</v>
      </c>
      <c r="W186" s="498">
        <v>77</v>
      </c>
      <c r="X186" s="501" t="s">
        <v>1532</v>
      </c>
      <c r="Y186" s="501" t="s">
        <v>3232</v>
      </c>
      <c r="Z186" s="501" t="s">
        <v>1597</v>
      </c>
      <c r="AA186" s="501" t="s">
        <v>1534</v>
      </c>
      <c r="AB186" s="502" t="s">
        <v>1534</v>
      </c>
    </row>
    <row r="187" spans="1:28" ht="24" customHeight="1">
      <c r="A187" s="584"/>
      <c r="B187" s="460" t="s">
        <v>675</v>
      </c>
      <c r="C187" s="458" t="s">
        <v>3607</v>
      </c>
      <c r="D187" s="510" t="s">
        <v>3608</v>
      </c>
      <c r="E187" s="655">
        <v>30</v>
      </c>
      <c r="F187" s="655">
        <v>0</v>
      </c>
      <c r="G187" s="655">
        <v>30</v>
      </c>
      <c r="H187" s="655">
        <v>0</v>
      </c>
      <c r="I187" s="655">
        <v>30</v>
      </c>
      <c r="J187" s="655">
        <v>0</v>
      </c>
      <c r="K187" s="655">
        <v>30</v>
      </c>
      <c r="L187" s="710">
        <v>0</v>
      </c>
      <c r="M187" s="676">
        <v>0</v>
      </c>
      <c r="N187" s="659">
        <v>0</v>
      </c>
      <c r="O187" s="715" t="s">
        <v>3605</v>
      </c>
      <c r="P187" s="501" t="s">
        <v>1588</v>
      </c>
      <c r="Q187" s="837">
        <v>0</v>
      </c>
      <c r="R187" s="837">
        <v>0</v>
      </c>
      <c r="S187" s="837">
        <v>0</v>
      </c>
      <c r="T187" s="837">
        <v>0</v>
      </c>
      <c r="U187" s="501"/>
      <c r="V187" s="501" t="s">
        <v>3422</v>
      </c>
      <c r="W187" s="498">
        <v>77</v>
      </c>
      <c r="X187" s="501" t="s">
        <v>1532</v>
      </c>
      <c r="Y187" s="501" t="s">
        <v>3232</v>
      </c>
      <c r="Z187" s="501" t="s">
        <v>1597</v>
      </c>
      <c r="AA187" s="501" t="s">
        <v>1534</v>
      </c>
      <c r="AB187" s="502" t="s">
        <v>1534</v>
      </c>
    </row>
    <row r="188" spans="1:28" ht="24" customHeight="1">
      <c r="A188" s="584"/>
      <c r="B188" s="460" t="s">
        <v>675</v>
      </c>
      <c r="C188" s="458" t="s">
        <v>3609</v>
      </c>
      <c r="D188" s="510" t="s">
        <v>3610</v>
      </c>
      <c r="E188" s="655">
        <v>46</v>
      </c>
      <c r="F188" s="655">
        <v>0</v>
      </c>
      <c r="G188" s="655">
        <v>46</v>
      </c>
      <c r="H188" s="655">
        <v>0</v>
      </c>
      <c r="I188" s="655">
        <v>46</v>
      </c>
      <c r="J188" s="655">
        <v>0</v>
      </c>
      <c r="K188" s="655">
        <v>46</v>
      </c>
      <c r="L188" s="710">
        <v>0</v>
      </c>
      <c r="M188" s="676">
        <v>0</v>
      </c>
      <c r="N188" s="659">
        <v>0</v>
      </c>
      <c r="O188" s="715" t="s">
        <v>3611</v>
      </c>
      <c r="P188" s="501" t="s">
        <v>1588</v>
      </c>
      <c r="Q188" s="837">
        <v>0</v>
      </c>
      <c r="R188" s="837">
        <v>0</v>
      </c>
      <c r="S188" s="837">
        <v>0</v>
      </c>
      <c r="T188" s="837">
        <v>0</v>
      </c>
      <c r="U188" s="501"/>
      <c r="V188" s="501" t="s">
        <v>3416</v>
      </c>
      <c r="W188" s="498">
        <v>187</v>
      </c>
      <c r="X188" s="501" t="s">
        <v>1532</v>
      </c>
      <c r="Y188" s="501" t="s">
        <v>3232</v>
      </c>
      <c r="Z188" s="501" t="s">
        <v>1597</v>
      </c>
      <c r="AA188" s="501" t="s">
        <v>1534</v>
      </c>
      <c r="AB188" s="502" t="s">
        <v>1534</v>
      </c>
    </row>
    <row r="189" spans="1:28" ht="24" customHeight="1">
      <c r="A189" s="584"/>
      <c r="B189" s="460" t="s">
        <v>675</v>
      </c>
      <c r="C189" s="458" t="s">
        <v>3612</v>
      </c>
      <c r="D189" s="510" t="s">
        <v>3613</v>
      </c>
      <c r="E189" s="655">
        <v>30</v>
      </c>
      <c r="F189" s="655">
        <v>0</v>
      </c>
      <c r="G189" s="655">
        <v>30</v>
      </c>
      <c r="H189" s="655">
        <v>0</v>
      </c>
      <c r="I189" s="655">
        <v>30</v>
      </c>
      <c r="J189" s="655">
        <v>0</v>
      </c>
      <c r="K189" s="655">
        <v>30</v>
      </c>
      <c r="L189" s="710">
        <v>0</v>
      </c>
      <c r="M189" s="676">
        <v>0</v>
      </c>
      <c r="N189" s="659">
        <v>0</v>
      </c>
      <c r="O189" s="715" t="s">
        <v>3614</v>
      </c>
      <c r="P189" s="501" t="s">
        <v>1588</v>
      </c>
      <c r="Q189" s="837">
        <v>0</v>
      </c>
      <c r="R189" s="837">
        <v>0</v>
      </c>
      <c r="S189" s="837">
        <v>0</v>
      </c>
      <c r="T189" s="837">
        <v>0</v>
      </c>
      <c r="U189" s="501"/>
      <c r="V189" s="501" t="s">
        <v>3615</v>
      </c>
      <c r="W189" s="498">
        <v>98</v>
      </c>
      <c r="X189" s="501" t="s">
        <v>1532</v>
      </c>
      <c r="Y189" s="501" t="s">
        <v>3232</v>
      </c>
      <c r="Z189" s="501" t="s">
        <v>1597</v>
      </c>
      <c r="AA189" s="501" t="s">
        <v>1534</v>
      </c>
      <c r="AB189" s="502" t="s">
        <v>1534</v>
      </c>
    </row>
    <row r="190" spans="1:28" ht="24" customHeight="1">
      <c r="A190" s="583"/>
      <c r="B190" s="460" t="s">
        <v>675</v>
      </c>
      <c r="C190" s="458" t="s">
        <v>3616</v>
      </c>
      <c r="D190" s="510" t="s">
        <v>3617</v>
      </c>
      <c r="E190" s="655">
        <v>50</v>
      </c>
      <c r="F190" s="655">
        <v>0</v>
      </c>
      <c r="G190" s="655">
        <v>50</v>
      </c>
      <c r="H190" s="655">
        <v>0</v>
      </c>
      <c r="I190" s="655">
        <v>50</v>
      </c>
      <c r="J190" s="655">
        <v>0</v>
      </c>
      <c r="K190" s="655">
        <v>50</v>
      </c>
      <c r="L190" s="710">
        <v>0</v>
      </c>
      <c r="M190" s="676">
        <v>0</v>
      </c>
      <c r="N190" s="659">
        <v>0</v>
      </c>
      <c r="O190" s="715" t="s">
        <v>3618</v>
      </c>
      <c r="P190" s="501" t="s">
        <v>1588</v>
      </c>
      <c r="Q190" s="837">
        <v>0</v>
      </c>
      <c r="R190" s="837">
        <v>0</v>
      </c>
      <c r="S190" s="837">
        <v>0</v>
      </c>
      <c r="T190" s="837">
        <v>0</v>
      </c>
      <c r="U190" s="501"/>
      <c r="V190" s="501" t="s">
        <v>3619</v>
      </c>
      <c r="W190" s="498">
        <v>178</v>
      </c>
      <c r="X190" s="501" t="s">
        <v>1532</v>
      </c>
      <c r="Y190" s="501" t="s">
        <v>3232</v>
      </c>
      <c r="Z190" s="501" t="s">
        <v>1597</v>
      </c>
      <c r="AA190" s="501" t="s">
        <v>1534</v>
      </c>
      <c r="AB190" s="502" t="s">
        <v>1534</v>
      </c>
    </row>
    <row r="191" spans="1:28" ht="24" customHeight="1">
      <c r="A191" s="585" t="s">
        <v>1842</v>
      </c>
      <c r="B191" s="473" t="s">
        <v>2201</v>
      </c>
      <c r="C191" s="500" t="s">
        <v>3620</v>
      </c>
      <c r="D191" s="705" t="s">
        <v>3621</v>
      </c>
      <c r="E191" s="654">
        <v>57000</v>
      </c>
      <c r="F191" s="654">
        <v>0</v>
      </c>
      <c r="G191" s="654">
        <v>0</v>
      </c>
      <c r="H191" s="654">
        <v>57000</v>
      </c>
      <c r="I191" s="654">
        <v>54172</v>
      </c>
      <c r="J191" s="654">
        <v>0</v>
      </c>
      <c r="K191" s="654">
        <v>0</v>
      </c>
      <c r="L191" s="706">
        <v>54712</v>
      </c>
      <c r="M191" s="675">
        <v>94.4</v>
      </c>
      <c r="N191" s="659">
        <v>8868</v>
      </c>
      <c r="O191" s="709" t="s">
        <v>2241</v>
      </c>
      <c r="P191" s="463" t="s">
        <v>1588</v>
      </c>
      <c r="Q191" s="836">
        <v>287.10000000000002</v>
      </c>
      <c r="R191" s="836">
        <v>0</v>
      </c>
      <c r="S191" s="836">
        <v>0</v>
      </c>
      <c r="T191" s="836">
        <v>0</v>
      </c>
      <c r="U191" s="132" t="s">
        <v>2242</v>
      </c>
      <c r="V191" s="132" t="s">
        <v>3622</v>
      </c>
      <c r="W191" s="498">
        <v>58762</v>
      </c>
      <c r="X191" s="132" t="s">
        <v>2243</v>
      </c>
      <c r="Y191" s="132" t="s">
        <v>1991</v>
      </c>
      <c r="Z191" s="132" t="s">
        <v>3623</v>
      </c>
      <c r="AA191" s="132" t="s">
        <v>3624</v>
      </c>
      <c r="AB191" s="133" t="s">
        <v>1596</v>
      </c>
    </row>
    <row r="192" spans="1:28" ht="24" customHeight="1">
      <c r="A192" s="457" t="s">
        <v>1975</v>
      </c>
      <c r="B192" s="460" t="s">
        <v>2201</v>
      </c>
      <c r="C192" s="458" t="s">
        <v>1845</v>
      </c>
      <c r="D192" s="510" t="s">
        <v>3625</v>
      </c>
      <c r="E192" s="655">
        <v>86000</v>
      </c>
      <c r="F192" s="655">
        <v>0</v>
      </c>
      <c r="G192" s="655">
        <v>68000</v>
      </c>
      <c r="H192" s="655">
        <v>18000</v>
      </c>
      <c r="I192" s="655">
        <v>64000</v>
      </c>
      <c r="J192" s="655">
        <v>0</v>
      </c>
      <c r="K192" s="655">
        <v>54000</v>
      </c>
      <c r="L192" s="710">
        <v>10000</v>
      </c>
      <c r="M192" s="676">
        <v>100.47</v>
      </c>
      <c r="N192" s="659">
        <v>6474</v>
      </c>
      <c r="O192" s="669" t="s">
        <v>1535</v>
      </c>
      <c r="P192" s="463" t="s">
        <v>3626</v>
      </c>
      <c r="Q192" s="837">
        <v>70</v>
      </c>
      <c r="R192" s="837">
        <v>282</v>
      </c>
      <c r="S192" s="837">
        <v>35</v>
      </c>
      <c r="T192" s="837">
        <v>5</v>
      </c>
      <c r="U192" s="463" t="s">
        <v>3627</v>
      </c>
      <c r="V192" s="466" t="s">
        <v>3628</v>
      </c>
      <c r="W192" s="498">
        <v>87003</v>
      </c>
      <c r="X192" s="463" t="s">
        <v>2193</v>
      </c>
      <c r="Y192" s="463"/>
      <c r="Z192" s="463" t="s">
        <v>1787</v>
      </c>
      <c r="AA192" s="463" t="s">
        <v>1597</v>
      </c>
      <c r="AB192" s="459" t="s">
        <v>1534</v>
      </c>
    </row>
    <row r="193" spans="1:28" ht="24" customHeight="1">
      <c r="A193" s="457" t="s">
        <v>1846</v>
      </c>
      <c r="B193" s="460" t="s">
        <v>2201</v>
      </c>
      <c r="C193" s="458" t="s">
        <v>2252</v>
      </c>
      <c r="D193" s="510" t="s">
        <v>3629</v>
      </c>
      <c r="E193" s="655">
        <v>30000</v>
      </c>
      <c r="F193" s="655">
        <v>0</v>
      </c>
      <c r="G193" s="655">
        <v>0</v>
      </c>
      <c r="H193" s="655">
        <v>0</v>
      </c>
      <c r="I193" s="655">
        <v>20268</v>
      </c>
      <c r="J193" s="655">
        <v>0</v>
      </c>
      <c r="K193" s="655">
        <v>0</v>
      </c>
      <c r="L193" s="710">
        <v>20268</v>
      </c>
      <c r="M193" s="676">
        <v>90</v>
      </c>
      <c r="N193" s="659">
        <v>2988</v>
      </c>
      <c r="O193" s="669" t="s">
        <v>623</v>
      </c>
      <c r="P193" s="463" t="s">
        <v>1991</v>
      </c>
      <c r="Q193" s="837">
        <v>18</v>
      </c>
      <c r="R193" s="837">
        <v>0</v>
      </c>
      <c r="S193" s="837">
        <v>0</v>
      </c>
      <c r="T193" s="837">
        <v>0</v>
      </c>
      <c r="U193" s="463" t="s">
        <v>3630</v>
      </c>
      <c r="V193" s="463" t="s">
        <v>3631</v>
      </c>
      <c r="W193" s="498">
        <v>9000</v>
      </c>
      <c r="X193" s="463" t="s">
        <v>2243</v>
      </c>
      <c r="Y193" s="503" t="s">
        <v>3632</v>
      </c>
      <c r="Z193" s="503" t="s">
        <v>3633</v>
      </c>
      <c r="AA193" s="463" t="s">
        <v>1595</v>
      </c>
      <c r="AB193" s="459" t="s">
        <v>3634</v>
      </c>
    </row>
    <row r="194" spans="1:28" ht="24" customHeight="1">
      <c r="A194" s="582" t="s">
        <v>1616</v>
      </c>
      <c r="B194" s="458" t="s">
        <v>5936</v>
      </c>
      <c r="C194" s="579"/>
      <c r="D194" s="579"/>
      <c r="E194" s="498" t="s">
        <v>7366</v>
      </c>
      <c r="F194" s="498">
        <v>0</v>
      </c>
      <c r="G194" s="498" t="s">
        <v>6140</v>
      </c>
      <c r="H194" s="498" t="s">
        <v>7367</v>
      </c>
      <c r="I194" s="498" t="s">
        <v>7386</v>
      </c>
      <c r="J194" s="498">
        <v>0</v>
      </c>
      <c r="K194" s="498" t="s">
        <v>7387</v>
      </c>
      <c r="L194" s="668" t="s">
        <v>7388</v>
      </c>
      <c r="M194" s="672">
        <v>0</v>
      </c>
      <c r="N194" s="659" t="s">
        <v>7389</v>
      </c>
      <c r="O194" s="669" t="s">
        <v>1588</v>
      </c>
      <c r="P194" s="463" t="s">
        <v>1588</v>
      </c>
      <c r="Q194" s="672" t="s">
        <v>6127</v>
      </c>
      <c r="R194" s="672" t="s">
        <v>6141</v>
      </c>
      <c r="S194" s="672" t="s">
        <v>6142</v>
      </c>
      <c r="T194" s="672" t="s">
        <v>6143</v>
      </c>
      <c r="U194" s="463"/>
      <c r="V194" s="463"/>
      <c r="W194" s="498">
        <f>SUM(W195:W256)</f>
        <v>552724.22</v>
      </c>
      <c r="X194" s="463"/>
      <c r="Y194" s="463"/>
      <c r="Z194" s="463"/>
      <c r="AA194" s="463"/>
      <c r="AB194" s="459"/>
    </row>
    <row r="195" spans="1:28" ht="24" customHeight="1">
      <c r="A195" s="586" t="s">
        <v>1843</v>
      </c>
      <c r="B195" s="473" t="s">
        <v>2201</v>
      </c>
      <c r="C195" s="500" t="s">
        <v>2016</v>
      </c>
      <c r="D195" s="705" t="s">
        <v>3635</v>
      </c>
      <c r="E195" s="654">
        <v>15000</v>
      </c>
      <c r="F195" s="654">
        <v>0</v>
      </c>
      <c r="G195" s="654">
        <v>0</v>
      </c>
      <c r="H195" s="654">
        <v>15000</v>
      </c>
      <c r="I195" s="654">
        <v>12987</v>
      </c>
      <c r="J195" s="654">
        <v>0</v>
      </c>
      <c r="K195" s="654">
        <v>0</v>
      </c>
      <c r="L195" s="706">
        <v>12987</v>
      </c>
      <c r="M195" s="675">
        <v>93</v>
      </c>
      <c r="N195" s="659">
        <v>165467</v>
      </c>
      <c r="O195" s="709" t="s">
        <v>3636</v>
      </c>
      <c r="P195" s="132" t="s">
        <v>3636</v>
      </c>
      <c r="Q195" s="836">
        <v>0</v>
      </c>
      <c r="R195" s="836">
        <v>107</v>
      </c>
      <c r="S195" s="836">
        <v>70</v>
      </c>
      <c r="T195" s="836">
        <v>7</v>
      </c>
      <c r="U195" s="132" t="s">
        <v>3637</v>
      </c>
      <c r="V195" s="483" t="s">
        <v>3638</v>
      </c>
      <c r="W195" s="498">
        <v>268890</v>
      </c>
      <c r="X195" s="132" t="s">
        <v>626</v>
      </c>
      <c r="Y195" s="132" t="s">
        <v>3336</v>
      </c>
      <c r="Z195" s="132" t="s">
        <v>3639</v>
      </c>
      <c r="AA195" s="132" t="s">
        <v>3640</v>
      </c>
      <c r="AB195" s="133" t="s">
        <v>1595</v>
      </c>
    </row>
    <row r="196" spans="1:28" ht="24" customHeight="1">
      <c r="A196" s="587"/>
      <c r="B196" s="473" t="s">
        <v>2201</v>
      </c>
      <c r="C196" s="500" t="s">
        <v>3641</v>
      </c>
      <c r="D196" s="705" t="s">
        <v>3642</v>
      </c>
      <c r="E196" s="654">
        <v>800</v>
      </c>
      <c r="F196" s="654">
        <v>0</v>
      </c>
      <c r="G196" s="654">
        <v>0</v>
      </c>
      <c r="H196" s="654">
        <v>800</v>
      </c>
      <c r="I196" s="654">
        <v>674</v>
      </c>
      <c r="J196" s="654">
        <v>0</v>
      </c>
      <c r="K196" s="654">
        <v>0</v>
      </c>
      <c r="L196" s="706">
        <v>674</v>
      </c>
      <c r="M196" s="675">
        <v>97</v>
      </c>
      <c r="N196" s="659">
        <v>7838.8222000000005</v>
      </c>
      <c r="O196" s="709" t="s">
        <v>3643</v>
      </c>
      <c r="P196" s="132" t="s">
        <v>3643</v>
      </c>
      <c r="Q196" s="836">
        <v>33</v>
      </c>
      <c r="R196" s="836">
        <v>0</v>
      </c>
      <c r="S196" s="836">
        <v>0</v>
      </c>
      <c r="T196" s="836">
        <v>0</v>
      </c>
      <c r="U196" s="132" t="s">
        <v>3637</v>
      </c>
      <c r="V196" s="132" t="s">
        <v>3644</v>
      </c>
      <c r="W196" s="498">
        <v>7313</v>
      </c>
      <c r="X196" s="132" t="s">
        <v>626</v>
      </c>
      <c r="Y196" s="132" t="s">
        <v>3336</v>
      </c>
      <c r="Z196" s="132" t="s">
        <v>3645</v>
      </c>
      <c r="AA196" s="132" t="s">
        <v>3640</v>
      </c>
      <c r="AB196" s="133" t="s">
        <v>1595</v>
      </c>
    </row>
    <row r="197" spans="1:28" ht="24" customHeight="1">
      <c r="A197" s="587"/>
      <c r="B197" s="473" t="s">
        <v>2201</v>
      </c>
      <c r="C197" s="500" t="s">
        <v>3646</v>
      </c>
      <c r="D197" s="705" t="s">
        <v>3647</v>
      </c>
      <c r="E197" s="654">
        <v>500</v>
      </c>
      <c r="F197" s="654">
        <v>0</v>
      </c>
      <c r="G197" s="654">
        <v>0</v>
      </c>
      <c r="H197" s="654">
        <v>500</v>
      </c>
      <c r="I197" s="654">
        <v>241</v>
      </c>
      <c r="J197" s="654">
        <v>0</v>
      </c>
      <c r="K197" s="654">
        <v>0</v>
      </c>
      <c r="L197" s="706">
        <v>241</v>
      </c>
      <c r="M197" s="675">
        <v>92</v>
      </c>
      <c r="N197" s="659">
        <v>2567.5176000000001</v>
      </c>
      <c r="O197" s="709" t="s">
        <v>3648</v>
      </c>
      <c r="P197" s="132" t="s">
        <v>3648</v>
      </c>
      <c r="Q197" s="836">
        <v>0</v>
      </c>
      <c r="R197" s="836">
        <v>0</v>
      </c>
      <c r="S197" s="836">
        <v>0</v>
      </c>
      <c r="T197" s="836">
        <v>0</v>
      </c>
      <c r="U197" s="132" t="s">
        <v>3637</v>
      </c>
      <c r="V197" s="132" t="s">
        <v>3644</v>
      </c>
      <c r="W197" s="498">
        <v>5207</v>
      </c>
      <c r="X197" s="132" t="s">
        <v>626</v>
      </c>
      <c r="Y197" s="132" t="s">
        <v>3336</v>
      </c>
      <c r="Z197" s="132" t="s">
        <v>3649</v>
      </c>
      <c r="AA197" s="132" t="s">
        <v>3640</v>
      </c>
      <c r="AB197" s="133" t="s">
        <v>1595</v>
      </c>
    </row>
    <row r="198" spans="1:28" ht="24" customHeight="1">
      <c r="A198" s="587"/>
      <c r="B198" s="473" t="s">
        <v>2201</v>
      </c>
      <c r="C198" s="500" t="s">
        <v>514</v>
      </c>
      <c r="D198" s="705" t="s">
        <v>3650</v>
      </c>
      <c r="E198" s="654">
        <v>3000</v>
      </c>
      <c r="F198" s="654">
        <v>0</v>
      </c>
      <c r="G198" s="654">
        <v>0</v>
      </c>
      <c r="H198" s="654">
        <v>3000</v>
      </c>
      <c r="I198" s="654">
        <v>992</v>
      </c>
      <c r="J198" s="654">
        <v>0</v>
      </c>
      <c r="K198" s="654">
        <v>0</v>
      </c>
      <c r="L198" s="706">
        <v>992</v>
      </c>
      <c r="M198" s="675">
        <v>95</v>
      </c>
      <c r="N198" s="659">
        <v>9970.5920000000006</v>
      </c>
      <c r="O198" s="709" t="s">
        <v>3651</v>
      </c>
      <c r="P198" s="463" t="s">
        <v>1588</v>
      </c>
      <c r="Q198" s="836">
        <v>0</v>
      </c>
      <c r="R198" s="836">
        <v>0</v>
      </c>
      <c r="S198" s="836">
        <v>0</v>
      </c>
      <c r="T198" s="836">
        <v>0</v>
      </c>
      <c r="U198" s="132" t="s">
        <v>3637</v>
      </c>
      <c r="V198" s="132" t="s">
        <v>3652</v>
      </c>
      <c r="W198" s="498">
        <v>15943</v>
      </c>
      <c r="X198" s="132" t="s">
        <v>626</v>
      </c>
      <c r="Y198" s="132" t="s">
        <v>3336</v>
      </c>
      <c r="Z198" s="132" t="s">
        <v>3653</v>
      </c>
      <c r="AA198" s="132" t="s">
        <v>3640</v>
      </c>
      <c r="AB198" s="133" t="s">
        <v>1595</v>
      </c>
    </row>
    <row r="199" spans="1:28" ht="24" customHeight="1">
      <c r="A199" s="587"/>
      <c r="B199" s="473" t="s">
        <v>2201</v>
      </c>
      <c r="C199" s="500" t="s">
        <v>515</v>
      </c>
      <c r="D199" s="705" t="s">
        <v>3654</v>
      </c>
      <c r="E199" s="654">
        <v>700</v>
      </c>
      <c r="F199" s="654">
        <v>0</v>
      </c>
      <c r="G199" s="654">
        <v>0</v>
      </c>
      <c r="H199" s="654">
        <v>700</v>
      </c>
      <c r="I199" s="654">
        <v>351</v>
      </c>
      <c r="J199" s="654">
        <v>0</v>
      </c>
      <c r="K199" s="654">
        <v>0</v>
      </c>
      <c r="L199" s="706">
        <v>351</v>
      </c>
      <c r="M199" s="675">
        <v>94</v>
      </c>
      <c r="N199" s="659">
        <v>3692.0286000000001</v>
      </c>
      <c r="O199" s="709" t="s">
        <v>3651</v>
      </c>
      <c r="P199" s="132" t="s">
        <v>3655</v>
      </c>
      <c r="Q199" s="836">
        <v>0</v>
      </c>
      <c r="R199" s="836">
        <v>0</v>
      </c>
      <c r="S199" s="836">
        <v>0</v>
      </c>
      <c r="T199" s="836">
        <v>0</v>
      </c>
      <c r="U199" s="132" t="s">
        <v>3637</v>
      </c>
      <c r="V199" s="132" t="s">
        <v>3656</v>
      </c>
      <c r="W199" s="498">
        <v>9945</v>
      </c>
      <c r="X199" s="132" t="s">
        <v>626</v>
      </c>
      <c r="Y199" s="132" t="s">
        <v>3336</v>
      </c>
      <c r="Z199" s="132"/>
      <c r="AA199" s="132" t="s">
        <v>3640</v>
      </c>
      <c r="AB199" s="133" t="s">
        <v>1595</v>
      </c>
    </row>
    <row r="200" spans="1:28" ht="24" customHeight="1">
      <c r="A200" s="587"/>
      <c r="B200" s="473" t="s">
        <v>2201</v>
      </c>
      <c r="C200" s="500" t="s">
        <v>516</v>
      </c>
      <c r="D200" s="705" t="s">
        <v>3657</v>
      </c>
      <c r="E200" s="654">
        <v>850</v>
      </c>
      <c r="F200" s="654">
        <v>0</v>
      </c>
      <c r="G200" s="654">
        <v>0</v>
      </c>
      <c r="H200" s="654">
        <v>850</v>
      </c>
      <c r="I200" s="654">
        <v>724</v>
      </c>
      <c r="J200" s="654">
        <v>0</v>
      </c>
      <c r="K200" s="654">
        <v>0</v>
      </c>
      <c r="L200" s="706">
        <v>724</v>
      </c>
      <c r="M200" s="675">
        <v>95</v>
      </c>
      <c r="N200" s="659">
        <v>5660.5940000000001</v>
      </c>
      <c r="O200" s="709" t="s">
        <v>3651</v>
      </c>
      <c r="P200" s="132" t="s">
        <v>3655</v>
      </c>
      <c r="Q200" s="836">
        <v>0</v>
      </c>
      <c r="R200" s="836">
        <v>0</v>
      </c>
      <c r="S200" s="836">
        <v>0</v>
      </c>
      <c r="T200" s="836">
        <v>0</v>
      </c>
      <c r="U200" s="132" t="s">
        <v>3637</v>
      </c>
      <c r="V200" s="132" t="s">
        <v>3658</v>
      </c>
      <c r="W200" s="498">
        <v>10837</v>
      </c>
      <c r="X200" s="132" t="s">
        <v>626</v>
      </c>
      <c r="Y200" s="132" t="s">
        <v>3336</v>
      </c>
      <c r="Z200" s="132" t="s">
        <v>3659</v>
      </c>
      <c r="AA200" s="132" t="s">
        <v>3640</v>
      </c>
      <c r="AB200" s="133" t="s">
        <v>1595</v>
      </c>
    </row>
    <row r="201" spans="1:28" ht="24" customHeight="1">
      <c r="A201" s="587"/>
      <c r="B201" s="473" t="s">
        <v>675</v>
      </c>
      <c r="C201" s="500" t="s">
        <v>3660</v>
      </c>
      <c r="D201" s="705" t="s">
        <v>3661</v>
      </c>
      <c r="E201" s="654">
        <v>400</v>
      </c>
      <c r="F201" s="654">
        <v>0</v>
      </c>
      <c r="G201" s="654">
        <v>0</v>
      </c>
      <c r="H201" s="654">
        <v>400</v>
      </c>
      <c r="I201" s="654">
        <v>274</v>
      </c>
      <c r="J201" s="654">
        <v>0</v>
      </c>
      <c r="K201" s="654">
        <v>0</v>
      </c>
      <c r="L201" s="706">
        <v>274</v>
      </c>
      <c r="M201" s="675">
        <v>90</v>
      </c>
      <c r="N201" s="659">
        <v>2934.54</v>
      </c>
      <c r="O201" s="709" t="s">
        <v>2241</v>
      </c>
      <c r="P201" s="132" t="s">
        <v>2241</v>
      </c>
      <c r="Q201" s="836">
        <v>0</v>
      </c>
      <c r="R201" s="836">
        <v>0</v>
      </c>
      <c r="S201" s="836">
        <v>0</v>
      </c>
      <c r="T201" s="836">
        <v>0</v>
      </c>
      <c r="U201" s="132" t="s">
        <v>3637</v>
      </c>
      <c r="V201" s="132" t="s">
        <v>3662</v>
      </c>
      <c r="W201" s="498">
        <v>509</v>
      </c>
      <c r="X201" s="132" t="s">
        <v>626</v>
      </c>
      <c r="Y201" s="132"/>
      <c r="Z201" s="132" t="s">
        <v>3663</v>
      </c>
      <c r="AA201" s="132" t="s">
        <v>3640</v>
      </c>
      <c r="AB201" s="133" t="s">
        <v>1595</v>
      </c>
    </row>
    <row r="202" spans="1:28" ht="24" customHeight="1">
      <c r="A202" s="587"/>
      <c r="B202" s="473" t="s">
        <v>675</v>
      </c>
      <c r="C202" s="500" t="s">
        <v>3664</v>
      </c>
      <c r="D202" s="705" t="s">
        <v>3665</v>
      </c>
      <c r="E202" s="654">
        <v>25</v>
      </c>
      <c r="F202" s="654">
        <v>0</v>
      </c>
      <c r="G202" s="654">
        <v>0</v>
      </c>
      <c r="H202" s="654">
        <v>25</v>
      </c>
      <c r="I202" s="654">
        <v>16</v>
      </c>
      <c r="J202" s="654">
        <v>0</v>
      </c>
      <c r="K202" s="654">
        <v>0</v>
      </c>
      <c r="L202" s="706">
        <v>16</v>
      </c>
      <c r="M202" s="675">
        <v>95</v>
      </c>
      <c r="N202" s="659">
        <v>162.33600000000001</v>
      </c>
      <c r="O202" s="709" t="s">
        <v>3666</v>
      </c>
      <c r="P202" s="132" t="s">
        <v>3666</v>
      </c>
      <c r="Q202" s="836">
        <v>0</v>
      </c>
      <c r="R202" s="836">
        <v>0</v>
      </c>
      <c r="S202" s="836">
        <v>0</v>
      </c>
      <c r="T202" s="836">
        <v>0</v>
      </c>
      <c r="U202" s="132" t="s">
        <v>3637</v>
      </c>
      <c r="V202" s="132" t="s">
        <v>3667</v>
      </c>
      <c r="W202" s="498">
        <v>100</v>
      </c>
      <c r="X202" s="132" t="s">
        <v>626</v>
      </c>
      <c r="Y202" s="132"/>
      <c r="Z202" s="132" t="s">
        <v>3668</v>
      </c>
      <c r="AA202" s="132" t="s">
        <v>3640</v>
      </c>
      <c r="AB202" s="133" t="s">
        <v>1595</v>
      </c>
    </row>
    <row r="203" spans="1:28" ht="24" customHeight="1">
      <c r="A203" s="587"/>
      <c r="B203" s="473" t="s">
        <v>675</v>
      </c>
      <c r="C203" s="500" t="s">
        <v>3669</v>
      </c>
      <c r="D203" s="705" t="s">
        <v>3670</v>
      </c>
      <c r="E203" s="654">
        <v>25</v>
      </c>
      <c r="F203" s="654">
        <v>0</v>
      </c>
      <c r="G203" s="654">
        <v>0</v>
      </c>
      <c r="H203" s="654">
        <v>25</v>
      </c>
      <c r="I203" s="654">
        <v>17</v>
      </c>
      <c r="J203" s="654">
        <v>0</v>
      </c>
      <c r="K203" s="654">
        <v>0</v>
      </c>
      <c r="L203" s="706">
        <v>17</v>
      </c>
      <c r="M203" s="675">
        <v>95</v>
      </c>
      <c r="N203" s="659">
        <v>182.33350000000002</v>
      </c>
      <c r="O203" s="709" t="s">
        <v>3666</v>
      </c>
      <c r="P203" s="132" t="s">
        <v>3666</v>
      </c>
      <c r="Q203" s="836">
        <v>0</v>
      </c>
      <c r="R203" s="836">
        <v>0</v>
      </c>
      <c r="S203" s="836">
        <v>0</v>
      </c>
      <c r="T203" s="836">
        <v>0</v>
      </c>
      <c r="U203" s="132" t="s">
        <v>3637</v>
      </c>
      <c r="V203" s="132" t="s">
        <v>3671</v>
      </c>
      <c r="W203" s="498">
        <v>100</v>
      </c>
      <c r="X203" s="132" t="s">
        <v>626</v>
      </c>
      <c r="Y203" s="132"/>
      <c r="Z203" s="132" t="s">
        <v>3672</v>
      </c>
      <c r="AA203" s="132" t="s">
        <v>3640</v>
      </c>
      <c r="AB203" s="133" t="s">
        <v>1595</v>
      </c>
    </row>
    <row r="204" spans="1:28" ht="24" customHeight="1">
      <c r="A204" s="587"/>
      <c r="B204" s="473" t="s">
        <v>675</v>
      </c>
      <c r="C204" s="500" t="s">
        <v>3673</v>
      </c>
      <c r="D204" s="705" t="s">
        <v>3674</v>
      </c>
      <c r="E204" s="654">
        <v>34</v>
      </c>
      <c r="F204" s="654">
        <v>0</v>
      </c>
      <c r="G204" s="654">
        <v>0</v>
      </c>
      <c r="H204" s="654">
        <v>34</v>
      </c>
      <c r="I204" s="654">
        <v>30</v>
      </c>
      <c r="J204" s="654">
        <v>0</v>
      </c>
      <c r="K204" s="654">
        <v>0</v>
      </c>
      <c r="L204" s="706">
        <v>30</v>
      </c>
      <c r="M204" s="675">
        <v>95</v>
      </c>
      <c r="N204" s="659">
        <v>384.46499999999997</v>
      </c>
      <c r="O204" s="709" t="s">
        <v>3651</v>
      </c>
      <c r="P204" s="132" t="s">
        <v>3675</v>
      </c>
      <c r="Q204" s="836">
        <v>0</v>
      </c>
      <c r="R204" s="836">
        <v>0</v>
      </c>
      <c r="S204" s="836">
        <v>0</v>
      </c>
      <c r="T204" s="836">
        <v>0</v>
      </c>
      <c r="U204" s="132" t="s">
        <v>3637</v>
      </c>
      <c r="V204" s="132" t="s">
        <v>3676</v>
      </c>
      <c r="W204" s="498">
        <v>75</v>
      </c>
      <c r="X204" s="132" t="s">
        <v>626</v>
      </c>
      <c r="Y204" s="132"/>
      <c r="Z204" s="132" t="s">
        <v>3581</v>
      </c>
      <c r="AA204" s="132" t="s">
        <v>3640</v>
      </c>
      <c r="AB204" s="133" t="s">
        <v>1595</v>
      </c>
    </row>
    <row r="205" spans="1:28" ht="24" customHeight="1">
      <c r="A205" s="587"/>
      <c r="B205" s="473" t="s">
        <v>675</v>
      </c>
      <c r="C205" s="500" t="s">
        <v>3677</v>
      </c>
      <c r="D205" s="705" t="s">
        <v>3678</v>
      </c>
      <c r="E205" s="654">
        <v>23</v>
      </c>
      <c r="F205" s="654">
        <v>0</v>
      </c>
      <c r="G205" s="654">
        <v>23</v>
      </c>
      <c r="H205" s="654">
        <v>0</v>
      </c>
      <c r="I205" s="654">
        <v>20</v>
      </c>
      <c r="J205" s="654">
        <v>0</v>
      </c>
      <c r="K205" s="654">
        <v>20</v>
      </c>
      <c r="L205" s="706">
        <v>0</v>
      </c>
      <c r="M205" s="675">
        <v>90</v>
      </c>
      <c r="N205" s="659">
        <v>168.48</v>
      </c>
      <c r="O205" s="709" t="s">
        <v>3679</v>
      </c>
      <c r="P205" s="463" t="s">
        <v>1588</v>
      </c>
      <c r="Q205" s="836">
        <v>0</v>
      </c>
      <c r="R205" s="836">
        <v>0</v>
      </c>
      <c r="S205" s="836">
        <v>0</v>
      </c>
      <c r="T205" s="836">
        <v>0</v>
      </c>
      <c r="U205" s="132" t="s">
        <v>3637</v>
      </c>
      <c r="V205" s="132" t="s">
        <v>3680</v>
      </c>
      <c r="W205" s="498">
        <v>55</v>
      </c>
      <c r="X205" s="132" t="s">
        <v>626</v>
      </c>
      <c r="Y205" s="132"/>
      <c r="Z205" s="132"/>
      <c r="AA205" s="132" t="s">
        <v>3640</v>
      </c>
      <c r="AB205" s="133" t="s">
        <v>1595</v>
      </c>
    </row>
    <row r="206" spans="1:28" ht="24" customHeight="1">
      <c r="A206" s="587"/>
      <c r="B206" s="473" t="s">
        <v>675</v>
      </c>
      <c r="C206" s="500" t="s">
        <v>3681</v>
      </c>
      <c r="D206" s="705" t="s">
        <v>3682</v>
      </c>
      <c r="E206" s="654">
        <v>34</v>
      </c>
      <c r="F206" s="654">
        <v>0</v>
      </c>
      <c r="G206" s="654">
        <v>34</v>
      </c>
      <c r="H206" s="654">
        <v>0</v>
      </c>
      <c r="I206" s="654">
        <v>28</v>
      </c>
      <c r="J206" s="654">
        <v>0</v>
      </c>
      <c r="K206" s="654">
        <v>28</v>
      </c>
      <c r="L206" s="706">
        <v>0</v>
      </c>
      <c r="M206" s="675">
        <v>90</v>
      </c>
      <c r="N206" s="659">
        <v>240.40800000000002</v>
      </c>
      <c r="O206" s="709" t="s">
        <v>3679</v>
      </c>
      <c r="P206" s="463" t="s">
        <v>1588</v>
      </c>
      <c r="Q206" s="836">
        <v>0</v>
      </c>
      <c r="R206" s="836">
        <v>0</v>
      </c>
      <c r="S206" s="836">
        <v>0</v>
      </c>
      <c r="T206" s="836">
        <v>0</v>
      </c>
      <c r="U206" s="132" t="s">
        <v>3637</v>
      </c>
      <c r="V206" s="132" t="s">
        <v>3683</v>
      </c>
      <c r="W206" s="498">
        <v>84</v>
      </c>
      <c r="X206" s="132" t="s">
        <v>626</v>
      </c>
      <c r="Y206" s="132"/>
      <c r="Z206" s="132"/>
      <c r="AA206" s="132" t="s">
        <v>3640</v>
      </c>
      <c r="AB206" s="133" t="s">
        <v>1595</v>
      </c>
    </row>
    <row r="207" spans="1:28" ht="24" customHeight="1">
      <c r="A207" s="587"/>
      <c r="B207" s="473" t="s">
        <v>675</v>
      </c>
      <c r="C207" s="500" t="s">
        <v>3684</v>
      </c>
      <c r="D207" s="705" t="s">
        <v>3685</v>
      </c>
      <c r="E207" s="654">
        <v>34</v>
      </c>
      <c r="F207" s="654">
        <v>0</v>
      </c>
      <c r="G207" s="654">
        <v>34</v>
      </c>
      <c r="H207" s="654">
        <v>0</v>
      </c>
      <c r="I207" s="654">
        <v>32</v>
      </c>
      <c r="J207" s="654">
        <v>0</v>
      </c>
      <c r="K207" s="654">
        <v>32</v>
      </c>
      <c r="L207" s="706">
        <v>0</v>
      </c>
      <c r="M207" s="675">
        <v>90</v>
      </c>
      <c r="N207" s="659">
        <v>304.70400000000001</v>
      </c>
      <c r="O207" s="709" t="s">
        <v>3679</v>
      </c>
      <c r="P207" s="463" t="s">
        <v>1588</v>
      </c>
      <c r="Q207" s="836">
        <v>0</v>
      </c>
      <c r="R207" s="836">
        <v>0</v>
      </c>
      <c r="S207" s="836">
        <v>0</v>
      </c>
      <c r="T207" s="836">
        <v>0</v>
      </c>
      <c r="U207" s="132" t="s">
        <v>3637</v>
      </c>
      <c r="V207" s="132" t="s">
        <v>3686</v>
      </c>
      <c r="W207" s="498">
        <v>80</v>
      </c>
      <c r="X207" s="132" t="s">
        <v>626</v>
      </c>
      <c r="Y207" s="132"/>
      <c r="Z207" s="132"/>
      <c r="AA207" s="132" t="s">
        <v>3640</v>
      </c>
      <c r="AB207" s="133" t="s">
        <v>1595</v>
      </c>
    </row>
    <row r="208" spans="1:28" ht="24" customHeight="1">
      <c r="A208" s="587"/>
      <c r="B208" s="473" t="s">
        <v>675</v>
      </c>
      <c r="C208" s="500" t="s">
        <v>3687</v>
      </c>
      <c r="D208" s="705" t="s">
        <v>3688</v>
      </c>
      <c r="E208" s="654">
        <v>60</v>
      </c>
      <c r="F208" s="654">
        <v>0</v>
      </c>
      <c r="G208" s="654">
        <v>0</v>
      </c>
      <c r="H208" s="654">
        <v>60</v>
      </c>
      <c r="I208" s="654">
        <v>34</v>
      </c>
      <c r="J208" s="654">
        <v>0</v>
      </c>
      <c r="K208" s="654">
        <v>0</v>
      </c>
      <c r="L208" s="706">
        <v>34</v>
      </c>
      <c r="M208" s="675">
        <v>95.3</v>
      </c>
      <c r="N208" s="659">
        <v>194.73602</v>
      </c>
      <c r="O208" s="709" t="s">
        <v>3651</v>
      </c>
      <c r="P208" s="463" t="s">
        <v>1588</v>
      </c>
      <c r="Q208" s="836">
        <v>0</v>
      </c>
      <c r="R208" s="836">
        <v>0</v>
      </c>
      <c r="S208" s="836">
        <v>0</v>
      </c>
      <c r="T208" s="836">
        <v>0</v>
      </c>
      <c r="U208" s="132" t="s">
        <v>3637</v>
      </c>
      <c r="V208" s="132" t="s">
        <v>2123</v>
      </c>
      <c r="W208" s="498">
        <v>940</v>
      </c>
      <c r="X208" s="132" t="s">
        <v>626</v>
      </c>
      <c r="Y208" s="132"/>
      <c r="Z208" s="132" t="s">
        <v>3645</v>
      </c>
      <c r="AA208" s="132" t="s">
        <v>3640</v>
      </c>
      <c r="AB208" s="133" t="s">
        <v>1595</v>
      </c>
    </row>
    <row r="209" spans="1:28" ht="24" customHeight="1">
      <c r="A209" s="587"/>
      <c r="B209" s="473" t="s">
        <v>675</v>
      </c>
      <c r="C209" s="500" t="s">
        <v>3689</v>
      </c>
      <c r="D209" s="705" t="s">
        <v>3690</v>
      </c>
      <c r="E209" s="654">
        <v>100</v>
      </c>
      <c r="F209" s="654">
        <v>0</v>
      </c>
      <c r="G209" s="654">
        <v>0</v>
      </c>
      <c r="H209" s="654">
        <v>100</v>
      </c>
      <c r="I209" s="654">
        <v>63</v>
      </c>
      <c r="J209" s="654">
        <v>0</v>
      </c>
      <c r="K209" s="654">
        <v>0</v>
      </c>
      <c r="L209" s="706">
        <v>63</v>
      </c>
      <c r="M209" s="675">
        <v>94</v>
      </c>
      <c r="N209" s="659">
        <v>543.04740000000004</v>
      </c>
      <c r="O209" s="709" t="s">
        <v>3636</v>
      </c>
      <c r="P209" s="132" t="s">
        <v>3636</v>
      </c>
      <c r="Q209" s="836">
        <v>0</v>
      </c>
      <c r="R209" s="836">
        <v>0</v>
      </c>
      <c r="S209" s="836">
        <v>0</v>
      </c>
      <c r="T209" s="836">
        <v>0</v>
      </c>
      <c r="U209" s="132" t="s">
        <v>3637</v>
      </c>
      <c r="V209" s="483" t="s">
        <v>3691</v>
      </c>
      <c r="W209" s="498">
        <v>2705</v>
      </c>
      <c r="X209" s="132" t="s">
        <v>626</v>
      </c>
      <c r="Y209" s="132" t="s">
        <v>3336</v>
      </c>
      <c r="Z209" s="132"/>
      <c r="AA209" s="132" t="s">
        <v>3640</v>
      </c>
      <c r="AB209" s="133" t="s">
        <v>1595</v>
      </c>
    </row>
    <row r="210" spans="1:28" ht="24" customHeight="1">
      <c r="A210" s="587"/>
      <c r="B210" s="473" t="s">
        <v>675</v>
      </c>
      <c r="C210" s="500" t="s">
        <v>3692</v>
      </c>
      <c r="D210" s="705" t="s">
        <v>3693</v>
      </c>
      <c r="E210" s="654">
        <v>100</v>
      </c>
      <c r="F210" s="654">
        <v>0</v>
      </c>
      <c r="G210" s="654">
        <v>0</v>
      </c>
      <c r="H210" s="654">
        <v>100</v>
      </c>
      <c r="I210" s="654">
        <v>60</v>
      </c>
      <c r="J210" s="654">
        <v>0</v>
      </c>
      <c r="K210" s="654">
        <v>0</v>
      </c>
      <c r="L210" s="706">
        <v>60</v>
      </c>
      <c r="M210" s="675">
        <v>94</v>
      </c>
      <c r="N210" s="659">
        <v>361.52399999999994</v>
      </c>
      <c r="O210" s="709" t="s">
        <v>3694</v>
      </c>
      <c r="P210" s="132" t="s">
        <v>3694</v>
      </c>
      <c r="Q210" s="836">
        <v>0</v>
      </c>
      <c r="R210" s="836">
        <v>0</v>
      </c>
      <c r="S210" s="836">
        <v>0</v>
      </c>
      <c r="T210" s="836">
        <v>0</v>
      </c>
      <c r="U210" s="132" t="s">
        <v>3637</v>
      </c>
      <c r="V210" s="132" t="s">
        <v>3695</v>
      </c>
      <c r="W210" s="498">
        <v>1167</v>
      </c>
      <c r="X210" s="132" t="s">
        <v>626</v>
      </c>
      <c r="Y210" s="132" t="s">
        <v>3336</v>
      </c>
      <c r="Z210" s="132"/>
      <c r="AA210" s="132" t="s">
        <v>3640</v>
      </c>
      <c r="AB210" s="133" t="s">
        <v>1595</v>
      </c>
    </row>
    <row r="211" spans="1:28" ht="24" customHeight="1">
      <c r="A211" s="586" t="s">
        <v>1844</v>
      </c>
      <c r="B211" s="473" t="s">
        <v>2201</v>
      </c>
      <c r="C211" s="500" t="s">
        <v>2251</v>
      </c>
      <c r="D211" s="705" t="s">
        <v>3696</v>
      </c>
      <c r="E211" s="654">
        <v>13000</v>
      </c>
      <c r="F211" s="654">
        <v>0</v>
      </c>
      <c r="G211" s="716" t="s">
        <v>1588</v>
      </c>
      <c r="H211" s="654">
        <v>13000</v>
      </c>
      <c r="I211" s="654">
        <v>11128</v>
      </c>
      <c r="J211" s="654">
        <v>0</v>
      </c>
      <c r="K211" s="654">
        <v>0</v>
      </c>
      <c r="L211" s="706">
        <v>11128</v>
      </c>
      <c r="M211" s="675">
        <v>95.025641025641022</v>
      </c>
      <c r="N211" s="659">
        <v>10257.219733333333</v>
      </c>
      <c r="O211" s="714" t="s">
        <v>3697</v>
      </c>
      <c r="P211" s="463" t="s">
        <v>1588</v>
      </c>
      <c r="Q211" s="836">
        <v>0</v>
      </c>
      <c r="R211" s="836">
        <v>150</v>
      </c>
      <c r="S211" s="836">
        <v>0</v>
      </c>
      <c r="T211" s="836">
        <v>0</v>
      </c>
      <c r="U211" s="132" t="s">
        <v>3698</v>
      </c>
      <c r="V211" s="132" t="s">
        <v>3699</v>
      </c>
      <c r="W211" s="498">
        <v>47487</v>
      </c>
      <c r="X211" s="132" t="s">
        <v>2193</v>
      </c>
      <c r="Y211" s="132" t="s">
        <v>3336</v>
      </c>
      <c r="Z211" s="483" t="s">
        <v>1588</v>
      </c>
      <c r="AA211" s="132" t="s">
        <v>1534</v>
      </c>
      <c r="AB211" s="133" t="s">
        <v>1596</v>
      </c>
    </row>
    <row r="212" spans="1:28" ht="24" customHeight="1">
      <c r="A212" s="587"/>
      <c r="B212" s="473" t="s">
        <v>2201</v>
      </c>
      <c r="C212" s="500" t="s">
        <v>329</v>
      </c>
      <c r="D212" s="705" t="s">
        <v>3700</v>
      </c>
      <c r="E212" s="654">
        <v>2000</v>
      </c>
      <c r="F212" s="654">
        <v>0</v>
      </c>
      <c r="G212" s="716" t="s">
        <v>1588</v>
      </c>
      <c r="H212" s="654">
        <v>2000</v>
      </c>
      <c r="I212" s="654">
        <v>1579</v>
      </c>
      <c r="J212" s="654">
        <v>0</v>
      </c>
      <c r="K212" s="654">
        <v>0</v>
      </c>
      <c r="L212" s="706">
        <v>1579</v>
      </c>
      <c r="M212" s="675">
        <v>93.788819875776397</v>
      </c>
      <c r="N212" s="659">
        <v>1480.9254658385094</v>
      </c>
      <c r="O212" s="714" t="s">
        <v>3701</v>
      </c>
      <c r="P212" s="463" t="s">
        <v>1588</v>
      </c>
      <c r="Q212" s="836">
        <v>0</v>
      </c>
      <c r="R212" s="836">
        <v>0</v>
      </c>
      <c r="S212" s="836">
        <v>0</v>
      </c>
      <c r="T212" s="836">
        <v>0</v>
      </c>
      <c r="U212" s="132" t="s">
        <v>3702</v>
      </c>
      <c r="V212" s="483" t="s">
        <v>3703</v>
      </c>
      <c r="W212" s="498">
        <v>13493</v>
      </c>
      <c r="X212" s="132" t="s">
        <v>2193</v>
      </c>
      <c r="Y212" s="132" t="s">
        <v>3336</v>
      </c>
      <c r="Z212" s="483" t="s">
        <v>1588</v>
      </c>
      <c r="AA212" s="132" t="s">
        <v>1534</v>
      </c>
      <c r="AB212" s="133" t="s">
        <v>1596</v>
      </c>
    </row>
    <row r="213" spans="1:28" ht="24" customHeight="1">
      <c r="A213" s="587"/>
      <c r="B213" s="473" t="s">
        <v>2201</v>
      </c>
      <c r="C213" s="500" t="s">
        <v>330</v>
      </c>
      <c r="D213" s="705" t="s">
        <v>3704</v>
      </c>
      <c r="E213" s="654">
        <v>2600</v>
      </c>
      <c r="F213" s="654">
        <v>0</v>
      </c>
      <c r="G213" s="716" t="s">
        <v>1588</v>
      </c>
      <c r="H213" s="654">
        <v>2600</v>
      </c>
      <c r="I213" s="654">
        <v>2449</v>
      </c>
      <c r="J213" s="654">
        <v>0</v>
      </c>
      <c r="K213" s="654">
        <v>0</v>
      </c>
      <c r="L213" s="706">
        <v>2449</v>
      </c>
      <c r="M213" s="675">
        <v>90.666666666666671</v>
      </c>
      <c r="N213" s="659">
        <v>2176.0181333333335</v>
      </c>
      <c r="O213" s="714" t="s">
        <v>3705</v>
      </c>
      <c r="P213" s="463" t="s">
        <v>1588</v>
      </c>
      <c r="Q213" s="836">
        <v>0</v>
      </c>
      <c r="R213" s="836">
        <v>0</v>
      </c>
      <c r="S213" s="836">
        <v>0</v>
      </c>
      <c r="T213" s="836">
        <v>0</v>
      </c>
      <c r="U213" s="132" t="s">
        <v>3706</v>
      </c>
      <c r="V213" s="483" t="s">
        <v>3707</v>
      </c>
      <c r="W213" s="498">
        <v>2.2200000000000002</v>
      </c>
      <c r="X213" s="132" t="s">
        <v>2199</v>
      </c>
      <c r="Y213" s="132" t="s">
        <v>3336</v>
      </c>
      <c r="Z213" s="132" t="s">
        <v>3708</v>
      </c>
      <c r="AA213" s="132" t="s">
        <v>1534</v>
      </c>
      <c r="AB213" s="133" t="s">
        <v>1596</v>
      </c>
    </row>
    <row r="214" spans="1:28" ht="24" customHeight="1">
      <c r="A214" s="587"/>
      <c r="B214" s="473" t="s">
        <v>2201</v>
      </c>
      <c r="C214" s="500" t="s">
        <v>331</v>
      </c>
      <c r="D214" s="705" t="s">
        <v>3709</v>
      </c>
      <c r="E214" s="654">
        <v>300</v>
      </c>
      <c r="F214" s="654">
        <v>0</v>
      </c>
      <c r="G214" s="716" t="s">
        <v>1588</v>
      </c>
      <c r="H214" s="654">
        <v>300</v>
      </c>
      <c r="I214" s="654">
        <v>130</v>
      </c>
      <c r="J214" s="654">
        <v>0</v>
      </c>
      <c r="K214" s="654">
        <v>0</v>
      </c>
      <c r="L214" s="706">
        <v>130</v>
      </c>
      <c r="M214" s="675">
        <v>91.869918699186996</v>
      </c>
      <c r="N214" s="659">
        <v>119.4308943089431</v>
      </c>
      <c r="O214" s="714" t="s">
        <v>3490</v>
      </c>
      <c r="P214" s="463" t="s">
        <v>1588</v>
      </c>
      <c r="Q214" s="836">
        <v>0</v>
      </c>
      <c r="R214" s="836">
        <v>0</v>
      </c>
      <c r="S214" s="836">
        <v>0</v>
      </c>
      <c r="T214" s="836">
        <v>0</v>
      </c>
      <c r="U214" s="132" t="s">
        <v>3710</v>
      </c>
      <c r="V214" s="483" t="s">
        <v>3711</v>
      </c>
      <c r="W214" s="498">
        <v>2045</v>
      </c>
      <c r="X214" s="132" t="s">
        <v>2199</v>
      </c>
      <c r="Y214" s="132" t="s">
        <v>3336</v>
      </c>
      <c r="Z214" s="132" t="s">
        <v>3712</v>
      </c>
      <c r="AA214" s="132" t="s">
        <v>1534</v>
      </c>
      <c r="AB214" s="133" t="s">
        <v>1596</v>
      </c>
    </row>
    <row r="215" spans="1:28" ht="24" customHeight="1">
      <c r="A215" s="587"/>
      <c r="B215" s="473" t="s">
        <v>2201</v>
      </c>
      <c r="C215" s="500" t="s">
        <v>332</v>
      </c>
      <c r="D215" s="705" t="s">
        <v>3713</v>
      </c>
      <c r="E215" s="654">
        <v>3600</v>
      </c>
      <c r="F215" s="716" t="s">
        <v>1588</v>
      </c>
      <c r="G215" s="654">
        <v>3600</v>
      </c>
      <c r="H215" s="654">
        <v>0</v>
      </c>
      <c r="I215" s="654">
        <v>3012</v>
      </c>
      <c r="J215" s="654">
        <v>0</v>
      </c>
      <c r="K215" s="654">
        <v>3012</v>
      </c>
      <c r="L215" s="706">
        <v>0</v>
      </c>
      <c r="M215" s="675">
        <v>89.411764705882362</v>
      </c>
      <c r="N215" s="659">
        <v>4847.548235294119</v>
      </c>
      <c r="O215" s="714" t="s">
        <v>3714</v>
      </c>
      <c r="P215" s="463" t="s">
        <v>1588</v>
      </c>
      <c r="Q215" s="836">
        <v>0</v>
      </c>
      <c r="R215" s="836">
        <v>0</v>
      </c>
      <c r="S215" s="836">
        <v>0</v>
      </c>
      <c r="T215" s="836">
        <v>0</v>
      </c>
      <c r="U215" s="132" t="s">
        <v>3715</v>
      </c>
      <c r="V215" s="483" t="s">
        <v>3716</v>
      </c>
      <c r="W215" s="498">
        <v>19966</v>
      </c>
      <c r="X215" s="132" t="s">
        <v>2199</v>
      </c>
      <c r="Y215" s="132" t="s">
        <v>3336</v>
      </c>
      <c r="Z215" s="483" t="s">
        <v>1588</v>
      </c>
      <c r="AA215" s="132" t="s">
        <v>1534</v>
      </c>
      <c r="AB215" s="133" t="s">
        <v>1596</v>
      </c>
    </row>
    <row r="216" spans="1:28" ht="24" customHeight="1">
      <c r="A216" s="587"/>
      <c r="B216" s="473" t="s">
        <v>2201</v>
      </c>
      <c r="C216" s="500" t="s">
        <v>333</v>
      </c>
      <c r="D216" s="705" t="s">
        <v>3717</v>
      </c>
      <c r="E216" s="654">
        <v>900</v>
      </c>
      <c r="F216" s="716" t="s">
        <v>1588</v>
      </c>
      <c r="G216" s="716" t="s">
        <v>1588</v>
      </c>
      <c r="H216" s="654">
        <v>900</v>
      </c>
      <c r="I216" s="654">
        <v>609</v>
      </c>
      <c r="J216" s="654">
        <v>0</v>
      </c>
      <c r="K216" s="654">
        <v>0</v>
      </c>
      <c r="L216" s="706">
        <v>609</v>
      </c>
      <c r="M216" s="675">
        <v>96.384615384615387</v>
      </c>
      <c r="N216" s="659">
        <v>275.88168461538459</v>
      </c>
      <c r="O216" s="714" t="s">
        <v>3718</v>
      </c>
      <c r="P216" s="463" t="s">
        <v>1588</v>
      </c>
      <c r="Q216" s="836">
        <v>0</v>
      </c>
      <c r="R216" s="836">
        <v>0</v>
      </c>
      <c r="S216" s="836">
        <v>0</v>
      </c>
      <c r="T216" s="836">
        <v>0</v>
      </c>
      <c r="U216" s="132" t="s">
        <v>3719</v>
      </c>
      <c r="V216" s="483" t="s">
        <v>3716</v>
      </c>
      <c r="W216" s="498">
        <v>6487</v>
      </c>
      <c r="X216" s="132" t="s">
        <v>2199</v>
      </c>
      <c r="Y216" s="132" t="s">
        <v>3336</v>
      </c>
      <c r="Z216" s="483" t="s">
        <v>1588</v>
      </c>
      <c r="AA216" s="132" t="s">
        <v>1534</v>
      </c>
      <c r="AB216" s="133" t="s">
        <v>1596</v>
      </c>
    </row>
    <row r="217" spans="1:28" ht="24" customHeight="1">
      <c r="A217" s="587"/>
      <c r="B217" s="473" t="s">
        <v>2201</v>
      </c>
      <c r="C217" s="500" t="s">
        <v>334</v>
      </c>
      <c r="D217" s="705" t="s">
        <v>3720</v>
      </c>
      <c r="E217" s="654">
        <v>1000</v>
      </c>
      <c r="F217" s="716" t="s">
        <v>1588</v>
      </c>
      <c r="G217" s="716" t="s">
        <v>1588</v>
      </c>
      <c r="H217" s="654">
        <v>1000</v>
      </c>
      <c r="I217" s="654">
        <v>550</v>
      </c>
      <c r="J217" s="654">
        <v>0</v>
      </c>
      <c r="K217" s="654">
        <v>0</v>
      </c>
      <c r="L217" s="706">
        <v>550</v>
      </c>
      <c r="M217" s="675">
        <v>92.1875</v>
      </c>
      <c r="N217" s="659">
        <v>507.03125</v>
      </c>
      <c r="O217" s="714" t="s">
        <v>3701</v>
      </c>
      <c r="P217" s="463" t="s">
        <v>1588</v>
      </c>
      <c r="Q217" s="836">
        <v>0</v>
      </c>
      <c r="R217" s="836">
        <v>0</v>
      </c>
      <c r="S217" s="836">
        <v>0</v>
      </c>
      <c r="T217" s="836">
        <v>0</v>
      </c>
      <c r="U217" s="132" t="s">
        <v>3721</v>
      </c>
      <c r="V217" s="483" t="s">
        <v>3722</v>
      </c>
      <c r="W217" s="498">
        <v>13810</v>
      </c>
      <c r="X217" s="132" t="s">
        <v>2199</v>
      </c>
      <c r="Y217" s="132" t="s">
        <v>3336</v>
      </c>
      <c r="Z217" s="132" t="s">
        <v>3708</v>
      </c>
      <c r="AA217" s="132" t="s">
        <v>1534</v>
      </c>
      <c r="AB217" s="133" t="s">
        <v>1596</v>
      </c>
    </row>
    <row r="218" spans="1:28" ht="24" customHeight="1">
      <c r="A218" s="587"/>
      <c r="B218" s="473" t="s">
        <v>675</v>
      </c>
      <c r="C218" s="500" t="s">
        <v>3723</v>
      </c>
      <c r="D218" s="705" t="s">
        <v>3724</v>
      </c>
      <c r="E218" s="654">
        <v>500</v>
      </c>
      <c r="F218" s="654">
        <v>0</v>
      </c>
      <c r="G218" s="654">
        <v>0</v>
      </c>
      <c r="H218" s="654">
        <v>500</v>
      </c>
      <c r="I218" s="654">
        <v>246</v>
      </c>
      <c r="J218" s="654">
        <v>0</v>
      </c>
      <c r="K218" s="654">
        <v>0</v>
      </c>
      <c r="L218" s="706">
        <f t="shared" ref="L218:L223" si="18">I218</f>
        <v>246</v>
      </c>
      <c r="M218" s="675">
        <v>95.764705882352956</v>
      </c>
      <c r="N218" s="659">
        <v>169.61844705882356</v>
      </c>
      <c r="O218" s="714" t="s">
        <v>3725</v>
      </c>
      <c r="P218" s="462" t="s">
        <v>1588</v>
      </c>
      <c r="Q218" s="836">
        <v>0</v>
      </c>
      <c r="R218" s="836">
        <v>0</v>
      </c>
      <c r="S218" s="836">
        <v>0</v>
      </c>
      <c r="T218" s="836">
        <v>0</v>
      </c>
      <c r="U218" s="477" t="s">
        <v>3726</v>
      </c>
      <c r="V218" s="504" t="s">
        <v>3727</v>
      </c>
      <c r="W218" s="498">
        <v>962</v>
      </c>
      <c r="X218" s="132" t="s">
        <v>2199</v>
      </c>
      <c r="Y218" s="132" t="s">
        <v>3336</v>
      </c>
      <c r="Z218" s="132" t="s">
        <v>3728</v>
      </c>
      <c r="AA218" s="132" t="s">
        <v>1534</v>
      </c>
      <c r="AB218" s="133" t="s">
        <v>1596</v>
      </c>
    </row>
    <row r="219" spans="1:28" ht="24" customHeight="1">
      <c r="A219" s="587"/>
      <c r="B219" s="473" t="s">
        <v>675</v>
      </c>
      <c r="C219" s="500" t="s">
        <v>3729</v>
      </c>
      <c r="D219" s="705" t="s">
        <v>3730</v>
      </c>
      <c r="E219" s="654">
        <v>350</v>
      </c>
      <c r="F219" s="654">
        <v>0</v>
      </c>
      <c r="G219" s="654">
        <v>350</v>
      </c>
      <c r="H219" s="654">
        <v>0</v>
      </c>
      <c r="I219" s="654">
        <v>148</v>
      </c>
      <c r="J219" s="654">
        <v>0</v>
      </c>
      <c r="K219" s="654">
        <v>0</v>
      </c>
      <c r="L219" s="706">
        <f t="shared" si="18"/>
        <v>148</v>
      </c>
      <c r="M219" s="675">
        <v>95.764705882352956</v>
      </c>
      <c r="N219" s="659">
        <v>102.04687058823532</v>
      </c>
      <c r="O219" s="714" t="s">
        <v>3725</v>
      </c>
      <c r="P219" s="462" t="s">
        <v>1588</v>
      </c>
      <c r="Q219" s="836">
        <v>0</v>
      </c>
      <c r="R219" s="836">
        <v>0</v>
      </c>
      <c r="S219" s="836">
        <v>0</v>
      </c>
      <c r="T219" s="836">
        <v>0</v>
      </c>
      <c r="U219" s="477" t="s">
        <v>3726</v>
      </c>
      <c r="V219" s="504" t="s">
        <v>3727</v>
      </c>
      <c r="W219" s="498">
        <v>491</v>
      </c>
      <c r="X219" s="132" t="s">
        <v>2199</v>
      </c>
      <c r="Y219" s="132" t="s">
        <v>3232</v>
      </c>
      <c r="Z219" s="483" t="s">
        <v>1588</v>
      </c>
      <c r="AA219" s="132" t="s">
        <v>1534</v>
      </c>
      <c r="AB219" s="133" t="s">
        <v>1596</v>
      </c>
    </row>
    <row r="220" spans="1:28" ht="24" customHeight="1">
      <c r="A220" s="587"/>
      <c r="B220" s="473" t="s">
        <v>675</v>
      </c>
      <c r="C220" s="500" t="s">
        <v>3731</v>
      </c>
      <c r="D220" s="705" t="s">
        <v>3732</v>
      </c>
      <c r="E220" s="654">
        <v>210</v>
      </c>
      <c r="F220" s="654">
        <v>0</v>
      </c>
      <c r="G220" s="654">
        <v>210</v>
      </c>
      <c r="H220" s="654">
        <v>0</v>
      </c>
      <c r="I220" s="654">
        <v>70</v>
      </c>
      <c r="J220" s="654">
        <v>0</v>
      </c>
      <c r="K220" s="654">
        <v>0</v>
      </c>
      <c r="L220" s="706">
        <f t="shared" si="18"/>
        <v>70</v>
      </c>
      <c r="M220" s="675">
        <v>95.764705882352956</v>
      </c>
      <c r="N220" s="659">
        <v>48.265411764705888</v>
      </c>
      <c r="O220" s="714" t="s">
        <v>3725</v>
      </c>
      <c r="P220" s="462" t="s">
        <v>1588</v>
      </c>
      <c r="Q220" s="836">
        <v>0</v>
      </c>
      <c r="R220" s="836">
        <v>0</v>
      </c>
      <c r="S220" s="836">
        <v>0</v>
      </c>
      <c r="T220" s="836">
        <v>0</v>
      </c>
      <c r="U220" s="477" t="s">
        <v>3726</v>
      </c>
      <c r="V220" s="504" t="s">
        <v>3727</v>
      </c>
      <c r="W220" s="498">
        <v>446</v>
      </c>
      <c r="X220" s="132" t="s">
        <v>2199</v>
      </c>
      <c r="Y220" s="132" t="s">
        <v>3232</v>
      </c>
      <c r="Z220" s="132" t="s">
        <v>3733</v>
      </c>
      <c r="AA220" s="132" t="s">
        <v>1534</v>
      </c>
      <c r="AB220" s="133" t="s">
        <v>1596</v>
      </c>
    </row>
    <row r="221" spans="1:28" ht="24" customHeight="1">
      <c r="A221" s="587"/>
      <c r="B221" s="473" t="s">
        <v>675</v>
      </c>
      <c r="C221" s="500" t="s">
        <v>3734</v>
      </c>
      <c r="D221" s="705" t="s">
        <v>3735</v>
      </c>
      <c r="E221" s="654">
        <v>30</v>
      </c>
      <c r="F221" s="654">
        <v>0</v>
      </c>
      <c r="G221" s="654">
        <v>0</v>
      </c>
      <c r="H221" s="654">
        <v>30</v>
      </c>
      <c r="I221" s="654">
        <v>9</v>
      </c>
      <c r="J221" s="654">
        <v>0</v>
      </c>
      <c r="K221" s="654">
        <v>0</v>
      </c>
      <c r="L221" s="706">
        <f t="shared" si="18"/>
        <v>9</v>
      </c>
      <c r="M221" s="675">
        <v>94.117647058823522</v>
      </c>
      <c r="N221" s="659">
        <v>8.4705882352941178</v>
      </c>
      <c r="O221" s="714" t="s">
        <v>3736</v>
      </c>
      <c r="P221" s="462" t="s">
        <v>1588</v>
      </c>
      <c r="Q221" s="836">
        <v>0</v>
      </c>
      <c r="R221" s="836">
        <v>0</v>
      </c>
      <c r="S221" s="836">
        <v>0</v>
      </c>
      <c r="T221" s="836">
        <v>0</v>
      </c>
      <c r="U221" s="477" t="s">
        <v>3726</v>
      </c>
      <c r="V221" s="504" t="s">
        <v>3727</v>
      </c>
      <c r="W221" s="498">
        <v>197</v>
      </c>
      <c r="X221" s="132" t="s">
        <v>2199</v>
      </c>
      <c r="Y221" s="132" t="s">
        <v>3336</v>
      </c>
      <c r="Z221" s="132" t="s">
        <v>1588</v>
      </c>
      <c r="AA221" s="132" t="s">
        <v>1534</v>
      </c>
      <c r="AB221" s="133" t="s">
        <v>1596</v>
      </c>
    </row>
    <row r="222" spans="1:28" ht="24" customHeight="1">
      <c r="A222" s="587"/>
      <c r="B222" s="473" t="s">
        <v>675</v>
      </c>
      <c r="C222" s="500" t="s">
        <v>2117</v>
      </c>
      <c r="D222" s="705" t="s">
        <v>3737</v>
      </c>
      <c r="E222" s="654">
        <v>30</v>
      </c>
      <c r="F222" s="654">
        <v>0</v>
      </c>
      <c r="G222" s="716" t="s">
        <v>1588</v>
      </c>
      <c r="H222" s="654">
        <v>30</v>
      </c>
      <c r="I222" s="654">
        <v>3</v>
      </c>
      <c r="J222" s="654">
        <v>0</v>
      </c>
      <c r="K222" s="654">
        <v>0</v>
      </c>
      <c r="L222" s="706">
        <f t="shared" si="18"/>
        <v>3</v>
      </c>
      <c r="M222" s="675">
        <v>95</v>
      </c>
      <c r="N222" s="659">
        <v>2.85</v>
      </c>
      <c r="O222" s="714" t="s">
        <v>3718</v>
      </c>
      <c r="P222" s="462" t="s">
        <v>1588</v>
      </c>
      <c r="Q222" s="836">
        <v>0</v>
      </c>
      <c r="R222" s="836">
        <v>0</v>
      </c>
      <c r="S222" s="836">
        <v>0</v>
      </c>
      <c r="T222" s="836">
        <v>0</v>
      </c>
      <c r="U222" s="477" t="s">
        <v>3726</v>
      </c>
      <c r="V222" s="504" t="s">
        <v>3738</v>
      </c>
      <c r="W222" s="498">
        <v>254</v>
      </c>
      <c r="X222" s="132" t="s">
        <v>2199</v>
      </c>
      <c r="Y222" s="132" t="s">
        <v>3336</v>
      </c>
      <c r="Z222" s="132" t="s">
        <v>3739</v>
      </c>
      <c r="AA222" s="132" t="s">
        <v>1534</v>
      </c>
      <c r="AB222" s="133" t="s">
        <v>1596</v>
      </c>
    </row>
    <row r="223" spans="1:28" ht="24" customHeight="1">
      <c r="A223" s="587"/>
      <c r="B223" s="473" t="s">
        <v>675</v>
      </c>
      <c r="C223" s="500" t="s">
        <v>3740</v>
      </c>
      <c r="D223" s="705" t="s">
        <v>3741</v>
      </c>
      <c r="E223" s="654">
        <v>40</v>
      </c>
      <c r="F223" s="654">
        <v>0</v>
      </c>
      <c r="G223" s="654" t="s">
        <v>1588</v>
      </c>
      <c r="H223" s="716">
        <v>40</v>
      </c>
      <c r="I223" s="654">
        <v>28</v>
      </c>
      <c r="J223" s="654">
        <v>0</v>
      </c>
      <c r="K223" s="654">
        <v>0</v>
      </c>
      <c r="L223" s="706">
        <f t="shared" si="18"/>
        <v>28</v>
      </c>
      <c r="M223" s="675">
        <v>90</v>
      </c>
      <c r="N223" s="659">
        <v>50.4</v>
      </c>
      <c r="O223" s="714" t="s">
        <v>3742</v>
      </c>
      <c r="P223" s="462" t="s">
        <v>1588</v>
      </c>
      <c r="Q223" s="836">
        <v>0</v>
      </c>
      <c r="R223" s="836">
        <v>0</v>
      </c>
      <c r="S223" s="836">
        <v>0</v>
      </c>
      <c r="T223" s="836">
        <v>0</v>
      </c>
      <c r="U223" s="477" t="s">
        <v>3726</v>
      </c>
      <c r="V223" s="504" t="s">
        <v>3589</v>
      </c>
      <c r="W223" s="498">
        <v>208</v>
      </c>
      <c r="X223" s="132" t="s">
        <v>2199</v>
      </c>
      <c r="Y223" s="132" t="s">
        <v>3232</v>
      </c>
      <c r="Z223" s="132" t="s">
        <v>3743</v>
      </c>
      <c r="AA223" s="132" t="s">
        <v>1534</v>
      </c>
      <c r="AB223" s="133" t="s">
        <v>1596</v>
      </c>
    </row>
    <row r="224" spans="1:28" ht="24" customHeight="1">
      <c r="A224" s="587"/>
      <c r="B224" s="473" t="s">
        <v>675</v>
      </c>
      <c r="C224" s="500" t="s">
        <v>3744</v>
      </c>
      <c r="D224" s="705" t="s">
        <v>3745</v>
      </c>
      <c r="E224" s="654">
        <v>40</v>
      </c>
      <c r="F224" s="654">
        <v>0</v>
      </c>
      <c r="G224" s="654">
        <v>40</v>
      </c>
      <c r="H224" s="716" t="s">
        <v>1588</v>
      </c>
      <c r="I224" s="654">
        <v>7</v>
      </c>
      <c r="J224" s="654">
        <v>0</v>
      </c>
      <c r="K224" s="654">
        <v>7</v>
      </c>
      <c r="L224" s="706">
        <v>0</v>
      </c>
      <c r="M224" s="675">
        <v>90</v>
      </c>
      <c r="N224" s="659">
        <v>12.6</v>
      </c>
      <c r="O224" s="714" t="s">
        <v>3742</v>
      </c>
      <c r="P224" s="462" t="s">
        <v>1588</v>
      </c>
      <c r="Q224" s="836">
        <v>0</v>
      </c>
      <c r="R224" s="836">
        <v>0</v>
      </c>
      <c r="S224" s="836">
        <v>0</v>
      </c>
      <c r="T224" s="836">
        <v>0</v>
      </c>
      <c r="U224" s="477" t="s">
        <v>3726</v>
      </c>
      <c r="V224" s="504" t="s">
        <v>3746</v>
      </c>
      <c r="W224" s="498">
        <v>95</v>
      </c>
      <c r="X224" s="132" t="s">
        <v>2199</v>
      </c>
      <c r="Y224" s="132" t="s">
        <v>3232</v>
      </c>
      <c r="Z224" s="132" t="s">
        <v>3743</v>
      </c>
      <c r="AA224" s="132" t="s">
        <v>1534</v>
      </c>
      <c r="AB224" s="133" t="s">
        <v>1596</v>
      </c>
    </row>
    <row r="225" spans="1:28" ht="24" customHeight="1">
      <c r="A225" s="587"/>
      <c r="B225" s="473" t="s">
        <v>675</v>
      </c>
      <c r="C225" s="500" t="s">
        <v>3747</v>
      </c>
      <c r="D225" s="705" t="s">
        <v>3748</v>
      </c>
      <c r="E225" s="654">
        <v>25</v>
      </c>
      <c r="F225" s="654">
        <v>0</v>
      </c>
      <c r="G225" s="716" t="s">
        <v>1588</v>
      </c>
      <c r="H225" s="654">
        <v>25</v>
      </c>
      <c r="I225" s="654">
        <v>0</v>
      </c>
      <c r="J225" s="654">
        <v>0</v>
      </c>
      <c r="K225" s="654">
        <v>0</v>
      </c>
      <c r="L225" s="706">
        <v>0</v>
      </c>
      <c r="M225" s="675">
        <v>94.117647058823522</v>
      </c>
      <c r="N225" s="659">
        <v>0</v>
      </c>
      <c r="O225" s="714" t="s">
        <v>3419</v>
      </c>
      <c r="P225" s="462" t="s">
        <v>1588</v>
      </c>
      <c r="Q225" s="836">
        <v>0</v>
      </c>
      <c r="R225" s="836">
        <v>0</v>
      </c>
      <c r="S225" s="836">
        <v>0</v>
      </c>
      <c r="T225" s="836">
        <v>0</v>
      </c>
      <c r="U225" s="477" t="s">
        <v>3726</v>
      </c>
      <c r="V225" s="504" t="s">
        <v>3738</v>
      </c>
      <c r="W225" s="498">
        <v>243</v>
      </c>
      <c r="X225" s="132" t="s">
        <v>2199</v>
      </c>
      <c r="Y225" s="132" t="s">
        <v>3336</v>
      </c>
      <c r="Z225" s="132" t="s">
        <v>3749</v>
      </c>
      <c r="AA225" s="132" t="s">
        <v>1534</v>
      </c>
      <c r="AB225" s="133" t="s">
        <v>1596</v>
      </c>
    </row>
    <row r="226" spans="1:28" ht="24" customHeight="1">
      <c r="A226" s="587"/>
      <c r="B226" s="473" t="s">
        <v>675</v>
      </c>
      <c r="C226" s="500" t="s">
        <v>3750</v>
      </c>
      <c r="D226" s="705" t="s">
        <v>3751</v>
      </c>
      <c r="E226" s="654">
        <v>36</v>
      </c>
      <c r="F226" s="654">
        <v>0</v>
      </c>
      <c r="G226" s="654">
        <v>36</v>
      </c>
      <c r="H226" s="716" t="s">
        <v>1588</v>
      </c>
      <c r="I226" s="654">
        <v>0</v>
      </c>
      <c r="J226" s="654">
        <v>0</v>
      </c>
      <c r="K226" s="654">
        <v>0</v>
      </c>
      <c r="L226" s="706">
        <v>0</v>
      </c>
      <c r="M226" s="675">
        <v>90</v>
      </c>
      <c r="N226" s="659">
        <v>0</v>
      </c>
      <c r="O226" s="714" t="s">
        <v>3752</v>
      </c>
      <c r="P226" s="462" t="s">
        <v>1588</v>
      </c>
      <c r="Q226" s="836">
        <v>0</v>
      </c>
      <c r="R226" s="836">
        <v>0</v>
      </c>
      <c r="S226" s="836">
        <v>0</v>
      </c>
      <c r="T226" s="836">
        <v>0</v>
      </c>
      <c r="U226" s="477" t="s">
        <v>3726</v>
      </c>
      <c r="V226" s="504" t="s">
        <v>3753</v>
      </c>
      <c r="W226" s="498">
        <v>120</v>
      </c>
      <c r="X226" s="132" t="s">
        <v>2199</v>
      </c>
      <c r="Y226" s="132" t="s">
        <v>3232</v>
      </c>
      <c r="Z226" s="132" t="s">
        <v>3754</v>
      </c>
      <c r="AA226" s="132" t="s">
        <v>1534</v>
      </c>
      <c r="AB226" s="133" t="s">
        <v>1596</v>
      </c>
    </row>
    <row r="227" spans="1:28" ht="24" customHeight="1">
      <c r="A227" s="587"/>
      <c r="B227" s="473" t="s">
        <v>675</v>
      </c>
      <c r="C227" s="500" t="s">
        <v>3755</v>
      </c>
      <c r="D227" s="705" t="s">
        <v>3756</v>
      </c>
      <c r="E227" s="654">
        <v>23</v>
      </c>
      <c r="F227" s="654">
        <v>0</v>
      </c>
      <c r="G227" s="654" t="s">
        <v>1588</v>
      </c>
      <c r="H227" s="716">
        <v>23</v>
      </c>
      <c r="I227" s="654">
        <v>14</v>
      </c>
      <c r="J227" s="654">
        <v>0</v>
      </c>
      <c r="K227" s="654">
        <v>0</v>
      </c>
      <c r="L227" s="706">
        <v>14</v>
      </c>
      <c r="M227" s="675">
        <v>90</v>
      </c>
      <c r="N227" s="659">
        <v>25.2</v>
      </c>
      <c r="O227" s="714" t="s">
        <v>3757</v>
      </c>
      <c r="P227" s="462" t="s">
        <v>1588</v>
      </c>
      <c r="Q227" s="836">
        <v>0</v>
      </c>
      <c r="R227" s="836">
        <v>0</v>
      </c>
      <c r="S227" s="836">
        <v>0</v>
      </c>
      <c r="T227" s="836">
        <v>0</v>
      </c>
      <c r="U227" s="477" t="s">
        <v>3726</v>
      </c>
      <c r="V227" s="504" t="s">
        <v>3758</v>
      </c>
      <c r="W227" s="498">
        <v>189</v>
      </c>
      <c r="X227" s="132" t="s">
        <v>2199</v>
      </c>
      <c r="Y227" s="132" t="s">
        <v>3232</v>
      </c>
      <c r="Z227" s="132" t="s">
        <v>3759</v>
      </c>
      <c r="AA227" s="132" t="s">
        <v>1534</v>
      </c>
      <c r="AB227" s="133" t="s">
        <v>1596</v>
      </c>
    </row>
    <row r="228" spans="1:28" ht="24" customHeight="1">
      <c r="A228" s="587"/>
      <c r="B228" s="473" t="s">
        <v>675</v>
      </c>
      <c r="C228" s="500" t="s">
        <v>3760</v>
      </c>
      <c r="D228" s="705" t="s">
        <v>3761</v>
      </c>
      <c r="E228" s="654">
        <v>23</v>
      </c>
      <c r="F228" s="654">
        <v>0</v>
      </c>
      <c r="G228" s="654" t="s">
        <v>1588</v>
      </c>
      <c r="H228" s="716">
        <v>23</v>
      </c>
      <c r="I228" s="654">
        <v>0</v>
      </c>
      <c r="J228" s="654">
        <v>0</v>
      </c>
      <c r="K228" s="654">
        <v>0</v>
      </c>
      <c r="L228" s="706">
        <v>0</v>
      </c>
      <c r="M228" s="675">
        <v>90</v>
      </c>
      <c r="N228" s="659">
        <v>0</v>
      </c>
      <c r="O228" s="714" t="s">
        <v>3757</v>
      </c>
      <c r="P228" s="462" t="s">
        <v>1588</v>
      </c>
      <c r="Q228" s="836">
        <v>0</v>
      </c>
      <c r="R228" s="836">
        <v>0</v>
      </c>
      <c r="S228" s="836">
        <v>0</v>
      </c>
      <c r="T228" s="836">
        <v>0</v>
      </c>
      <c r="U228" s="477" t="s">
        <v>3726</v>
      </c>
      <c r="V228" s="504" t="s">
        <v>3762</v>
      </c>
      <c r="W228" s="498">
        <v>166</v>
      </c>
      <c r="X228" s="132" t="s">
        <v>2199</v>
      </c>
      <c r="Y228" s="132" t="s">
        <v>3232</v>
      </c>
      <c r="Z228" s="132" t="s">
        <v>3708</v>
      </c>
      <c r="AA228" s="132" t="s">
        <v>1534</v>
      </c>
      <c r="AB228" s="133" t="s">
        <v>1596</v>
      </c>
    </row>
    <row r="229" spans="1:28" ht="24" customHeight="1">
      <c r="A229" s="587"/>
      <c r="B229" s="473" t="s">
        <v>675</v>
      </c>
      <c r="C229" s="500" t="s">
        <v>2143</v>
      </c>
      <c r="D229" s="705" t="s">
        <v>3763</v>
      </c>
      <c r="E229" s="654">
        <v>32</v>
      </c>
      <c r="F229" s="654">
        <v>0</v>
      </c>
      <c r="G229" s="654" t="s">
        <v>1588</v>
      </c>
      <c r="H229" s="716">
        <v>32</v>
      </c>
      <c r="I229" s="654">
        <v>0</v>
      </c>
      <c r="J229" s="654">
        <v>0</v>
      </c>
      <c r="K229" s="654">
        <v>0</v>
      </c>
      <c r="L229" s="706">
        <v>0</v>
      </c>
      <c r="M229" s="675">
        <v>95</v>
      </c>
      <c r="N229" s="659">
        <v>0</v>
      </c>
      <c r="O229" s="714" t="s">
        <v>3757</v>
      </c>
      <c r="P229" s="462" t="s">
        <v>1588</v>
      </c>
      <c r="Q229" s="836">
        <v>0</v>
      </c>
      <c r="R229" s="836">
        <v>0</v>
      </c>
      <c r="S229" s="836">
        <v>0</v>
      </c>
      <c r="T229" s="836">
        <v>0</v>
      </c>
      <c r="U229" s="477" t="s">
        <v>3726</v>
      </c>
      <c r="V229" s="504" t="s">
        <v>3764</v>
      </c>
      <c r="W229" s="498">
        <v>223</v>
      </c>
      <c r="X229" s="132" t="s">
        <v>2199</v>
      </c>
      <c r="Y229" s="132" t="s">
        <v>3232</v>
      </c>
      <c r="Z229" s="132" t="s">
        <v>3765</v>
      </c>
      <c r="AA229" s="132" t="s">
        <v>1534</v>
      </c>
      <c r="AB229" s="133" t="s">
        <v>1596</v>
      </c>
    </row>
    <row r="230" spans="1:28" ht="24" customHeight="1">
      <c r="A230" s="587"/>
      <c r="B230" s="473" t="s">
        <v>675</v>
      </c>
      <c r="C230" s="500" t="s">
        <v>3766</v>
      </c>
      <c r="D230" s="705" t="s">
        <v>3767</v>
      </c>
      <c r="E230" s="654">
        <f>SUM(F230:H230)</f>
        <v>80</v>
      </c>
      <c r="F230" s="654">
        <v>0</v>
      </c>
      <c r="G230" s="716" t="s">
        <v>1588</v>
      </c>
      <c r="H230" s="654">
        <v>80</v>
      </c>
      <c r="I230" s="654">
        <v>57</v>
      </c>
      <c r="J230" s="654">
        <v>0</v>
      </c>
      <c r="K230" s="654">
        <v>0</v>
      </c>
      <c r="L230" s="706">
        <v>57</v>
      </c>
      <c r="M230" s="675">
        <v>95</v>
      </c>
      <c r="N230" s="659">
        <v>43.32</v>
      </c>
      <c r="O230" s="709" t="s">
        <v>3274</v>
      </c>
      <c r="P230" s="462" t="s">
        <v>1588</v>
      </c>
      <c r="Q230" s="836">
        <v>0</v>
      </c>
      <c r="R230" s="836">
        <v>0</v>
      </c>
      <c r="S230" s="836">
        <v>0</v>
      </c>
      <c r="T230" s="836">
        <v>0</v>
      </c>
      <c r="U230" s="477" t="s">
        <v>3726</v>
      </c>
      <c r="V230" s="499" t="s">
        <v>3768</v>
      </c>
      <c r="W230" s="498">
        <v>921</v>
      </c>
      <c r="X230" s="132" t="s">
        <v>2199</v>
      </c>
      <c r="Y230" s="132" t="s">
        <v>3232</v>
      </c>
      <c r="Z230" s="132" t="s">
        <v>3743</v>
      </c>
      <c r="AA230" s="132" t="s">
        <v>1534</v>
      </c>
      <c r="AB230" s="133" t="s">
        <v>1596</v>
      </c>
    </row>
    <row r="231" spans="1:28" ht="24" customHeight="1">
      <c r="A231" s="587"/>
      <c r="B231" s="473" t="s">
        <v>675</v>
      </c>
      <c r="C231" s="500" t="s">
        <v>2397</v>
      </c>
      <c r="D231" s="705" t="s">
        <v>3769</v>
      </c>
      <c r="E231" s="654">
        <v>70</v>
      </c>
      <c r="F231" s="654">
        <v>0</v>
      </c>
      <c r="G231" s="654" t="s">
        <v>1588</v>
      </c>
      <c r="H231" s="716">
        <v>70</v>
      </c>
      <c r="I231" s="654">
        <v>20</v>
      </c>
      <c r="J231" s="654">
        <v>0</v>
      </c>
      <c r="K231" s="654">
        <v>0</v>
      </c>
      <c r="L231" s="706">
        <v>20</v>
      </c>
      <c r="M231" s="675">
        <v>95</v>
      </c>
      <c r="N231" s="659">
        <v>17.100000000000001</v>
      </c>
      <c r="O231" s="709" t="s">
        <v>3752</v>
      </c>
      <c r="P231" s="462" t="s">
        <v>1588</v>
      </c>
      <c r="Q231" s="836">
        <v>0</v>
      </c>
      <c r="R231" s="836">
        <v>0</v>
      </c>
      <c r="S231" s="836">
        <v>0</v>
      </c>
      <c r="T231" s="836">
        <v>0</v>
      </c>
      <c r="U231" s="477" t="s">
        <v>3726</v>
      </c>
      <c r="V231" s="499" t="s">
        <v>3770</v>
      </c>
      <c r="W231" s="498">
        <v>508</v>
      </c>
      <c r="X231" s="132" t="s">
        <v>2199</v>
      </c>
      <c r="Y231" s="132" t="s">
        <v>3336</v>
      </c>
      <c r="Z231" s="132" t="s">
        <v>3771</v>
      </c>
      <c r="AA231" s="132" t="s">
        <v>1534</v>
      </c>
      <c r="AB231" s="133" t="s">
        <v>1596</v>
      </c>
    </row>
    <row r="232" spans="1:28" ht="24" customHeight="1">
      <c r="A232" s="587"/>
      <c r="B232" s="473" t="s">
        <v>675</v>
      </c>
      <c r="C232" s="500" t="s">
        <v>3772</v>
      </c>
      <c r="D232" s="705" t="s">
        <v>3773</v>
      </c>
      <c r="E232" s="654">
        <v>35</v>
      </c>
      <c r="F232" s="654">
        <v>0</v>
      </c>
      <c r="G232" s="654">
        <v>35</v>
      </c>
      <c r="H232" s="716" t="s">
        <v>1588</v>
      </c>
      <c r="I232" s="654">
        <v>0</v>
      </c>
      <c r="J232" s="654">
        <v>0</v>
      </c>
      <c r="K232" s="654">
        <v>0</v>
      </c>
      <c r="L232" s="706">
        <v>0</v>
      </c>
      <c r="M232" s="675">
        <v>95</v>
      </c>
      <c r="N232" s="659">
        <v>0</v>
      </c>
      <c r="O232" s="709" t="s">
        <v>3774</v>
      </c>
      <c r="P232" s="462" t="s">
        <v>1588</v>
      </c>
      <c r="Q232" s="836">
        <v>0</v>
      </c>
      <c r="R232" s="836">
        <v>0</v>
      </c>
      <c r="S232" s="836">
        <v>0</v>
      </c>
      <c r="T232" s="836">
        <v>0</v>
      </c>
      <c r="U232" s="477" t="s">
        <v>3726</v>
      </c>
      <c r="V232" s="499" t="s">
        <v>3775</v>
      </c>
      <c r="W232" s="498">
        <v>116</v>
      </c>
      <c r="X232" s="132" t="s">
        <v>2199</v>
      </c>
      <c r="Y232" s="132" t="s">
        <v>3232</v>
      </c>
      <c r="Z232" s="132" t="s">
        <v>3776</v>
      </c>
      <c r="AA232" s="132" t="s">
        <v>1534</v>
      </c>
      <c r="AB232" s="133" t="s">
        <v>1596</v>
      </c>
    </row>
    <row r="233" spans="1:28" ht="24" customHeight="1">
      <c r="A233" s="587"/>
      <c r="B233" s="473" t="s">
        <v>675</v>
      </c>
      <c r="C233" s="500" t="s">
        <v>3777</v>
      </c>
      <c r="D233" s="705" t="s">
        <v>3778</v>
      </c>
      <c r="E233" s="654">
        <v>20</v>
      </c>
      <c r="F233" s="654">
        <v>0</v>
      </c>
      <c r="G233" s="654">
        <v>20</v>
      </c>
      <c r="H233" s="716" t="s">
        <v>1588</v>
      </c>
      <c r="I233" s="654">
        <v>0</v>
      </c>
      <c r="J233" s="654">
        <v>0</v>
      </c>
      <c r="K233" s="654">
        <v>0</v>
      </c>
      <c r="L233" s="706">
        <v>0</v>
      </c>
      <c r="M233" s="675">
        <v>94.186046511627907</v>
      </c>
      <c r="N233" s="659">
        <v>0</v>
      </c>
      <c r="O233" s="709" t="s">
        <v>3774</v>
      </c>
      <c r="P233" s="462" t="s">
        <v>1588</v>
      </c>
      <c r="Q233" s="836">
        <v>0</v>
      </c>
      <c r="R233" s="836">
        <v>0</v>
      </c>
      <c r="S233" s="836">
        <v>0</v>
      </c>
      <c r="T233" s="836">
        <v>0</v>
      </c>
      <c r="U233" s="477" t="s">
        <v>3726</v>
      </c>
      <c r="V233" s="499" t="s">
        <v>3779</v>
      </c>
      <c r="W233" s="498">
        <v>164</v>
      </c>
      <c r="X233" s="132" t="s">
        <v>2199</v>
      </c>
      <c r="Y233" s="132" t="s">
        <v>3232</v>
      </c>
      <c r="Z233" s="132" t="s">
        <v>1588</v>
      </c>
      <c r="AA233" s="132" t="s">
        <v>1534</v>
      </c>
      <c r="AB233" s="133" t="s">
        <v>1596</v>
      </c>
    </row>
    <row r="234" spans="1:28" ht="24" customHeight="1">
      <c r="A234" s="587"/>
      <c r="B234" s="473" t="s">
        <v>675</v>
      </c>
      <c r="C234" s="500" t="s">
        <v>3780</v>
      </c>
      <c r="D234" s="705" t="s">
        <v>3781</v>
      </c>
      <c r="E234" s="654">
        <f>SUM(F234:H234)</f>
        <v>80</v>
      </c>
      <c r="F234" s="654">
        <v>0</v>
      </c>
      <c r="G234" s="716" t="s">
        <v>1588</v>
      </c>
      <c r="H234" s="654">
        <v>80</v>
      </c>
      <c r="I234" s="654">
        <v>80</v>
      </c>
      <c r="J234" s="654">
        <v>0</v>
      </c>
      <c r="K234" s="654">
        <v>0</v>
      </c>
      <c r="L234" s="706">
        <v>80</v>
      </c>
      <c r="M234" s="675">
        <v>94.285714285714278</v>
      </c>
      <c r="N234" s="659">
        <v>60.342857142857135</v>
      </c>
      <c r="O234" s="709" t="s">
        <v>3274</v>
      </c>
      <c r="P234" s="462" t="s">
        <v>1588</v>
      </c>
      <c r="Q234" s="836">
        <v>0</v>
      </c>
      <c r="R234" s="836">
        <v>0</v>
      </c>
      <c r="S234" s="836">
        <v>0</v>
      </c>
      <c r="T234" s="836">
        <v>0</v>
      </c>
      <c r="U234" s="477" t="s">
        <v>3726</v>
      </c>
      <c r="V234" s="499" t="s">
        <v>3782</v>
      </c>
      <c r="W234" s="498">
        <v>360</v>
      </c>
      <c r="X234" s="132" t="s">
        <v>2199</v>
      </c>
      <c r="Y234" s="132" t="s">
        <v>3232</v>
      </c>
      <c r="Z234" s="132"/>
      <c r="AA234" s="132" t="s">
        <v>1534</v>
      </c>
      <c r="AB234" s="133" t="s">
        <v>1596</v>
      </c>
    </row>
    <row r="235" spans="1:28" ht="24" customHeight="1">
      <c r="A235" s="587"/>
      <c r="B235" s="473" t="s">
        <v>675</v>
      </c>
      <c r="C235" s="500" t="s">
        <v>3783</v>
      </c>
      <c r="D235" s="705" t="s">
        <v>3784</v>
      </c>
      <c r="E235" s="654">
        <f>SUM(F235:H235)</f>
        <v>60</v>
      </c>
      <c r="F235" s="654">
        <v>0</v>
      </c>
      <c r="G235" s="654">
        <v>60</v>
      </c>
      <c r="H235" s="716" t="s">
        <v>1588</v>
      </c>
      <c r="I235" s="654">
        <v>60</v>
      </c>
      <c r="J235" s="654">
        <v>0</v>
      </c>
      <c r="K235" s="654">
        <v>60</v>
      </c>
      <c r="L235" s="706">
        <v>0</v>
      </c>
      <c r="M235" s="675">
        <v>94.615384615384613</v>
      </c>
      <c r="N235" s="659">
        <v>39.738461538461536</v>
      </c>
      <c r="O235" s="709" t="s">
        <v>3752</v>
      </c>
      <c r="P235" s="462" t="s">
        <v>1588</v>
      </c>
      <c r="Q235" s="836">
        <v>0</v>
      </c>
      <c r="R235" s="836">
        <v>0</v>
      </c>
      <c r="S235" s="836">
        <v>0</v>
      </c>
      <c r="T235" s="836">
        <v>0</v>
      </c>
      <c r="U235" s="477" t="s">
        <v>3726</v>
      </c>
      <c r="V235" s="499" t="s">
        <v>3785</v>
      </c>
      <c r="W235" s="498">
        <v>345</v>
      </c>
      <c r="X235" s="132" t="s">
        <v>2199</v>
      </c>
      <c r="Y235" s="132" t="s">
        <v>3232</v>
      </c>
      <c r="Z235" s="132" t="s">
        <v>1588</v>
      </c>
      <c r="AA235" s="132" t="s">
        <v>1534</v>
      </c>
      <c r="AB235" s="133" t="s">
        <v>1596</v>
      </c>
    </row>
    <row r="236" spans="1:28" ht="24" customHeight="1">
      <c r="A236" s="587"/>
      <c r="B236" s="473" t="s">
        <v>675</v>
      </c>
      <c r="C236" s="500" t="s">
        <v>2169</v>
      </c>
      <c r="D236" s="705" t="s">
        <v>3786</v>
      </c>
      <c r="E236" s="654">
        <f>SUM(F236:H236)</f>
        <v>50</v>
      </c>
      <c r="F236" s="654">
        <v>0</v>
      </c>
      <c r="G236" s="716" t="s">
        <v>1588</v>
      </c>
      <c r="H236" s="654">
        <v>50</v>
      </c>
      <c r="I236" s="654">
        <v>50</v>
      </c>
      <c r="J236" s="654">
        <v>0</v>
      </c>
      <c r="K236" s="654">
        <v>0</v>
      </c>
      <c r="L236" s="706">
        <v>50</v>
      </c>
      <c r="M236" s="675">
        <v>94</v>
      </c>
      <c r="N236" s="659">
        <v>39.479999999999997</v>
      </c>
      <c r="O236" s="709" t="s">
        <v>3419</v>
      </c>
      <c r="P236" s="462" t="s">
        <v>1588</v>
      </c>
      <c r="Q236" s="836">
        <v>0</v>
      </c>
      <c r="R236" s="836">
        <v>0</v>
      </c>
      <c r="S236" s="836">
        <v>0</v>
      </c>
      <c r="T236" s="836">
        <v>0</v>
      </c>
      <c r="U236" s="477" t="s">
        <v>3726</v>
      </c>
      <c r="V236" s="499" t="s">
        <v>3787</v>
      </c>
      <c r="W236" s="498">
        <v>414</v>
      </c>
      <c r="X236" s="132" t="s">
        <v>2199</v>
      </c>
      <c r="Y236" s="132" t="s">
        <v>3336</v>
      </c>
      <c r="Z236" s="132" t="s">
        <v>3708</v>
      </c>
      <c r="AA236" s="132" t="s">
        <v>1534</v>
      </c>
      <c r="AB236" s="133" t="s">
        <v>1596</v>
      </c>
    </row>
    <row r="237" spans="1:28" ht="24" customHeight="1">
      <c r="A237" s="587"/>
      <c r="B237" s="473" t="s">
        <v>675</v>
      </c>
      <c r="C237" s="500" t="s">
        <v>3788</v>
      </c>
      <c r="D237" s="705" t="s">
        <v>3789</v>
      </c>
      <c r="E237" s="654">
        <v>16</v>
      </c>
      <c r="F237" s="654">
        <v>0</v>
      </c>
      <c r="G237" s="716">
        <v>16</v>
      </c>
      <c r="H237" s="654" t="s">
        <v>1588</v>
      </c>
      <c r="I237" s="654">
        <v>0</v>
      </c>
      <c r="J237" s="654">
        <v>0</v>
      </c>
      <c r="K237" s="654">
        <v>0</v>
      </c>
      <c r="L237" s="706">
        <v>0</v>
      </c>
      <c r="M237" s="675">
        <v>95</v>
      </c>
      <c r="N237" s="659">
        <v>0</v>
      </c>
      <c r="O237" s="709" t="s">
        <v>3757</v>
      </c>
      <c r="P237" s="462" t="s">
        <v>1588</v>
      </c>
      <c r="Q237" s="836">
        <v>0</v>
      </c>
      <c r="R237" s="836">
        <v>0</v>
      </c>
      <c r="S237" s="836">
        <v>0</v>
      </c>
      <c r="T237" s="836">
        <v>0</v>
      </c>
      <c r="U237" s="477" t="s">
        <v>3726</v>
      </c>
      <c r="V237" s="499" t="s">
        <v>3790</v>
      </c>
      <c r="W237" s="498">
        <v>68</v>
      </c>
      <c r="X237" s="132" t="s">
        <v>2199</v>
      </c>
      <c r="Y237" s="132" t="s">
        <v>3232</v>
      </c>
      <c r="Z237" s="132" t="s">
        <v>1588</v>
      </c>
      <c r="AA237" s="132" t="s">
        <v>1534</v>
      </c>
      <c r="AB237" s="133" t="s">
        <v>1596</v>
      </c>
    </row>
    <row r="238" spans="1:28" ht="24" customHeight="1">
      <c r="A238" s="587"/>
      <c r="B238" s="473" t="s">
        <v>675</v>
      </c>
      <c r="C238" s="500" t="s">
        <v>3791</v>
      </c>
      <c r="D238" s="705" t="s">
        <v>3792</v>
      </c>
      <c r="E238" s="654">
        <v>90</v>
      </c>
      <c r="F238" s="654">
        <v>0</v>
      </c>
      <c r="G238" s="654">
        <v>0</v>
      </c>
      <c r="H238" s="654">
        <v>90</v>
      </c>
      <c r="I238" s="654">
        <v>71</v>
      </c>
      <c r="J238" s="654">
        <v>0</v>
      </c>
      <c r="K238" s="654">
        <v>0</v>
      </c>
      <c r="L238" s="706">
        <v>71</v>
      </c>
      <c r="M238" s="675">
        <v>94.705882352941174</v>
      </c>
      <c r="N238" s="659">
        <v>60.51705882352941</v>
      </c>
      <c r="O238" s="709" t="s">
        <v>3718</v>
      </c>
      <c r="P238" s="462" t="s">
        <v>1588</v>
      </c>
      <c r="Q238" s="836">
        <v>0</v>
      </c>
      <c r="R238" s="836">
        <v>0</v>
      </c>
      <c r="S238" s="836">
        <v>0</v>
      </c>
      <c r="T238" s="836">
        <v>0</v>
      </c>
      <c r="U238" s="477" t="s">
        <v>3726</v>
      </c>
      <c r="V238" s="499" t="s">
        <v>3793</v>
      </c>
      <c r="W238" s="498">
        <v>386</v>
      </c>
      <c r="X238" s="132" t="s">
        <v>2199</v>
      </c>
      <c r="Y238" s="132" t="s">
        <v>3161</v>
      </c>
      <c r="Z238" s="132" t="s">
        <v>3794</v>
      </c>
      <c r="AA238" s="132" t="s">
        <v>1534</v>
      </c>
      <c r="AB238" s="133" t="s">
        <v>1596</v>
      </c>
    </row>
    <row r="239" spans="1:28" ht="24" customHeight="1">
      <c r="A239" s="587"/>
      <c r="B239" s="473" t="s">
        <v>675</v>
      </c>
      <c r="C239" s="500" t="s">
        <v>3734</v>
      </c>
      <c r="D239" s="705" t="s">
        <v>3795</v>
      </c>
      <c r="E239" s="654">
        <v>120</v>
      </c>
      <c r="F239" s="654">
        <v>0</v>
      </c>
      <c r="G239" s="654">
        <v>0</v>
      </c>
      <c r="H239" s="654">
        <v>120</v>
      </c>
      <c r="I239" s="654">
        <v>33</v>
      </c>
      <c r="J239" s="654">
        <v>0</v>
      </c>
      <c r="K239" s="654">
        <v>0</v>
      </c>
      <c r="L239" s="706">
        <v>33</v>
      </c>
      <c r="M239" s="675">
        <v>94.705882352941174</v>
      </c>
      <c r="N239" s="659">
        <v>28.127647058823527</v>
      </c>
      <c r="O239" s="709" t="s">
        <v>3718</v>
      </c>
      <c r="P239" s="462" t="s">
        <v>1588</v>
      </c>
      <c r="Q239" s="836">
        <v>0</v>
      </c>
      <c r="R239" s="836">
        <v>0</v>
      </c>
      <c r="S239" s="836">
        <v>0</v>
      </c>
      <c r="T239" s="836">
        <v>0</v>
      </c>
      <c r="U239" s="477" t="s">
        <v>3726</v>
      </c>
      <c r="V239" s="499" t="s">
        <v>2162</v>
      </c>
      <c r="W239" s="498">
        <v>830</v>
      </c>
      <c r="X239" s="132" t="s">
        <v>2199</v>
      </c>
      <c r="Y239" s="132" t="s">
        <v>3336</v>
      </c>
      <c r="Z239" s="132" t="s">
        <v>1588</v>
      </c>
      <c r="AA239" s="132" t="s">
        <v>1534</v>
      </c>
      <c r="AB239" s="133" t="s">
        <v>1596</v>
      </c>
    </row>
    <row r="240" spans="1:28" ht="24" customHeight="1">
      <c r="A240" s="587"/>
      <c r="B240" s="473" t="s">
        <v>675</v>
      </c>
      <c r="C240" s="500" t="s">
        <v>3796</v>
      </c>
      <c r="D240" s="705" t="s">
        <v>3797</v>
      </c>
      <c r="E240" s="654">
        <v>100</v>
      </c>
      <c r="F240" s="654">
        <v>0</v>
      </c>
      <c r="G240" s="654">
        <v>0</v>
      </c>
      <c r="H240" s="654">
        <v>100</v>
      </c>
      <c r="I240" s="654">
        <v>42</v>
      </c>
      <c r="J240" s="654">
        <v>0</v>
      </c>
      <c r="K240" s="654">
        <v>0</v>
      </c>
      <c r="L240" s="706">
        <v>42</v>
      </c>
      <c r="M240" s="675">
        <v>97.140221402214024</v>
      </c>
      <c r="N240" s="659">
        <v>12.647656826568268</v>
      </c>
      <c r="O240" s="709" t="s">
        <v>3798</v>
      </c>
      <c r="P240" s="463" t="s">
        <v>1588</v>
      </c>
      <c r="Q240" s="836">
        <v>0</v>
      </c>
      <c r="R240" s="836">
        <v>0</v>
      </c>
      <c r="S240" s="836">
        <v>0</v>
      </c>
      <c r="T240" s="836">
        <v>0</v>
      </c>
      <c r="U240" s="132" t="s">
        <v>3726</v>
      </c>
      <c r="V240" s="132" t="s">
        <v>3799</v>
      </c>
      <c r="W240" s="498">
        <v>2077</v>
      </c>
      <c r="X240" s="132" t="s">
        <v>2199</v>
      </c>
      <c r="Y240" s="132" t="s">
        <v>3336</v>
      </c>
      <c r="Z240" s="132" t="s">
        <v>3800</v>
      </c>
      <c r="AA240" s="132" t="s">
        <v>1534</v>
      </c>
      <c r="AB240" s="133" t="s">
        <v>1596</v>
      </c>
    </row>
    <row r="241" spans="1:28" ht="24" customHeight="1">
      <c r="A241" s="587"/>
      <c r="B241" s="473" t="s">
        <v>675</v>
      </c>
      <c r="C241" s="500" t="s">
        <v>2037</v>
      </c>
      <c r="D241" s="705" t="s">
        <v>3801</v>
      </c>
      <c r="E241" s="654">
        <v>120</v>
      </c>
      <c r="F241" s="654">
        <v>0</v>
      </c>
      <c r="G241" s="654">
        <v>0</v>
      </c>
      <c r="H241" s="654">
        <v>120</v>
      </c>
      <c r="I241" s="654">
        <v>40</v>
      </c>
      <c r="J241" s="654">
        <v>0</v>
      </c>
      <c r="K241" s="654">
        <v>0</v>
      </c>
      <c r="L241" s="706">
        <v>40</v>
      </c>
      <c r="M241" s="675">
        <v>97.236614853195164</v>
      </c>
      <c r="N241" s="659">
        <v>12.446286701208981</v>
      </c>
      <c r="O241" s="709" t="s">
        <v>3412</v>
      </c>
      <c r="P241" s="463" t="s">
        <v>1588</v>
      </c>
      <c r="Q241" s="836">
        <v>0</v>
      </c>
      <c r="R241" s="836">
        <v>0</v>
      </c>
      <c r="S241" s="836">
        <v>0</v>
      </c>
      <c r="T241" s="836">
        <v>0</v>
      </c>
      <c r="U241" s="132" t="s">
        <v>3726</v>
      </c>
      <c r="V241" s="132" t="s">
        <v>3802</v>
      </c>
      <c r="W241" s="498">
        <v>1628</v>
      </c>
      <c r="X241" s="132" t="s">
        <v>2199</v>
      </c>
      <c r="Y241" s="132" t="s">
        <v>3336</v>
      </c>
      <c r="Z241" s="132" t="s">
        <v>3708</v>
      </c>
      <c r="AA241" s="132" t="s">
        <v>1534</v>
      </c>
      <c r="AB241" s="133" t="s">
        <v>1596</v>
      </c>
    </row>
    <row r="242" spans="1:28" ht="24" customHeight="1">
      <c r="A242" s="586" t="s">
        <v>1847</v>
      </c>
      <c r="B242" s="473" t="s">
        <v>2201</v>
      </c>
      <c r="C242" s="500" t="s">
        <v>2029</v>
      </c>
      <c r="D242" s="705" t="s">
        <v>3803</v>
      </c>
      <c r="E242" s="654">
        <v>6500</v>
      </c>
      <c r="F242" s="654">
        <v>0</v>
      </c>
      <c r="G242" s="654">
        <v>0</v>
      </c>
      <c r="H242" s="654">
        <v>6500</v>
      </c>
      <c r="I242" s="654">
        <v>7801</v>
      </c>
      <c r="J242" s="654">
        <v>0</v>
      </c>
      <c r="K242" s="654">
        <v>0</v>
      </c>
      <c r="L242" s="706">
        <v>7801</v>
      </c>
      <c r="M242" s="675">
        <v>93.3</v>
      </c>
      <c r="N242" s="659">
        <v>12533</v>
      </c>
      <c r="O242" s="709" t="s">
        <v>3215</v>
      </c>
      <c r="P242" s="463" t="s">
        <v>1588</v>
      </c>
      <c r="Q242" s="836">
        <v>0</v>
      </c>
      <c r="R242" s="836">
        <v>0</v>
      </c>
      <c r="S242" s="836">
        <v>17</v>
      </c>
      <c r="T242" s="836">
        <v>0</v>
      </c>
      <c r="U242" s="132" t="s">
        <v>3804</v>
      </c>
      <c r="V242" s="500" t="s">
        <v>3805</v>
      </c>
      <c r="W242" s="498">
        <v>18118</v>
      </c>
      <c r="X242" s="132" t="s">
        <v>3205</v>
      </c>
      <c r="Y242" s="132" t="s">
        <v>3336</v>
      </c>
      <c r="Z242" s="132" t="s">
        <v>3806</v>
      </c>
      <c r="AA242" s="132" t="s">
        <v>1534</v>
      </c>
      <c r="AB242" s="133" t="s">
        <v>1596</v>
      </c>
    </row>
    <row r="243" spans="1:28" ht="24" customHeight="1">
      <c r="A243" s="587"/>
      <c r="B243" s="473" t="s">
        <v>2201</v>
      </c>
      <c r="C243" s="500" t="s">
        <v>2030</v>
      </c>
      <c r="D243" s="705" t="s">
        <v>3807</v>
      </c>
      <c r="E243" s="654">
        <v>6200</v>
      </c>
      <c r="F243" s="654">
        <v>0</v>
      </c>
      <c r="G243" s="654">
        <v>0</v>
      </c>
      <c r="H243" s="654">
        <v>6200</v>
      </c>
      <c r="I243" s="654">
        <v>4738</v>
      </c>
      <c r="J243" s="654">
        <v>0</v>
      </c>
      <c r="K243" s="654">
        <v>0</v>
      </c>
      <c r="L243" s="706">
        <v>4738</v>
      </c>
      <c r="M243" s="675">
        <v>93</v>
      </c>
      <c r="N243" s="659">
        <v>335</v>
      </c>
      <c r="O243" s="709" t="s">
        <v>2255</v>
      </c>
      <c r="P243" s="463" t="s">
        <v>1588</v>
      </c>
      <c r="Q243" s="836">
        <v>0</v>
      </c>
      <c r="R243" s="836">
        <v>0</v>
      </c>
      <c r="S243" s="836">
        <v>0</v>
      </c>
      <c r="T243" s="836">
        <v>0</v>
      </c>
      <c r="U243" s="132" t="s">
        <v>3808</v>
      </c>
      <c r="V243" s="500" t="s">
        <v>3805</v>
      </c>
      <c r="W243" s="498">
        <v>22318</v>
      </c>
      <c r="X243" s="132" t="s">
        <v>3205</v>
      </c>
      <c r="Y243" s="132" t="s">
        <v>3336</v>
      </c>
      <c r="Z243" s="132" t="s">
        <v>2383</v>
      </c>
      <c r="AA243" s="132" t="s">
        <v>1534</v>
      </c>
      <c r="AB243" s="133" t="s">
        <v>1596</v>
      </c>
    </row>
    <row r="244" spans="1:28" ht="24" customHeight="1">
      <c r="A244" s="587"/>
      <c r="B244" s="473" t="s">
        <v>2201</v>
      </c>
      <c r="C244" s="500" t="s">
        <v>1600</v>
      </c>
      <c r="D244" s="705" t="s">
        <v>3809</v>
      </c>
      <c r="E244" s="654">
        <v>1300</v>
      </c>
      <c r="F244" s="654">
        <v>0</v>
      </c>
      <c r="G244" s="654">
        <v>1300</v>
      </c>
      <c r="H244" s="654">
        <v>0</v>
      </c>
      <c r="I244" s="654">
        <v>891</v>
      </c>
      <c r="J244" s="654">
        <v>0</v>
      </c>
      <c r="K244" s="654">
        <v>891</v>
      </c>
      <c r="L244" s="706">
        <v>0</v>
      </c>
      <c r="M244" s="675">
        <v>94</v>
      </c>
      <c r="N244" s="659">
        <v>82</v>
      </c>
      <c r="O244" s="709" t="s">
        <v>3810</v>
      </c>
      <c r="P244" s="463" t="s">
        <v>1588</v>
      </c>
      <c r="Q244" s="836">
        <v>0</v>
      </c>
      <c r="R244" s="836">
        <v>0</v>
      </c>
      <c r="S244" s="836">
        <v>0</v>
      </c>
      <c r="T244" s="836">
        <v>0</v>
      </c>
      <c r="U244" s="132" t="s">
        <v>3811</v>
      </c>
      <c r="V244" s="500" t="s">
        <v>3812</v>
      </c>
      <c r="W244" s="498">
        <v>5735</v>
      </c>
      <c r="X244" s="132" t="s">
        <v>3205</v>
      </c>
      <c r="Y244" s="132" t="s">
        <v>3336</v>
      </c>
      <c r="Z244" s="132" t="s">
        <v>3806</v>
      </c>
      <c r="AA244" s="132" t="s">
        <v>1534</v>
      </c>
      <c r="AB244" s="133" t="s">
        <v>1596</v>
      </c>
    </row>
    <row r="245" spans="1:28" ht="24" customHeight="1">
      <c r="A245" s="587"/>
      <c r="B245" s="473" t="s">
        <v>2201</v>
      </c>
      <c r="C245" s="500" t="s">
        <v>182</v>
      </c>
      <c r="D245" s="705" t="s">
        <v>3813</v>
      </c>
      <c r="E245" s="654">
        <v>5000</v>
      </c>
      <c r="F245" s="654">
        <v>0</v>
      </c>
      <c r="G245" s="654">
        <v>0</v>
      </c>
      <c r="H245" s="654">
        <v>5000</v>
      </c>
      <c r="I245" s="654">
        <v>3320</v>
      </c>
      <c r="J245" s="654">
        <v>0</v>
      </c>
      <c r="K245" s="654">
        <v>0</v>
      </c>
      <c r="L245" s="706">
        <v>3320</v>
      </c>
      <c r="M245" s="675">
        <v>92.7</v>
      </c>
      <c r="N245" s="659">
        <v>590</v>
      </c>
      <c r="O245" s="709" t="s">
        <v>3538</v>
      </c>
      <c r="P245" s="463" t="s">
        <v>1588</v>
      </c>
      <c r="Q245" s="836">
        <v>0</v>
      </c>
      <c r="R245" s="836">
        <v>0</v>
      </c>
      <c r="S245" s="836">
        <v>0</v>
      </c>
      <c r="T245" s="836">
        <v>0</v>
      </c>
      <c r="U245" s="132" t="s">
        <v>3814</v>
      </c>
      <c r="V245" s="500" t="s">
        <v>3815</v>
      </c>
      <c r="W245" s="498">
        <v>12100</v>
      </c>
      <c r="X245" s="132" t="s">
        <v>3205</v>
      </c>
      <c r="Y245" s="132" t="s">
        <v>3336</v>
      </c>
      <c r="Z245" s="132" t="s">
        <v>2383</v>
      </c>
      <c r="AA245" s="132" t="s">
        <v>1534</v>
      </c>
      <c r="AB245" s="133" t="s">
        <v>1596</v>
      </c>
    </row>
    <row r="246" spans="1:28" ht="24" customHeight="1">
      <c r="A246" s="587"/>
      <c r="B246" s="473" t="s">
        <v>2201</v>
      </c>
      <c r="C246" s="500" t="s">
        <v>181</v>
      </c>
      <c r="D246" s="705" t="s">
        <v>3816</v>
      </c>
      <c r="E246" s="654">
        <v>1000</v>
      </c>
      <c r="F246" s="654">
        <v>0</v>
      </c>
      <c r="G246" s="654">
        <v>0</v>
      </c>
      <c r="H246" s="654">
        <v>1000</v>
      </c>
      <c r="I246" s="654">
        <v>249</v>
      </c>
      <c r="J246" s="654">
        <v>0</v>
      </c>
      <c r="K246" s="654">
        <v>0</v>
      </c>
      <c r="L246" s="706">
        <v>249</v>
      </c>
      <c r="M246" s="675">
        <v>94.6</v>
      </c>
      <c r="N246" s="659">
        <v>18</v>
      </c>
      <c r="O246" s="709" t="s">
        <v>3347</v>
      </c>
      <c r="P246" s="463" t="s">
        <v>1588</v>
      </c>
      <c r="Q246" s="836">
        <v>0</v>
      </c>
      <c r="R246" s="836">
        <v>0</v>
      </c>
      <c r="S246" s="836">
        <v>0</v>
      </c>
      <c r="T246" s="836">
        <v>0</v>
      </c>
      <c r="U246" s="132" t="s">
        <v>3817</v>
      </c>
      <c r="V246" s="500" t="s">
        <v>3818</v>
      </c>
      <c r="W246" s="498">
        <v>15202</v>
      </c>
      <c r="X246" s="132" t="s">
        <v>3205</v>
      </c>
      <c r="Y246" s="132" t="s">
        <v>3336</v>
      </c>
      <c r="Z246" s="132" t="s">
        <v>1999</v>
      </c>
      <c r="AA246" s="132" t="s">
        <v>1534</v>
      </c>
      <c r="AB246" s="133" t="s">
        <v>1596</v>
      </c>
    </row>
    <row r="247" spans="1:28" ht="24" customHeight="1">
      <c r="A247" s="587"/>
      <c r="B247" s="473" t="s">
        <v>675</v>
      </c>
      <c r="C247" s="500" t="s">
        <v>3819</v>
      </c>
      <c r="D247" s="705" t="s">
        <v>3820</v>
      </c>
      <c r="E247" s="654">
        <v>330</v>
      </c>
      <c r="F247" s="654">
        <v>0</v>
      </c>
      <c r="G247" s="654">
        <v>330</v>
      </c>
      <c r="H247" s="654">
        <v>0</v>
      </c>
      <c r="I247" s="654">
        <v>349</v>
      </c>
      <c r="J247" s="654">
        <v>0</v>
      </c>
      <c r="K247" s="654">
        <v>349</v>
      </c>
      <c r="L247" s="706">
        <v>0</v>
      </c>
      <c r="M247" s="675">
        <v>90</v>
      </c>
      <c r="N247" s="659">
        <v>25</v>
      </c>
      <c r="O247" s="709" t="s">
        <v>3810</v>
      </c>
      <c r="P247" s="463" t="s">
        <v>1588</v>
      </c>
      <c r="Q247" s="836">
        <v>0</v>
      </c>
      <c r="R247" s="836">
        <v>0</v>
      </c>
      <c r="S247" s="836">
        <v>0</v>
      </c>
      <c r="T247" s="836">
        <v>0</v>
      </c>
      <c r="U247" s="132" t="s">
        <v>3821</v>
      </c>
      <c r="V247" s="500" t="s">
        <v>3822</v>
      </c>
      <c r="W247" s="498">
        <v>542</v>
      </c>
      <c r="X247" s="132" t="s">
        <v>3205</v>
      </c>
      <c r="Y247" s="132" t="s">
        <v>3232</v>
      </c>
      <c r="Z247" s="132" t="s">
        <v>3823</v>
      </c>
      <c r="AA247" s="132" t="s">
        <v>1534</v>
      </c>
      <c r="AB247" s="133" t="s">
        <v>1596</v>
      </c>
    </row>
    <row r="248" spans="1:28" ht="24" customHeight="1">
      <c r="A248" s="587"/>
      <c r="B248" s="473" t="s">
        <v>675</v>
      </c>
      <c r="C248" s="500" t="s">
        <v>3824</v>
      </c>
      <c r="D248" s="705" t="s">
        <v>3825</v>
      </c>
      <c r="E248" s="654">
        <v>65</v>
      </c>
      <c r="F248" s="654">
        <v>0</v>
      </c>
      <c r="G248" s="654">
        <v>65</v>
      </c>
      <c r="H248" s="654">
        <v>0</v>
      </c>
      <c r="I248" s="654">
        <v>62</v>
      </c>
      <c r="J248" s="654">
        <v>0</v>
      </c>
      <c r="K248" s="654">
        <v>62</v>
      </c>
      <c r="L248" s="706">
        <v>0</v>
      </c>
      <c r="M248" s="675">
        <v>90</v>
      </c>
      <c r="N248" s="659">
        <v>1</v>
      </c>
      <c r="O248" s="709" t="s">
        <v>3810</v>
      </c>
      <c r="P248" s="463" t="s">
        <v>1588</v>
      </c>
      <c r="Q248" s="836">
        <v>0</v>
      </c>
      <c r="R248" s="836">
        <v>0</v>
      </c>
      <c r="S248" s="836">
        <v>0</v>
      </c>
      <c r="T248" s="836">
        <v>0</v>
      </c>
      <c r="U248" s="132" t="s">
        <v>3821</v>
      </c>
      <c r="V248" s="500" t="s">
        <v>3826</v>
      </c>
      <c r="W248" s="498">
        <v>502</v>
      </c>
      <c r="X248" s="132" t="s">
        <v>3205</v>
      </c>
      <c r="Y248" s="132" t="s">
        <v>3232</v>
      </c>
      <c r="Z248" s="132" t="s">
        <v>3827</v>
      </c>
      <c r="AA248" s="132" t="s">
        <v>1534</v>
      </c>
      <c r="AB248" s="133" t="s">
        <v>1596</v>
      </c>
    </row>
    <row r="249" spans="1:28" ht="24" customHeight="1">
      <c r="A249" s="582" t="s">
        <v>1848</v>
      </c>
      <c r="B249" s="473" t="s">
        <v>2239</v>
      </c>
      <c r="C249" s="500" t="s">
        <v>2248</v>
      </c>
      <c r="D249" s="705" t="s">
        <v>3828</v>
      </c>
      <c r="E249" s="654">
        <v>12000</v>
      </c>
      <c r="F249" s="654">
        <v>0</v>
      </c>
      <c r="G249" s="654">
        <v>12000</v>
      </c>
      <c r="H249" s="654">
        <v>0</v>
      </c>
      <c r="I249" s="654">
        <v>16538</v>
      </c>
      <c r="J249" s="654">
        <v>0</v>
      </c>
      <c r="K249" s="654">
        <v>16538</v>
      </c>
      <c r="L249" s="706">
        <v>0</v>
      </c>
      <c r="M249" s="675">
        <v>89</v>
      </c>
      <c r="N249" s="659">
        <f>(54.6*16538*0.89)/1000</f>
        <v>803.64757200000008</v>
      </c>
      <c r="O249" s="709" t="s">
        <v>623</v>
      </c>
      <c r="P249" s="463" t="s">
        <v>1588</v>
      </c>
      <c r="Q249" s="836">
        <v>90</v>
      </c>
      <c r="R249" s="836">
        <v>150</v>
      </c>
      <c r="S249" s="836">
        <v>0</v>
      </c>
      <c r="T249" s="836">
        <v>0</v>
      </c>
      <c r="U249" s="132" t="s">
        <v>3829</v>
      </c>
      <c r="V249" s="483" t="s">
        <v>3830</v>
      </c>
      <c r="W249" s="498">
        <v>28246</v>
      </c>
      <c r="X249" s="132" t="s">
        <v>3831</v>
      </c>
      <c r="Y249" s="132" t="s">
        <v>3336</v>
      </c>
      <c r="Z249" s="132" t="s">
        <v>3832</v>
      </c>
      <c r="AA249" s="132" t="s">
        <v>2263</v>
      </c>
      <c r="AB249" s="133" t="s">
        <v>1595</v>
      </c>
    </row>
    <row r="250" spans="1:28" ht="24" customHeight="1">
      <c r="A250" s="587"/>
      <c r="B250" s="473" t="s">
        <v>2239</v>
      </c>
      <c r="C250" s="500" t="s">
        <v>3833</v>
      </c>
      <c r="D250" s="705" t="s">
        <v>3834</v>
      </c>
      <c r="E250" s="654">
        <v>2000</v>
      </c>
      <c r="F250" s="654">
        <v>0</v>
      </c>
      <c r="G250" s="654">
        <v>0</v>
      </c>
      <c r="H250" s="654">
        <v>2000</v>
      </c>
      <c r="I250" s="654">
        <v>2164</v>
      </c>
      <c r="J250" s="654">
        <v>0</v>
      </c>
      <c r="K250" s="654">
        <v>0</v>
      </c>
      <c r="L250" s="706">
        <v>2164</v>
      </c>
      <c r="M250" s="675">
        <v>91.1</v>
      </c>
      <c r="N250" s="659">
        <f>(81.9*2164*0.911)/1000</f>
        <v>161.45798760000002</v>
      </c>
      <c r="O250" s="709" t="s">
        <v>3651</v>
      </c>
      <c r="P250" s="463" t="s">
        <v>1588</v>
      </c>
      <c r="Q250" s="836">
        <v>0</v>
      </c>
      <c r="R250" s="836">
        <v>0</v>
      </c>
      <c r="S250" s="836">
        <v>0</v>
      </c>
      <c r="T250" s="836">
        <v>0</v>
      </c>
      <c r="U250" s="505" t="s">
        <v>3829</v>
      </c>
      <c r="V250" s="132" t="s">
        <v>3835</v>
      </c>
      <c r="W250" s="498">
        <v>10208</v>
      </c>
      <c r="X250" s="506" t="s">
        <v>3831</v>
      </c>
      <c r="Y250" s="132" t="s">
        <v>3836</v>
      </c>
      <c r="Z250" s="132" t="s">
        <v>3832</v>
      </c>
      <c r="AA250" s="132" t="s">
        <v>2263</v>
      </c>
      <c r="AB250" s="133" t="s">
        <v>1595</v>
      </c>
    </row>
    <row r="251" spans="1:28" ht="24" customHeight="1">
      <c r="A251" s="587"/>
      <c r="B251" s="473" t="s">
        <v>3837</v>
      </c>
      <c r="C251" s="500" t="s">
        <v>3838</v>
      </c>
      <c r="D251" s="705" t="s">
        <v>3839</v>
      </c>
      <c r="E251" s="654">
        <v>35</v>
      </c>
      <c r="F251" s="654">
        <v>0</v>
      </c>
      <c r="G251" s="654">
        <v>0</v>
      </c>
      <c r="H251" s="654">
        <v>35</v>
      </c>
      <c r="I251" s="654">
        <v>35</v>
      </c>
      <c r="J251" s="654">
        <v>0</v>
      </c>
      <c r="K251" s="654">
        <v>0</v>
      </c>
      <c r="L251" s="706">
        <v>35</v>
      </c>
      <c r="M251" s="675" t="s">
        <v>1588</v>
      </c>
      <c r="N251" s="659">
        <v>0</v>
      </c>
      <c r="O251" s="709" t="s">
        <v>3774</v>
      </c>
      <c r="P251" s="463" t="s">
        <v>1588</v>
      </c>
      <c r="Q251" s="836">
        <v>0</v>
      </c>
      <c r="R251" s="836">
        <v>0</v>
      </c>
      <c r="S251" s="836">
        <v>0</v>
      </c>
      <c r="T251" s="836">
        <v>0</v>
      </c>
      <c r="U251" s="132" t="s">
        <v>3829</v>
      </c>
      <c r="V251" s="483" t="s">
        <v>3840</v>
      </c>
      <c r="W251" s="498">
        <v>200</v>
      </c>
      <c r="X251" s="132" t="s">
        <v>3831</v>
      </c>
      <c r="Y251" s="132" t="s">
        <v>3836</v>
      </c>
      <c r="Z251" s="132" t="s">
        <v>1787</v>
      </c>
      <c r="AA251" s="132" t="s">
        <v>2263</v>
      </c>
      <c r="AB251" s="133" t="s">
        <v>1595</v>
      </c>
    </row>
    <row r="252" spans="1:28" ht="24" customHeight="1">
      <c r="A252" s="587"/>
      <c r="B252" s="473" t="s">
        <v>3837</v>
      </c>
      <c r="C252" s="500" t="s">
        <v>3841</v>
      </c>
      <c r="D252" s="705" t="s">
        <v>3842</v>
      </c>
      <c r="E252" s="654">
        <v>35</v>
      </c>
      <c r="F252" s="654">
        <v>0</v>
      </c>
      <c r="G252" s="654">
        <v>0</v>
      </c>
      <c r="H252" s="654">
        <v>35</v>
      </c>
      <c r="I252" s="654">
        <v>35</v>
      </c>
      <c r="J252" s="654">
        <v>0</v>
      </c>
      <c r="K252" s="654">
        <v>0</v>
      </c>
      <c r="L252" s="706">
        <v>35</v>
      </c>
      <c r="M252" s="675" t="s">
        <v>1588</v>
      </c>
      <c r="N252" s="659">
        <v>0</v>
      </c>
      <c r="O252" s="709" t="s">
        <v>3774</v>
      </c>
      <c r="P252" s="463" t="s">
        <v>1588</v>
      </c>
      <c r="Q252" s="836">
        <v>0</v>
      </c>
      <c r="R252" s="836">
        <v>0</v>
      </c>
      <c r="S252" s="836">
        <v>0</v>
      </c>
      <c r="T252" s="836">
        <v>0</v>
      </c>
      <c r="U252" s="132" t="s">
        <v>3829</v>
      </c>
      <c r="V252" s="483" t="s">
        <v>3843</v>
      </c>
      <c r="W252" s="498">
        <v>200</v>
      </c>
      <c r="X252" s="132" t="s">
        <v>3831</v>
      </c>
      <c r="Y252" s="132" t="s">
        <v>3836</v>
      </c>
      <c r="Z252" s="132"/>
      <c r="AA252" s="132" t="s">
        <v>3844</v>
      </c>
      <c r="AB252" s="133" t="s">
        <v>1595</v>
      </c>
    </row>
    <row r="253" spans="1:28" ht="24" customHeight="1">
      <c r="A253" s="587"/>
      <c r="B253" s="473" t="s">
        <v>3837</v>
      </c>
      <c r="C253" s="500" t="s">
        <v>3845</v>
      </c>
      <c r="D253" s="705" t="s">
        <v>3846</v>
      </c>
      <c r="E253" s="654">
        <v>35</v>
      </c>
      <c r="F253" s="654">
        <v>0</v>
      </c>
      <c r="G253" s="654">
        <v>35</v>
      </c>
      <c r="H253" s="654">
        <v>0</v>
      </c>
      <c r="I253" s="654">
        <v>35</v>
      </c>
      <c r="J253" s="654">
        <v>0</v>
      </c>
      <c r="K253" s="654">
        <v>0</v>
      </c>
      <c r="L253" s="706">
        <v>35</v>
      </c>
      <c r="M253" s="675" t="s">
        <v>1588</v>
      </c>
      <c r="N253" s="659">
        <v>0</v>
      </c>
      <c r="O253" s="709" t="s">
        <v>3774</v>
      </c>
      <c r="P253" s="463" t="s">
        <v>1588</v>
      </c>
      <c r="Q253" s="836">
        <v>0</v>
      </c>
      <c r="R253" s="836">
        <v>0</v>
      </c>
      <c r="S253" s="836">
        <v>0</v>
      </c>
      <c r="T253" s="836">
        <v>0</v>
      </c>
      <c r="U253" s="132" t="s">
        <v>3829</v>
      </c>
      <c r="V253" s="483" t="s">
        <v>3847</v>
      </c>
      <c r="W253" s="498">
        <v>120</v>
      </c>
      <c r="X253" s="132" t="s">
        <v>3831</v>
      </c>
      <c r="Y253" s="132" t="s">
        <v>3836</v>
      </c>
      <c r="Z253" s="132" t="s">
        <v>3848</v>
      </c>
      <c r="AA253" s="132" t="s">
        <v>3844</v>
      </c>
      <c r="AB253" s="133" t="s">
        <v>1595</v>
      </c>
    </row>
    <row r="254" spans="1:28" ht="24" customHeight="1">
      <c r="A254" s="587"/>
      <c r="B254" s="473" t="s">
        <v>3837</v>
      </c>
      <c r="C254" s="500" t="s">
        <v>3849</v>
      </c>
      <c r="D254" s="705" t="s">
        <v>3850</v>
      </c>
      <c r="E254" s="654">
        <v>35</v>
      </c>
      <c r="F254" s="654">
        <v>0</v>
      </c>
      <c r="G254" s="654">
        <v>35</v>
      </c>
      <c r="H254" s="654">
        <v>0</v>
      </c>
      <c r="I254" s="654">
        <v>35</v>
      </c>
      <c r="J254" s="654">
        <v>0</v>
      </c>
      <c r="K254" s="654">
        <v>0</v>
      </c>
      <c r="L254" s="706">
        <v>35</v>
      </c>
      <c r="M254" s="675" t="s">
        <v>1588</v>
      </c>
      <c r="N254" s="659">
        <v>0</v>
      </c>
      <c r="O254" s="709" t="s">
        <v>3774</v>
      </c>
      <c r="P254" s="463" t="s">
        <v>1588</v>
      </c>
      <c r="Q254" s="836">
        <v>0</v>
      </c>
      <c r="R254" s="836">
        <v>0</v>
      </c>
      <c r="S254" s="836">
        <v>0</v>
      </c>
      <c r="T254" s="836">
        <v>0</v>
      </c>
      <c r="U254" s="132" t="s">
        <v>3829</v>
      </c>
      <c r="V254" s="483" t="s">
        <v>3840</v>
      </c>
      <c r="W254" s="498">
        <v>200</v>
      </c>
      <c r="X254" s="132" t="s">
        <v>3831</v>
      </c>
      <c r="Y254" s="132" t="s">
        <v>3836</v>
      </c>
      <c r="Z254" s="132"/>
      <c r="AA254" s="132" t="s">
        <v>3844</v>
      </c>
      <c r="AB254" s="133" t="s">
        <v>1595</v>
      </c>
    </row>
    <row r="255" spans="1:28" ht="24" customHeight="1">
      <c r="A255" s="587"/>
      <c r="B255" s="473" t="s">
        <v>3837</v>
      </c>
      <c r="C255" s="500" t="s">
        <v>3851</v>
      </c>
      <c r="D255" s="705" t="s">
        <v>3852</v>
      </c>
      <c r="E255" s="654">
        <v>35</v>
      </c>
      <c r="F255" s="654">
        <v>0</v>
      </c>
      <c r="G255" s="654">
        <v>0</v>
      </c>
      <c r="H255" s="654">
        <v>35</v>
      </c>
      <c r="I255" s="654">
        <v>35</v>
      </c>
      <c r="J255" s="654">
        <v>0</v>
      </c>
      <c r="K255" s="654">
        <v>0</v>
      </c>
      <c r="L255" s="706">
        <v>35</v>
      </c>
      <c r="M255" s="675" t="s">
        <v>1588</v>
      </c>
      <c r="N255" s="659">
        <v>0</v>
      </c>
      <c r="O255" s="709" t="s">
        <v>3774</v>
      </c>
      <c r="P255" s="463" t="s">
        <v>1588</v>
      </c>
      <c r="Q255" s="836">
        <v>0</v>
      </c>
      <c r="R255" s="836">
        <v>0</v>
      </c>
      <c r="S255" s="836">
        <v>0</v>
      </c>
      <c r="T255" s="836">
        <v>0</v>
      </c>
      <c r="U255" s="132" t="s">
        <v>3829</v>
      </c>
      <c r="V255" s="132" t="s">
        <v>3853</v>
      </c>
      <c r="W255" s="498">
        <v>191</v>
      </c>
      <c r="X255" s="132" t="s">
        <v>3831</v>
      </c>
      <c r="Y255" s="132" t="s">
        <v>3836</v>
      </c>
      <c r="Z255" s="132" t="s">
        <v>3854</v>
      </c>
      <c r="AA255" s="132" t="s">
        <v>3844</v>
      </c>
      <c r="AB255" s="133" t="s">
        <v>1595</v>
      </c>
    </row>
    <row r="256" spans="1:28" ht="24" customHeight="1">
      <c r="A256" s="585"/>
      <c r="B256" s="473" t="s">
        <v>3837</v>
      </c>
      <c r="C256" s="500" t="s">
        <v>3855</v>
      </c>
      <c r="D256" s="705" t="s">
        <v>3856</v>
      </c>
      <c r="E256" s="654">
        <v>40</v>
      </c>
      <c r="F256" s="654">
        <v>0</v>
      </c>
      <c r="G256" s="654">
        <v>0</v>
      </c>
      <c r="H256" s="654">
        <v>40</v>
      </c>
      <c r="I256" s="654">
        <v>40</v>
      </c>
      <c r="J256" s="654">
        <v>0</v>
      </c>
      <c r="K256" s="654">
        <v>0</v>
      </c>
      <c r="L256" s="706">
        <v>40</v>
      </c>
      <c r="M256" s="675" t="s">
        <v>1588</v>
      </c>
      <c r="N256" s="659">
        <v>0</v>
      </c>
      <c r="O256" s="709" t="s">
        <v>3774</v>
      </c>
      <c r="P256" s="463" t="s">
        <v>1588</v>
      </c>
      <c r="Q256" s="836">
        <v>0</v>
      </c>
      <c r="R256" s="836">
        <v>0</v>
      </c>
      <c r="S256" s="836">
        <v>0</v>
      </c>
      <c r="T256" s="836">
        <v>0</v>
      </c>
      <c r="U256" s="132" t="s">
        <v>3829</v>
      </c>
      <c r="V256" s="132" t="s">
        <v>3857</v>
      </c>
      <c r="W256" s="498">
        <v>191</v>
      </c>
      <c r="X256" s="132" t="s">
        <v>3831</v>
      </c>
      <c r="Y256" s="132" t="s">
        <v>3836</v>
      </c>
      <c r="Z256" s="132"/>
      <c r="AA256" s="132" t="s">
        <v>3844</v>
      </c>
      <c r="AB256" s="133" t="s">
        <v>1595</v>
      </c>
    </row>
    <row r="257" spans="1:28" ht="24" customHeight="1">
      <c r="A257" s="583" t="s">
        <v>1849</v>
      </c>
      <c r="B257" s="458" t="s">
        <v>5939</v>
      </c>
      <c r="C257" s="458"/>
      <c r="D257" s="510"/>
      <c r="E257" s="498" t="s">
        <v>6303</v>
      </c>
      <c r="F257" s="498">
        <v>0</v>
      </c>
      <c r="G257" s="498" t="s">
        <v>6304</v>
      </c>
      <c r="H257" s="498" t="s">
        <v>6305</v>
      </c>
      <c r="I257" s="498" t="s">
        <v>6306</v>
      </c>
      <c r="J257" s="498">
        <v>0</v>
      </c>
      <c r="K257" s="498" t="s">
        <v>6307</v>
      </c>
      <c r="L257" s="668" t="s">
        <v>6308</v>
      </c>
      <c r="M257" s="672">
        <v>0</v>
      </c>
      <c r="N257" s="498" t="s">
        <v>7397</v>
      </c>
      <c r="O257" s="669" t="s">
        <v>1588</v>
      </c>
      <c r="P257" s="463" t="s">
        <v>1588</v>
      </c>
      <c r="Q257" s="672" t="s">
        <v>6310</v>
      </c>
      <c r="R257" s="672" t="s">
        <v>6311</v>
      </c>
      <c r="S257" s="672" t="s">
        <v>6312</v>
      </c>
      <c r="T257" s="672" t="s">
        <v>6313</v>
      </c>
      <c r="U257" s="463"/>
      <c r="V257" s="463"/>
      <c r="W257" s="498">
        <f>W258+W331</f>
        <v>1054524.8999999999</v>
      </c>
      <c r="X257" s="463"/>
      <c r="Y257" s="463"/>
      <c r="Z257" s="463"/>
      <c r="AA257" s="463"/>
      <c r="AB257" s="459"/>
    </row>
    <row r="258" spans="1:28" ht="24" customHeight="1">
      <c r="A258" s="582" t="s">
        <v>1674</v>
      </c>
      <c r="B258" s="453" t="s">
        <v>5938</v>
      </c>
      <c r="C258" s="579"/>
      <c r="D258" s="579"/>
      <c r="E258" s="498" t="s">
        <v>6144</v>
      </c>
      <c r="F258" s="498">
        <v>0</v>
      </c>
      <c r="G258" s="498" t="s">
        <v>6145</v>
      </c>
      <c r="H258" s="498" t="s">
        <v>6146</v>
      </c>
      <c r="I258" s="498" t="s">
        <v>6147</v>
      </c>
      <c r="J258" s="498">
        <v>0</v>
      </c>
      <c r="K258" s="498" t="s">
        <v>6148</v>
      </c>
      <c r="L258" s="668" t="s">
        <v>6149</v>
      </c>
      <c r="M258" s="672">
        <v>0</v>
      </c>
      <c r="N258" s="498" t="s">
        <v>6150</v>
      </c>
      <c r="O258" s="669" t="s">
        <v>1588</v>
      </c>
      <c r="P258" s="463" t="s">
        <v>1588</v>
      </c>
      <c r="Q258" s="672" t="s">
        <v>6309</v>
      </c>
      <c r="R258" s="672" t="s">
        <v>6151</v>
      </c>
      <c r="S258" s="672" t="s">
        <v>6152</v>
      </c>
      <c r="T258" s="672" t="s">
        <v>6153</v>
      </c>
      <c r="U258" s="463"/>
      <c r="V258" s="463"/>
      <c r="W258" s="498">
        <f>SUM(W259:W330)</f>
        <v>492210</v>
      </c>
      <c r="X258" s="463"/>
      <c r="Y258" s="463"/>
      <c r="Z258" s="463"/>
      <c r="AA258" s="463"/>
      <c r="AB258" s="459"/>
    </row>
    <row r="259" spans="1:28" ht="24" customHeight="1">
      <c r="A259" s="582" t="s">
        <v>1850</v>
      </c>
      <c r="B259" s="612" t="s">
        <v>2201</v>
      </c>
      <c r="C259" s="701" t="s">
        <v>2384</v>
      </c>
      <c r="D259" s="510" t="s">
        <v>3858</v>
      </c>
      <c r="E259" s="498">
        <f t="shared" ref="E259:E280" si="19">SUM(F259:H259)</f>
        <v>100000</v>
      </c>
      <c r="F259" s="498">
        <v>0</v>
      </c>
      <c r="G259" s="498">
        <v>100000</v>
      </c>
      <c r="H259" s="498">
        <v>0</v>
      </c>
      <c r="I259" s="498">
        <f t="shared" ref="I259:I276" si="20">SUM(J259:L259)</f>
        <v>81183</v>
      </c>
      <c r="J259" s="498">
        <v>0</v>
      </c>
      <c r="K259" s="498">
        <v>81183</v>
      </c>
      <c r="L259" s="668">
        <v>0</v>
      </c>
      <c r="M259" s="1807">
        <f>(128.2-6.2)/128.2</f>
        <v>0.95163806552262087</v>
      </c>
      <c r="N259" s="498">
        <f>(128.2*I259*M259)/1000</f>
        <v>9904.3259999999991</v>
      </c>
      <c r="O259" s="669" t="s">
        <v>1535</v>
      </c>
      <c r="P259" s="463" t="s">
        <v>1588</v>
      </c>
      <c r="Q259" s="1807">
        <v>147.69999999999999</v>
      </c>
      <c r="R259" s="1807">
        <v>0</v>
      </c>
      <c r="S259" s="1807">
        <v>199</v>
      </c>
      <c r="T259" s="1807">
        <v>23.2</v>
      </c>
      <c r="U259" s="1801" t="s">
        <v>3859</v>
      </c>
      <c r="V259" s="463" t="s">
        <v>3860</v>
      </c>
      <c r="W259" s="498">
        <v>36302</v>
      </c>
      <c r="X259" s="463" t="s">
        <v>1532</v>
      </c>
      <c r="Y259" s="1801" t="s">
        <v>3327</v>
      </c>
      <c r="Z259" s="1801" t="s">
        <v>3861</v>
      </c>
      <c r="AA259" s="1801" t="s">
        <v>1534</v>
      </c>
      <c r="AB259" s="1802" t="s">
        <v>1534</v>
      </c>
    </row>
    <row r="260" spans="1:28" ht="24" customHeight="1">
      <c r="A260" s="584"/>
      <c r="B260" s="614" t="s">
        <v>2201</v>
      </c>
      <c r="C260" s="701" t="s">
        <v>2384</v>
      </c>
      <c r="D260" s="510" t="s">
        <v>3858</v>
      </c>
      <c r="E260" s="498">
        <f t="shared" si="19"/>
        <v>50000</v>
      </c>
      <c r="F260" s="498">
        <v>0</v>
      </c>
      <c r="G260" s="498">
        <v>0</v>
      </c>
      <c r="H260" s="498">
        <v>50000</v>
      </c>
      <c r="I260" s="498">
        <f t="shared" si="20"/>
        <v>40592</v>
      </c>
      <c r="J260" s="498">
        <v>0</v>
      </c>
      <c r="K260" s="498">
        <v>0</v>
      </c>
      <c r="L260" s="668">
        <v>40592</v>
      </c>
      <c r="M260" s="1807"/>
      <c r="N260" s="498">
        <f>(128.2*I260*M259)/1000</f>
        <v>4952.2239999999993</v>
      </c>
      <c r="O260" s="669" t="s">
        <v>3862</v>
      </c>
      <c r="P260" s="463" t="s">
        <v>1588</v>
      </c>
      <c r="Q260" s="1807"/>
      <c r="R260" s="1807"/>
      <c r="S260" s="1807"/>
      <c r="T260" s="1807"/>
      <c r="U260" s="1801"/>
      <c r="V260" s="463" t="s">
        <v>3863</v>
      </c>
      <c r="W260" s="498">
        <v>51606</v>
      </c>
      <c r="X260" s="463" t="s">
        <v>1532</v>
      </c>
      <c r="Y260" s="1801"/>
      <c r="Z260" s="1801"/>
      <c r="AA260" s="1801"/>
      <c r="AB260" s="1802"/>
    </row>
    <row r="261" spans="1:28" ht="24" customHeight="1">
      <c r="A261" s="584"/>
      <c r="B261" s="614" t="s">
        <v>2201</v>
      </c>
      <c r="C261" s="458" t="s">
        <v>2119</v>
      </c>
      <c r="D261" s="510" t="s">
        <v>3864</v>
      </c>
      <c r="E261" s="498">
        <f t="shared" si="19"/>
        <v>4000</v>
      </c>
      <c r="F261" s="498">
        <v>0</v>
      </c>
      <c r="G261" s="498">
        <v>0</v>
      </c>
      <c r="H261" s="498">
        <v>4000</v>
      </c>
      <c r="I261" s="498">
        <f t="shared" si="20"/>
        <v>724</v>
      </c>
      <c r="J261" s="498">
        <v>0</v>
      </c>
      <c r="K261" s="498">
        <v>0</v>
      </c>
      <c r="L261" s="668">
        <v>724</v>
      </c>
      <c r="M261" s="672">
        <v>96.8</v>
      </c>
      <c r="N261" s="498">
        <v>54.26</v>
      </c>
      <c r="O261" s="669" t="s">
        <v>3865</v>
      </c>
      <c r="P261" s="463" t="s">
        <v>1588</v>
      </c>
      <c r="Q261" s="672">
        <v>0</v>
      </c>
      <c r="R261" s="672">
        <v>0</v>
      </c>
      <c r="S261" s="672">
        <v>0</v>
      </c>
      <c r="T261" s="672">
        <v>0</v>
      </c>
      <c r="U261" s="463" t="s">
        <v>7457</v>
      </c>
      <c r="V261" s="463" t="s">
        <v>2120</v>
      </c>
      <c r="W261" s="498">
        <v>18718</v>
      </c>
      <c r="X261" s="463" t="s">
        <v>1532</v>
      </c>
      <c r="Y261" s="463" t="s">
        <v>4034</v>
      </c>
      <c r="Z261" s="463"/>
      <c r="AA261" s="463" t="s">
        <v>1999</v>
      </c>
      <c r="AB261" s="459" t="s">
        <v>1999</v>
      </c>
    </row>
    <row r="262" spans="1:28" ht="24" customHeight="1">
      <c r="A262" s="584"/>
      <c r="B262" s="460" t="s">
        <v>2201</v>
      </c>
      <c r="C262" s="458" t="s">
        <v>1601</v>
      </c>
      <c r="D262" s="510" t="s">
        <v>3866</v>
      </c>
      <c r="E262" s="498">
        <f t="shared" si="19"/>
        <v>1900</v>
      </c>
      <c r="F262" s="498">
        <v>0</v>
      </c>
      <c r="G262" s="498">
        <v>0</v>
      </c>
      <c r="H262" s="498">
        <v>1900</v>
      </c>
      <c r="I262" s="498">
        <f t="shared" si="20"/>
        <v>348</v>
      </c>
      <c r="J262" s="498">
        <v>0</v>
      </c>
      <c r="K262" s="498">
        <v>0</v>
      </c>
      <c r="L262" s="668">
        <v>348</v>
      </c>
      <c r="M262" s="672">
        <v>98.1</v>
      </c>
      <c r="N262" s="498">
        <v>22.08</v>
      </c>
      <c r="O262" s="669" t="s">
        <v>3867</v>
      </c>
      <c r="P262" s="463" t="s">
        <v>1588</v>
      </c>
      <c r="Q262" s="672">
        <v>0</v>
      </c>
      <c r="R262" s="672">
        <v>0</v>
      </c>
      <c r="S262" s="672">
        <v>0</v>
      </c>
      <c r="T262" s="672">
        <v>0</v>
      </c>
      <c r="U262" s="463" t="s">
        <v>7457</v>
      </c>
      <c r="V262" s="463" t="s">
        <v>3868</v>
      </c>
      <c r="W262" s="498">
        <v>19478</v>
      </c>
      <c r="X262" s="463" t="s">
        <v>1532</v>
      </c>
      <c r="Y262" s="463" t="s">
        <v>4034</v>
      </c>
      <c r="Z262" s="463" t="s">
        <v>3861</v>
      </c>
      <c r="AA262" s="463" t="s">
        <v>1999</v>
      </c>
      <c r="AB262" s="459" t="s">
        <v>3869</v>
      </c>
    </row>
    <row r="263" spans="1:28" ht="24" customHeight="1">
      <c r="A263" s="589"/>
      <c r="B263" s="507" t="s">
        <v>675</v>
      </c>
      <c r="C263" s="500" t="s">
        <v>3870</v>
      </c>
      <c r="D263" s="705" t="s">
        <v>3871</v>
      </c>
      <c r="E263" s="498">
        <f t="shared" si="19"/>
        <v>58</v>
      </c>
      <c r="F263" s="498">
        <v>0</v>
      </c>
      <c r="G263" s="498">
        <v>58</v>
      </c>
      <c r="H263" s="498">
        <v>0</v>
      </c>
      <c r="I263" s="498">
        <f t="shared" si="20"/>
        <v>50</v>
      </c>
      <c r="J263" s="498">
        <v>0</v>
      </c>
      <c r="K263" s="498">
        <v>50</v>
      </c>
      <c r="L263" s="668">
        <v>0</v>
      </c>
      <c r="M263" s="679">
        <f>I263/G263*100</f>
        <v>86.206896551724128</v>
      </c>
      <c r="N263" s="663">
        <f>(67.7*I263*M263)/1000</f>
        <v>291.81034482758616</v>
      </c>
      <c r="O263" s="717" t="s">
        <v>3872</v>
      </c>
      <c r="P263" s="508" t="s">
        <v>1588</v>
      </c>
      <c r="Q263" s="679">
        <v>0</v>
      </c>
      <c r="R263" s="679">
        <v>0</v>
      </c>
      <c r="S263" s="679">
        <v>0</v>
      </c>
      <c r="T263" s="679">
        <v>0</v>
      </c>
      <c r="U263" s="508" t="s">
        <v>2253</v>
      </c>
      <c r="V263" s="508" t="s">
        <v>3873</v>
      </c>
      <c r="W263" s="663">
        <v>203</v>
      </c>
      <c r="X263" s="508" t="s">
        <v>2243</v>
      </c>
      <c r="Y263" s="508"/>
      <c r="Z263" s="508" t="s">
        <v>3874</v>
      </c>
      <c r="AA263" s="508" t="s">
        <v>1595</v>
      </c>
      <c r="AB263" s="509" t="s">
        <v>1595</v>
      </c>
    </row>
    <row r="264" spans="1:28" ht="24" customHeight="1">
      <c r="A264" s="589"/>
      <c r="B264" s="507" t="s">
        <v>675</v>
      </c>
      <c r="C264" s="500" t="s">
        <v>3875</v>
      </c>
      <c r="D264" s="705" t="s">
        <v>3876</v>
      </c>
      <c r="E264" s="498">
        <f t="shared" si="19"/>
        <v>50</v>
      </c>
      <c r="F264" s="498">
        <v>0</v>
      </c>
      <c r="G264" s="498">
        <v>50</v>
      </c>
      <c r="H264" s="498">
        <v>0</v>
      </c>
      <c r="I264" s="498">
        <f t="shared" si="20"/>
        <v>38</v>
      </c>
      <c r="J264" s="498">
        <v>0</v>
      </c>
      <c r="K264" s="498">
        <v>38</v>
      </c>
      <c r="L264" s="668">
        <v>0</v>
      </c>
      <c r="M264" s="679">
        <f t="shared" ref="M264:M278" si="21">I264/G264*100</f>
        <v>76</v>
      </c>
      <c r="N264" s="663">
        <f>(58.8*I264*M264)/1000</f>
        <v>169.81440000000001</v>
      </c>
      <c r="O264" s="717" t="s">
        <v>3877</v>
      </c>
      <c r="P264" s="508" t="s">
        <v>1588</v>
      </c>
      <c r="Q264" s="679">
        <v>0</v>
      </c>
      <c r="R264" s="679">
        <v>0</v>
      </c>
      <c r="S264" s="679">
        <v>0</v>
      </c>
      <c r="T264" s="679">
        <v>0</v>
      </c>
      <c r="U264" s="508" t="s">
        <v>3878</v>
      </c>
      <c r="V264" s="508" t="s">
        <v>3879</v>
      </c>
      <c r="W264" s="663">
        <v>154</v>
      </c>
      <c r="X264" s="508" t="s">
        <v>2243</v>
      </c>
      <c r="Y264" s="508"/>
      <c r="Z264" s="508" t="s">
        <v>3874</v>
      </c>
      <c r="AA264" s="508" t="s">
        <v>1595</v>
      </c>
      <c r="AB264" s="509" t="s">
        <v>1595</v>
      </c>
    </row>
    <row r="265" spans="1:28" ht="24" customHeight="1">
      <c r="A265" s="589"/>
      <c r="B265" s="507" t="s">
        <v>675</v>
      </c>
      <c r="C265" s="500" t="s">
        <v>3880</v>
      </c>
      <c r="D265" s="705" t="s">
        <v>3881</v>
      </c>
      <c r="E265" s="498">
        <f t="shared" si="19"/>
        <v>30</v>
      </c>
      <c r="F265" s="498">
        <v>0</v>
      </c>
      <c r="G265" s="498">
        <v>30</v>
      </c>
      <c r="H265" s="498">
        <v>0</v>
      </c>
      <c r="I265" s="498">
        <f t="shared" si="20"/>
        <v>30</v>
      </c>
      <c r="J265" s="498">
        <v>0</v>
      </c>
      <c r="K265" s="498">
        <v>30</v>
      </c>
      <c r="L265" s="668">
        <v>0</v>
      </c>
      <c r="M265" s="679">
        <f t="shared" si="21"/>
        <v>100</v>
      </c>
      <c r="N265" s="663">
        <f>(68.5*I265*M265)/1000</f>
        <v>205.5</v>
      </c>
      <c r="O265" s="717" t="s">
        <v>3882</v>
      </c>
      <c r="P265" s="508" t="s">
        <v>1588</v>
      </c>
      <c r="Q265" s="679">
        <v>0</v>
      </c>
      <c r="R265" s="679">
        <v>0</v>
      </c>
      <c r="S265" s="679">
        <v>0</v>
      </c>
      <c r="T265" s="679">
        <v>0</v>
      </c>
      <c r="U265" s="508" t="s">
        <v>3878</v>
      </c>
      <c r="V265" s="508" t="s">
        <v>3883</v>
      </c>
      <c r="W265" s="663">
        <v>145</v>
      </c>
      <c r="X265" s="508" t="s">
        <v>2243</v>
      </c>
      <c r="Y265" s="508"/>
      <c r="Z265" s="508" t="s">
        <v>3874</v>
      </c>
      <c r="AA265" s="508" t="s">
        <v>1595</v>
      </c>
      <c r="AB265" s="509" t="s">
        <v>1595</v>
      </c>
    </row>
    <row r="266" spans="1:28" ht="24" customHeight="1">
      <c r="A266" s="589"/>
      <c r="B266" s="507" t="s">
        <v>675</v>
      </c>
      <c r="C266" s="500" t="s">
        <v>3884</v>
      </c>
      <c r="D266" s="705" t="s">
        <v>3885</v>
      </c>
      <c r="E266" s="498">
        <f t="shared" si="19"/>
        <v>50</v>
      </c>
      <c r="F266" s="498">
        <v>0</v>
      </c>
      <c r="G266" s="498">
        <v>50</v>
      </c>
      <c r="H266" s="498">
        <v>0</v>
      </c>
      <c r="I266" s="498">
        <f t="shared" si="20"/>
        <v>38</v>
      </c>
      <c r="J266" s="498">
        <v>0</v>
      </c>
      <c r="K266" s="498">
        <v>38</v>
      </c>
      <c r="L266" s="668">
        <v>0</v>
      </c>
      <c r="M266" s="679">
        <f t="shared" si="21"/>
        <v>76</v>
      </c>
      <c r="N266" s="663">
        <f>(67.2*I266*M266)/1000</f>
        <v>194.0736</v>
      </c>
      <c r="O266" s="717" t="s">
        <v>3886</v>
      </c>
      <c r="P266" s="508" t="s">
        <v>1588</v>
      </c>
      <c r="Q266" s="679">
        <v>0</v>
      </c>
      <c r="R266" s="679">
        <v>0</v>
      </c>
      <c r="S266" s="679">
        <v>0</v>
      </c>
      <c r="T266" s="679">
        <v>0</v>
      </c>
      <c r="U266" s="508" t="s">
        <v>3878</v>
      </c>
      <c r="V266" s="508" t="s">
        <v>3887</v>
      </c>
      <c r="W266" s="663">
        <v>195</v>
      </c>
      <c r="X266" s="508" t="s">
        <v>2243</v>
      </c>
      <c r="Y266" s="508"/>
      <c r="Z266" s="508" t="s">
        <v>3874</v>
      </c>
      <c r="AA266" s="508" t="s">
        <v>1595</v>
      </c>
      <c r="AB266" s="509" t="s">
        <v>1595</v>
      </c>
    </row>
    <row r="267" spans="1:28" ht="24" customHeight="1">
      <c r="A267" s="589"/>
      <c r="B267" s="507" t="s">
        <v>675</v>
      </c>
      <c r="C267" s="500" t="s">
        <v>3888</v>
      </c>
      <c r="D267" s="705" t="s">
        <v>3889</v>
      </c>
      <c r="E267" s="498">
        <f t="shared" si="19"/>
        <v>50</v>
      </c>
      <c r="F267" s="498">
        <v>0</v>
      </c>
      <c r="G267" s="498">
        <v>50</v>
      </c>
      <c r="H267" s="498">
        <v>0</v>
      </c>
      <c r="I267" s="498">
        <f t="shared" si="20"/>
        <v>33</v>
      </c>
      <c r="J267" s="498">
        <v>0</v>
      </c>
      <c r="K267" s="498">
        <v>33</v>
      </c>
      <c r="L267" s="668">
        <v>0</v>
      </c>
      <c r="M267" s="679">
        <f t="shared" si="21"/>
        <v>66</v>
      </c>
      <c r="N267" s="663">
        <f>(67.7*I267*M267)/1000</f>
        <v>147.45060000000001</v>
      </c>
      <c r="O267" s="717" t="str">
        <f>O266</f>
        <v>토양식 모관유공관법</v>
      </c>
      <c r="P267" s="508" t="s">
        <v>1588</v>
      </c>
      <c r="Q267" s="679">
        <v>0</v>
      </c>
      <c r="R267" s="679">
        <v>0</v>
      </c>
      <c r="S267" s="679">
        <v>0</v>
      </c>
      <c r="T267" s="679">
        <v>0</v>
      </c>
      <c r="U267" s="508" t="s">
        <v>3878</v>
      </c>
      <c r="V267" s="508" t="s">
        <v>3890</v>
      </c>
      <c r="W267" s="663">
        <v>94</v>
      </c>
      <c r="X267" s="508" t="s">
        <v>2243</v>
      </c>
      <c r="Y267" s="508"/>
      <c r="Z267" s="508" t="s">
        <v>3874</v>
      </c>
      <c r="AA267" s="508" t="s">
        <v>1595</v>
      </c>
      <c r="AB267" s="509" t="s">
        <v>1595</v>
      </c>
    </row>
    <row r="268" spans="1:28" ht="24" customHeight="1">
      <c r="A268" s="589"/>
      <c r="B268" s="507" t="s">
        <v>675</v>
      </c>
      <c r="C268" s="500" t="s">
        <v>3891</v>
      </c>
      <c r="D268" s="705" t="s">
        <v>3892</v>
      </c>
      <c r="E268" s="498">
        <f t="shared" si="19"/>
        <v>150</v>
      </c>
      <c r="F268" s="498">
        <v>0</v>
      </c>
      <c r="G268" s="498">
        <v>150</v>
      </c>
      <c r="H268" s="498">
        <v>0</v>
      </c>
      <c r="I268" s="498">
        <f t="shared" si="20"/>
        <v>150</v>
      </c>
      <c r="J268" s="498">
        <v>0</v>
      </c>
      <c r="K268" s="498">
        <v>150</v>
      </c>
      <c r="L268" s="668">
        <v>0</v>
      </c>
      <c r="M268" s="679">
        <f t="shared" si="21"/>
        <v>100</v>
      </c>
      <c r="N268" s="663">
        <f>(147.7*I268*M268)/1000</f>
        <v>2215.5</v>
      </c>
      <c r="O268" s="717" t="s">
        <v>3893</v>
      </c>
      <c r="P268" s="508" t="s">
        <v>1588</v>
      </c>
      <c r="Q268" s="679">
        <v>0</v>
      </c>
      <c r="R268" s="679">
        <v>0</v>
      </c>
      <c r="S268" s="679">
        <v>0</v>
      </c>
      <c r="T268" s="679">
        <v>0</v>
      </c>
      <c r="U268" s="508" t="s">
        <v>3878</v>
      </c>
      <c r="V268" s="508" t="s">
        <v>3894</v>
      </c>
      <c r="W268" s="663">
        <v>200</v>
      </c>
      <c r="X268" s="508" t="s">
        <v>2243</v>
      </c>
      <c r="Y268" s="508"/>
      <c r="Z268" s="508" t="s">
        <v>3874</v>
      </c>
      <c r="AA268" s="508" t="s">
        <v>1595</v>
      </c>
      <c r="AB268" s="509" t="s">
        <v>1595</v>
      </c>
    </row>
    <row r="269" spans="1:28" ht="24" customHeight="1">
      <c r="A269" s="589"/>
      <c r="B269" s="507" t="s">
        <v>675</v>
      </c>
      <c r="C269" s="500" t="s">
        <v>3895</v>
      </c>
      <c r="D269" s="705" t="s">
        <v>3896</v>
      </c>
      <c r="E269" s="498">
        <f t="shared" si="19"/>
        <v>200</v>
      </c>
      <c r="F269" s="498">
        <v>0</v>
      </c>
      <c r="G269" s="498">
        <v>200</v>
      </c>
      <c r="H269" s="498">
        <v>0</v>
      </c>
      <c r="I269" s="498">
        <f t="shared" si="20"/>
        <v>200</v>
      </c>
      <c r="J269" s="498">
        <v>0</v>
      </c>
      <c r="K269" s="498">
        <v>200</v>
      </c>
      <c r="L269" s="668">
        <v>0</v>
      </c>
      <c r="M269" s="679">
        <f t="shared" si="21"/>
        <v>100</v>
      </c>
      <c r="N269" s="663">
        <f>(147.7*I269*M269)/1000</f>
        <v>2953.9999999999995</v>
      </c>
      <c r="O269" s="717" t="s">
        <v>3893</v>
      </c>
      <c r="P269" s="508" t="s">
        <v>1588</v>
      </c>
      <c r="Q269" s="679">
        <v>0</v>
      </c>
      <c r="R269" s="679">
        <v>0</v>
      </c>
      <c r="S269" s="679">
        <v>0</v>
      </c>
      <c r="T269" s="679">
        <v>0</v>
      </c>
      <c r="U269" s="508" t="s">
        <v>3878</v>
      </c>
      <c r="V269" s="508" t="s">
        <v>3897</v>
      </c>
      <c r="W269" s="663">
        <v>200</v>
      </c>
      <c r="X269" s="508" t="s">
        <v>2243</v>
      </c>
      <c r="Y269" s="508"/>
      <c r="Z269" s="508" t="s">
        <v>3874</v>
      </c>
      <c r="AA269" s="508" t="s">
        <v>1595</v>
      </c>
      <c r="AB269" s="509" t="s">
        <v>1595</v>
      </c>
    </row>
    <row r="270" spans="1:28" ht="24" customHeight="1">
      <c r="A270" s="589"/>
      <c r="B270" s="507" t="s">
        <v>675</v>
      </c>
      <c r="C270" s="500" t="s">
        <v>3898</v>
      </c>
      <c r="D270" s="705" t="s">
        <v>3899</v>
      </c>
      <c r="E270" s="498">
        <f t="shared" si="19"/>
        <v>50</v>
      </c>
      <c r="F270" s="498">
        <v>0</v>
      </c>
      <c r="G270" s="498">
        <v>50</v>
      </c>
      <c r="H270" s="498">
        <v>0</v>
      </c>
      <c r="I270" s="498">
        <f t="shared" si="20"/>
        <v>45</v>
      </c>
      <c r="J270" s="498">
        <v>0</v>
      </c>
      <c r="K270" s="498">
        <v>45</v>
      </c>
      <c r="L270" s="668">
        <v>0</v>
      </c>
      <c r="M270" s="679">
        <f t="shared" si="21"/>
        <v>90</v>
      </c>
      <c r="N270" s="663">
        <f>(10.7*I270*M270)/1000</f>
        <v>43.334999999999994</v>
      </c>
      <c r="O270" s="717" t="s">
        <v>3900</v>
      </c>
      <c r="P270" s="508" t="s">
        <v>1588</v>
      </c>
      <c r="Q270" s="679">
        <v>0</v>
      </c>
      <c r="R270" s="679">
        <v>0</v>
      </c>
      <c r="S270" s="679">
        <v>0</v>
      </c>
      <c r="T270" s="679">
        <v>0</v>
      </c>
      <c r="U270" s="508" t="s">
        <v>3878</v>
      </c>
      <c r="V270" s="508" t="s">
        <v>3901</v>
      </c>
      <c r="W270" s="663">
        <v>208</v>
      </c>
      <c r="X270" s="508" t="s">
        <v>2243</v>
      </c>
      <c r="Y270" s="508"/>
      <c r="Z270" s="508" t="s">
        <v>3874</v>
      </c>
      <c r="AA270" s="508" t="s">
        <v>1595</v>
      </c>
      <c r="AB270" s="509" t="s">
        <v>1595</v>
      </c>
    </row>
    <row r="271" spans="1:28" ht="24" customHeight="1">
      <c r="A271" s="589"/>
      <c r="B271" s="507" t="s">
        <v>675</v>
      </c>
      <c r="C271" s="500" t="s">
        <v>3902</v>
      </c>
      <c r="D271" s="705" t="s">
        <v>3903</v>
      </c>
      <c r="E271" s="498">
        <f t="shared" si="19"/>
        <v>50</v>
      </c>
      <c r="F271" s="498">
        <v>0</v>
      </c>
      <c r="G271" s="498">
        <v>50</v>
      </c>
      <c r="H271" s="498">
        <v>0</v>
      </c>
      <c r="I271" s="498">
        <f t="shared" si="20"/>
        <v>38</v>
      </c>
      <c r="J271" s="498">
        <v>0</v>
      </c>
      <c r="K271" s="498">
        <v>38</v>
      </c>
      <c r="L271" s="668">
        <v>0</v>
      </c>
      <c r="M271" s="679">
        <f t="shared" si="21"/>
        <v>76</v>
      </c>
      <c r="N271" s="663">
        <f>(45.2*I271*M271)/1000</f>
        <v>130.5376</v>
      </c>
      <c r="O271" s="717" t="s">
        <v>3900</v>
      </c>
      <c r="P271" s="508" t="s">
        <v>1588</v>
      </c>
      <c r="Q271" s="679">
        <v>0</v>
      </c>
      <c r="R271" s="679">
        <v>0</v>
      </c>
      <c r="S271" s="679">
        <v>0</v>
      </c>
      <c r="T271" s="679">
        <v>0</v>
      </c>
      <c r="U271" s="508" t="s">
        <v>3878</v>
      </c>
      <c r="V271" s="508" t="s">
        <v>3904</v>
      </c>
      <c r="W271" s="663">
        <v>194</v>
      </c>
      <c r="X271" s="508" t="s">
        <v>2243</v>
      </c>
      <c r="Y271" s="508"/>
      <c r="Z271" s="508" t="s">
        <v>3874</v>
      </c>
      <c r="AA271" s="508" t="s">
        <v>1595</v>
      </c>
      <c r="AB271" s="509" t="s">
        <v>1595</v>
      </c>
    </row>
    <row r="272" spans="1:28" ht="24" customHeight="1">
      <c r="A272" s="589"/>
      <c r="B272" s="507" t="s">
        <v>675</v>
      </c>
      <c r="C272" s="500" t="s">
        <v>3905</v>
      </c>
      <c r="D272" s="705" t="s">
        <v>3906</v>
      </c>
      <c r="E272" s="498">
        <f t="shared" si="19"/>
        <v>50</v>
      </c>
      <c r="F272" s="498">
        <v>0</v>
      </c>
      <c r="G272" s="498">
        <v>50</v>
      </c>
      <c r="H272" s="498">
        <v>0</v>
      </c>
      <c r="I272" s="498">
        <f t="shared" si="20"/>
        <v>33</v>
      </c>
      <c r="J272" s="498">
        <v>0</v>
      </c>
      <c r="K272" s="498">
        <v>33</v>
      </c>
      <c r="L272" s="668">
        <v>0</v>
      </c>
      <c r="M272" s="679">
        <f t="shared" si="21"/>
        <v>66</v>
      </c>
      <c r="N272" s="663">
        <f>(85.3*I272*M272)/1000</f>
        <v>185.7834</v>
      </c>
      <c r="O272" s="717" t="s">
        <v>3900</v>
      </c>
      <c r="P272" s="508" t="s">
        <v>1588</v>
      </c>
      <c r="Q272" s="679">
        <v>0</v>
      </c>
      <c r="R272" s="679">
        <v>0</v>
      </c>
      <c r="S272" s="679">
        <v>0</v>
      </c>
      <c r="T272" s="679">
        <v>0</v>
      </c>
      <c r="U272" s="508" t="s">
        <v>3878</v>
      </c>
      <c r="V272" s="508" t="s">
        <v>3907</v>
      </c>
      <c r="W272" s="663">
        <v>171</v>
      </c>
      <c r="X272" s="508" t="s">
        <v>2243</v>
      </c>
      <c r="Y272" s="508"/>
      <c r="Z272" s="508" t="s">
        <v>3874</v>
      </c>
      <c r="AA272" s="508" t="s">
        <v>1595</v>
      </c>
      <c r="AB272" s="509" t="s">
        <v>1595</v>
      </c>
    </row>
    <row r="273" spans="1:28" ht="24" customHeight="1">
      <c r="A273" s="589"/>
      <c r="B273" s="507" t="s">
        <v>675</v>
      </c>
      <c r="C273" s="500" t="s">
        <v>3908</v>
      </c>
      <c r="D273" s="705" t="s">
        <v>3909</v>
      </c>
      <c r="E273" s="498">
        <f t="shared" si="19"/>
        <v>50</v>
      </c>
      <c r="F273" s="498">
        <v>0</v>
      </c>
      <c r="G273" s="498">
        <v>50</v>
      </c>
      <c r="H273" s="498">
        <v>0</v>
      </c>
      <c r="I273" s="498">
        <f t="shared" si="20"/>
        <v>32</v>
      </c>
      <c r="J273" s="498">
        <v>0</v>
      </c>
      <c r="K273" s="498">
        <v>32</v>
      </c>
      <c r="L273" s="668">
        <v>0</v>
      </c>
      <c r="M273" s="679">
        <f t="shared" si="21"/>
        <v>64</v>
      </c>
      <c r="N273" s="663">
        <f>(100.2*I273*M273)/1000</f>
        <v>205.20959999999999</v>
      </c>
      <c r="O273" s="717" t="str">
        <f>O266</f>
        <v>토양식 모관유공관법</v>
      </c>
      <c r="P273" s="508" t="s">
        <v>1588</v>
      </c>
      <c r="Q273" s="679">
        <v>0</v>
      </c>
      <c r="R273" s="679">
        <v>0</v>
      </c>
      <c r="S273" s="679">
        <v>0</v>
      </c>
      <c r="T273" s="679">
        <v>0</v>
      </c>
      <c r="U273" s="508" t="s">
        <v>3878</v>
      </c>
      <c r="V273" s="508" t="s">
        <v>3910</v>
      </c>
      <c r="W273" s="663">
        <v>172</v>
      </c>
      <c r="X273" s="508" t="s">
        <v>2243</v>
      </c>
      <c r="Y273" s="508"/>
      <c r="Z273" s="508" t="s">
        <v>3874</v>
      </c>
      <c r="AA273" s="508" t="s">
        <v>1595</v>
      </c>
      <c r="AB273" s="509" t="s">
        <v>1595</v>
      </c>
    </row>
    <row r="274" spans="1:28" ht="24" customHeight="1">
      <c r="A274" s="589"/>
      <c r="B274" s="507" t="s">
        <v>675</v>
      </c>
      <c r="C274" s="500" t="s">
        <v>3911</v>
      </c>
      <c r="D274" s="705" t="s">
        <v>3912</v>
      </c>
      <c r="E274" s="498">
        <f t="shared" si="19"/>
        <v>50</v>
      </c>
      <c r="F274" s="498">
        <v>0</v>
      </c>
      <c r="G274" s="498">
        <v>50</v>
      </c>
      <c r="H274" s="498">
        <v>0</v>
      </c>
      <c r="I274" s="498">
        <f t="shared" si="20"/>
        <v>43</v>
      </c>
      <c r="J274" s="498">
        <v>0</v>
      </c>
      <c r="K274" s="498">
        <v>43</v>
      </c>
      <c r="L274" s="668">
        <v>0</v>
      </c>
      <c r="M274" s="679">
        <f t="shared" si="21"/>
        <v>86</v>
      </c>
      <c r="N274" s="663">
        <f>(68.6*I274*M274)/1000</f>
        <v>253.68279999999999</v>
      </c>
      <c r="O274" s="717" t="str">
        <f>O273</f>
        <v>토양식 모관유공관법</v>
      </c>
      <c r="P274" s="508" t="s">
        <v>1588</v>
      </c>
      <c r="Q274" s="679">
        <v>0</v>
      </c>
      <c r="R274" s="679">
        <v>0</v>
      </c>
      <c r="S274" s="679">
        <v>0</v>
      </c>
      <c r="T274" s="679">
        <v>0</v>
      </c>
      <c r="U274" s="508" t="s">
        <v>3878</v>
      </c>
      <c r="V274" s="508" t="s">
        <v>3910</v>
      </c>
      <c r="W274" s="663">
        <v>212</v>
      </c>
      <c r="X274" s="508" t="s">
        <v>2243</v>
      </c>
      <c r="Y274" s="508"/>
      <c r="Z274" s="508" t="s">
        <v>3874</v>
      </c>
      <c r="AA274" s="508" t="s">
        <v>1595</v>
      </c>
      <c r="AB274" s="509" t="s">
        <v>1595</v>
      </c>
    </row>
    <row r="275" spans="1:28" ht="24" customHeight="1">
      <c r="A275" s="589"/>
      <c r="B275" s="507" t="s">
        <v>675</v>
      </c>
      <c r="C275" s="500" t="s">
        <v>3913</v>
      </c>
      <c r="D275" s="705" t="s">
        <v>3914</v>
      </c>
      <c r="E275" s="498">
        <f t="shared" si="19"/>
        <v>200</v>
      </c>
      <c r="F275" s="498">
        <v>0</v>
      </c>
      <c r="G275" s="498">
        <v>200</v>
      </c>
      <c r="H275" s="498">
        <v>0</v>
      </c>
      <c r="I275" s="498">
        <f t="shared" si="20"/>
        <v>200</v>
      </c>
      <c r="J275" s="498">
        <v>0</v>
      </c>
      <c r="K275" s="498">
        <v>200</v>
      </c>
      <c r="L275" s="668">
        <v>0</v>
      </c>
      <c r="M275" s="679">
        <f t="shared" si="21"/>
        <v>100</v>
      </c>
      <c r="N275" s="663">
        <f>(36.1*I275*M275)/1000</f>
        <v>722</v>
      </c>
      <c r="O275" s="717" t="s">
        <v>3893</v>
      </c>
      <c r="P275" s="508" t="s">
        <v>1588</v>
      </c>
      <c r="Q275" s="679">
        <v>0</v>
      </c>
      <c r="R275" s="679">
        <v>0</v>
      </c>
      <c r="S275" s="679">
        <v>0</v>
      </c>
      <c r="T275" s="679">
        <v>0</v>
      </c>
      <c r="U275" s="508" t="s">
        <v>3878</v>
      </c>
      <c r="V275" s="508" t="s">
        <v>3915</v>
      </c>
      <c r="W275" s="663">
        <v>364</v>
      </c>
      <c r="X275" s="508" t="s">
        <v>2243</v>
      </c>
      <c r="Y275" s="508"/>
      <c r="Z275" s="508" t="s">
        <v>3874</v>
      </c>
      <c r="AA275" s="508" t="s">
        <v>1595</v>
      </c>
      <c r="AB275" s="509" t="s">
        <v>1595</v>
      </c>
    </row>
    <row r="276" spans="1:28" ht="24" customHeight="1">
      <c r="A276" s="589"/>
      <c r="B276" s="507" t="s">
        <v>675</v>
      </c>
      <c r="C276" s="500" t="s">
        <v>3916</v>
      </c>
      <c r="D276" s="705" t="s">
        <v>3917</v>
      </c>
      <c r="E276" s="498">
        <f t="shared" si="19"/>
        <v>70</v>
      </c>
      <c r="F276" s="498">
        <v>0</v>
      </c>
      <c r="G276" s="498">
        <v>70</v>
      </c>
      <c r="H276" s="498">
        <v>0</v>
      </c>
      <c r="I276" s="498">
        <f t="shared" si="20"/>
        <v>53</v>
      </c>
      <c r="J276" s="498">
        <v>0</v>
      </c>
      <c r="K276" s="498">
        <v>53</v>
      </c>
      <c r="L276" s="668">
        <v>0</v>
      </c>
      <c r="M276" s="679">
        <f t="shared" si="21"/>
        <v>75.714285714285708</v>
      </c>
      <c r="N276" s="663">
        <f>(79.3*I276*M276)/1000</f>
        <v>318.21957142857138</v>
      </c>
      <c r="O276" s="717" t="s">
        <v>3900</v>
      </c>
      <c r="P276" s="508" t="s">
        <v>1588</v>
      </c>
      <c r="Q276" s="679">
        <v>0</v>
      </c>
      <c r="R276" s="679">
        <v>0</v>
      </c>
      <c r="S276" s="679">
        <v>0</v>
      </c>
      <c r="T276" s="679">
        <v>0</v>
      </c>
      <c r="U276" s="508" t="s">
        <v>3878</v>
      </c>
      <c r="V276" s="508" t="s">
        <v>3918</v>
      </c>
      <c r="W276" s="663">
        <v>172</v>
      </c>
      <c r="X276" s="508" t="s">
        <v>2243</v>
      </c>
      <c r="Y276" s="508"/>
      <c r="Z276" s="508" t="s">
        <v>3874</v>
      </c>
      <c r="AA276" s="508" t="s">
        <v>1595</v>
      </c>
      <c r="AB276" s="509" t="s">
        <v>1595</v>
      </c>
    </row>
    <row r="277" spans="1:28" ht="24" customHeight="1">
      <c r="A277" s="589"/>
      <c r="B277" s="507" t="s">
        <v>675</v>
      </c>
      <c r="C277" s="500" t="s">
        <v>3919</v>
      </c>
      <c r="D277" s="705" t="s">
        <v>3920</v>
      </c>
      <c r="E277" s="498">
        <f t="shared" si="19"/>
        <v>50</v>
      </c>
      <c r="F277" s="498">
        <v>0</v>
      </c>
      <c r="G277" s="498">
        <v>50</v>
      </c>
      <c r="H277" s="498">
        <v>0</v>
      </c>
      <c r="I277" s="498">
        <f t="shared" ref="I277:I286" si="22">SUM(J277:L277)</f>
        <v>33</v>
      </c>
      <c r="J277" s="498">
        <v>0</v>
      </c>
      <c r="K277" s="498">
        <v>33</v>
      </c>
      <c r="L277" s="668">
        <v>0</v>
      </c>
      <c r="M277" s="679">
        <f t="shared" si="21"/>
        <v>66</v>
      </c>
      <c r="N277" s="663">
        <f>(18.2*I277*M277)/1000</f>
        <v>39.639600000000002</v>
      </c>
      <c r="O277" s="717" t="s">
        <v>3900</v>
      </c>
      <c r="P277" s="508" t="s">
        <v>1588</v>
      </c>
      <c r="Q277" s="679">
        <v>0</v>
      </c>
      <c r="R277" s="679">
        <v>0</v>
      </c>
      <c r="S277" s="679">
        <v>0</v>
      </c>
      <c r="T277" s="679">
        <v>0</v>
      </c>
      <c r="U277" s="508" t="s">
        <v>3878</v>
      </c>
      <c r="V277" s="508" t="s">
        <v>3918</v>
      </c>
      <c r="W277" s="663">
        <v>200</v>
      </c>
      <c r="X277" s="508" t="s">
        <v>2243</v>
      </c>
      <c r="Y277" s="508"/>
      <c r="Z277" s="508" t="s">
        <v>3874</v>
      </c>
      <c r="AA277" s="508" t="s">
        <v>1595</v>
      </c>
      <c r="AB277" s="509" t="s">
        <v>1595</v>
      </c>
    </row>
    <row r="278" spans="1:28" ht="24" customHeight="1">
      <c r="A278" s="589"/>
      <c r="B278" s="507" t="s">
        <v>675</v>
      </c>
      <c r="C278" s="500" t="s">
        <v>3921</v>
      </c>
      <c r="D278" s="705" t="s">
        <v>3922</v>
      </c>
      <c r="E278" s="498">
        <f t="shared" si="19"/>
        <v>200</v>
      </c>
      <c r="F278" s="498">
        <v>0</v>
      </c>
      <c r="G278" s="498">
        <v>200</v>
      </c>
      <c r="H278" s="498">
        <v>0</v>
      </c>
      <c r="I278" s="498">
        <f t="shared" si="22"/>
        <v>170</v>
      </c>
      <c r="J278" s="498">
        <v>0</v>
      </c>
      <c r="K278" s="498">
        <v>170</v>
      </c>
      <c r="L278" s="668">
        <v>0</v>
      </c>
      <c r="M278" s="679">
        <f t="shared" si="21"/>
        <v>85</v>
      </c>
      <c r="N278" s="663">
        <f>(44.9*I278*M278)/1000</f>
        <v>648.80499999999995</v>
      </c>
      <c r="O278" s="717" t="str">
        <f>O275</f>
        <v>고도접촉산화법</v>
      </c>
      <c r="P278" s="508" t="s">
        <v>1588</v>
      </c>
      <c r="Q278" s="679">
        <v>0</v>
      </c>
      <c r="R278" s="679">
        <v>0</v>
      </c>
      <c r="S278" s="679">
        <v>0</v>
      </c>
      <c r="T278" s="679">
        <v>0</v>
      </c>
      <c r="U278" s="508" t="s">
        <v>3878</v>
      </c>
      <c r="V278" s="508" t="s">
        <v>3923</v>
      </c>
      <c r="W278" s="663">
        <v>250</v>
      </c>
      <c r="X278" s="508" t="s">
        <v>2243</v>
      </c>
      <c r="Y278" s="508"/>
      <c r="Z278" s="508" t="s">
        <v>3874</v>
      </c>
      <c r="AA278" s="508" t="s">
        <v>1595</v>
      </c>
      <c r="AB278" s="509" t="s">
        <v>1595</v>
      </c>
    </row>
    <row r="279" spans="1:28" ht="24" customHeight="1">
      <c r="A279" s="589"/>
      <c r="B279" s="507" t="s">
        <v>675</v>
      </c>
      <c r="C279" s="500" t="s">
        <v>3924</v>
      </c>
      <c r="D279" s="705" t="s">
        <v>3925</v>
      </c>
      <c r="E279" s="498">
        <f t="shared" si="19"/>
        <v>30</v>
      </c>
      <c r="F279" s="498">
        <v>0</v>
      </c>
      <c r="G279" s="498">
        <v>0</v>
      </c>
      <c r="H279" s="498">
        <v>30</v>
      </c>
      <c r="I279" s="498">
        <f t="shared" si="22"/>
        <v>30</v>
      </c>
      <c r="J279" s="498">
        <v>0</v>
      </c>
      <c r="K279" s="498">
        <v>0</v>
      </c>
      <c r="L279" s="668">
        <v>30</v>
      </c>
      <c r="M279" s="679">
        <f>I279/H279*100</f>
        <v>100</v>
      </c>
      <c r="N279" s="663">
        <f>(17.4*I279*M279)/1000</f>
        <v>52.2</v>
      </c>
      <c r="O279" s="717" t="s">
        <v>3926</v>
      </c>
      <c r="P279" s="508" t="s">
        <v>1588</v>
      </c>
      <c r="Q279" s="679">
        <v>0</v>
      </c>
      <c r="R279" s="679">
        <v>0</v>
      </c>
      <c r="S279" s="679">
        <v>0</v>
      </c>
      <c r="T279" s="679">
        <v>0</v>
      </c>
      <c r="U279" s="508" t="s">
        <v>3878</v>
      </c>
      <c r="V279" s="508" t="s">
        <v>3927</v>
      </c>
      <c r="W279" s="663">
        <v>226</v>
      </c>
      <c r="X279" s="508" t="s">
        <v>2243</v>
      </c>
      <c r="Y279" s="508"/>
      <c r="Z279" s="508" t="s">
        <v>3874</v>
      </c>
      <c r="AA279" s="508" t="s">
        <v>1595</v>
      </c>
      <c r="AB279" s="509" t="s">
        <v>1595</v>
      </c>
    </row>
    <row r="280" spans="1:28" ht="24" customHeight="1">
      <c r="A280" s="589"/>
      <c r="B280" s="507" t="s">
        <v>675</v>
      </c>
      <c r="C280" s="500" t="s">
        <v>3928</v>
      </c>
      <c r="D280" s="705" t="s">
        <v>3929</v>
      </c>
      <c r="E280" s="498">
        <f t="shared" si="19"/>
        <v>30</v>
      </c>
      <c r="F280" s="498">
        <v>0</v>
      </c>
      <c r="G280" s="498">
        <v>0</v>
      </c>
      <c r="H280" s="498">
        <v>30</v>
      </c>
      <c r="I280" s="498">
        <f t="shared" si="22"/>
        <v>28</v>
      </c>
      <c r="J280" s="498">
        <v>0</v>
      </c>
      <c r="K280" s="498">
        <v>0</v>
      </c>
      <c r="L280" s="668">
        <v>28</v>
      </c>
      <c r="M280" s="679">
        <f>I280/H280*100</f>
        <v>93.333333333333329</v>
      </c>
      <c r="N280" s="663">
        <f>(39.4*I280*M280)/1000</f>
        <v>102.96533333333333</v>
      </c>
      <c r="O280" s="717" t="s">
        <v>3926</v>
      </c>
      <c r="P280" s="508" t="s">
        <v>1588</v>
      </c>
      <c r="Q280" s="679">
        <v>0</v>
      </c>
      <c r="R280" s="679">
        <v>0</v>
      </c>
      <c r="S280" s="679">
        <v>0</v>
      </c>
      <c r="T280" s="679">
        <v>0</v>
      </c>
      <c r="U280" s="508" t="s">
        <v>3878</v>
      </c>
      <c r="V280" s="508" t="s">
        <v>3927</v>
      </c>
      <c r="W280" s="663">
        <v>265</v>
      </c>
      <c r="X280" s="508" t="s">
        <v>2243</v>
      </c>
      <c r="Y280" s="508"/>
      <c r="Z280" s="508" t="s">
        <v>3874</v>
      </c>
      <c r="AA280" s="508" t="s">
        <v>1595</v>
      </c>
      <c r="AB280" s="509" t="s">
        <v>1595</v>
      </c>
    </row>
    <row r="281" spans="1:28" ht="24" customHeight="1">
      <c r="A281" s="590" t="s">
        <v>1851</v>
      </c>
      <c r="B281" s="510" t="s">
        <v>2201</v>
      </c>
      <c r="C281" s="718" t="s">
        <v>2385</v>
      </c>
      <c r="D281" s="510" t="s">
        <v>3930</v>
      </c>
      <c r="E281" s="498">
        <f t="shared" ref="E281:E305" si="23">SUM(F281:H281)</f>
        <v>130000</v>
      </c>
      <c r="F281" s="498">
        <v>0</v>
      </c>
      <c r="G281" s="498">
        <v>130000</v>
      </c>
      <c r="H281" s="498">
        <v>0</v>
      </c>
      <c r="I281" s="498">
        <f t="shared" si="22"/>
        <v>116777</v>
      </c>
      <c r="J281" s="498">
        <v>0</v>
      </c>
      <c r="K281" s="498">
        <v>116777</v>
      </c>
      <c r="L281" s="668">
        <v>0</v>
      </c>
      <c r="M281" s="680">
        <v>94</v>
      </c>
      <c r="N281" s="659">
        <v>1450066</v>
      </c>
      <c r="O281" s="720" t="s">
        <v>1535</v>
      </c>
      <c r="P281" s="479" t="s">
        <v>1588</v>
      </c>
      <c r="Q281" s="680">
        <v>372</v>
      </c>
      <c r="R281" s="680">
        <v>250</v>
      </c>
      <c r="S281" s="680">
        <v>261</v>
      </c>
      <c r="T281" s="680">
        <v>2244</v>
      </c>
      <c r="U281" s="479" t="s">
        <v>2254</v>
      </c>
      <c r="V281" s="511">
        <v>34683</v>
      </c>
      <c r="W281" s="498">
        <v>59097</v>
      </c>
      <c r="X281" s="479" t="s">
        <v>2193</v>
      </c>
      <c r="Y281" s="479" t="s">
        <v>3327</v>
      </c>
      <c r="Z281" s="479" t="s">
        <v>3931</v>
      </c>
      <c r="AA281" s="479" t="s">
        <v>1534</v>
      </c>
      <c r="AB281" s="512" t="s">
        <v>3932</v>
      </c>
    </row>
    <row r="282" spans="1:28" ht="24" customHeight="1">
      <c r="A282" s="591"/>
      <c r="B282" s="510" t="s">
        <v>675</v>
      </c>
      <c r="C282" s="718" t="s">
        <v>3933</v>
      </c>
      <c r="D282" s="510" t="s">
        <v>3934</v>
      </c>
      <c r="E282" s="498">
        <f t="shared" si="23"/>
        <v>150</v>
      </c>
      <c r="F282" s="498">
        <v>0</v>
      </c>
      <c r="G282" s="498">
        <v>150</v>
      </c>
      <c r="H282" s="498">
        <v>0</v>
      </c>
      <c r="I282" s="498">
        <f t="shared" si="22"/>
        <v>84</v>
      </c>
      <c r="J282" s="498">
        <v>0</v>
      </c>
      <c r="K282" s="498">
        <v>84</v>
      </c>
      <c r="L282" s="668">
        <v>0</v>
      </c>
      <c r="M282" s="680">
        <v>95.334934341627914</v>
      </c>
      <c r="N282" s="659">
        <v>373.5394330386797</v>
      </c>
      <c r="O282" s="720" t="s">
        <v>3221</v>
      </c>
      <c r="P282" s="479" t="s">
        <v>1588</v>
      </c>
      <c r="Q282" s="680">
        <v>0</v>
      </c>
      <c r="R282" s="680">
        <v>0</v>
      </c>
      <c r="S282" s="680">
        <v>0</v>
      </c>
      <c r="T282" s="680">
        <v>0</v>
      </c>
      <c r="U282" s="479" t="s">
        <v>7458</v>
      </c>
      <c r="V282" s="511" t="s">
        <v>3935</v>
      </c>
      <c r="W282" s="498">
        <v>360</v>
      </c>
      <c r="X282" s="479" t="s">
        <v>2363</v>
      </c>
      <c r="Y282" s="479" t="s">
        <v>3936</v>
      </c>
      <c r="Z282" s="479" t="s">
        <v>3937</v>
      </c>
      <c r="AA282" s="479" t="s">
        <v>3938</v>
      </c>
      <c r="AB282" s="512" t="s">
        <v>1596</v>
      </c>
    </row>
    <row r="283" spans="1:28" ht="24" customHeight="1">
      <c r="A283" s="591"/>
      <c r="B283" s="510" t="s">
        <v>675</v>
      </c>
      <c r="C283" s="718" t="s">
        <v>3939</v>
      </c>
      <c r="D283" s="510" t="s">
        <v>3940</v>
      </c>
      <c r="E283" s="498">
        <f>SUM(F283:H283)</f>
        <v>130</v>
      </c>
      <c r="F283" s="498">
        <v>0</v>
      </c>
      <c r="G283" s="498">
        <v>130</v>
      </c>
      <c r="H283" s="498">
        <v>0</v>
      </c>
      <c r="I283" s="498">
        <f t="shared" si="22"/>
        <v>68</v>
      </c>
      <c r="J283" s="498">
        <v>0</v>
      </c>
      <c r="K283" s="498">
        <v>68</v>
      </c>
      <c r="L283" s="668">
        <v>0</v>
      </c>
      <c r="M283" s="680">
        <v>97.521572410941516</v>
      </c>
      <c r="N283" s="659">
        <v>1094.8441366982852</v>
      </c>
      <c r="O283" s="720" t="s">
        <v>3221</v>
      </c>
      <c r="P283" s="479" t="s">
        <v>1588</v>
      </c>
      <c r="Q283" s="680">
        <v>0</v>
      </c>
      <c r="R283" s="680">
        <v>0</v>
      </c>
      <c r="S283" s="680">
        <v>0</v>
      </c>
      <c r="T283" s="680">
        <v>0</v>
      </c>
      <c r="U283" s="479" t="s">
        <v>7458</v>
      </c>
      <c r="V283" s="511" t="s">
        <v>3941</v>
      </c>
      <c r="W283" s="498">
        <v>300</v>
      </c>
      <c r="X283" s="479" t="s">
        <v>2363</v>
      </c>
      <c r="Y283" s="479" t="s">
        <v>3936</v>
      </c>
      <c r="Z283" s="479" t="s">
        <v>3942</v>
      </c>
      <c r="AA283" s="479" t="s">
        <v>3938</v>
      </c>
      <c r="AB283" s="512" t="s">
        <v>1596</v>
      </c>
    </row>
    <row r="284" spans="1:28" ht="24" customHeight="1">
      <c r="A284" s="591"/>
      <c r="B284" s="510" t="s">
        <v>675</v>
      </c>
      <c r="C284" s="718" t="s">
        <v>3943</v>
      </c>
      <c r="D284" s="510" t="s">
        <v>3944</v>
      </c>
      <c r="E284" s="498">
        <f>SUM(F284:H284)</f>
        <v>100</v>
      </c>
      <c r="F284" s="498">
        <v>0</v>
      </c>
      <c r="G284" s="498">
        <v>100</v>
      </c>
      <c r="H284" s="498">
        <v>0</v>
      </c>
      <c r="I284" s="498">
        <f t="shared" si="22"/>
        <v>56</v>
      </c>
      <c r="J284" s="498">
        <v>0</v>
      </c>
      <c r="K284" s="498">
        <v>56</v>
      </c>
      <c r="L284" s="668">
        <v>0</v>
      </c>
      <c r="M284" s="680">
        <v>89.149457472873635</v>
      </c>
      <c r="N284" s="659">
        <v>254.31130836541823</v>
      </c>
      <c r="O284" s="720" t="s">
        <v>3221</v>
      </c>
      <c r="P284" s="479" t="s">
        <v>1588</v>
      </c>
      <c r="Q284" s="680">
        <v>0</v>
      </c>
      <c r="R284" s="680">
        <v>0</v>
      </c>
      <c r="S284" s="680">
        <v>0</v>
      </c>
      <c r="T284" s="680">
        <v>0</v>
      </c>
      <c r="U284" s="479" t="s">
        <v>7458</v>
      </c>
      <c r="V284" s="511" t="s">
        <v>3945</v>
      </c>
      <c r="W284" s="498">
        <v>326</v>
      </c>
      <c r="X284" s="479" t="s">
        <v>2363</v>
      </c>
      <c r="Y284" s="479" t="s">
        <v>3936</v>
      </c>
      <c r="Z284" s="479"/>
      <c r="AA284" s="479" t="s">
        <v>3938</v>
      </c>
      <c r="AB284" s="512" t="s">
        <v>1596</v>
      </c>
    </row>
    <row r="285" spans="1:28" ht="24" customHeight="1">
      <c r="A285" s="591"/>
      <c r="B285" s="510" t="s">
        <v>675</v>
      </c>
      <c r="C285" s="718" t="s">
        <v>3946</v>
      </c>
      <c r="D285" s="510" t="s">
        <v>3947</v>
      </c>
      <c r="E285" s="498">
        <f>SUM(F285:H285)</f>
        <v>200</v>
      </c>
      <c r="F285" s="498">
        <v>0</v>
      </c>
      <c r="G285" s="498">
        <v>0</v>
      </c>
      <c r="H285" s="498">
        <v>200</v>
      </c>
      <c r="I285" s="498">
        <f t="shared" si="22"/>
        <v>175</v>
      </c>
      <c r="J285" s="498">
        <v>0</v>
      </c>
      <c r="K285" s="498">
        <v>0</v>
      </c>
      <c r="L285" s="668">
        <v>175</v>
      </c>
      <c r="M285" s="680">
        <v>95.229467358973096</v>
      </c>
      <c r="N285" s="659">
        <v>1004.6639765007826</v>
      </c>
      <c r="O285" s="720" t="s">
        <v>3948</v>
      </c>
      <c r="P285" s="477" t="s">
        <v>3949</v>
      </c>
      <c r="Q285" s="680">
        <v>0</v>
      </c>
      <c r="R285" s="680">
        <v>0</v>
      </c>
      <c r="S285" s="680">
        <v>0</v>
      </c>
      <c r="T285" s="680">
        <v>0</v>
      </c>
      <c r="U285" s="479" t="s">
        <v>7458</v>
      </c>
      <c r="V285" s="511" t="s">
        <v>3950</v>
      </c>
      <c r="W285" s="498">
        <v>330</v>
      </c>
      <c r="X285" s="479" t="s">
        <v>2363</v>
      </c>
      <c r="Y285" s="479" t="s">
        <v>3936</v>
      </c>
      <c r="Z285" s="479"/>
      <c r="AA285" s="479" t="s">
        <v>3640</v>
      </c>
      <c r="AB285" s="512" t="s">
        <v>1596</v>
      </c>
    </row>
    <row r="286" spans="1:28" ht="24" customHeight="1">
      <c r="A286" s="591"/>
      <c r="B286" s="510" t="s">
        <v>675</v>
      </c>
      <c r="C286" s="718" t="s">
        <v>3951</v>
      </c>
      <c r="D286" s="510" t="s">
        <v>3952</v>
      </c>
      <c r="E286" s="498">
        <f>SUM(F286:H286)</f>
        <v>200</v>
      </c>
      <c r="F286" s="498">
        <v>0</v>
      </c>
      <c r="G286" s="498">
        <v>200</v>
      </c>
      <c r="H286" s="498">
        <v>0</v>
      </c>
      <c r="I286" s="498">
        <f t="shared" si="22"/>
        <v>186</v>
      </c>
      <c r="J286" s="498">
        <v>0</v>
      </c>
      <c r="K286" s="498">
        <v>186</v>
      </c>
      <c r="L286" s="668">
        <v>0</v>
      </c>
      <c r="M286" s="680">
        <v>95.278807679890377</v>
      </c>
      <c r="N286" s="659">
        <v>1782.569354946319</v>
      </c>
      <c r="O286" s="720" t="s">
        <v>3221</v>
      </c>
      <c r="P286" s="479" t="s">
        <v>1588</v>
      </c>
      <c r="Q286" s="680">
        <v>0</v>
      </c>
      <c r="R286" s="680">
        <v>0</v>
      </c>
      <c r="S286" s="680">
        <v>0</v>
      </c>
      <c r="T286" s="680">
        <v>0</v>
      </c>
      <c r="U286" s="479" t="s">
        <v>7458</v>
      </c>
      <c r="V286" s="511" t="s">
        <v>3953</v>
      </c>
      <c r="W286" s="498">
        <v>400</v>
      </c>
      <c r="X286" s="479" t="s">
        <v>2363</v>
      </c>
      <c r="Y286" s="479" t="s">
        <v>3936</v>
      </c>
      <c r="Z286" s="479" t="s">
        <v>3954</v>
      </c>
      <c r="AA286" s="479" t="s">
        <v>3640</v>
      </c>
      <c r="AB286" s="512" t="s">
        <v>1596</v>
      </c>
    </row>
    <row r="287" spans="1:28" ht="24" customHeight="1">
      <c r="A287" s="591"/>
      <c r="B287" s="510" t="s">
        <v>675</v>
      </c>
      <c r="C287" s="718" t="s">
        <v>3955</v>
      </c>
      <c r="D287" s="510" t="s">
        <v>3956</v>
      </c>
      <c r="E287" s="498">
        <f t="shared" si="23"/>
        <v>200</v>
      </c>
      <c r="F287" s="498">
        <v>0</v>
      </c>
      <c r="G287" s="498">
        <v>200</v>
      </c>
      <c r="H287" s="498">
        <v>0</v>
      </c>
      <c r="I287" s="498">
        <f t="shared" ref="I287:I311" si="24">SUM(J287:L287)</f>
        <v>186</v>
      </c>
      <c r="J287" s="498">
        <v>0</v>
      </c>
      <c r="K287" s="498">
        <v>186</v>
      </c>
      <c r="L287" s="668">
        <v>0</v>
      </c>
      <c r="M287" s="680">
        <v>92.792100796610384</v>
      </c>
      <c r="N287" s="659">
        <v>1077.2555114226247</v>
      </c>
      <c r="O287" s="720" t="s">
        <v>3221</v>
      </c>
      <c r="P287" s="479" t="s">
        <v>1588</v>
      </c>
      <c r="Q287" s="680">
        <v>0</v>
      </c>
      <c r="R287" s="680">
        <v>0</v>
      </c>
      <c r="S287" s="680">
        <v>0</v>
      </c>
      <c r="T287" s="680">
        <v>0</v>
      </c>
      <c r="U287" s="479" t="s">
        <v>7458</v>
      </c>
      <c r="V287" s="511" t="s">
        <v>3957</v>
      </c>
      <c r="W287" s="498">
        <v>250</v>
      </c>
      <c r="X287" s="479" t="s">
        <v>2363</v>
      </c>
      <c r="Y287" s="479" t="s">
        <v>3936</v>
      </c>
      <c r="Z287" s="479" t="s">
        <v>3958</v>
      </c>
      <c r="AA287" s="479" t="s">
        <v>3938</v>
      </c>
      <c r="AB287" s="512" t="s">
        <v>1596</v>
      </c>
    </row>
    <row r="288" spans="1:28" ht="24" customHeight="1">
      <c r="A288" s="591"/>
      <c r="B288" s="510" t="s">
        <v>675</v>
      </c>
      <c r="C288" s="718" t="s">
        <v>3959</v>
      </c>
      <c r="D288" s="510" t="s">
        <v>3960</v>
      </c>
      <c r="E288" s="498">
        <f t="shared" si="23"/>
        <v>200</v>
      </c>
      <c r="F288" s="498">
        <v>0</v>
      </c>
      <c r="G288" s="498">
        <v>200</v>
      </c>
      <c r="H288" s="498">
        <v>0</v>
      </c>
      <c r="I288" s="498">
        <f t="shared" si="24"/>
        <v>186</v>
      </c>
      <c r="J288" s="498">
        <v>0</v>
      </c>
      <c r="K288" s="498">
        <v>186</v>
      </c>
      <c r="L288" s="668">
        <v>0</v>
      </c>
      <c r="M288" s="680">
        <v>97.046101680179092</v>
      </c>
      <c r="N288" s="659">
        <v>1343.2034478231571</v>
      </c>
      <c r="O288" s="720" t="s">
        <v>3961</v>
      </c>
      <c r="P288" s="479" t="s">
        <v>1588</v>
      </c>
      <c r="Q288" s="680">
        <v>0</v>
      </c>
      <c r="R288" s="680">
        <v>0</v>
      </c>
      <c r="S288" s="680">
        <v>0</v>
      </c>
      <c r="T288" s="680">
        <v>0</v>
      </c>
      <c r="U288" s="479" t="s">
        <v>7458</v>
      </c>
      <c r="V288" s="511" t="s">
        <v>3962</v>
      </c>
      <c r="W288" s="498">
        <v>400</v>
      </c>
      <c r="X288" s="479" t="s">
        <v>2363</v>
      </c>
      <c r="Y288" s="479" t="s">
        <v>3936</v>
      </c>
      <c r="Z288" s="479" t="s">
        <v>3963</v>
      </c>
      <c r="AA288" s="479" t="s">
        <v>3938</v>
      </c>
      <c r="AB288" s="512" t="s">
        <v>1596</v>
      </c>
    </row>
    <row r="289" spans="1:28" ht="24" customHeight="1">
      <c r="A289" s="591"/>
      <c r="B289" s="510" t="s">
        <v>675</v>
      </c>
      <c r="C289" s="718" t="s">
        <v>3964</v>
      </c>
      <c r="D289" s="510" t="s">
        <v>3965</v>
      </c>
      <c r="E289" s="498">
        <f t="shared" si="23"/>
        <v>100</v>
      </c>
      <c r="F289" s="498">
        <v>0</v>
      </c>
      <c r="G289" s="498">
        <v>100</v>
      </c>
      <c r="H289" s="498">
        <v>0</v>
      </c>
      <c r="I289" s="498">
        <f t="shared" si="24"/>
        <v>83</v>
      </c>
      <c r="J289" s="498">
        <v>0</v>
      </c>
      <c r="K289" s="498">
        <v>83</v>
      </c>
      <c r="L289" s="668">
        <v>0</v>
      </c>
      <c r="M289" s="680">
        <v>95.602730477833617</v>
      </c>
      <c r="N289" s="659">
        <v>421.37636412372166</v>
      </c>
      <c r="O289" s="720" t="s">
        <v>3221</v>
      </c>
      <c r="P289" s="479" t="s">
        <v>1588</v>
      </c>
      <c r="Q289" s="680">
        <v>0</v>
      </c>
      <c r="R289" s="680">
        <v>0</v>
      </c>
      <c r="S289" s="680">
        <v>0</v>
      </c>
      <c r="T289" s="680">
        <v>0</v>
      </c>
      <c r="U289" s="479" t="s">
        <v>7458</v>
      </c>
      <c r="V289" s="511" t="s">
        <v>3966</v>
      </c>
      <c r="W289" s="498">
        <v>200</v>
      </c>
      <c r="X289" s="479" t="s">
        <v>2363</v>
      </c>
      <c r="Y289" s="479" t="s">
        <v>3936</v>
      </c>
      <c r="Z289" s="479"/>
      <c r="AA289" s="479" t="s">
        <v>3938</v>
      </c>
      <c r="AB289" s="512" t="s">
        <v>1596</v>
      </c>
    </row>
    <row r="290" spans="1:28" ht="24" customHeight="1">
      <c r="A290" s="591"/>
      <c r="B290" s="510" t="s">
        <v>675</v>
      </c>
      <c r="C290" s="718" t="s">
        <v>3967</v>
      </c>
      <c r="D290" s="510" t="s">
        <v>3968</v>
      </c>
      <c r="E290" s="498">
        <f t="shared" si="23"/>
        <v>1200</v>
      </c>
      <c r="F290" s="498">
        <v>0</v>
      </c>
      <c r="G290" s="498">
        <v>1200</v>
      </c>
      <c r="H290" s="498">
        <v>0</v>
      </c>
      <c r="I290" s="498">
        <f t="shared" si="24"/>
        <v>984</v>
      </c>
      <c r="J290" s="498">
        <v>0</v>
      </c>
      <c r="K290" s="498">
        <v>984</v>
      </c>
      <c r="L290" s="668">
        <v>0</v>
      </c>
      <c r="M290" s="680">
        <v>96.092217817650734</v>
      </c>
      <c r="N290" s="659">
        <v>7258.1796126851659</v>
      </c>
      <c r="O290" s="720" t="s">
        <v>3221</v>
      </c>
      <c r="P290" s="479" t="s">
        <v>1588</v>
      </c>
      <c r="Q290" s="680">
        <v>0</v>
      </c>
      <c r="R290" s="680">
        <v>0</v>
      </c>
      <c r="S290" s="680">
        <v>0</v>
      </c>
      <c r="T290" s="680">
        <v>0</v>
      </c>
      <c r="U290" s="479" t="s">
        <v>7458</v>
      </c>
      <c r="V290" s="511" t="s">
        <v>3969</v>
      </c>
      <c r="W290" s="498">
        <v>637</v>
      </c>
      <c r="X290" s="479" t="s">
        <v>2363</v>
      </c>
      <c r="Y290" s="479" t="s">
        <v>3936</v>
      </c>
      <c r="Z290" s="479" t="s">
        <v>3970</v>
      </c>
      <c r="AA290" s="479" t="s">
        <v>3938</v>
      </c>
      <c r="AB290" s="512" t="s">
        <v>1596</v>
      </c>
    </row>
    <row r="291" spans="1:28" ht="24" customHeight="1">
      <c r="A291" s="591"/>
      <c r="B291" s="510" t="s">
        <v>675</v>
      </c>
      <c r="C291" s="718" t="s">
        <v>3971</v>
      </c>
      <c r="D291" s="510" t="s">
        <v>3972</v>
      </c>
      <c r="E291" s="498">
        <f t="shared" si="23"/>
        <v>25</v>
      </c>
      <c r="F291" s="498">
        <v>0</v>
      </c>
      <c r="G291" s="498">
        <v>25</v>
      </c>
      <c r="H291" s="498">
        <v>0</v>
      </c>
      <c r="I291" s="498">
        <f t="shared" si="24"/>
        <v>26</v>
      </c>
      <c r="J291" s="498">
        <v>0</v>
      </c>
      <c r="K291" s="498">
        <v>26</v>
      </c>
      <c r="L291" s="668">
        <v>0</v>
      </c>
      <c r="M291" s="680">
        <v>85.00337961890996</v>
      </c>
      <c r="N291" s="659">
        <v>133.87349429495382</v>
      </c>
      <c r="O291" s="720" t="s">
        <v>3961</v>
      </c>
      <c r="P291" s="479" t="s">
        <v>1588</v>
      </c>
      <c r="Q291" s="680">
        <v>0</v>
      </c>
      <c r="R291" s="680">
        <v>0</v>
      </c>
      <c r="S291" s="680">
        <v>0</v>
      </c>
      <c r="T291" s="680">
        <v>0</v>
      </c>
      <c r="U291" s="479" t="s">
        <v>7458</v>
      </c>
      <c r="V291" s="511" t="s">
        <v>3973</v>
      </c>
      <c r="W291" s="498">
        <v>188</v>
      </c>
      <c r="X291" s="479" t="s">
        <v>2363</v>
      </c>
      <c r="Y291" s="479" t="s">
        <v>3936</v>
      </c>
      <c r="Z291" s="479" t="s">
        <v>3974</v>
      </c>
      <c r="AA291" s="479" t="s">
        <v>3938</v>
      </c>
      <c r="AB291" s="512" t="s">
        <v>1596</v>
      </c>
    </row>
    <row r="292" spans="1:28" ht="24" customHeight="1">
      <c r="A292" s="591"/>
      <c r="B292" s="510" t="s">
        <v>675</v>
      </c>
      <c r="C292" s="718" t="s">
        <v>3975</v>
      </c>
      <c r="D292" s="510" t="s">
        <v>3976</v>
      </c>
      <c r="E292" s="498">
        <f t="shared" si="23"/>
        <v>25</v>
      </c>
      <c r="F292" s="498">
        <v>0</v>
      </c>
      <c r="G292" s="498">
        <v>25</v>
      </c>
      <c r="H292" s="498">
        <v>0</v>
      </c>
      <c r="I292" s="498">
        <f t="shared" si="24"/>
        <v>16</v>
      </c>
      <c r="J292" s="498">
        <v>0</v>
      </c>
      <c r="K292" s="498">
        <v>16</v>
      </c>
      <c r="L292" s="668">
        <v>0</v>
      </c>
      <c r="M292" s="680">
        <v>93.259239929781273</v>
      </c>
      <c r="N292" s="659">
        <v>97.766769859720725</v>
      </c>
      <c r="O292" s="720" t="s">
        <v>3961</v>
      </c>
      <c r="P292" s="479" t="s">
        <v>1588</v>
      </c>
      <c r="Q292" s="680">
        <v>0</v>
      </c>
      <c r="R292" s="680">
        <v>0</v>
      </c>
      <c r="S292" s="680">
        <v>0</v>
      </c>
      <c r="T292" s="680">
        <v>0</v>
      </c>
      <c r="U292" s="479" t="s">
        <v>7458</v>
      </c>
      <c r="V292" s="511" t="s">
        <v>3973</v>
      </c>
      <c r="W292" s="498">
        <v>196</v>
      </c>
      <c r="X292" s="479" t="s">
        <v>2363</v>
      </c>
      <c r="Y292" s="479" t="s">
        <v>3936</v>
      </c>
      <c r="Z292" s="479" t="s">
        <v>3977</v>
      </c>
      <c r="AA292" s="479" t="s">
        <v>3938</v>
      </c>
      <c r="AB292" s="512" t="s">
        <v>1596</v>
      </c>
    </row>
    <row r="293" spans="1:28" ht="24" customHeight="1">
      <c r="A293" s="591"/>
      <c r="B293" s="510" t="s">
        <v>675</v>
      </c>
      <c r="C293" s="718" t="s">
        <v>3978</v>
      </c>
      <c r="D293" s="510" t="s">
        <v>3979</v>
      </c>
      <c r="E293" s="498">
        <f t="shared" si="23"/>
        <v>30</v>
      </c>
      <c r="F293" s="498">
        <v>0</v>
      </c>
      <c r="G293" s="498">
        <v>0</v>
      </c>
      <c r="H293" s="498">
        <v>30</v>
      </c>
      <c r="I293" s="498">
        <f t="shared" si="24"/>
        <v>8</v>
      </c>
      <c r="J293" s="498">
        <v>0</v>
      </c>
      <c r="K293" s="498">
        <v>0</v>
      </c>
      <c r="L293" s="668">
        <v>8</v>
      </c>
      <c r="M293" s="680">
        <v>92.799661849100161</v>
      </c>
      <c r="N293" s="659">
        <v>52.971902976703355</v>
      </c>
      <c r="O293" s="720" t="s">
        <v>3980</v>
      </c>
      <c r="P293" s="477" t="s">
        <v>3981</v>
      </c>
      <c r="Q293" s="680">
        <v>0</v>
      </c>
      <c r="R293" s="680">
        <v>0</v>
      </c>
      <c r="S293" s="680">
        <v>0</v>
      </c>
      <c r="T293" s="680">
        <v>0</v>
      </c>
      <c r="U293" s="479" t="s">
        <v>7458</v>
      </c>
      <c r="V293" s="511" t="s">
        <v>3982</v>
      </c>
      <c r="W293" s="498">
        <v>373</v>
      </c>
      <c r="X293" s="479" t="s">
        <v>2363</v>
      </c>
      <c r="Y293" s="479" t="s">
        <v>3936</v>
      </c>
      <c r="Z293" s="479" t="s">
        <v>3983</v>
      </c>
      <c r="AA293" s="479" t="s">
        <v>3938</v>
      </c>
      <c r="AB293" s="512" t="s">
        <v>1596</v>
      </c>
    </row>
    <row r="294" spans="1:28" ht="24" customHeight="1">
      <c r="A294" s="591"/>
      <c r="B294" s="510" t="s">
        <v>675</v>
      </c>
      <c r="C294" s="718" t="s">
        <v>3984</v>
      </c>
      <c r="D294" s="510" t="s">
        <v>3985</v>
      </c>
      <c r="E294" s="498">
        <f t="shared" si="23"/>
        <v>25</v>
      </c>
      <c r="F294" s="498">
        <v>0</v>
      </c>
      <c r="G294" s="498">
        <v>25</v>
      </c>
      <c r="H294" s="498">
        <v>0</v>
      </c>
      <c r="I294" s="498">
        <f t="shared" si="24"/>
        <v>15</v>
      </c>
      <c r="J294" s="498">
        <v>0</v>
      </c>
      <c r="K294" s="498">
        <v>15</v>
      </c>
      <c r="L294" s="668">
        <v>0</v>
      </c>
      <c r="M294" s="680">
        <v>89.432580732480972</v>
      </c>
      <c r="N294" s="659">
        <v>66.850742306803596</v>
      </c>
      <c r="O294" s="720" t="s">
        <v>3961</v>
      </c>
      <c r="P294" s="479" t="s">
        <v>1588</v>
      </c>
      <c r="Q294" s="680">
        <v>0</v>
      </c>
      <c r="R294" s="680">
        <v>0</v>
      </c>
      <c r="S294" s="680">
        <v>0</v>
      </c>
      <c r="T294" s="680">
        <v>0</v>
      </c>
      <c r="U294" s="479" t="s">
        <v>7458</v>
      </c>
      <c r="V294" s="511" t="s">
        <v>3986</v>
      </c>
      <c r="W294" s="498">
        <v>226</v>
      </c>
      <c r="X294" s="479" t="s">
        <v>2363</v>
      </c>
      <c r="Y294" s="479" t="s">
        <v>3936</v>
      </c>
      <c r="Z294" s="479" t="s">
        <v>3987</v>
      </c>
      <c r="AA294" s="479" t="s">
        <v>3938</v>
      </c>
      <c r="AB294" s="512" t="s">
        <v>1596</v>
      </c>
    </row>
    <row r="295" spans="1:28" ht="24" customHeight="1">
      <c r="A295" s="591"/>
      <c r="B295" s="510" t="s">
        <v>675</v>
      </c>
      <c r="C295" s="718" t="s">
        <v>3988</v>
      </c>
      <c r="D295" s="510" t="s">
        <v>3989</v>
      </c>
      <c r="E295" s="498">
        <f t="shared" si="23"/>
        <v>35</v>
      </c>
      <c r="F295" s="498">
        <v>0</v>
      </c>
      <c r="G295" s="498">
        <v>35</v>
      </c>
      <c r="H295" s="498">
        <v>0</v>
      </c>
      <c r="I295" s="498">
        <f t="shared" si="24"/>
        <v>33</v>
      </c>
      <c r="J295" s="498">
        <v>0</v>
      </c>
      <c r="K295" s="498">
        <v>33</v>
      </c>
      <c r="L295" s="668">
        <v>0</v>
      </c>
      <c r="M295" s="680">
        <v>94.995680202033626</v>
      </c>
      <c r="N295" s="659">
        <v>186.70688476108194</v>
      </c>
      <c r="O295" s="720" t="s">
        <v>3961</v>
      </c>
      <c r="P295" s="479" t="s">
        <v>1588</v>
      </c>
      <c r="Q295" s="680">
        <v>0</v>
      </c>
      <c r="R295" s="680">
        <v>0</v>
      </c>
      <c r="S295" s="680">
        <v>0</v>
      </c>
      <c r="T295" s="680">
        <v>0</v>
      </c>
      <c r="U295" s="479" t="s">
        <v>7458</v>
      </c>
      <c r="V295" s="511" t="s">
        <v>3990</v>
      </c>
      <c r="W295" s="498">
        <v>252</v>
      </c>
      <c r="X295" s="479" t="s">
        <v>2363</v>
      </c>
      <c r="Y295" s="479" t="s">
        <v>3936</v>
      </c>
      <c r="Z295" s="479" t="s">
        <v>3991</v>
      </c>
      <c r="AA295" s="479" t="s">
        <v>3938</v>
      </c>
      <c r="AB295" s="512" t="s">
        <v>1596</v>
      </c>
    </row>
    <row r="296" spans="1:28" ht="24" customHeight="1">
      <c r="A296" s="591"/>
      <c r="B296" s="510" t="s">
        <v>675</v>
      </c>
      <c r="C296" s="718" t="s">
        <v>3992</v>
      </c>
      <c r="D296" s="510" t="s">
        <v>3993</v>
      </c>
      <c r="E296" s="498">
        <f t="shared" si="23"/>
        <v>45</v>
      </c>
      <c r="F296" s="498">
        <v>0</v>
      </c>
      <c r="G296" s="498">
        <v>0</v>
      </c>
      <c r="H296" s="498">
        <v>45</v>
      </c>
      <c r="I296" s="498">
        <f t="shared" si="24"/>
        <v>42</v>
      </c>
      <c r="J296" s="498">
        <v>0</v>
      </c>
      <c r="K296" s="498">
        <v>0</v>
      </c>
      <c r="L296" s="668">
        <v>42</v>
      </c>
      <c r="M296" s="680">
        <v>97.945196486482928</v>
      </c>
      <c r="N296" s="659">
        <v>511.45610372490569</v>
      </c>
      <c r="O296" s="720" t="s">
        <v>3994</v>
      </c>
      <c r="P296" s="479" t="s">
        <v>1588</v>
      </c>
      <c r="Q296" s="680">
        <v>0</v>
      </c>
      <c r="R296" s="680">
        <v>0</v>
      </c>
      <c r="S296" s="680">
        <v>0</v>
      </c>
      <c r="T296" s="680">
        <v>0</v>
      </c>
      <c r="U296" s="479" t="s">
        <v>7458</v>
      </c>
      <c r="V296" s="511" t="s">
        <v>3995</v>
      </c>
      <c r="W296" s="498">
        <v>208</v>
      </c>
      <c r="X296" s="479" t="s">
        <v>2363</v>
      </c>
      <c r="Y296" s="479" t="s">
        <v>3936</v>
      </c>
      <c r="Z296" s="479"/>
      <c r="AA296" s="479" t="s">
        <v>3938</v>
      </c>
      <c r="AB296" s="512" t="s">
        <v>1596</v>
      </c>
    </row>
    <row r="297" spans="1:28" ht="24" customHeight="1">
      <c r="A297" s="591"/>
      <c r="B297" s="510" t="s">
        <v>675</v>
      </c>
      <c r="C297" s="718" t="s">
        <v>3996</v>
      </c>
      <c r="D297" s="510" t="s">
        <v>3997</v>
      </c>
      <c r="E297" s="498">
        <f t="shared" si="23"/>
        <v>50</v>
      </c>
      <c r="F297" s="498">
        <v>0</v>
      </c>
      <c r="G297" s="498">
        <v>0</v>
      </c>
      <c r="H297" s="498">
        <v>50</v>
      </c>
      <c r="I297" s="498">
        <f t="shared" si="24"/>
        <v>48</v>
      </c>
      <c r="J297" s="498">
        <v>0</v>
      </c>
      <c r="K297" s="498">
        <v>0</v>
      </c>
      <c r="L297" s="668">
        <v>48</v>
      </c>
      <c r="M297" s="680">
        <v>93.619988063588508</v>
      </c>
      <c r="N297" s="659">
        <v>323.08445120720518</v>
      </c>
      <c r="O297" s="720" t="s">
        <v>3998</v>
      </c>
      <c r="P297" s="477" t="s">
        <v>3999</v>
      </c>
      <c r="Q297" s="680">
        <v>0</v>
      </c>
      <c r="R297" s="680">
        <v>0</v>
      </c>
      <c r="S297" s="680">
        <v>0</v>
      </c>
      <c r="T297" s="680">
        <v>0</v>
      </c>
      <c r="U297" s="479" t="s">
        <v>7458</v>
      </c>
      <c r="V297" s="511" t="s">
        <v>3995</v>
      </c>
      <c r="W297" s="498">
        <v>251</v>
      </c>
      <c r="X297" s="479" t="s">
        <v>2363</v>
      </c>
      <c r="Y297" s="479" t="s">
        <v>3936</v>
      </c>
      <c r="Z297" s="479" t="s">
        <v>4000</v>
      </c>
      <c r="AA297" s="479" t="s">
        <v>3938</v>
      </c>
      <c r="AB297" s="512" t="s">
        <v>1596</v>
      </c>
    </row>
    <row r="298" spans="1:28" ht="24" customHeight="1">
      <c r="A298" s="591"/>
      <c r="B298" s="510" t="s">
        <v>675</v>
      </c>
      <c r="C298" s="718" t="s">
        <v>4001</v>
      </c>
      <c r="D298" s="510" t="s">
        <v>4002</v>
      </c>
      <c r="E298" s="498">
        <f t="shared" si="23"/>
        <v>30</v>
      </c>
      <c r="F298" s="498">
        <v>0</v>
      </c>
      <c r="G298" s="498">
        <v>30</v>
      </c>
      <c r="H298" s="498">
        <v>0</v>
      </c>
      <c r="I298" s="498">
        <f t="shared" si="24"/>
        <v>32</v>
      </c>
      <c r="J298" s="498">
        <v>0</v>
      </c>
      <c r="K298" s="498">
        <v>32</v>
      </c>
      <c r="L298" s="668">
        <v>0</v>
      </c>
      <c r="M298" s="680">
        <v>94.538582302483235</v>
      </c>
      <c r="N298" s="659">
        <v>132.22821588329271</v>
      </c>
      <c r="O298" s="720" t="s">
        <v>3961</v>
      </c>
      <c r="P298" s="479" t="s">
        <v>1588</v>
      </c>
      <c r="Q298" s="680">
        <v>0</v>
      </c>
      <c r="R298" s="680">
        <v>0</v>
      </c>
      <c r="S298" s="680">
        <v>0</v>
      </c>
      <c r="T298" s="680">
        <v>0</v>
      </c>
      <c r="U298" s="479" t="s">
        <v>7458</v>
      </c>
      <c r="V298" s="511" t="s">
        <v>4003</v>
      </c>
      <c r="W298" s="498">
        <v>192</v>
      </c>
      <c r="X298" s="479" t="s">
        <v>2363</v>
      </c>
      <c r="Y298" s="479" t="s">
        <v>3936</v>
      </c>
      <c r="Z298" s="479" t="s">
        <v>4004</v>
      </c>
      <c r="AA298" s="479" t="s">
        <v>3938</v>
      </c>
      <c r="AB298" s="512" t="s">
        <v>1596</v>
      </c>
    </row>
    <row r="299" spans="1:28" ht="24" customHeight="1">
      <c r="A299" s="591"/>
      <c r="B299" s="510" t="s">
        <v>675</v>
      </c>
      <c r="C299" s="718" t="s">
        <v>4005</v>
      </c>
      <c r="D299" s="510" t="s">
        <v>4006</v>
      </c>
      <c r="E299" s="498">
        <f t="shared" si="23"/>
        <v>20</v>
      </c>
      <c r="F299" s="498">
        <v>0</v>
      </c>
      <c r="G299" s="498">
        <v>0</v>
      </c>
      <c r="H299" s="498">
        <v>20</v>
      </c>
      <c r="I299" s="498">
        <f t="shared" si="24"/>
        <v>17</v>
      </c>
      <c r="J299" s="498">
        <v>0</v>
      </c>
      <c r="K299" s="498">
        <v>0</v>
      </c>
      <c r="L299" s="668">
        <v>17</v>
      </c>
      <c r="M299" s="680">
        <v>96.884762151926722</v>
      </c>
      <c r="N299" s="659">
        <v>138.34595021642946</v>
      </c>
      <c r="O299" s="720" t="s">
        <v>4007</v>
      </c>
      <c r="P299" s="479" t="s">
        <v>1588</v>
      </c>
      <c r="Q299" s="680">
        <v>0</v>
      </c>
      <c r="R299" s="680">
        <v>0</v>
      </c>
      <c r="S299" s="680">
        <v>0</v>
      </c>
      <c r="T299" s="680">
        <v>0</v>
      </c>
      <c r="U299" s="479" t="s">
        <v>7458</v>
      </c>
      <c r="V299" s="511" t="s">
        <v>4008</v>
      </c>
      <c r="W299" s="498">
        <v>180</v>
      </c>
      <c r="X299" s="479" t="s">
        <v>2363</v>
      </c>
      <c r="Y299" s="479" t="s">
        <v>3936</v>
      </c>
      <c r="Z299" s="479" t="s">
        <v>4009</v>
      </c>
      <c r="AA299" s="479" t="s">
        <v>3938</v>
      </c>
      <c r="AB299" s="512" t="s">
        <v>1596</v>
      </c>
    </row>
    <row r="300" spans="1:28" ht="24" customHeight="1">
      <c r="A300" s="591"/>
      <c r="B300" s="510" t="s">
        <v>675</v>
      </c>
      <c r="C300" s="718" t="s">
        <v>4010</v>
      </c>
      <c r="D300" s="510" t="s">
        <v>4011</v>
      </c>
      <c r="E300" s="498">
        <f t="shared" si="23"/>
        <v>20</v>
      </c>
      <c r="F300" s="498">
        <v>0</v>
      </c>
      <c r="G300" s="498">
        <v>20</v>
      </c>
      <c r="H300" s="498">
        <v>0</v>
      </c>
      <c r="I300" s="498">
        <f t="shared" si="24"/>
        <v>8</v>
      </c>
      <c r="J300" s="498">
        <v>0</v>
      </c>
      <c r="K300" s="498">
        <v>8</v>
      </c>
      <c r="L300" s="668">
        <v>0</v>
      </c>
      <c r="M300" s="680">
        <v>93.782903146136547</v>
      </c>
      <c r="N300" s="659">
        <v>54.129616037887082</v>
      </c>
      <c r="O300" s="720" t="s">
        <v>4012</v>
      </c>
      <c r="P300" s="479" t="s">
        <v>1588</v>
      </c>
      <c r="Q300" s="680">
        <v>0</v>
      </c>
      <c r="R300" s="680">
        <v>0</v>
      </c>
      <c r="S300" s="680">
        <v>0</v>
      </c>
      <c r="T300" s="680">
        <v>0</v>
      </c>
      <c r="U300" s="479" t="s">
        <v>7458</v>
      </c>
      <c r="V300" s="511" t="s">
        <v>3986</v>
      </c>
      <c r="W300" s="498">
        <v>184</v>
      </c>
      <c r="X300" s="479" t="s">
        <v>2363</v>
      </c>
      <c r="Y300" s="479" t="s">
        <v>3936</v>
      </c>
      <c r="Z300" s="479" t="s">
        <v>3958</v>
      </c>
      <c r="AA300" s="479" t="s">
        <v>3938</v>
      </c>
      <c r="AB300" s="512" t="s">
        <v>1596</v>
      </c>
    </row>
    <row r="301" spans="1:28" ht="24" customHeight="1">
      <c r="A301" s="591"/>
      <c r="B301" s="510" t="s">
        <v>675</v>
      </c>
      <c r="C301" s="718" t="s">
        <v>4013</v>
      </c>
      <c r="D301" s="510" t="s">
        <v>4014</v>
      </c>
      <c r="E301" s="498">
        <f t="shared" si="23"/>
        <v>18</v>
      </c>
      <c r="F301" s="498">
        <v>0</v>
      </c>
      <c r="G301" s="498">
        <v>0</v>
      </c>
      <c r="H301" s="498">
        <v>18</v>
      </c>
      <c r="I301" s="498">
        <f t="shared" si="24"/>
        <v>15</v>
      </c>
      <c r="J301" s="498">
        <v>0</v>
      </c>
      <c r="K301" s="498">
        <v>0</v>
      </c>
      <c r="L301" s="668">
        <v>15</v>
      </c>
      <c r="M301" s="680">
        <v>97.611149390178937</v>
      </c>
      <c r="N301" s="659">
        <v>167.66667130751037</v>
      </c>
      <c r="O301" s="720" t="s">
        <v>4015</v>
      </c>
      <c r="P301" s="479" t="s">
        <v>1588</v>
      </c>
      <c r="Q301" s="680">
        <v>0</v>
      </c>
      <c r="R301" s="680">
        <v>0</v>
      </c>
      <c r="S301" s="680">
        <v>0</v>
      </c>
      <c r="T301" s="680">
        <v>0</v>
      </c>
      <c r="U301" s="479" t="s">
        <v>7458</v>
      </c>
      <c r="V301" s="511" t="s">
        <v>4016</v>
      </c>
      <c r="W301" s="498">
        <v>185</v>
      </c>
      <c r="X301" s="479" t="s">
        <v>2363</v>
      </c>
      <c r="Y301" s="479" t="s">
        <v>3936</v>
      </c>
      <c r="Z301" s="479" t="s">
        <v>4017</v>
      </c>
      <c r="AA301" s="479" t="s">
        <v>3640</v>
      </c>
      <c r="AB301" s="512" t="s">
        <v>1596</v>
      </c>
    </row>
    <row r="302" spans="1:28" ht="24" customHeight="1">
      <c r="A302" s="591"/>
      <c r="B302" s="510" t="s">
        <v>675</v>
      </c>
      <c r="C302" s="718" t="s">
        <v>4018</v>
      </c>
      <c r="D302" s="510" t="s">
        <v>4019</v>
      </c>
      <c r="E302" s="498">
        <f t="shared" si="23"/>
        <v>7</v>
      </c>
      <c r="F302" s="498">
        <v>0</v>
      </c>
      <c r="G302" s="498">
        <v>7</v>
      </c>
      <c r="H302" s="498">
        <v>0</v>
      </c>
      <c r="I302" s="498">
        <f t="shared" si="24"/>
        <v>6</v>
      </c>
      <c r="J302" s="498">
        <v>0</v>
      </c>
      <c r="K302" s="498">
        <v>6</v>
      </c>
      <c r="L302" s="668">
        <v>0</v>
      </c>
      <c r="M302" s="680">
        <v>100</v>
      </c>
      <c r="N302" s="659">
        <v>41.073500000000003</v>
      </c>
      <c r="O302" s="720" t="s">
        <v>4020</v>
      </c>
      <c r="P302" s="479" t="s">
        <v>1588</v>
      </c>
      <c r="Q302" s="680">
        <v>0</v>
      </c>
      <c r="R302" s="680">
        <v>0</v>
      </c>
      <c r="S302" s="680">
        <v>0</v>
      </c>
      <c r="T302" s="680">
        <v>0</v>
      </c>
      <c r="U302" s="479" t="s">
        <v>7458</v>
      </c>
      <c r="V302" s="511" t="s">
        <v>3950</v>
      </c>
      <c r="W302" s="498">
        <v>194</v>
      </c>
      <c r="X302" s="479" t="s">
        <v>2363</v>
      </c>
      <c r="Y302" s="479" t="s">
        <v>3936</v>
      </c>
      <c r="Z302" s="479" t="s">
        <v>3970</v>
      </c>
      <c r="AA302" s="479" t="s">
        <v>3938</v>
      </c>
      <c r="AB302" s="512" t="s">
        <v>1596</v>
      </c>
    </row>
    <row r="303" spans="1:28" ht="24" customHeight="1">
      <c r="A303" s="591"/>
      <c r="B303" s="510" t="s">
        <v>675</v>
      </c>
      <c r="C303" s="718" t="s">
        <v>4021</v>
      </c>
      <c r="D303" s="510" t="s">
        <v>4022</v>
      </c>
      <c r="E303" s="498">
        <f t="shared" si="23"/>
        <v>30</v>
      </c>
      <c r="F303" s="498">
        <v>0</v>
      </c>
      <c r="G303" s="498">
        <v>30</v>
      </c>
      <c r="H303" s="498">
        <v>0</v>
      </c>
      <c r="I303" s="498">
        <f t="shared" si="24"/>
        <v>26</v>
      </c>
      <c r="J303" s="498">
        <v>0</v>
      </c>
      <c r="K303" s="498">
        <v>26</v>
      </c>
      <c r="L303" s="668">
        <v>0</v>
      </c>
      <c r="M303" s="680">
        <v>98.028859034715055</v>
      </c>
      <c r="N303" s="659">
        <v>652.78593577525169</v>
      </c>
      <c r="O303" s="720" t="s">
        <v>4023</v>
      </c>
      <c r="P303" s="479" t="s">
        <v>1588</v>
      </c>
      <c r="Q303" s="680">
        <v>0</v>
      </c>
      <c r="R303" s="680">
        <v>0</v>
      </c>
      <c r="S303" s="680">
        <v>0</v>
      </c>
      <c r="T303" s="680">
        <v>0</v>
      </c>
      <c r="U303" s="479" t="s">
        <v>7458</v>
      </c>
      <c r="V303" s="511" t="s">
        <v>3995</v>
      </c>
      <c r="W303" s="498">
        <v>235</v>
      </c>
      <c r="X303" s="479" t="s">
        <v>2363</v>
      </c>
      <c r="Y303" s="479" t="s">
        <v>3936</v>
      </c>
      <c r="Z303" s="479" t="s">
        <v>4024</v>
      </c>
      <c r="AA303" s="479" t="s">
        <v>3938</v>
      </c>
      <c r="AB303" s="512" t="s">
        <v>1596</v>
      </c>
    </row>
    <row r="304" spans="1:28" ht="24" customHeight="1">
      <c r="A304" s="591"/>
      <c r="B304" s="510" t="s">
        <v>675</v>
      </c>
      <c r="C304" s="718" t="s">
        <v>4025</v>
      </c>
      <c r="D304" s="510" t="s">
        <v>4026</v>
      </c>
      <c r="E304" s="498">
        <f t="shared" si="23"/>
        <v>30</v>
      </c>
      <c r="F304" s="498">
        <v>0</v>
      </c>
      <c r="G304" s="498">
        <v>30</v>
      </c>
      <c r="H304" s="498">
        <v>0</v>
      </c>
      <c r="I304" s="498">
        <f t="shared" si="24"/>
        <v>17</v>
      </c>
      <c r="J304" s="498">
        <v>0</v>
      </c>
      <c r="K304" s="498">
        <v>17</v>
      </c>
      <c r="L304" s="668">
        <v>0</v>
      </c>
      <c r="M304" s="680">
        <v>97.655186351259346</v>
      </c>
      <c r="N304" s="659">
        <v>254.03295901451165</v>
      </c>
      <c r="O304" s="720" t="s">
        <v>3961</v>
      </c>
      <c r="P304" s="479" t="s">
        <v>1588</v>
      </c>
      <c r="Q304" s="680">
        <v>0</v>
      </c>
      <c r="R304" s="680">
        <v>0</v>
      </c>
      <c r="S304" s="680">
        <v>0</v>
      </c>
      <c r="T304" s="680">
        <v>0</v>
      </c>
      <c r="U304" s="479" t="s">
        <v>7458</v>
      </c>
      <c r="V304" s="511" t="s">
        <v>3941</v>
      </c>
      <c r="W304" s="498">
        <v>163</v>
      </c>
      <c r="X304" s="479" t="s">
        <v>2363</v>
      </c>
      <c r="Y304" s="479" t="s">
        <v>3936</v>
      </c>
      <c r="Z304" s="479" t="s">
        <v>4027</v>
      </c>
      <c r="AA304" s="479" t="s">
        <v>3938</v>
      </c>
      <c r="AB304" s="512" t="s">
        <v>1596</v>
      </c>
    </row>
    <row r="305" spans="1:28" ht="24" customHeight="1">
      <c r="A305" s="591"/>
      <c r="B305" s="510" t="s">
        <v>675</v>
      </c>
      <c r="C305" s="718" t="s">
        <v>4028</v>
      </c>
      <c r="D305" s="510" t="s">
        <v>4029</v>
      </c>
      <c r="E305" s="498">
        <f t="shared" si="23"/>
        <v>18</v>
      </c>
      <c r="F305" s="498">
        <v>0</v>
      </c>
      <c r="G305" s="498">
        <v>18</v>
      </c>
      <c r="H305" s="498">
        <v>0</v>
      </c>
      <c r="I305" s="498">
        <f t="shared" si="24"/>
        <v>13</v>
      </c>
      <c r="J305" s="498">
        <v>0</v>
      </c>
      <c r="K305" s="498">
        <v>13</v>
      </c>
      <c r="L305" s="668">
        <v>0</v>
      </c>
      <c r="M305" s="680">
        <v>95.454267397474808</v>
      </c>
      <c r="N305" s="659">
        <v>161.36010950550147</v>
      </c>
      <c r="O305" s="720" t="s">
        <v>4012</v>
      </c>
      <c r="P305" s="479" t="s">
        <v>1588</v>
      </c>
      <c r="Q305" s="680">
        <v>0</v>
      </c>
      <c r="R305" s="680">
        <v>0</v>
      </c>
      <c r="S305" s="680">
        <v>0</v>
      </c>
      <c r="T305" s="680">
        <v>0</v>
      </c>
      <c r="U305" s="479" t="s">
        <v>7458</v>
      </c>
      <c r="V305" s="511" t="s">
        <v>4008</v>
      </c>
      <c r="W305" s="498">
        <v>193</v>
      </c>
      <c r="X305" s="479" t="s">
        <v>2363</v>
      </c>
      <c r="Y305" s="479" t="s">
        <v>3936</v>
      </c>
      <c r="Z305" s="479" t="s">
        <v>4027</v>
      </c>
      <c r="AA305" s="479" t="s">
        <v>3938</v>
      </c>
      <c r="AB305" s="512" t="s">
        <v>1596</v>
      </c>
    </row>
    <row r="306" spans="1:28" ht="24" customHeight="1">
      <c r="A306" s="582" t="s">
        <v>1852</v>
      </c>
      <c r="B306" s="460" t="s">
        <v>2201</v>
      </c>
      <c r="C306" s="458" t="s">
        <v>1852</v>
      </c>
      <c r="D306" s="510" t="s">
        <v>4030</v>
      </c>
      <c r="E306" s="498">
        <f t="shared" ref="E306:E312" si="25">SUM(F306:H306)</f>
        <v>75000</v>
      </c>
      <c r="F306" s="498">
        <v>0</v>
      </c>
      <c r="G306" s="498">
        <v>75000</v>
      </c>
      <c r="H306" s="498">
        <v>0</v>
      </c>
      <c r="I306" s="498">
        <f t="shared" si="24"/>
        <v>74898</v>
      </c>
      <c r="J306" s="498">
        <v>0</v>
      </c>
      <c r="K306" s="498">
        <v>74898</v>
      </c>
      <c r="L306" s="668">
        <v>0</v>
      </c>
      <c r="M306" s="672">
        <v>90</v>
      </c>
      <c r="N306" s="498">
        <v>707786</v>
      </c>
      <c r="O306" s="669" t="s">
        <v>1535</v>
      </c>
      <c r="P306" s="463" t="s">
        <v>1588</v>
      </c>
      <c r="Q306" s="672">
        <v>183.1</v>
      </c>
      <c r="R306" s="672">
        <v>0</v>
      </c>
      <c r="S306" s="672">
        <v>150</v>
      </c>
      <c r="T306" s="672">
        <v>0</v>
      </c>
      <c r="U306" s="463" t="s">
        <v>7459</v>
      </c>
      <c r="V306" s="463" t="s">
        <v>2121</v>
      </c>
      <c r="W306" s="498">
        <v>56631</v>
      </c>
      <c r="X306" s="463" t="s">
        <v>2276</v>
      </c>
      <c r="Y306" s="463" t="s">
        <v>1533</v>
      </c>
      <c r="Z306" s="463" t="s">
        <v>1602</v>
      </c>
      <c r="AA306" s="463" t="s">
        <v>1915</v>
      </c>
      <c r="AB306" s="459" t="s">
        <v>1587</v>
      </c>
    </row>
    <row r="307" spans="1:28" ht="24" customHeight="1">
      <c r="A307" s="584"/>
      <c r="B307" s="460" t="s">
        <v>2201</v>
      </c>
      <c r="C307" s="458" t="s">
        <v>1998</v>
      </c>
      <c r="D307" s="510" t="s">
        <v>4031</v>
      </c>
      <c r="E307" s="498">
        <f t="shared" si="25"/>
        <v>12000</v>
      </c>
      <c r="F307" s="498">
        <v>0</v>
      </c>
      <c r="G307" s="498">
        <v>12000</v>
      </c>
      <c r="H307" s="498">
        <v>0</v>
      </c>
      <c r="I307" s="498">
        <f t="shared" si="24"/>
        <v>8505</v>
      </c>
      <c r="J307" s="498">
        <v>0</v>
      </c>
      <c r="K307" s="498">
        <v>8505</v>
      </c>
      <c r="L307" s="668">
        <v>0</v>
      </c>
      <c r="M307" s="672">
        <v>92</v>
      </c>
      <c r="N307" s="498">
        <f>K307*91.1*M307/1000</f>
        <v>71282.106</v>
      </c>
      <c r="O307" s="669" t="s">
        <v>1535</v>
      </c>
      <c r="P307" s="463" t="s">
        <v>4032</v>
      </c>
      <c r="Q307" s="672">
        <v>0</v>
      </c>
      <c r="R307" s="672">
        <v>0</v>
      </c>
      <c r="S307" s="672">
        <v>0</v>
      </c>
      <c r="T307" s="672">
        <v>0</v>
      </c>
      <c r="U307" s="463" t="s">
        <v>7460</v>
      </c>
      <c r="V307" s="463" t="s">
        <v>4033</v>
      </c>
      <c r="W307" s="498">
        <v>42091</v>
      </c>
      <c r="X307" s="463" t="s">
        <v>2276</v>
      </c>
      <c r="Y307" s="463" t="s">
        <v>4034</v>
      </c>
      <c r="Z307" s="463" t="s">
        <v>565</v>
      </c>
      <c r="AA307" s="463" t="s">
        <v>1915</v>
      </c>
      <c r="AB307" s="459" t="s">
        <v>1587</v>
      </c>
    </row>
    <row r="308" spans="1:28" ht="24" customHeight="1">
      <c r="A308" s="584"/>
      <c r="B308" s="460" t="s">
        <v>675</v>
      </c>
      <c r="C308" s="458" t="s">
        <v>4035</v>
      </c>
      <c r="D308" s="510" t="s">
        <v>4036</v>
      </c>
      <c r="E308" s="498">
        <f t="shared" si="25"/>
        <v>110</v>
      </c>
      <c r="F308" s="498">
        <v>0</v>
      </c>
      <c r="G308" s="498">
        <v>110</v>
      </c>
      <c r="H308" s="498">
        <v>0</v>
      </c>
      <c r="I308" s="498">
        <f t="shared" si="24"/>
        <v>92.3</v>
      </c>
      <c r="J308" s="498">
        <v>0</v>
      </c>
      <c r="K308" s="498">
        <v>92.3</v>
      </c>
      <c r="L308" s="668">
        <v>0</v>
      </c>
      <c r="M308" s="672">
        <v>94</v>
      </c>
      <c r="N308" s="498">
        <v>506.9</v>
      </c>
      <c r="O308" s="669" t="s">
        <v>4037</v>
      </c>
      <c r="P308" s="463" t="s">
        <v>1588</v>
      </c>
      <c r="Q308" s="672">
        <v>0</v>
      </c>
      <c r="R308" s="672">
        <v>0</v>
      </c>
      <c r="S308" s="672">
        <v>0</v>
      </c>
      <c r="T308" s="672">
        <v>0</v>
      </c>
      <c r="U308" s="463" t="s">
        <v>7461</v>
      </c>
      <c r="V308" s="463" t="s">
        <v>4038</v>
      </c>
      <c r="W308" s="498">
        <v>400</v>
      </c>
      <c r="X308" s="463" t="s">
        <v>2193</v>
      </c>
      <c r="Y308" s="463" t="s">
        <v>1588</v>
      </c>
      <c r="Z308" s="463" t="s">
        <v>566</v>
      </c>
      <c r="AA308" s="463" t="s">
        <v>4039</v>
      </c>
      <c r="AB308" s="459" t="s">
        <v>1587</v>
      </c>
    </row>
    <row r="309" spans="1:28" ht="24" customHeight="1">
      <c r="A309" s="584"/>
      <c r="B309" s="460" t="s">
        <v>675</v>
      </c>
      <c r="C309" s="458" t="s">
        <v>4040</v>
      </c>
      <c r="D309" s="510" t="s">
        <v>4041</v>
      </c>
      <c r="E309" s="498">
        <f t="shared" si="25"/>
        <v>70</v>
      </c>
      <c r="F309" s="498">
        <v>0</v>
      </c>
      <c r="G309" s="498">
        <v>70</v>
      </c>
      <c r="H309" s="498">
        <v>0</v>
      </c>
      <c r="I309" s="498">
        <f t="shared" si="24"/>
        <v>62</v>
      </c>
      <c r="J309" s="498">
        <v>0</v>
      </c>
      <c r="K309" s="498">
        <v>62</v>
      </c>
      <c r="L309" s="668">
        <v>0</v>
      </c>
      <c r="M309" s="672">
        <v>94</v>
      </c>
      <c r="N309" s="498">
        <f>K309*60.3*M309/1000</f>
        <v>351.42839999999995</v>
      </c>
      <c r="O309" s="669" t="s">
        <v>3461</v>
      </c>
      <c r="P309" s="463" t="s">
        <v>1588</v>
      </c>
      <c r="Q309" s="672">
        <v>0</v>
      </c>
      <c r="R309" s="672">
        <v>0</v>
      </c>
      <c r="S309" s="672">
        <v>0</v>
      </c>
      <c r="T309" s="672">
        <v>0</v>
      </c>
      <c r="U309" s="463" t="s">
        <v>7461</v>
      </c>
      <c r="V309" s="513" t="s">
        <v>4042</v>
      </c>
      <c r="W309" s="498">
        <v>276</v>
      </c>
      <c r="X309" s="463" t="s">
        <v>2193</v>
      </c>
      <c r="Y309" s="463" t="s">
        <v>1588</v>
      </c>
      <c r="Z309" s="463" t="s">
        <v>568</v>
      </c>
      <c r="AA309" s="463" t="s">
        <v>4039</v>
      </c>
      <c r="AB309" s="459" t="s">
        <v>1587</v>
      </c>
    </row>
    <row r="310" spans="1:28" ht="24" customHeight="1">
      <c r="A310" s="584"/>
      <c r="B310" s="460" t="s">
        <v>675</v>
      </c>
      <c r="C310" s="458" t="s">
        <v>4043</v>
      </c>
      <c r="D310" s="510" t="s">
        <v>4044</v>
      </c>
      <c r="E310" s="498">
        <f t="shared" si="25"/>
        <v>60</v>
      </c>
      <c r="F310" s="498">
        <v>0</v>
      </c>
      <c r="G310" s="498">
        <v>60</v>
      </c>
      <c r="H310" s="498">
        <v>0</v>
      </c>
      <c r="I310" s="498">
        <f t="shared" si="24"/>
        <v>94.2</v>
      </c>
      <c r="J310" s="498">
        <v>0</v>
      </c>
      <c r="K310" s="498">
        <v>94.2</v>
      </c>
      <c r="L310" s="668">
        <v>0</v>
      </c>
      <c r="M310" s="672">
        <v>94</v>
      </c>
      <c r="N310" s="498">
        <f>K310*67.6*M310/1000</f>
        <v>598.58447999999999</v>
      </c>
      <c r="O310" s="669" t="s">
        <v>4045</v>
      </c>
      <c r="P310" s="463" t="s">
        <v>1588</v>
      </c>
      <c r="Q310" s="672">
        <v>0</v>
      </c>
      <c r="R310" s="672">
        <v>0</v>
      </c>
      <c r="S310" s="672">
        <v>0</v>
      </c>
      <c r="T310" s="672">
        <v>0</v>
      </c>
      <c r="U310" s="463" t="s">
        <v>7461</v>
      </c>
      <c r="V310" s="513" t="s">
        <v>4042</v>
      </c>
      <c r="W310" s="498">
        <v>243</v>
      </c>
      <c r="X310" s="463" t="s">
        <v>2193</v>
      </c>
      <c r="Y310" s="463" t="s">
        <v>1588</v>
      </c>
      <c r="Z310" s="463" t="s">
        <v>1588</v>
      </c>
      <c r="AA310" s="463" t="s">
        <v>4039</v>
      </c>
      <c r="AB310" s="459" t="s">
        <v>1587</v>
      </c>
    </row>
    <row r="311" spans="1:28" ht="24" customHeight="1">
      <c r="A311" s="584"/>
      <c r="B311" s="460" t="s">
        <v>675</v>
      </c>
      <c r="C311" s="458" t="s">
        <v>4046</v>
      </c>
      <c r="D311" s="510" t="s">
        <v>4047</v>
      </c>
      <c r="E311" s="498">
        <f t="shared" si="25"/>
        <v>150</v>
      </c>
      <c r="F311" s="498">
        <v>0</v>
      </c>
      <c r="G311" s="498">
        <v>150</v>
      </c>
      <c r="H311" s="498">
        <v>0</v>
      </c>
      <c r="I311" s="498">
        <f t="shared" si="24"/>
        <v>314</v>
      </c>
      <c r="J311" s="498">
        <v>0</v>
      </c>
      <c r="K311" s="498">
        <v>314</v>
      </c>
      <c r="L311" s="668">
        <v>0</v>
      </c>
      <c r="M311" s="672">
        <v>94</v>
      </c>
      <c r="N311" s="498">
        <f>K311*72.5*M311/1000</f>
        <v>2139.91</v>
      </c>
      <c r="O311" s="669" t="s">
        <v>4037</v>
      </c>
      <c r="P311" s="463" t="s">
        <v>1588</v>
      </c>
      <c r="Q311" s="672">
        <v>0</v>
      </c>
      <c r="R311" s="672">
        <v>0</v>
      </c>
      <c r="S311" s="672">
        <v>0</v>
      </c>
      <c r="T311" s="672">
        <v>0</v>
      </c>
      <c r="U311" s="463" t="s">
        <v>7461</v>
      </c>
      <c r="V311" s="513" t="s">
        <v>4042</v>
      </c>
      <c r="W311" s="498">
        <v>166</v>
      </c>
      <c r="X311" s="463" t="s">
        <v>2193</v>
      </c>
      <c r="Y311" s="463" t="s">
        <v>1588</v>
      </c>
      <c r="Z311" s="463" t="s">
        <v>567</v>
      </c>
      <c r="AA311" s="463" t="s">
        <v>4039</v>
      </c>
      <c r="AB311" s="459" t="s">
        <v>1587</v>
      </c>
    </row>
    <row r="312" spans="1:28" ht="24" customHeight="1">
      <c r="A312" s="583"/>
      <c r="B312" s="460" t="s">
        <v>675</v>
      </c>
      <c r="C312" s="458" t="s">
        <v>4048</v>
      </c>
      <c r="D312" s="510" t="s">
        <v>4049</v>
      </c>
      <c r="E312" s="498">
        <f t="shared" si="25"/>
        <v>100</v>
      </c>
      <c r="F312" s="498">
        <v>0</v>
      </c>
      <c r="G312" s="498">
        <v>100</v>
      </c>
      <c r="H312" s="498">
        <v>0</v>
      </c>
      <c r="I312" s="498">
        <f>SUM(J312:L312)</f>
        <v>81.599999999999994</v>
      </c>
      <c r="J312" s="498">
        <v>0</v>
      </c>
      <c r="K312" s="498">
        <v>81.599999999999994</v>
      </c>
      <c r="L312" s="668">
        <v>0</v>
      </c>
      <c r="M312" s="672">
        <v>94</v>
      </c>
      <c r="N312" s="498">
        <f>K312*58.8*M312/1000</f>
        <v>451.01951999999989</v>
      </c>
      <c r="O312" s="669" t="s">
        <v>4045</v>
      </c>
      <c r="P312" s="463" t="s">
        <v>1588</v>
      </c>
      <c r="Q312" s="672">
        <v>0</v>
      </c>
      <c r="R312" s="672">
        <v>0</v>
      </c>
      <c r="S312" s="672">
        <v>0</v>
      </c>
      <c r="T312" s="672">
        <v>0</v>
      </c>
      <c r="U312" s="463" t="s">
        <v>7461</v>
      </c>
      <c r="V312" s="513" t="s">
        <v>4042</v>
      </c>
      <c r="W312" s="498">
        <v>167</v>
      </c>
      <c r="X312" s="463" t="s">
        <v>2193</v>
      </c>
      <c r="Y312" s="463" t="s">
        <v>1588</v>
      </c>
      <c r="Z312" s="463" t="s">
        <v>4050</v>
      </c>
      <c r="AA312" s="463" t="s">
        <v>4039</v>
      </c>
      <c r="AB312" s="459" t="s">
        <v>1587</v>
      </c>
    </row>
    <row r="313" spans="1:28" ht="24" customHeight="1">
      <c r="A313" s="588" t="s">
        <v>1854</v>
      </c>
      <c r="B313" s="510" t="s">
        <v>2201</v>
      </c>
      <c r="C313" s="718" t="s">
        <v>2387</v>
      </c>
      <c r="D313" s="510" t="s">
        <v>4052</v>
      </c>
      <c r="E313" s="498">
        <f>F313+G313+H313</f>
        <v>30000</v>
      </c>
      <c r="F313" s="578">
        <v>0</v>
      </c>
      <c r="G313" s="498">
        <v>30000</v>
      </c>
      <c r="H313" s="578">
        <v>0</v>
      </c>
      <c r="I313" s="498">
        <f>SUM(J313:L313)</f>
        <v>28225</v>
      </c>
      <c r="J313" s="578">
        <v>0</v>
      </c>
      <c r="K313" s="498">
        <v>28225</v>
      </c>
      <c r="L313" s="719">
        <v>0</v>
      </c>
      <c r="M313" s="680">
        <v>0</v>
      </c>
      <c r="N313" s="578">
        <v>0</v>
      </c>
      <c r="O313" s="720" t="s">
        <v>1535</v>
      </c>
      <c r="P313" s="479" t="s">
        <v>1588</v>
      </c>
      <c r="Q313" s="680">
        <v>1.03</v>
      </c>
      <c r="R313" s="680">
        <v>15.18</v>
      </c>
      <c r="S313" s="680">
        <v>109.8</v>
      </c>
      <c r="T313" s="680">
        <v>46.67</v>
      </c>
      <c r="U313" s="479" t="s">
        <v>7462</v>
      </c>
      <c r="V313" s="479" t="s">
        <v>4053</v>
      </c>
      <c r="W313" s="498">
        <v>27660</v>
      </c>
      <c r="X313" s="479" t="s">
        <v>1532</v>
      </c>
      <c r="Y313" s="479"/>
      <c r="Z313" s="479" t="s">
        <v>4054</v>
      </c>
      <c r="AA313" s="479" t="s">
        <v>1589</v>
      </c>
      <c r="AB313" s="512" t="s">
        <v>1589</v>
      </c>
    </row>
    <row r="314" spans="1:28" ht="24" customHeight="1">
      <c r="A314" s="582" t="s">
        <v>1855</v>
      </c>
      <c r="B314" s="510" t="s">
        <v>2201</v>
      </c>
      <c r="C314" s="458" t="s">
        <v>2388</v>
      </c>
      <c r="D314" s="510" t="s">
        <v>4055</v>
      </c>
      <c r="E314" s="498">
        <f>F314+G314+H314</f>
        <v>46000</v>
      </c>
      <c r="F314" s="498">
        <v>0</v>
      </c>
      <c r="G314" s="498">
        <v>46000</v>
      </c>
      <c r="H314" s="498">
        <v>0</v>
      </c>
      <c r="I314" s="498">
        <f>SUM(J314:L314)</f>
        <v>46000</v>
      </c>
      <c r="J314" s="498">
        <v>0</v>
      </c>
      <c r="K314" s="498">
        <v>46000</v>
      </c>
      <c r="L314" s="668">
        <v>0</v>
      </c>
      <c r="M314" s="672">
        <v>94</v>
      </c>
      <c r="N314" s="498">
        <v>7264.3</v>
      </c>
      <c r="O314" s="669" t="s">
        <v>1535</v>
      </c>
      <c r="P314" s="463" t="s">
        <v>1588</v>
      </c>
      <c r="Q314" s="672">
        <v>90</v>
      </c>
      <c r="R314" s="672">
        <v>0</v>
      </c>
      <c r="S314" s="672">
        <v>102</v>
      </c>
      <c r="T314" s="672">
        <v>40</v>
      </c>
      <c r="U314" s="463" t="s">
        <v>2257</v>
      </c>
      <c r="V314" s="463" t="s">
        <v>4056</v>
      </c>
      <c r="W314" s="498">
        <v>115299</v>
      </c>
      <c r="X314" s="463" t="s">
        <v>1532</v>
      </c>
      <c r="Y314" s="463"/>
      <c r="Z314" s="463"/>
      <c r="AA314" s="463"/>
      <c r="AB314" s="459" t="s">
        <v>1537</v>
      </c>
    </row>
    <row r="315" spans="1:28" ht="24" customHeight="1">
      <c r="A315" s="590" t="s">
        <v>1976</v>
      </c>
      <c r="B315" s="510" t="s">
        <v>2201</v>
      </c>
      <c r="C315" s="718" t="s">
        <v>4057</v>
      </c>
      <c r="D315" s="510" t="s">
        <v>4058</v>
      </c>
      <c r="E315" s="498">
        <f t="shared" ref="E315:E330" si="26">SUM(F315:H315)</f>
        <v>25000</v>
      </c>
      <c r="F315" s="497">
        <v>0</v>
      </c>
      <c r="G315" s="497">
        <v>25000</v>
      </c>
      <c r="H315" s="497">
        <v>0</v>
      </c>
      <c r="I315" s="498">
        <f t="shared" ref="I315:I337" si="27">SUM(J315:L315)</f>
        <v>22948</v>
      </c>
      <c r="J315" s="497">
        <v>0</v>
      </c>
      <c r="K315" s="497">
        <v>22948</v>
      </c>
      <c r="L315" s="721">
        <v>0</v>
      </c>
      <c r="M315" s="672">
        <v>93.7</v>
      </c>
      <c r="N315" s="498">
        <v>1744</v>
      </c>
      <c r="O315" s="720" t="s">
        <v>4059</v>
      </c>
      <c r="P315" s="479" t="s">
        <v>1588</v>
      </c>
      <c r="Q315" s="680">
        <v>0</v>
      </c>
      <c r="R315" s="680">
        <v>0</v>
      </c>
      <c r="S315" s="680">
        <v>37.9</v>
      </c>
      <c r="T315" s="680">
        <v>0</v>
      </c>
      <c r="U315" s="479" t="s">
        <v>4060</v>
      </c>
      <c r="V315" s="479" t="s">
        <v>4061</v>
      </c>
      <c r="W315" s="498">
        <v>31670</v>
      </c>
      <c r="X315" s="479" t="s">
        <v>2276</v>
      </c>
      <c r="Y315" s="479" t="s">
        <v>636</v>
      </c>
      <c r="Z315" s="479" t="s">
        <v>580</v>
      </c>
      <c r="AA315" s="479"/>
      <c r="AB315" s="512" t="s">
        <v>4051</v>
      </c>
    </row>
    <row r="316" spans="1:28" ht="24" customHeight="1">
      <c r="A316" s="591"/>
      <c r="B316" s="510" t="s">
        <v>2201</v>
      </c>
      <c r="C316" s="718" t="s">
        <v>1603</v>
      </c>
      <c r="D316" s="510" t="s">
        <v>4062</v>
      </c>
      <c r="E316" s="497">
        <f t="shared" si="26"/>
        <v>6300</v>
      </c>
      <c r="F316" s="497">
        <v>0</v>
      </c>
      <c r="G316" s="497">
        <v>0</v>
      </c>
      <c r="H316" s="497">
        <v>6300</v>
      </c>
      <c r="I316" s="497">
        <f t="shared" si="27"/>
        <v>4047</v>
      </c>
      <c r="J316" s="497">
        <v>0</v>
      </c>
      <c r="K316" s="497">
        <v>0</v>
      </c>
      <c r="L316" s="721">
        <v>4047</v>
      </c>
      <c r="M316" s="672">
        <v>93.6</v>
      </c>
      <c r="N316" s="498">
        <v>93.79</v>
      </c>
      <c r="O316" s="720" t="s">
        <v>3651</v>
      </c>
      <c r="P316" s="479" t="s">
        <v>1588</v>
      </c>
      <c r="Q316" s="680">
        <v>53.2</v>
      </c>
      <c r="R316" s="680">
        <v>0</v>
      </c>
      <c r="S316" s="680">
        <v>0</v>
      </c>
      <c r="T316" s="680">
        <v>0</v>
      </c>
      <c r="U316" s="516" t="s">
        <v>4063</v>
      </c>
      <c r="V316" s="479" t="s">
        <v>4064</v>
      </c>
      <c r="W316" s="498">
        <v>16801</v>
      </c>
      <c r="X316" s="479" t="s">
        <v>2276</v>
      </c>
      <c r="Y316" s="515" t="s">
        <v>3161</v>
      </c>
      <c r="Z316" s="479"/>
      <c r="AA316" s="479"/>
      <c r="AB316" s="512" t="s">
        <v>4051</v>
      </c>
    </row>
    <row r="317" spans="1:28" ht="24" customHeight="1">
      <c r="A317" s="591"/>
      <c r="B317" s="510" t="s">
        <v>675</v>
      </c>
      <c r="C317" s="718" t="s">
        <v>4065</v>
      </c>
      <c r="D317" s="510" t="s">
        <v>4066</v>
      </c>
      <c r="E317" s="497">
        <f t="shared" si="26"/>
        <v>60</v>
      </c>
      <c r="F317" s="497">
        <v>0</v>
      </c>
      <c r="G317" s="497">
        <v>60</v>
      </c>
      <c r="H317" s="497">
        <v>0</v>
      </c>
      <c r="I317" s="497">
        <f t="shared" si="27"/>
        <v>60</v>
      </c>
      <c r="J317" s="497">
        <v>0</v>
      </c>
      <c r="K317" s="497">
        <v>60</v>
      </c>
      <c r="L317" s="721">
        <v>0</v>
      </c>
      <c r="M317" s="672">
        <v>93</v>
      </c>
      <c r="N317" s="498">
        <v>6.64</v>
      </c>
      <c r="O317" s="720" t="s">
        <v>4067</v>
      </c>
      <c r="P317" s="479" t="s">
        <v>1588</v>
      </c>
      <c r="Q317" s="680">
        <v>0</v>
      </c>
      <c r="R317" s="680">
        <v>0</v>
      </c>
      <c r="S317" s="680">
        <v>0</v>
      </c>
      <c r="T317" s="680">
        <v>0</v>
      </c>
      <c r="U317" s="479" t="s">
        <v>4068</v>
      </c>
      <c r="V317" s="479">
        <v>2002.6</v>
      </c>
      <c r="W317" s="498">
        <v>336</v>
      </c>
      <c r="X317" s="479" t="s">
        <v>2276</v>
      </c>
      <c r="Y317" s="479" t="s">
        <v>1533</v>
      </c>
      <c r="Z317" s="479"/>
      <c r="AA317" s="479"/>
      <c r="AB317" s="512" t="s">
        <v>4051</v>
      </c>
    </row>
    <row r="318" spans="1:28" ht="24" customHeight="1">
      <c r="A318" s="591"/>
      <c r="B318" s="510" t="s">
        <v>675</v>
      </c>
      <c r="C318" s="718" t="s">
        <v>4069</v>
      </c>
      <c r="D318" s="510" t="s">
        <v>4070</v>
      </c>
      <c r="E318" s="497">
        <f t="shared" si="26"/>
        <v>60</v>
      </c>
      <c r="F318" s="497">
        <v>0</v>
      </c>
      <c r="G318" s="497">
        <v>60</v>
      </c>
      <c r="H318" s="497">
        <v>0</v>
      </c>
      <c r="I318" s="497">
        <f t="shared" si="27"/>
        <v>0</v>
      </c>
      <c r="J318" s="497">
        <v>0</v>
      </c>
      <c r="K318" s="497">
        <v>0</v>
      </c>
      <c r="L318" s="721">
        <v>0</v>
      </c>
      <c r="M318" s="672">
        <v>96</v>
      </c>
      <c r="N318" s="498">
        <v>15.59</v>
      </c>
      <c r="O318" s="720" t="s">
        <v>4067</v>
      </c>
      <c r="P318" s="479" t="s">
        <v>1588</v>
      </c>
      <c r="Q318" s="680">
        <v>0</v>
      </c>
      <c r="R318" s="680">
        <v>0</v>
      </c>
      <c r="S318" s="680">
        <v>0</v>
      </c>
      <c r="T318" s="680">
        <v>0</v>
      </c>
      <c r="U318" s="479" t="s">
        <v>4068</v>
      </c>
      <c r="V318" s="479">
        <v>2001.2</v>
      </c>
      <c r="W318" s="498">
        <v>444</v>
      </c>
      <c r="X318" s="479" t="s">
        <v>2276</v>
      </c>
      <c r="Y318" s="479" t="s">
        <v>1533</v>
      </c>
      <c r="Z318" s="479"/>
      <c r="AA318" s="479"/>
      <c r="AB318" s="512" t="s">
        <v>4051</v>
      </c>
    </row>
    <row r="319" spans="1:28" ht="24" customHeight="1">
      <c r="A319" s="591"/>
      <c r="B319" s="510" t="s">
        <v>675</v>
      </c>
      <c r="C319" s="718" t="s">
        <v>4071</v>
      </c>
      <c r="D319" s="510" t="s">
        <v>4072</v>
      </c>
      <c r="E319" s="497">
        <f t="shared" si="26"/>
        <v>330</v>
      </c>
      <c r="F319" s="497">
        <v>0</v>
      </c>
      <c r="G319" s="497">
        <v>330</v>
      </c>
      <c r="H319" s="497">
        <v>0</v>
      </c>
      <c r="I319" s="497">
        <f t="shared" si="27"/>
        <v>0</v>
      </c>
      <c r="J319" s="497">
        <v>0</v>
      </c>
      <c r="K319" s="497">
        <v>0</v>
      </c>
      <c r="L319" s="721">
        <v>0</v>
      </c>
      <c r="M319" s="672">
        <v>94</v>
      </c>
      <c r="N319" s="498">
        <v>10</v>
      </c>
      <c r="O319" s="720" t="s">
        <v>4073</v>
      </c>
      <c r="P319" s="479" t="s">
        <v>1588</v>
      </c>
      <c r="Q319" s="839">
        <v>0</v>
      </c>
      <c r="R319" s="839">
        <v>0</v>
      </c>
      <c r="S319" s="680">
        <v>0</v>
      </c>
      <c r="T319" s="680">
        <v>0</v>
      </c>
      <c r="U319" s="479" t="s">
        <v>4068</v>
      </c>
      <c r="V319" s="479">
        <v>2000.1</v>
      </c>
      <c r="W319" s="498">
        <v>710</v>
      </c>
      <c r="X319" s="479" t="s">
        <v>2276</v>
      </c>
      <c r="Y319" s="479" t="s">
        <v>1533</v>
      </c>
      <c r="Z319" s="479"/>
      <c r="AA319" s="479"/>
      <c r="AB319" s="512" t="s">
        <v>4051</v>
      </c>
    </row>
    <row r="320" spans="1:28" ht="24" customHeight="1">
      <c r="A320" s="591"/>
      <c r="B320" s="510" t="s">
        <v>675</v>
      </c>
      <c r="C320" s="718" t="s">
        <v>4074</v>
      </c>
      <c r="D320" s="510" t="s">
        <v>4075</v>
      </c>
      <c r="E320" s="497">
        <f t="shared" si="26"/>
        <v>70</v>
      </c>
      <c r="F320" s="497">
        <v>0</v>
      </c>
      <c r="G320" s="497">
        <v>70</v>
      </c>
      <c r="H320" s="497">
        <v>0</v>
      </c>
      <c r="I320" s="497">
        <f t="shared" si="27"/>
        <v>0</v>
      </c>
      <c r="J320" s="497">
        <v>0</v>
      </c>
      <c r="K320" s="497">
        <v>0</v>
      </c>
      <c r="L320" s="721">
        <v>0</v>
      </c>
      <c r="M320" s="672">
        <v>96</v>
      </c>
      <c r="N320" s="498">
        <v>10.130000000000001</v>
      </c>
      <c r="O320" s="720" t="s">
        <v>4073</v>
      </c>
      <c r="P320" s="479" t="s">
        <v>1588</v>
      </c>
      <c r="Q320" s="680">
        <v>0</v>
      </c>
      <c r="R320" s="680">
        <v>0</v>
      </c>
      <c r="S320" s="680">
        <v>0</v>
      </c>
      <c r="T320" s="680">
        <v>0</v>
      </c>
      <c r="U320" s="479" t="s">
        <v>4068</v>
      </c>
      <c r="V320" s="479">
        <v>1996.7</v>
      </c>
      <c r="W320" s="498">
        <v>103</v>
      </c>
      <c r="X320" s="479" t="s">
        <v>2276</v>
      </c>
      <c r="Y320" s="479" t="s">
        <v>1533</v>
      </c>
      <c r="Z320" s="479"/>
      <c r="AA320" s="479"/>
      <c r="AB320" s="512" t="s">
        <v>4051</v>
      </c>
    </row>
    <row r="321" spans="1:28" ht="24" customHeight="1">
      <c r="A321" s="591"/>
      <c r="B321" s="510" t="s">
        <v>675</v>
      </c>
      <c r="C321" s="718" t="s">
        <v>4076</v>
      </c>
      <c r="D321" s="510" t="s">
        <v>4077</v>
      </c>
      <c r="E321" s="497">
        <f t="shared" si="26"/>
        <v>200</v>
      </c>
      <c r="F321" s="497">
        <v>0</v>
      </c>
      <c r="G321" s="497">
        <v>200</v>
      </c>
      <c r="H321" s="497">
        <v>0</v>
      </c>
      <c r="I321" s="497">
        <f t="shared" si="27"/>
        <v>180</v>
      </c>
      <c r="J321" s="497">
        <v>0</v>
      </c>
      <c r="K321" s="497">
        <v>180</v>
      </c>
      <c r="L321" s="721">
        <v>0</v>
      </c>
      <c r="M321" s="672">
        <v>93</v>
      </c>
      <c r="N321" s="498">
        <v>12.05</v>
      </c>
      <c r="O321" s="720" t="s">
        <v>4073</v>
      </c>
      <c r="P321" s="479" t="s">
        <v>1588</v>
      </c>
      <c r="Q321" s="680">
        <v>0</v>
      </c>
      <c r="R321" s="680">
        <v>0</v>
      </c>
      <c r="S321" s="680">
        <v>0</v>
      </c>
      <c r="T321" s="680">
        <v>0</v>
      </c>
      <c r="U321" s="479" t="s">
        <v>4068</v>
      </c>
      <c r="V321" s="479">
        <v>1995.7</v>
      </c>
      <c r="W321" s="498">
        <v>287</v>
      </c>
      <c r="X321" s="479" t="s">
        <v>2276</v>
      </c>
      <c r="Y321" s="479" t="s">
        <v>1533</v>
      </c>
      <c r="Z321" s="479"/>
      <c r="AA321" s="479"/>
      <c r="AB321" s="512" t="s">
        <v>4051</v>
      </c>
    </row>
    <row r="322" spans="1:28" ht="24" customHeight="1">
      <c r="A322" s="591"/>
      <c r="B322" s="510" t="s">
        <v>675</v>
      </c>
      <c r="C322" s="718" t="s">
        <v>4078</v>
      </c>
      <c r="D322" s="510" t="s">
        <v>4079</v>
      </c>
      <c r="E322" s="497">
        <f t="shared" si="26"/>
        <v>60</v>
      </c>
      <c r="F322" s="497">
        <v>0</v>
      </c>
      <c r="G322" s="497">
        <v>0</v>
      </c>
      <c r="H322" s="497">
        <v>60</v>
      </c>
      <c r="I322" s="497">
        <f t="shared" si="27"/>
        <v>60</v>
      </c>
      <c r="J322" s="497">
        <v>0</v>
      </c>
      <c r="K322" s="497">
        <v>0</v>
      </c>
      <c r="L322" s="721">
        <v>60</v>
      </c>
      <c r="M322" s="672">
        <v>85</v>
      </c>
      <c r="N322" s="498">
        <v>3.72</v>
      </c>
      <c r="O322" s="720" t="s">
        <v>4080</v>
      </c>
      <c r="P322" s="479" t="s">
        <v>1588</v>
      </c>
      <c r="Q322" s="680">
        <v>0</v>
      </c>
      <c r="R322" s="680">
        <v>0</v>
      </c>
      <c r="S322" s="680">
        <v>0</v>
      </c>
      <c r="T322" s="680">
        <v>0</v>
      </c>
      <c r="U322" s="479" t="s">
        <v>4068</v>
      </c>
      <c r="V322" s="479">
        <v>2002.6</v>
      </c>
      <c r="W322" s="498">
        <v>332</v>
      </c>
      <c r="X322" s="479" t="s">
        <v>2276</v>
      </c>
      <c r="Y322" s="479" t="s">
        <v>1533</v>
      </c>
      <c r="Z322" s="479"/>
      <c r="AA322" s="479"/>
      <c r="AB322" s="512" t="s">
        <v>4051</v>
      </c>
    </row>
    <row r="323" spans="1:28" ht="24" customHeight="1">
      <c r="A323" s="591"/>
      <c r="B323" s="510" t="s">
        <v>675</v>
      </c>
      <c r="C323" s="718" t="s">
        <v>4081</v>
      </c>
      <c r="D323" s="510" t="s">
        <v>4082</v>
      </c>
      <c r="E323" s="497">
        <f t="shared" si="26"/>
        <v>150</v>
      </c>
      <c r="F323" s="497">
        <v>0</v>
      </c>
      <c r="G323" s="497">
        <v>0</v>
      </c>
      <c r="H323" s="497">
        <v>150</v>
      </c>
      <c r="I323" s="497">
        <f t="shared" si="27"/>
        <v>110</v>
      </c>
      <c r="J323" s="497">
        <v>0</v>
      </c>
      <c r="K323" s="497">
        <v>0</v>
      </c>
      <c r="L323" s="721">
        <v>110</v>
      </c>
      <c r="M323" s="672">
        <v>94</v>
      </c>
      <c r="N323" s="498">
        <v>8.8000000000000007</v>
      </c>
      <c r="O323" s="720" t="s">
        <v>4080</v>
      </c>
      <c r="P323" s="479" t="s">
        <v>1588</v>
      </c>
      <c r="Q323" s="680">
        <v>0</v>
      </c>
      <c r="R323" s="680">
        <v>0</v>
      </c>
      <c r="S323" s="680">
        <v>0</v>
      </c>
      <c r="T323" s="680">
        <v>0</v>
      </c>
      <c r="U323" s="479" t="s">
        <v>4068</v>
      </c>
      <c r="V323" s="479">
        <v>1993.1</v>
      </c>
      <c r="W323" s="498">
        <v>165</v>
      </c>
      <c r="X323" s="479" t="s">
        <v>2276</v>
      </c>
      <c r="Y323" s="479" t="s">
        <v>1533</v>
      </c>
      <c r="Z323" s="479"/>
      <c r="AA323" s="479"/>
      <c r="AB323" s="512" t="s">
        <v>4051</v>
      </c>
    </row>
    <row r="324" spans="1:28" ht="24" customHeight="1">
      <c r="A324" s="591"/>
      <c r="B324" s="510" t="s">
        <v>675</v>
      </c>
      <c r="C324" s="718" t="s">
        <v>4083</v>
      </c>
      <c r="D324" s="510" t="s">
        <v>4084</v>
      </c>
      <c r="E324" s="497">
        <f t="shared" si="26"/>
        <v>60</v>
      </c>
      <c r="F324" s="497">
        <v>0</v>
      </c>
      <c r="G324" s="497">
        <v>60</v>
      </c>
      <c r="H324" s="497">
        <v>0</v>
      </c>
      <c r="I324" s="497">
        <f t="shared" si="27"/>
        <v>50</v>
      </c>
      <c r="J324" s="497">
        <v>0</v>
      </c>
      <c r="K324" s="497">
        <v>50</v>
      </c>
      <c r="L324" s="721">
        <v>0</v>
      </c>
      <c r="M324" s="672">
        <v>95</v>
      </c>
      <c r="N324" s="498">
        <v>5.2</v>
      </c>
      <c r="O324" s="720" t="s">
        <v>4067</v>
      </c>
      <c r="P324" s="479" t="s">
        <v>1588</v>
      </c>
      <c r="Q324" s="680">
        <v>0</v>
      </c>
      <c r="R324" s="680">
        <v>0</v>
      </c>
      <c r="S324" s="680">
        <v>0</v>
      </c>
      <c r="T324" s="680">
        <v>0</v>
      </c>
      <c r="U324" s="479" t="s">
        <v>4068</v>
      </c>
      <c r="V324" s="479">
        <v>2001.2</v>
      </c>
      <c r="W324" s="498">
        <v>595</v>
      </c>
      <c r="X324" s="479" t="s">
        <v>2276</v>
      </c>
      <c r="Y324" s="479" t="s">
        <v>1533</v>
      </c>
      <c r="Z324" s="479"/>
      <c r="AA324" s="479"/>
      <c r="AB324" s="512" t="s">
        <v>4051</v>
      </c>
    </row>
    <row r="325" spans="1:28" ht="24" customHeight="1">
      <c r="A325" s="591"/>
      <c r="B325" s="510" t="s">
        <v>675</v>
      </c>
      <c r="C325" s="718" t="s">
        <v>4085</v>
      </c>
      <c r="D325" s="510" t="s">
        <v>4086</v>
      </c>
      <c r="E325" s="497">
        <f t="shared" si="26"/>
        <v>200</v>
      </c>
      <c r="F325" s="497">
        <v>0</v>
      </c>
      <c r="G325" s="497">
        <v>200</v>
      </c>
      <c r="H325" s="497">
        <v>0</v>
      </c>
      <c r="I325" s="497">
        <f t="shared" si="27"/>
        <v>0</v>
      </c>
      <c r="J325" s="497">
        <v>0</v>
      </c>
      <c r="K325" s="497">
        <v>0</v>
      </c>
      <c r="L325" s="721">
        <v>0</v>
      </c>
      <c r="M325" s="672">
        <v>90</v>
      </c>
      <c r="N325" s="498">
        <v>16.07</v>
      </c>
      <c r="O325" s="720" t="s">
        <v>4073</v>
      </c>
      <c r="P325" s="479" t="s">
        <v>1588</v>
      </c>
      <c r="Q325" s="680">
        <v>0</v>
      </c>
      <c r="R325" s="680">
        <v>0</v>
      </c>
      <c r="S325" s="680">
        <v>0</v>
      </c>
      <c r="T325" s="680">
        <v>0</v>
      </c>
      <c r="U325" s="479" t="s">
        <v>4068</v>
      </c>
      <c r="V325" s="479">
        <v>1994.12</v>
      </c>
      <c r="W325" s="498">
        <v>259</v>
      </c>
      <c r="X325" s="479" t="s">
        <v>2276</v>
      </c>
      <c r="Y325" s="479" t="s">
        <v>1533</v>
      </c>
      <c r="Z325" s="479"/>
      <c r="AA325" s="479"/>
      <c r="AB325" s="512" t="s">
        <v>4051</v>
      </c>
    </row>
    <row r="326" spans="1:28" ht="24" customHeight="1">
      <c r="A326" s="591"/>
      <c r="B326" s="510" t="s">
        <v>675</v>
      </c>
      <c r="C326" s="718" t="s">
        <v>4087</v>
      </c>
      <c r="D326" s="510" t="s">
        <v>4088</v>
      </c>
      <c r="E326" s="497">
        <f t="shared" si="26"/>
        <v>70</v>
      </c>
      <c r="F326" s="497">
        <v>0</v>
      </c>
      <c r="G326" s="497">
        <v>0</v>
      </c>
      <c r="H326" s="497">
        <v>70</v>
      </c>
      <c r="I326" s="497">
        <f t="shared" si="27"/>
        <v>0</v>
      </c>
      <c r="J326" s="497">
        <v>0</v>
      </c>
      <c r="K326" s="497">
        <v>0</v>
      </c>
      <c r="L326" s="721">
        <v>0</v>
      </c>
      <c r="M326" s="672">
        <v>95</v>
      </c>
      <c r="N326" s="498">
        <v>3.91</v>
      </c>
      <c r="O326" s="720" t="s">
        <v>4089</v>
      </c>
      <c r="P326" s="479" t="s">
        <v>1588</v>
      </c>
      <c r="Q326" s="680">
        <v>0</v>
      </c>
      <c r="R326" s="680">
        <v>0</v>
      </c>
      <c r="S326" s="680">
        <v>0</v>
      </c>
      <c r="T326" s="680">
        <v>0</v>
      </c>
      <c r="U326" s="479" t="s">
        <v>4068</v>
      </c>
      <c r="V326" s="479">
        <v>1995.5</v>
      </c>
      <c r="W326" s="498">
        <v>85</v>
      </c>
      <c r="X326" s="479" t="s">
        <v>2276</v>
      </c>
      <c r="Y326" s="479" t="s">
        <v>1533</v>
      </c>
      <c r="Z326" s="479"/>
      <c r="AA326" s="479"/>
      <c r="AB326" s="512" t="s">
        <v>4051</v>
      </c>
    </row>
    <row r="327" spans="1:28" ht="24" customHeight="1">
      <c r="A327" s="591"/>
      <c r="B327" s="510" t="s">
        <v>675</v>
      </c>
      <c r="C327" s="718" t="s">
        <v>4090</v>
      </c>
      <c r="D327" s="510" t="s">
        <v>4091</v>
      </c>
      <c r="E327" s="497">
        <f t="shared" si="26"/>
        <v>60</v>
      </c>
      <c r="F327" s="497">
        <v>0</v>
      </c>
      <c r="G327" s="497">
        <v>0</v>
      </c>
      <c r="H327" s="497">
        <v>60</v>
      </c>
      <c r="I327" s="497">
        <f t="shared" si="27"/>
        <v>0</v>
      </c>
      <c r="J327" s="497">
        <v>0</v>
      </c>
      <c r="K327" s="497">
        <v>0</v>
      </c>
      <c r="L327" s="721">
        <v>0</v>
      </c>
      <c r="M327" s="672">
        <v>96</v>
      </c>
      <c r="N327" s="498">
        <v>9.67</v>
      </c>
      <c r="O327" s="720" t="s">
        <v>4080</v>
      </c>
      <c r="P327" s="479" t="s">
        <v>1588</v>
      </c>
      <c r="Q327" s="680">
        <v>0</v>
      </c>
      <c r="R327" s="680">
        <v>0</v>
      </c>
      <c r="S327" s="680">
        <v>0</v>
      </c>
      <c r="T327" s="680">
        <v>0</v>
      </c>
      <c r="U327" s="479" t="s">
        <v>4068</v>
      </c>
      <c r="V327" s="479">
        <v>2001.4</v>
      </c>
      <c r="W327" s="498">
        <v>355</v>
      </c>
      <c r="X327" s="479" t="s">
        <v>2276</v>
      </c>
      <c r="Y327" s="479" t="s">
        <v>1533</v>
      </c>
      <c r="Z327" s="479"/>
      <c r="AA327" s="479"/>
      <c r="AB327" s="512" t="s">
        <v>4051</v>
      </c>
    </row>
    <row r="328" spans="1:28" ht="24" customHeight="1">
      <c r="A328" s="591"/>
      <c r="B328" s="510" t="s">
        <v>675</v>
      </c>
      <c r="C328" s="718" t="s">
        <v>4092</v>
      </c>
      <c r="D328" s="510" t="s">
        <v>4093</v>
      </c>
      <c r="E328" s="497">
        <f t="shared" si="26"/>
        <v>60</v>
      </c>
      <c r="F328" s="497">
        <v>0</v>
      </c>
      <c r="G328" s="497">
        <v>60</v>
      </c>
      <c r="H328" s="497">
        <v>0</v>
      </c>
      <c r="I328" s="497">
        <f t="shared" si="27"/>
        <v>60</v>
      </c>
      <c r="J328" s="497">
        <v>0</v>
      </c>
      <c r="K328" s="497">
        <v>60</v>
      </c>
      <c r="L328" s="721">
        <v>0</v>
      </c>
      <c r="M328" s="672">
        <v>82</v>
      </c>
      <c r="N328" s="498">
        <v>9.64</v>
      </c>
      <c r="O328" s="720" t="s">
        <v>4094</v>
      </c>
      <c r="P328" s="479" t="s">
        <v>1588</v>
      </c>
      <c r="Q328" s="680">
        <v>0</v>
      </c>
      <c r="R328" s="680">
        <v>0</v>
      </c>
      <c r="S328" s="680">
        <v>0</v>
      </c>
      <c r="T328" s="680">
        <v>0</v>
      </c>
      <c r="U328" s="479" t="s">
        <v>4068</v>
      </c>
      <c r="V328" s="479">
        <v>1998.11</v>
      </c>
      <c r="W328" s="498">
        <v>288</v>
      </c>
      <c r="X328" s="479" t="s">
        <v>2276</v>
      </c>
      <c r="Y328" s="479" t="s">
        <v>1533</v>
      </c>
      <c r="Z328" s="479"/>
      <c r="AA328" s="479"/>
      <c r="AB328" s="512" t="s">
        <v>4051</v>
      </c>
    </row>
    <row r="329" spans="1:28" ht="24" customHeight="1">
      <c r="A329" s="591"/>
      <c r="B329" s="510" t="s">
        <v>675</v>
      </c>
      <c r="C329" s="718" t="s">
        <v>4095</v>
      </c>
      <c r="D329" s="510" t="s">
        <v>4096</v>
      </c>
      <c r="E329" s="497">
        <f t="shared" si="26"/>
        <v>60</v>
      </c>
      <c r="F329" s="497">
        <v>0</v>
      </c>
      <c r="G329" s="497">
        <v>60</v>
      </c>
      <c r="H329" s="497">
        <v>0</v>
      </c>
      <c r="I329" s="497">
        <f t="shared" si="27"/>
        <v>60</v>
      </c>
      <c r="J329" s="497">
        <v>0</v>
      </c>
      <c r="K329" s="497">
        <v>60</v>
      </c>
      <c r="L329" s="721">
        <v>0</v>
      </c>
      <c r="M329" s="672">
        <v>75</v>
      </c>
      <c r="N329" s="498">
        <v>1.4</v>
      </c>
      <c r="O329" s="720" t="s">
        <v>4094</v>
      </c>
      <c r="P329" s="479" t="s">
        <v>1588</v>
      </c>
      <c r="Q329" s="680">
        <v>0</v>
      </c>
      <c r="R329" s="680">
        <v>0</v>
      </c>
      <c r="S329" s="680">
        <v>0</v>
      </c>
      <c r="T329" s="680">
        <v>0</v>
      </c>
      <c r="U329" s="479" t="s">
        <v>4068</v>
      </c>
      <c r="V329" s="479">
        <v>1993.1</v>
      </c>
      <c r="W329" s="498">
        <v>392</v>
      </c>
      <c r="X329" s="479" t="s">
        <v>2276</v>
      </c>
      <c r="Y329" s="479" t="s">
        <v>1533</v>
      </c>
      <c r="Z329" s="479"/>
      <c r="AA329" s="479"/>
      <c r="AB329" s="512" t="s">
        <v>4051</v>
      </c>
    </row>
    <row r="330" spans="1:28" ht="24" customHeight="1">
      <c r="A330" s="588"/>
      <c r="B330" s="510" t="s">
        <v>675</v>
      </c>
      <c r="C330" s="718" t="s">
        <v>4097</v>
      </c>
      <c r="D330" s="510" t="s">
        <v>4098</v>
      </c>
      <c r="E330" s="497">
        <f t="shared" si="26"/>
        <v>170</v>
      </c>
      <c r="F330" s="497">
        <v>0</v>
      </c>
      <c r="G330" s="497">
        <v>0</v>
      </c>
      <c r="H330" s="497">
        <v>170</v>
      </c>
      <c r="I330" s="497">
        <f t="shared" si="27"/>
        <v>0</v>
      </c>
      <c r="J330" s="497">
        <v>0</v>
      </c>
      <c r="K330" s="497">
        <v>0</v>
      </c>
      <c r="L330" s="721">
        <v>0</v>
      </c>
      <c r="M330" s="672">
        <v>0</v>
      </c>
      <c r="N330" s="659" t="s">
        <v>4099</v>
      </c>
      <c r="O330" s="720" t="s">
        <v>4100</v>
      </c>
      <c r="P330" s="479" t="s">
        <v>1588</v>
      </c>
      <c r="Q330" s="680">
        <v>0</v>
      </c>
      <c r="R330" s="680">
        <v>0</v>
      </c>
      <c r="S330" s="680">
        <v>0</v>
      </c>
      <c r="T330" s="680">
        <v>0</v>
      </c>
      <c r="U330" s="479" t="s">
        <v>4068</v>
      </c>
      <c r="V330" s="479" t="s">
        <v>2152</v>
      </c>
      <c r="W330" s="498">
        <v>1206</v>
      </c>
      <c r="X330" s="479" t="s">
        <v>2276</v>
      </c>
      <c r="Y330" s="479" t="s">
        <v>1533</v>
      </c>
      <c r="Z330" s="479"/>
      <c r="AA330" s="479"/>
      <c r="AB330" s="512" t="s">
        <v>4051</v>
      </c>
    </row>
    <row r="331" spans="1:28" ht="24" customHeight="1">
      <c r="A331" s="584" t="s">
        <v>1616</v>
      </c>
      <c r="B331" s="458" t="s">
        <v>5940</v>
      </c>
      <c r="C331" s="579"/>
      <c r="D331" s="579"/>
      <c r="E331" s="498" t="s">
        <v>6154</v>
      </c>
      <c r="F331" s="498">
        <v>0</v>
      </c>
      <c r="G331" s="498" t="s">
        <v>6155</v>
      </c>
      <c r="H331" s="498" t="s">
        <v>6156</v>
      </c>
      <c r="I331" s="498" t="s">
        <v>6157</v>
      </c>
      <c r="J331" s="498">
        <v>0</v>
      </c>
      <c r="K331" s="498" t="s">
        <v>6158</v>
      </c>
      <c r="L331" s="668" t="s">
        <v>6159</v>
      </c>
      <c r="M331" s="672">
        <v>0</v>
      </c>
      <c r="N331" s="659" t="s">
        <v>7396</v>
      </c>
      <c r="O331" s="669" t="s">
        <v>1588</v>
      </c>
      <c r="P331" s="463" t="s">
        <v>1588</v>
      </c>
      <c r="Q331" s="672" t="s">
        <v>6160</v>
      </c>
      <c r="R331" s="672" t="s">
        <v>6161</v>
      </c>
      <c r="S331" s="672" t="s">
        <v>6162</v>
      </c>
      <c r="T331" s="672" t="s">
        <v>6163</v>
      </c>
      <c r="U331" s="463"/>
      <c r="V331" s="463"/>
      <c r="W331" s="498">
        <f>SUM(W332:W481)</f>
        <v>562314.9</v>
      </c>
      <c r="X331" s="463"/>
      <c r="Y331" s="463"/>
      <c r="Z331" s="463"/>
      <c r="AA331" s="463"/>
      <c r="AB331" s="459"/>
    </row>
    <row r="332" spans="1:28" ht="24" customHeight="1">
      <c r="A332" s="590" t="s">
        <v>1856</v>
      </c>
      <c r="B332" s="510" t="s">
        <v>2239</v>
      </c>
      <c r="C332" s="718" t="s">
        <v>2390</v>
      </c>
      <c r="D332" s="510" t="s">
        <v>4101</v>
      </c>
      <c r="E332" s="497">
        <f t="shared" ref="E332:E346" si="28">SUM(F332:H332)</f>
        <v>11000</v>
      </c>
      <c r="F332" s="497">
        <v>0</v>
      </c>
      <c r="G332" s="497">
        <v>0</v>
      </c>
      <c r="H332" s="497">
        <v>11000</v>
      </c>
      <c r="I332" s="497">
        <f t="shared" si="27"/>
        <v>11641</v>
      </c>
      <c r="J332" s="497">
        <v>0</v>
      </c>
      <c r="K332" s="497">
        <v>0</v>
      </c>
      <c r="L332" s="497">
        <v>11641</v>
      </c>
      <c r="M332" s="676">
        <v>90.924956369982539</v>
      </c>
      <c r="N332" s="659">
        <v>606.49609999999984</v>
      </c>
      <c r="O332" s="720" t="s">
        <v>733</v>
      </c>
      <c r="P332" s="479" t="s">
        <v>4102</v>
      </c>
      <c r="Q332" s="676">
        <v>39.67</v>
      </c>
      <c r="R332" s="676">
        <v>28.33</v>
      </c>
      <c r="S332" s="676">
        <v>44</v>
      </c>
      <c r="T332" s="676">
        <v>0</v>
      </c>
      <c r="U332" s="479" t="s">
        <v>2258</v>
      </c>
      <c r="V332" s="517" t="s">
        <v>2055</v>
      </c>
      <c r="W332" s="498">
        <v>311139</v>
      </c>
      <c r="X332" s="479" t="s">
        <v>2276</v>
      </c>
      <c r="Y332" s="479" t="s">
        <v>636</v>
      </c>
      <c r="Z332" s="479" t="s">
        <v>4103</v>
      </c>
      <c r="AA332" s="479" t="s">
        <v>1595</v>
      </c>
      <c r="AB332" s="512" t="s">
        <v>1595</v>
      </c>
    </row>
    <row r="333" spans="1:28" ht="24" customHeight="1">
      <c r="A333" s="591"/>
      <c r="B333" s="510" t="s">
        <v>3837</v>
      </c>
      <c r="C333" s="718" t="s">
        <v>4104</v>
      </c>
      <c r="D333" s="510" t="s">
        <v>4105</v>
      </c>
      <c r="E333" s="497">
        <f t="shared" si="28"/>
        <v>200</v>
      </c>
      <c r="F333" s="497">
        <v>0</v>
      </c>
      <c r="G333" s="497">
        <v>200</v>
      </c>
      <c r="H333" s="497">
        <v>0</v>
      </c>
      <c r="I333" s="497">
        <f t="shared" si="27"/>
        <v>160</v>
      </c>
      <c r="J333" s="497">
        <v>0</v>
      </c>
      <c r="K333" s="497">
        <v>160</v>
      </c>
      <c r="L333" s="497">
        <v>0</v>
      </c>
      <c r="M333" s="676">
        <v>92.840909090909093</v>
      </c>
      <c r="N333" s="659">
        <v>13.071999999999999</v>
      </c>
      <c r="O333" s="722" t="s">
        <v>4106</v>
      </c>
      <c r="P333" s="479" t="s">
        <v>1588</v>
      </c>
      <c r="Q333" s="676">
        <v>0</v>
      </c>
      <c r="R333" s="676">
        <v>0</v>
      </c>
      <c r="S333" s="676">
        <v>0</v>
      </c>
      <c r="T333" s="676">
        <v>0</v>
      </c>
      <c r="U333" s="479" t="s">
        <v>2258</v>
      </c>
      <c r="V333" s="517" t="s">
        <v>4107</v>
      </c>
      <c r="W333" s="498">
        <v>240</v>
      </c>
      <c r="X333" s="479" t="s">
        <v>2276</v>
      </c>
      <c r="Y333" s="479" t="s">
        <v>636</v>
      </c>
      <c r="Z333" s="479" t="s">
        <v>4103</v>
      </c>
      <c r="AA333" s="479" t="s">
        <v>1595</v>
      </c>
      <c r="AB333" s="512" t="s">
        <v>1595</v>
      </c>
    </row>
    <row r="334" spans="1:28" ht="24" customHeight="1">
      <c r="A334" s="591"/>
      <c r="B334" s="510" t="s">
        <v>3837</v>
      </c>
      <c r="C334" s="718" t="s">
        <v>4108</v>
      </c>
      <c r="D334" s="510" t="s">
        <v>4109</v>
      </c>
      <c r="E334" s="497">
        <f t="shared" si="28"/>
        <v>40</v>
      </c>
      <c r="F334" s="497">
        <v>0</v>
      </c>
      <c r="G334" s="497">
        <v>40</v>
      </c>
      <c r="H334" s="497">
        <v>0</v>
      </c>
      <c r="I334" s="497">
        <f t="shared" si="27"/>
        <v>32</v>
      </c>
      <c r="J334" s="497">
        <v>0</v>
      </c>
      <c r="K334" s="497">
        <v>32</v>
      </c>
      <c r="L334" s="497">
        <v>0</v>
      </c>
      <c r="M334" s="676">
        <v>90.059642147117287</v>
      </c>
      <c r="N334" s="659">
        <v>1.4496</v>
      </c>
      <c r="O334" s="722" t="s">
        <v>4106</v>
      </c>
      <c r="P334" s="479" t="s">
        <v>1588</v>
      </c>
      <c r="Q334" s="676">
        <v>0</v>
      </c>
      <c r="R334" s="676">
        <v>0</v>
      </c>
      <c r="S334" s="676">
        <v>0</v>
      </c>
      <c r="T334" s="676">
        <v>0</v>
      </c>
      <c r="U334" s="479" t="s">
        <v>2258</v>
      </c>
      <c r="V334" s="517" t="s">
        <v>4110</v>
      </c>
      <c r="W334" s="498">
        <v>117</v>
      </c>
      <c r="X334" s="479" t="s">
        <v>2276</v>
      </c>
      <c r="Y334" s="479" t="s">
        <v>636</v>
      </c>
      <c r="Z334" s="479" t="s">
        <v>4103</v>
      </c>
      <c r="AA334" s="479" t="s">
        <v>1595</v>
      </c>
      <c r="AB334" s="512" t="s">
        <v>1595</v>
      </c>
    </row>
    <row r="335" spans="1:28" ht="24" customHeight="1">
      <c r="A335" s="591"/>
      <c r="B335" s="510" t="s">
        <v>3837</v>
      </c>
      <c r="C335" s="718" t="s">
        <v>4111</v>
      </c>
      <c r="D335" s="510" t="s">
        <v>4112</v>
      </c>
      <c r="E335" s="497">
        <f t="shared" si="28"/>
        <v>150</v>
      </c>
      <c r="F335" s="497">
        <v>0</v>
      </c>
      <c r="G335" s="497">
        <v>150</v>
      </c>
      <c r="H335" s="497">
        <v>0</v>
      </c>
      <c r="I335" s="497">
        <f t="shared" si="27"/>
        <v>120</v>
      </c>
      <c r="J335" s="497">
        <v>0</v>
      </c>
      <c r="K335" s="497">
        <v>120</v>
      </c>
      <c r="L335" s="497">
        <v>0</v>
      </c>
      <c r="M335" s="676">
        <v>93.703703703703709</v>
      </c>
      <c r="N335" s="659">
        <v>9.1080000000000005</v>
      </c>
      <c r="O335" s="722" t="s">
        <v>4106</v>
      </c>
      <c r="P335" s="479" t="s">
        <v>1588</v>
      </c>
      <c r="Q335" s="676">
        <v>0</v>
      </c>
      <c r="R335" s="676">
        <v>0</v>
      </c>
      <c r="S335" s="676">
        <v>0</v>
      </c>
      <c r="T335" s="676">
        <v>0</v>
      </c>
      <c r="U335" s="479" t="s">
        <v>2258</v>
      </c>
      <c r="V335" s="517" t="s">
        <v>643</v>
      </c>
      <c r="W335" s="498">
        <v>212</v>
      </c>
      <c r="X335" s="479" t="s">
        <v>2276</v>
      </c>
      <c r="Y335" s="479" t="s">
        <v>636</v>
      </c>
      <c r="Z335" s="479" t="s">
        <v>4103</v>
      </c>
      <c r="AA335" s="479" t="s">
        <v>1595</v>
      </c>
      <c r="AB335" s="512" t="s">
        <v>1595</v>
      </c>
    </row>
    <row r="336" spans="1:28" ht="24" customHeight="1">
      <c r="A336" s="591"/>
      <c r="B336" s="510" t="s">
        <v>3837</v>
      </c>
      <c r="C336" s="718" t="s">
        <v>4113</v>
      </c>
      <c r="D336" s="510" t="s">
        <v>4114</v>
      </c>
      <c r="E336" s="497">
        <f t="shared" si="28"/>
        <v>75</v>
      </c>
      <c r="F336" s="497">
        <v>0</v>
      </c>
      <c r="G336" s="497">
        <v>75</v>
      </c>
      <c r="H336" s="497">
        <v>0</v>
      </c>
      <c r="I336" s="497">
        <f t="shared" si="27"/>
        <v>60</v>
      </c>
      <c r="J336" s="497">
        <v>0</v>
      </c>
      <c r="K336" s="497">
        <v>60</v>
      </c>
      <c r="L336" s="497">
        <v>0</v>
      </c>
      <c r="M336" s="676">
        <v>92</v>
      </c>
      <c r="N336" s="659">
        <v>4.1399999999999997</v>
      </c>
      <c r="O336" s="722" t="s">
        <v>4106</v>
      </c>
      <c r="P336" s="479" t="s">
        <v>698</v>
      </c>
      <c r="Q336" s="676">
        <v>0</v>
      </c>
      <c r="R336" s="676">
        <v>0</v>
      </c>
      <c r="S336" s="676">
        <v>0</v>
      </c>
      <c r="T336" s="676">
        <v>0</v>
      </c>
      <c r="U336" s="479" t="s">
        <v>2258</v>
      </c>
      <c r="V336" s="517" t="s">
        <v>4115</v>
      </c>
      <c r="W336" s="498">
        <v>477</v>
      </c>
      <c r="X336" s="479" t="s">
        <v>2276</v>
      </c>
      <c r="Y336" s="479" t="s">
        <v>636</v>
      </c>
      <c r="Z336" s="479" t="s">
        <v>4103</v>
      </c>
      <c r="AA336" s="479" t="s">
        <v>1595</v>
      </c>
      <c r="AB336" s="512" t="s">
        <v>1595</v>
      </c>
    </row>
    <row r="337" spans="1:28" ht="24" customHeight="1">
      <c r="A337" s="591"/>
      <c r="B337" s="510" t="s">
        <v>3837</v>
      </c>
      <c r="C337" s="718" t="s">
        <v>4116</v>
      </c>
      <c r="D337" s="510" t="s">
        <v>4117</v>
      </c>
      <c r="E337" s="497">
        <f t="shared" si="28"/>
        <v>300</v>
      </c>
      <c r="F337" s="497">
        <v>0</v>
      </c>
      <c r="G337" s="497">
        <v>300</v>
      </c>
      <c r="H337" s="497">
        <v>0</v>
      </c>
      <c r="I337" s="497">
        <f t="shared" si="27"/>
        <v>240</v>
      </c>
      <c r="J337" s="497">
        <v>0</v>
      </c>
      <c r="K337" s="497">
        <v>240</v>
      </c>
      <c r="L337" s="497">
        <v>0</v>
      </c>
      <c r="M337" s="676">
        <v>87.393526405451453</v>
      </c>
      <c r="N337" s="659">
        <v>12.311999999999999</v>
      </c>
      <c r="O337" s="722" t="s">
        <v>4106</v>
      </c>
      <c r="P337" s="479" t="s">
        <v>1588</v>
      </c>
      <c r="Q337" s="676">
        <v>0</v>
      </c>
      <c r="R337" s="676">
        <v>0</v>
      </c>
      <c r="S337" s="676">
        <v>0</v>
      </c>
      <c r="T337" s="676">
        <v>0</v>
      </c>
      <c r="U337" s="479" t="s">
        <v>2258</v>
      </c>
      <c r="V337" s="517" t="s">
        <v>4118</v>
      </c>
      <c r="W337" s="498">
        <v>244</v>
      </c>
      <c r="X337" s="479" t="s">
        <v>2276</v>
      </c>
      <c r="Y337" s="479" t="s">
        <v>636</v>
      </c>
      <c r="Z337" s="479" t="s">
        <v>4103</v>
      </c>
      <c r="AA337" s="479" t="s">
        <v>1595</v>
      </c>
      <c r="AB337" s="512" t="s">
        <v>1595</v>
      </c>
    </row>
    <row r="338" spans="1:28" ht="24" customHeight="1">
      <c r="A338" s="591"/>
      <c r="B338" s="510" t="s">
        <v>3837</v>
      </c>
      <c r="C338" s="718" t="s">
        <v>4119</v>
      </c>
      <c r="D338" s="510" t="s">
        <v>4120</v>
      </c>
      <c r="E338" s="497">
        <f t="shared" si="28"/>
        <v>250</v>
      </c>
      <c r="F338" s="497">
        <v>0</v>
      </c>
      <c r="G338" s="497">
        <v>250</v>
      </c>
      <c r="H338" s="497">
        <v>0</v>
      </c>
      <c r="I338" s="497">
        <f t="shared" ref="I338:I375" si="29">SUM(J338:L338)</f>
        <v>200</v>
      </c>
      <c r="J338" s="497">
        <v>0</v>
      </c>
      <c r="K338" s="497">
        <v>200</v>
      </c>
      <c r="L338" s="497">
        <v>0</v>
      </c>
      <c r="M338" s="676">
        <v>93.911248710010327</v>
      </c>
      <c r="N338" s="659">
        <v>18.2</v>
      </c>
      <c r="O338" s="722" t="s">
        <v>4106</v>
      </c>
      <c r="P338" s="479" t="s">
        <v>1588</v>
      </c>
      <c r="Q338" s="676">
        <v>0</v>
      </c>
      <c r="R338" s="676">
        <v>0</v>
      </c>
      <c r="S338" s="676">
        <v>0</v>
      </c>
      <c r="T338" s="676">
        <v>0</v>
      </c>
      <c r="U338" s="479" t="s">
        <v>2258</v>
      </c>
      <c r="V338" s="517" t="s">
        <v>4121</v>
      </c>
      <c r="W338" s="498">
        <v>284</v>
      </c>
      <c r="X338" s="479" t="s">
        <v>2276</v>
      </c>
      <c r="Y338" s="479" t="s">
        <v>636</v>
      </c>
      <c r="Z338" s="479" t="s">
        <v>4103</v>
      </c>
      <c r="AA338" s="479" t="s">
        <v>1595</v>
      </c>
      <c r="AB338" s="512" t="s">
        <v>1595</v>
      </c>
    </row>
    <row r="339" spans="1:28" ht="24" customHeight="1">
      <c r="A339" s="591"/>
      <c r="B339" s="510" t="s">
        <v>3837</v>
      </c>
      <c r="C339" s="718" t="s">
        <v>4122</v>
      </c>
      <c r="D339" s="510" t="s">
        <v>4123</v>
      </c>
      <c r="E339" s="497">
        <f t="shared" si="28"/>
        <v>40</v>
      </c>
      <c r="F339" s="497">
        <v>0</v>
      </c>
      <c r="G339" s="497">
        <v>40</v>
      </c>
      <c r="H339" s="497">
        <v>0</v>
      </c>
      <c r="I339" s="497">
        <f t="shared" si="29"/>
        <v>32</v>
      </c>
      <c r="J339" s="497">
        <v>0</v>
      </c>
      <c r="K339" s="497">
        <v>32</v>
      </c>
      <c r="L339" s="497">
        <v>0</v>
      </c>
      <c r="M339" s="676">
        <v>89.87341772151899</v>
      </c>
      <c r="N339" s="659">
        <v>1.5903999999999998</v>
      </c>
      <c r="O339" s="722" t="s">
        <v>4106</v>
      </c>
      <c r="P339" s="479" t="s">
        <v>1588</v>
      </c>
      <c r="Q339" s="676">
        <v>0</v>
      </c>
      <c r="R339" s="676">
        <v>0</v>
      </c>
      <c r="S339" s="676">
        <v>0</v>
      </c>
      <c r="T339" s="676">
        <v>0</v>
      </c>
      <c r="U339" s="479" t="s">
        <v>2258</v>
      </c>
      <c r="V339" s="517" t="s">
        <v>4124</v>
      </c>
      <c r="W339" s="498">
        <v>160</v>
      </c>
      <c r="X339" s="479" t="s">
        <v>2276</v>
      </c>
      <c r="Y339" s="479" t="s">
        <v>636</v>
      </c>
      <c r="Z339" s="479" t="s">
        <v>4103</v>
      </c>
      <c r="AA339" s="479" t="s">
        <v>1595</v>
      </c>
      <c r="AB339" s="512" t="s">
        <v>1595</v>
      </c>
    </row>
    <row r="340" spans="1:28" ht="24" customHeight="1">
      <c r="A340" s="591"/>
      <c r="B340" s="510" t="s">
        <v>3837</v>
      </c>
      <c r="C340" s="718" t="s">
        <v>4125</v>
      </c>
      <c r="D340" s="510" t="s">
        <v>4126</v>
      </c>
      <c r="E340" s="497">
        <f t="shared" si="28"/>
        <v>35</v>
      </c>
      <c r="F340" s="497">
        <v>0</v>
      </c>
      <c r="G340" s="497">
        <v>35</v>
      </c>
      <c r="H340" s="497">
        <v>0</v>
      </c>
      <c r="I340" s="497">
        <f t="shared" si="29"/>
        <v>28</v>
      </c>
      <c r="J340" s="497">
        <v>0</v>
      </c>
      <c r="K340" s="497">
        <v>28</v>
      </c>
      <c r="L340" s="497">
        <v>0</v>
      </c>
      <c r="M340" s="676">
        <v>83.82352941176471</v>
      </c>
      <c r="N340" s="659">
        <v>0.79800000000000004</v>
      </c>
      <c r="O340" s="722" t="s">
        <v>4106</v>
      </c>
      <c r="P340" s="479" t="s">
        <v>1588</v>
      </c>
      <c r="Q340" s="676">
        <v>0</v>
      </c>
      <c r="R340" s="676">
        <v>0</v>
      </c>
      <c r="S340" s="676">
        <v>0</v>
      </c>
      <c r="T340" s="676">
        <v>0</v>
      </c>
      <c r="U340" s="479" t="s">
        <v>2258</v>
      </c>
      <c r="V340" s="517" t="s">
        <v>4127</v>
      </c>
      <c r="W340" s="498">
        <v>167</v>
      </c>
      <c r="X340" s="479" t="s">
        <v>2276</v>
      </c>
      <c r="Y340" s="479" t="s">
        <v>636</v>
      </c>
      <c r="Z340" s="479" t="s">
        <v>4103</v>
      </c>
      <c r="AA340" s="479" t="s">
        <v>1595</v>
      </c>
      <c r="AB340" s="512" t="s">
        <v>1595</v>
      </c>
    </row>
    <row r="341" spans="1:28" ht="24" customHeight="1">
      <c r="A341" s="591"/>
      <c r="B341" s="510" t="s">
        <v>3837</v>
      </c>
      <c r="C341" s="718" t="s">
        <v>4128</v>
      </c>
      <c r="D341" s="510" t="s">
        <v>4129</v>
      </c>
      <c r="E341" s="497">
        <f t="shared" si="28"/>
        <v>60</v>
      </c>
      <c r="F341" s="497">
        <v>0</v>
      </c>
      <c r="G341" s="497">
        <v>60</v>
      </c>
      <c r="H341" s="497">
        <v>0</v>
      </c>
      <c r="I341" s="497">
        <f t="shared" si="29"/>
        <v>48</v>
      </c>
      <c r="J341" s="497">
        <v>0</v>
      </c>
      <c r="K341" s="497">
        <v>48</v>
      </c>
      <c r="L341" s="497">
        <v>0</v>
      </c>
      <c r="M341" s="676">
        <v>95.87155963302753</v>
      </c>
      <c r="N341" s="659">
        <v>5.016</v>
      </c>
      <c r="O341" s="722" t="s">
        <v>4130</v>
      </c>
      <c r="P341" s="479" t="s">
        <v>1588</v>
      </c>
      <c r="Q341" s="676">
        <v>0</v>
      </c>
      <c r="R341" s="676">
        <v>0</v>
      </c>
      <c r="S341" s="676">
        <v>0</v>
      </c>
      <c r="T341" s="676">
        <v>0</v>
      </c>
      <c r="U341" s="479" t="s">
        <v>2258</v>
      </c>
      <c r="V341" s="517" t="s">
        <v>4131</v>
      </c>
      <c r="W341" s="498">
        <v>225</v>
      </c>
      <c r="X341" s="479" t="s">
        <v>2276</v>
      </c>
      <c r="Y341" s="479" t="s">
        <v>636</v>
      </c>
      <c r="Z341" s="479" t="s">
        <v>4103</v>
      </c>
      <c r="AA341" s="479" t="s">
        <v>1595</v>
      </c>
      <c r="AB341" s="512" t="s">
        <v>1595</v>
      </c>
    </row>
    <row r="342" spans="1:28" ht="24" customHeight="1">
      <c r="A342" s="591"/>
      <c r="B342" s="510" t="s">
        <v>3837</v>
      </c>
      <c r="C342" s="718" t="s">
        <v>4132</v>
      </c>
      <c r="D342" s="510" t="s">
        <v>4133</v>
      </c>
      <c r="E342" s="497">
        <f t="shared" si="28"/>
        <v>105</v>
      </c>
      <c r="F342" s="497">
        <v>0</v>
      </c>
      <c r="G342" s="497">
        <v>105</v>
      </c>
      <c r="H342" s="497">
        <v>0</v>
      </c>
      <c r="I342" s="497">
        <f t="shared" si="29"/>
        <v>105</v>
      </c>
      <c r="J342" s="497">
        <v>0</v>
      </c>
      <c r="K342" s="497">
        <v>105</v>
      </c>
      <c r="L342" s="497">
        <v>0</v>
      </c>
      <c r="M342" s="676">
        <v>88.888888888888886</v>
      </c>
      <c r="N342" s="659">
        <v>2.6040000000000001</v>
      </c>
      <c r="O342" s="722" t="s">
        <v>4106</v>
      </c>
      <c r="P342" s="479" t="s">
        <v>1588</v>
      </c>
      <c r="Q342" s="676">
        <v>0</v>
      </c>
      <c r="R342" s="676">
        <v>0</v>
      </c>
      <c r="S342" s="676">
        <v>0</v>
      </c>
      <c r="T342" s="676">
        <v>0</v>
      </c>
      <c r="U342" s="479" t="s">
        <v>2258</v>
      </c>
      <c r="V342" s="517" t="s">
        <v>4134</v>
      </c>
      <c r="W342" s="498">
        <v>325</v>
      </c>
      <c r="X342" s="479" t="s">
        <v>2276</v>
      </c>
      <c r="Y342" s="479" t="s">
        <v>636</v>
      </c>
      <c r="Z342" s="479" t="s">
        <v>4103</v>
      </c>
      <c r="AA342" s="479" t="s">
        <v>1595</v>
      </c>
      <c r="AB342" s="512" t="s">
        <v>1595</v>
      </c>
    </row>
    <row r="343" spans="1:28" ht="24" customHeight="1">
      <c r="A343" s="591"/>
      <c r="B343" s="510" t="s">
        <v>3837</v>
      </c>
      <c r="C343" s="718" t="s">
        <v>4135</v>
      </c>
      <c r="D343" s="510" t="s">
        <v>4136</v>
      </c>
      <c r="E343" s="497">
        <f t="shared" si="28"/>
        <v>360</v>
      </c>
      <c r="F343" s="497">
        <v>0</v>
      </c>
      <c r="G343" s="497">
        <v>360</v>
      </c>
      <c r="H343" s="497">
        <v>0</v>
      </c>
      <c r="I343" s="497">
        <f t="shared" si="29"/>
        <v>288</v>
      </c>
      <c r="J343" s="497">
        <v>0</v>
      </c>
      <c r="K343" s="497">
        <v>288</v>
      </c>
      <c r="L343" s="497">
        <v>0</v>
      </c>
      <c r="M343" s="676">
        <v>92.964824120603012</v>
      </c>
      <c r="N343" s="659">
        <v>26.64</v>
      </c>
      <c r="O343" s="722" t="s">
        <v>4106</v>
      </c>
      <c r="P343" s="479" t="s">
        <v>1588</v>
      </c>
      <c r="Q343" s="676">
        <v>0</v>
      </c>
      <c r="R343" s="676">
        <v>0</v>
      </c>
      <c r="S343" s="676">
        <v>0</v>
      </c>
      <c r="T343" s="676">
        <v>0</v>
      </c>
      <c r="U343" s="479" t="s">
        <v>2258</v>
      </c>
      <c r="V343" s="517" t="s">
        <v>4137</v>
      </c>
      <c r="W343" s="498">
        <v>353</v>
      </c>
      <c r="X343" s="479" t="s">
        <v>2276</v>
      </c>
      <c r="Y343" s="479" t="s">
        <v>636</v>
      </c>
      <c r="Z343" s="479" t="s">
        <v>4103</v>
      </c>
      <c r="AA343" s="479" t="s">
        <v>1595</v>
      </c>
      <c r="AB343" s="512" t="s">
        <v>1595</v>
      </c>
    </row>
    <row r="344" spans="1:28" ht="24" customHeight="1">
      <c r="A344" s="591"/>
      <c r="B344" s="510" t="s">
        <v>3837</v>
      </c>
      <c r="C344" s="718" t="s">
        <v>4138</v>
      </c>
      <c r="D344" s="510" t="s">
        <v>4139</v>
      </c>
      <c r="E344" s="497">
        <f t="shared" si="28"/>
        <v>200</v>
      </c>
      <c r="F344" s="497">
        <v>0</v>
      </c>
      <c r="G344" s="497">
        <v>200</v>
      </c>
      <c r="H344" s="497">
        <v>0</v>
      </c>
      <c r="I344" s="497">
        <f t="shared" si="29"/>
        <v>160</v>
      </c>
      <c r="J344" s="497">
        <v>0</v>
      </c>
      <c r="K344" s="497">
        <v>160</v>
      </c>
      <c r="L344" s="497">
        <v>0</v>
      </c>
      <c r="M344" s="676">
        <v>94.052863436123346</v>
      </c>
      <c r="N344" s="659">
        <v>13.664</v>
      </c>
      <c r="O344" s="722" t="s">
        <v>4106</v>
      </c>
      <c r="P344" s="479" t="s">
        <v>1588</v>
      </c>
      <c r="Q344" s="676">
        <v>0</v>
      </c>
      <c r="R344" s="676">
        <v>0</v>
      </c>
      <c r="S344" s="676">
        <v>0</v>
      </c>
      <c r="T344" s="676">
        <v>0</v>
      </c>
      <c r="U344" s="479" t="s">
        <v>2258</v>
      </c>
      <c r="V344" s="517" t="s">
        <v>4140</v>
      </c>
      <c r="W344" s="498">
        <v>167</v>
      </c>
      <c r="X344" s="479" t="s">
        <v>2276</v>
      </c>
      <c r="Y344" s="479" t="s">
        <v>636</v>
      </c>
      <c r="Z344" s="479" t="s">
        <v>4103</v>
      </c>
      <c r="AA344" s="479" t="s">
        <v>1595</v>
      </c>
      <c r="AB344" s="512" t="s">
        <v>1595</v>
      </c>
    </row>
    <row r="345" spans="1:28" ht="24" customHeight="1">
      <c r="A345" s="591"/>
      <c r="B345" s="510" t="s">
        <v>3837</v>
      </c>
      <c r="C345" s="718" t="s">
        <v>4141</v>
      </c>
      <c r="D345" s="510" t="s">
        <v>4142</v>
      </c>
      <c r="E345" s="497">
        <f t="shared" si="28"/>
        <v>30</v>
      </c>
      <c r="F345" s="497">
        <v>0</v>
      </c>
      <c r="G345" s="497">
        <v>30</v>
      </c>
      <c r="H345" s="497">
        <v>0</v>
      </c>
      <c r="I345" s="497">
        <f t="shared" si="29"/>
        <v>24</v>
      </c>
      <c r="J345" s="497">
        <v>0</v>
      </c>
      <c r="K345" s="497">
        <v>24</v>
      </c>
      <c r="L345" s="497">
        <v>0</v>
      </c>
      <c r="M345" s="676">
        <v>89.36535162950257</v>
      </c>
      <c r="N345" s="659">
        <v>1.2503999999999997</v>
      </c>
      <c r="O345" s="722" t="s">
        <v>4106</v>
      </c>
      <c r="P345" s="479" t="s">
        <v>1588</v>
      </c>
      <c r="Q345" s="676">
        <v>0</v>
      </c>
      <c r="R345" s="676">
        <v>0</v>
      </c>
      <c r="S345" s="676">
        <v>0</v>
      </c>
      <c r="T345" s="676">
        <v>0</v>
      </c>
      <c r="U345" s="479" t="s">
        <v>2258</v>
      </c>
      <c r="V345" s="517" t="s">
        <v>4143</v>
      </c>
      <c r="W345" s="498">
        <v>94</v>
      </c>
      <c r="X345" s="479" t="s">
        <v>2276</v>
      </c>
      <c r="Y345" s="479" t="s">
        <v>636</v>
      </c>
      <c r="Z345" s="479" t="s">
        <v>4103</v>
      </c>
      <c r="AA345" s="479" t="s">
        <v>1595</v>
      </c>
      <c r="AB345" s="512" t="s">
        <v>1595</v>
      </c>
    </row>
    <row r="346" spans="1:28" ht="24" customHeight="1">
      <c r="A346" s="591"/>
      <c r="B346" s="510" t="s">
        <v>3837</v>
      </c>
      <c r="C346" s="718" t="s">
        <v>4144</v>
      </c>
      <c r="D346" s="510" t="s">
        <v>4145</v>
      </c>
      <c r="E346" s="497">
        <f t="shared" si="28"/>
        <v>270</v>
      </c>
      <c r="F346" s="497">
        <v>0</v>
      </c>
      <c r="G346" s="497">
        <v>270</v>
      </c>
      <c r="H346" s="497">
        <v>0</v>
      </c>
      <c r="I346" s="497">
        <f t="shared" si="29"/>
        <v>216</v>
      </c>
      <c r="J346" s="497">
        <v>0</v>
      </c>
      <c r="K346" s="497">
        <v>216</v>
      </c>
      <c r="L346" s="497">
        <v>0</v>
      </c>
      <c r="M346" s="676">
        <v>85.877862595419856</v>
      </c>
      <c r="N346" s="659">
        <v>4.8600000000000003</v>
      </c>
      <c r="O346" s="722" t="s">
        <v>4106</v>
      </c>
      <c r="P346" s="479" t="s">
        <v>1588</v>
      </c>
      <c r="Q346" s="676">
        <v>0</v>
      </c>
      <c r="R346" s="676">
        <v>0</v>
      </c>
      <c r="S346" s="676">
        <v>0</v>
      </c>
      <c r="T346" s="676">
        <v>0</v>
      </c>
      <c r="U346" s="479" t="s">
        <v>2258</v>
      </c>
      <c r="V346" s="517" t="s">
        <v>4146</v>
      </c>
      <c r="W346" s="498">
        <v>232</v>
      </c>
      <c r="X346" s="479" t="s">
        <v>2276</v>
      </c>
      <c r="Y346" s="479" t="s">
        <v>636</v>
      </c>
      <c r="Z346" s="479" t="s">
        <v>4147</v>
      </c>
      <c r="AA346" s="479" t="s">
        <v>1595</v>
      </c>
      <c r="AB346" s="512" t="s">
        <v>1595</v>
      </c>
    </row>
    <row r="347" spans="1:28" ht="24" customHeight="1">
      <c r="A347" s="582" t="s">
        <v>1857</v>
      </c>
      <c r="B347" s="460" t="s">
        <v>2201</v>
      </c>
      <c r="C347" s="458" t="s">
        <v>518</v>
      </c>
      <c r="D347" s="510" t="s">
        <v>4148</v>
      </c>
      <c r="E347" s="497">
        <f t="shared" ref="E347:E389" si="30">SUM(F347:H347)</f>
        <v>7200</v>
      </c>
      <c r="F347" s="497">
        <v>0</v>
      </c>
      <c r="G347" s="497">
        <v>0</v>
      </c>
      <c r="H347" s="497">
        <v>7200</v>
      </c>
      <c r="I347" s="497">
        <f t="shared" si="29"/>
        <v>6206</v>
      </c>
      <c r="J347" s="497">
        <v>0</v>
      </c>
      <c r="K347" s="497">
        <v>0</v>
      </c>
      <c r="L347" s="497">
        <v>6206</v>
      </c>
      <c r="M347" s="672">
        <v>88.73</v>
      </c>
      <c r="N347" s="498">
        <v>74284</v>
      </c>
      <c r="O347" s="669" t="s">
        <v>3742</v>
      </c>
      <c r="P347" s="463" t="s">
        <v>1588</v>
      </c>
      <c r="Q347" s="672">
        <v>0</v>
      </c>
      <c r="R347" s="672">
        <v>0</v>
      </c>
      <c r="S347" s="672">
        <v>0</v>
      </c>
      <c r="T347" s="672">
        <v>0</v>
      </c>
      <c r="U347" s="463" t="s">
        <v>4149</v>
      </c>
      <c r="V347" s="463" t="s">
        <v>4150</v>
      </c>
      <c r="W347" s="498">
        <v>29482</v>
      </c>
      <c r="X347" s="463" t="s">
        <v>2276</v>
      </c>
      <c r="Y347" s="463" t="s">
        <v>1533</v>
      </c>
      <c r="Z347" s="463" t="s">
        <v>570</v>
      </c>
      <c r="AA347" s="463" t="s">
        <v>1615</v>
      </c>
      <c r="AB347" s="459" t="s">
        <v>1534</v>
      </c>
    </row>
    <row r="348" spans="1:28" ht="24" customHeight="1">
      <c r="A348" s="584"/>
      <c r="B348" s="460" t="s">
        <v>2201</v>
      </c>
      <c r="C348" s="458" t="s">
        <v>519</v>
      </c>
      <c r="D348" s="510" t="s">
        <v>4151</v>
      </c>
      <c r="E348" s="497">
        <f t="shared" si="30"/>
        <v>1500</v>
      </c>
      <c r="F348" s="497">
        <v>0</v>
      </c>
      <c r="G348" s="497">
        <v>1500</v>
      </c>
      <c r="H348" s="497">
        <v>0</v>
      </c>
      <c r="I348" s="497">
        <f t="shared" si="29"/>
        <v>1229</v>
      </c>
      <c r="J348" s="497">
        <v>0</v>
      </c>
      <c r="K348" s="497">
        <v>1229</v>
      </c>
      <c r="L348" s="497">
        <v>0</v>
      </c>
      <c r="M348" s="672">
        <v>91.2</v>
      </c>
      <c r="N348" s="498">
        <v>13248</v>
      </c>
      <c r="O348" s="669" t="s">
        <v>3742</v>
      </c>
      <c r="P348" s="463" t="s">
        <v>1588</v>
      </c>
      <c r="Q348" s="672">
        <v>0</v>
      </c>
      <c r="R348" s="672">
        <v>0</v>
      </c>
      <c r="S348" s="672">
        <v>0</v>
      </c>
      <c r="T348" s="672">
        <v>0</v>
      </c>
      <c r="U348" s="463" t="s">
        <v>4149</v>
      </c>
      <c r="V348" s="463" t="s">
        <v>4150</v>
      </c>
      <c r="W348" s="498">
        <v>8950</v>
      </c>
      <c r="X348" s="463" t="s">
        <v>2276</v>
      </c>
      <c r="Y348" s="463" t="s">
        <v>1533</v>
      </c>
      <c r="Z348" s="463" t="s">
        <v>571</v>
      </c>
      <c r="AA348" s="463" t="s">
        <v>1615</v>
      </c>
      <c r="AB348" s="459" t="s">
        <v>1534</v>
      </c>
    </row>
    <row r="349" spans="1:28" ht="24" customHeight="1">
      <c r="A349" s="584"/>
      <c r="B349" s="460" t="s">
        <v>675</v>
      </c>
      <c r="C349" s="458" t="s">
        <v>2168</v>
      </c>
      <c r="D349" s="510" t="s">
        <v>4152</v>
      </c>
      <c r="E349" s="497">
        <f t="shared" si="30"/>
        <v>40</v>
      </c>
      <c r="F349" s="497">
        <v>0</v>
      </c>
      <c r="G349" s="497">
        <v>40</v>
      </c>
      <c r="H349" s="497">
        <v>0</v>
      </c>
      <c r="I349" s="497">
        <f t="shared" si="29"/>
        <v>37</v>
      </c>
      <c r="J349" s="497">
        <v>0</v>
      </c>
      <c r="K349" s="497">
        <v>37</v>
      </c>
      <c r="L349" s="497">
        <v>0</v>
      </c>
      <c r="M349" s="672">
        <v>86.8</v>
      </c>
      <c r="N349" s="498">
        <v>214.8</v>
      </c>
      <c r="O349" s="669" t="s">
        <v>4153</v>
      </c>
      <c r="P349" s="463" t="s">
        <v>1588</v>
      </c>
      <c r="Q349" s="672">
        <v>0</v>
      </c>
      <c r="R349" s="672">
        <v>0</v>
      </c>
      <c r="S349" s="672">
        <v>0</v>
      </c>
      <c r="T349" s="672">
        <v>0</v>
      </c>
      <c r="U349" s="463" t="s">
        <v>4154</v>
      </c>
      <c r="V349" s="463" t="s">
        <v>3589</v>
      </c>
      <c r="W349" s="498">
        <v>72</v>
      </c>
      <c r="X349" s="463" t="s">
        <v>1532</v>
      </c>
      <c r="Y349" s="463" t="s">
        <v>1533</v>
      </c>
      <c r="Z349" s="463" t="s">
        <v>4155</v>
      </c>
      <c r="AA349" s="463" t="s">
        <v>1615</v>
      </c>
      <c r="AB349" s="459" t="s">
        <v>1534</v>
      </c>
    </row>
    <row r="350" spans="1:28" ht="24" customHeight="1">
      <c r="A350" s="584"/>
      <c r="B350" s="460" t="s">
        <v>675</v>
      </c>
      <c r="C350" s="458" t="s">
        <v>4156</v>
      </c>
      <c r="D350" s="510" t="s">
        <v>4157</v>
      </c>
      <c r="E350" s="497">
        <f t="shared" si="30"/>
        <v>600</v>
      </c>
      <c r="F350" s="497">
        <v>0</v>
      </c>
      <c r="G350" s="497">
        <v>600</v>
      </c>
      <c r="H350" s="497">
        <v>0</v>
      </c>
      <c r="I350" s="497">
        <f t="shared" si="29"/>
        <v>318</v>
      </c>
      <c r="J350" s="497">
        <v>0</v>
      </c>
      <c r="K350" s="497">
        <v>318</v>
      </c>
      <c r="L350" s="497">
        <v>0</v>
      </c>
      <c r="M350" s="672">
        <v>88.7</v>
      </c>
      <c r="N350" s="498">
        <v>4967.2</v>
      </c>
      <c r="O350" s="669" t="s">
        <v>3347</v>
      </c>
      <c r="P350" s="463" t="s">
        <v>1588</v>
      </c>
      <c r="Q350" s="672">
        <v>0</v>
      </c>
      <c r="R350" s="672">
        <v>0</v>
      </c>
      <c r="S350" s="672">
        <v>0</v>
      </c>
      <c r="T350" s="672">
        <v>0</v>
      </c>
      <c r="U350" s="463" t="s">
        <v>4154</v>
      </c>
      <c r="V350" s="463" t="s">
        <v>4158</v>
      </c>
      <c r="W350" s="498">
        <v>6772</v>
      </c>
      <c r="X350" s="463" t="s">
        <v>1532</v>
      </c>
      <c r="Y350" s="463" t="s">
        <v>1533</v>
      </c>
      <c r="Z350" s="463" t="s">
        <v>4159</v>
      </c>
      <c r="AA350" s="463" t="s">
        <v>1615</v>
      </c>
      <c r="AB350" s="459" t="s">
        <v>1534</v>
      </c>
    </row>
    <row r="351" spans="1:28" ht="24" customHeight="1">
      <c r="A351" s="584"/>
      <c r="B351" s="460" t="s">
        <v>675</v>
      </c>
      <c r="C351" s="458" t="s">
        <v>4160</v>
      </c>
      <c r="D351" s="510" t="s">
        <v>4161</v>
      </c>
      <c r="E351" s="497">
        <f t="shared" si="30"/>
        <v>20</v>
      </c>
      <c r="F351" s="497">
        <v>0</v>
      </c>
      <c r="G351" s="497">
        <v>20</v>
      </c>
      <c r="H351" s="497">
        <v>0</v>
      </c>
      <c r="I351" s="497">
        <f t="shared" si="29"/>
        <v>18</v>
      </c>
      <c r="J351" s="497">
        <v>0</v>
      </c>
      <c r="K351" s="497">
        <v>18</v>
      </c>
      <c r="L351" s="497">
        <v>0</v>
      </c>
      <c r="M351" s="672">
        <v>91</v>
      </c>
      <c r="N351" s="498">
        <v>261.7</v>
      </c>
      <c r="O351" s="669" t="s">
        <v>4153</v>
      </c>
      <c r="P351" s="463" t="s">
        <v>1588</v>
      </c>
      <c r="Q351" s="672">
        <v>0</v>
      </c>
      <c r="R351" s="672">
        <v>0</v>
      </c>
      <c r="S351" s="672">
        <v>0</v>
      </c>
      <c r="T351" s="672">
        <v>0</v>
      </c>
      <c r="U351" s="463" t="s">
        <v>4154</v>
      </c>
      <c r="V351" s="463" t="s">
        <v>3840</v>
      </c>
      <c r="W351" s="498">
        <v>122.4</v>
      </c>
      <c r="X351" s="463" t="s">
        <v>1532</v>
      </c>
      <c r="Y351" s="463" t="s">
        <v>1533</v>
      </c>
      <c r="Z351" s="463" t="s">
        <v>4159</v>
      </c>
      <c r="AA351" s="463" t="s">
        <v>1615</v>
      </c>
      <c r="AB351" s="459" t="s">
        <v>1534</v>
      </c>
    </row>
    <row r="352" spans="1:28" ht="24" customHeight="1">
      <c r="A352" s="584"/>
      <c r="B352" s="460" t="s">
        <v>675</v>
      </c>
      <c r="C352" s="458" t="s">
        <v>4162</v>
      </c>
      <c r="D352" s="510" t="s">
        <v>4163</v>
      </c>
      <c r="E352" s="497">
        <f t="shared" si="30"/>
        <v>20</v>
      </c>
      <c r="F352" s="497">
        <v>0</v>
      </c>
      <c r="G352" s="497">
        <v>20</v>
      </c>
      <c r="H352" s="497">
        <v>0</v>
      </c>
      <c r="I352" s="497">
        <f t="shared" si="29"/>
        <v>18</v>
      </c>
      <c r="J352" s="497">
        <v>0</v>
      </c>
      <c r="K352" s="497">
        <v>18</v>
      </c>
      <c r="L352" s="497">
        <v>0</v>
      </c>
      <c r="M352" s="672">
        <v>82.3</v>
      </c>
      <c r="N352" s="498">
        <v>148.30000000000001</v>
      </c>
      <c r="O352" s="669" t="s">
        <v>4164</v>
      </c>
      <c r="P352" s="463" t="s">
        <v>1588</v>
      </c>
      <c r="Q352" s="672">
        <v>0</v>
      </c>
      <c r="R352" s="672">
        <v>0</v>
      </c>
      <c r="S352" s="672">
        <v>0</v>
      </c>
      <c r="T352" s="672">
        <v>0</v>
      </c>
      <c r="U352" s="463" t="s">
        <v>4154</v>
      </c>
      <c r="V352" s="463" t="s">
        <v>4165</v>
      </c>
      <c r="W352" s="498">
        <v>181.5</v>
      </c>
      <c r="X352" s="463" t="s">
        <v>1532</v>
      </c>
      <c r="Y352" s="463" t="s">
        <v>1533</v>
      </c>
      <c r="Z352" s="463" t="s">
        <v>4159</v>
      </c>
      <c r="AA352" s="463" t="s">
        <v>1615</v>
      </c>
      <c r="AB352" s="459" t="s">
        <v>1534</v>
      </c>
    </row>
    <row r="353" spans="1:28" ht="24" customHeight="1">
      <c r="A353" s="584"/>
      <c r="B353" s="460" t="s">
        <v>675</v>
      </c>
      <c r="C353" s="458" t="s">
        <v>4166</v>
      </c>
      <c r="D353" s="510" t="s">
        <v>4167</v>
      </c>
      <c r="E353" s="497">
        <f t="shared" si="30"/>
        <v>250</v>
      </c>
      <c r="F353" s="497">
        <v>0</v>
      </c>
      <c r="G353" s="497">
        <v>250</v>
      </c>
      <c r="H353" s="497">
        <v>0</v>
      </c>
      <c r="I353" s="497">
        <f t="shared" si="29"/>
        <v>225</v>
      </c>
      <c r="J353" s="497">
        <v>0</v>
      </c>
      <c r="K353" s="497">
        <v>225</v>
      </c>
      <c r="L353" s="497">
        <v>0</v>
      </c>
      <c r="M353" s="672">
        <v>95.8</v>
      </c>
      <c r="N353" s="498">
        <v>4418</v>
      </c>
      <c r="O353" s="669" t="s">
        <v>3742</v>
      </c>
      <c r="P353" s="463" t="s">
        <v>1588</v>
      </c>
      <c r="Q353" s="672">
        <v>0</v>
      </c>
      <c r="R353" s="672">
        <v>0</v>
      </c>
      <c r="S353" s="672">
        <v>0</v>
      </c>
      <c r="T353" s="672">
        <v>0</v>
      </c>
      <c r="U353" s="463" t="s">
        <v>4154</v>
      </c>
      <c r="V353" s="463" t="s">
        <v>4168</v>
      </c>
      <c r="W353" s="498">
        <v>475</v>
      </c>
      <c r="X353" s="463" t="s">
        <v>1532</v>
      </c>
      <c r="Y353" s="463" t="s">
        <v>1533</v>
      </c>
      <c r="Z353" s="463" t="s">
        <v>571</v>
      </c>
      <c r="AA353" s="463" t="s">
        <v>1615</v>
      </c>
      <c r="AB353" s="459" t="s">
        <v>1534</v>
      </c>
    </row>
    <row r="354" spans="1:28" ht="24" customHeight="1">
      <c r="A354" s="584"/>
      <c r="B354" s="460" t="s">
        <v>675</v>
      </c>
      <c r="C354" s="458" t="s">
        <v>4169</v>
      </c>
      <c r="D354" s="510" t="s">
        <v>4170</v>
      </c>
      <c r="E354" s="497">
        <f t="shared" si="30"/>
        <v>30</v>
      </c>
      <c r="F354" s="497">
        <v>0</v>
      </c>
      <c r="G354" s="497">
        <v>30</v>
      </c>
      <c r="H354" s="497">
        <v>0</v>
      </c>
      <c r="I354" s="497">
        <f t="shared" si="29"/>
        <v>26</v>
      </c>
      <c r="J354" s="497">
        <v>0</v>
      </c>
      <c r="K354" s="497">
        <v>26</v>
      </c>
      <c r="L354" s="497">
        <v>0</v>
      </c>
      <c r="M354" s="672">
        <v>85.5</v>
      </c>
      <c r="N354" s="498">
        <v>200</v>
      </c>
      <c r="O354" s="669" t="s">
        <v>4153</v>
      </c>
      <c r="P354" s="463" t="s">
        <v>1588</v>
      </c>
      <c r="Q354" s="672">
        <v>0</v>
      </c>
      <c r="R354" s="672">
        <v>0</v>
      </c>
      <c r="S354" s="672">
        <v>0</v>
      </c>
      <c r="T354" s="672">
        <v>0</v>
      </c>
      <c r="U354" s="463" t="s">
        <v>4154</v>
      </c>
      <c r="V354" s="463" t="s">
        <v>3589</v>
      </c>
      <c r="W354" s="498">
        <v>40</v>
      </c>
      <c r="X354" s="463" t="s">
        <v>1532</v>
      </c>
      <c r="Y354" s="463" t="s">
        <v>1533</v>
      </c>
      <c r="Z354" s="463" t="s">
        <v>572</v>
      </c>
      <c r="AA354" s="463" t="s">
        <v>1615</v>
      </c>
      <c r="AB354" s="459" t="s">
        <v>1534</v>
      </c>
    </row>
    <row r="355" spans="1:28" ht="24" customHeight="1">
      <c r="A355" s="584"/>
      <c r="B355" s="460" t="s">
        <v>675</v>
      </c>
      <c r="C355" s="458" t="s">
        <v>4171</v>
      </c>
      <c r="D355" s="510" t="s">
        <v>4172</v>
      </c>
      <c r="E355" s="497">
        <f t="shared" si="30"/>
        <v>180</v>
      </c>
      <c r="F355" s="497">
        <v>0</v>
      </c>
      <c r="G355" s="497">
        <v>180</v>
      </c>
      <c r="H355" s="497">
        <v>0</v>
      </c>
      <c r="I355" s="497">
        <f t="shared" si="29"/>
        <v>93</v>
      </c>
      <c r="J355" s="497">
        <v>0</v>
      </c>
      <c r="K355" s="497">
        <v>93</v>
      </c>
      <c r="L355" s="497">
        <v>0</v>
      </c>
      <c r="M355" s="672">
        <v>87.2</v>
      </c>
      <c r="N355" s="498">
        <v>613.9</v>
      </c>
      <c r="O355" s="669" t="s">
        <v>3347</v>
      </c>
      <c r="P355" s="463" t="s">
        <v>1588</v>
      </c>
      <c r="Q355" s="672">
        <v>0</v>
      </c>
      <c r="R355" s="672">
        <v>0</v>
      </c>
      <c r="S355" s="672">
        <v>0</v>
      </c>
      <c r="T355" s="672">
        <v>0</v>
      </c>
      <c r="U355" s="463" t="s">
        <v>4154</v>
      </c>
      <c r="V355" s="463" t="s">
        <v>4158</v>
      </c>
      <c r="W355" s="498">
        <v>2060</v>
      </c>
      <c r="X355" s="463" t="s">
        <v>1532</v>
      </c>
      <c r="Y355" s="463" t="s">
        <v>1533</v>
      </c>
      <c r="Z355" s="463" t="s">
        <v>1858</v>
      </c>
      <c r="AA355" s="463" t="s">
        <v>1615</v>
      </c>
      <c r="AB355" s="459" t="s">
        <v>1534</v>
      </c>
    </row>
    <row r="356" spans="1:28" ht="24" customHeight="1">
      <c r="A356" s="584"/>
      <c r="B356" s="460" t="s">
        <v>675</v>
      </c>
      <c r="C356" s="458" t="s">
        <v>4173</v>
      </c>
      <c r="D356" s="510" t="s">
        <v>4174</v>
      </c>
      <c r="E356" s="497">
        <f t="shared" si="30"/>
        <v>40</v>
      </c>
      <c r="F356" s="497">
        <v>0</v>
      </c>
      <c r="G356" s="497">
        <v>40</v>
      </c>
      <c r="H356" s="497">
        <v>0</v>
      </c>
      <c r="I356" s="497">
        <f t="shared" si="29"/>
        <v>36</v>
      </c>
      <c r="J356" s="497">
        <v>0</v>
      </c>
      <c r="K356" s="497">
        <v>36</v>
      </c>
      <c r="L356" s="497">
        <v>0</v>
      </c>
      <c r="M356" s="672">
        <v>94.7</v>
      </c>
      <c r="N356" s="498">
        <v>225.7</v>
      </c>
      <c r="O356" s="669" t="s">
        <v>3742</v>
      </c>
      <c r="P356" s="463" t="s">
        <v>1588</v>
      </c>
      <c r="Q356" s="672">
        <v>0</v>
      </c>
      <c r="R356" s="672">
        <v>0</v>
      </c>
      <c r="S356" s="672">
        <v>0</v>
      </c>
      <c r="T356" s="672">
        <v>0</v>
      </c>
      <c r="U356" s="463" t="s">
        <v>4154</v>
      </c>
      <c r="V356" s="463" t="s">
        <v>4175</v>
      </c>
      <c r="W356" s="498">
        <v>132</v>
      </c>
      <c r="X356" s="463" t="s">
        <v>1532</v>
      </c>
      <c r="Y356" s="463" t="s">
        <v>1533</v>
      </c>
      <c r="Z356" s="463" t="s">
        <v>1859</v>
      </c>
      <c r="AA356" s="463" t="s">
        <v>1615</v>
      </c>
      <c r="AB356" s="459" t="s">
        <v>1534</v>
      </c>
    </row>
    <row r="357" spans="1:28" ht="24" customHeight="1">
      <c r="A357" s="584"/>
      <c r="B357" s="460" t="s">
        <v>675</v>
      </c>
      <c r="C357" s="458" t="s">
        <v>4176</v>
      </c>
      <c r="D357" s="510" t="s">
        <v>4177</v>
      </c>
      <c r="E357" s="497">
        <f t="shared" si="30"/>
        <v>20</v>
      </c>
      <c r="F357" s="497">
        <v>0</v>
      </c>
      <c r="G357" s="497">
        <v>20</v>
      </c>
      <c r="H357" s="497">
        <v>0</v>
      </c>
      <c r="I357" s="497">
        <f t="shared" si="29"/>
        <v>16</v>
      </c>
      <c r="J357" s="497">
        <v>0</v>
      </c>
      <c r="K357" s="497">
        <v>16</v>
      </c>
      <c r="L357" s="497">
        <v>0</v>
      </c>
      <c r="M357" s="672">
        <v>97.6</v>
      </c>
      <c r="N357" s="498">
        <v>209.7</v>
      </c>
      <c r="O357" s="669" t="s">
        <v>753</v>
      </c>
      <c r="P357" s="463" t="s">
        <v>1588</v>
      </c>
      <c r="Q357" s="672">
        <v>0</v>
      </c>
      <c r="R357" s="672">
        <v>0</v>
      </c>
      <c r="S357" s="672">
        <v>0</v>
      </c>
      <c r="T357" s="672">
        <v>0</v>
      </c>
      <c r="U357" s="463" t="s">
        <v>4154</v>
      </c>
      <c r="V357" s="463" t="s">
        <v>754</v>
      </c>
      <c r="W357" s="498">
        <v>257</v>
      </c>
      <c r="X357" s="463" t="s">
        <v>1532</v>
      </c>
      <c r="Y357" s="463" t="s">
        <v>1533</v>
      </c>
      <c r="Z357" s="463" t="s">
        <v>1859</v>
      </c>
      <c r="AA357" s="463" t="s">
        <v>1615</v>
      </c>
      <c r="AB357" s="459" t="s">
        <v>1534</v>
      </c>
    </row>
    <row r="358" spans="1:28" ht="24" customHeight="1">
      <c r="A358" s="584"/>
      <c r="B358" s="460" t="s">
        <v>675</v>
      </c>
      <c r="C358" s="458" t="s">
        <v>755</v>
      </c>
      <c r="D358" s="510" t="s">
        <v>756</v>
      </c>
      <c r="E358" s="497">
        <f t="shared" si="30"/>
        <v>150</v>
      </c>
      <c r="F358" s="497">
        <v>0</v>
      </c>
      <c r="G358" s="497">
        <v>150</v>
      </c>
      <c r="H358" s="497">
        <v>0</v>
      </c>
      <c r="I358" s="497">
        <f t="shared" si="29"/>
        <v>125</v>
      </c>
      <c r="J358" s="497">
        <v>0</v>
      </c>
      <c r="K358" s="497">
        <v>125</v>
      </c>
      <c r="L358" s="497">
        <v>0</v>
      </c>
      <c r="M358" s="672">
        <v>91.6</v>
      </c>
      <c r="N358" s="498">
        <v>375</v>
      </c>
      <c r="O358" s="669" t="s">
        <v>3742</v>
      </c>
      <c r="P358" s="463" t="s">
        <v>1588</v>
      </c>
      <c r="Q358" s="672">
        <v>0</v>
      </c>
      <c r="R358" s="672">
        <v>0</v>
      </c>
      <c r="S358" s="672">
        <v>0</v>
      </c>
      <c r="T358" s="672">
        <v>0</v>
      </c>
      <c r="U358" s="463" t="s">
        <v>4154</v>
      </c>
      <c r="V358" s="463" t="s">
        <v>757</v>
      </c>
      <c r="W358" s="498">
        <v>369</v>
      </c>
      <c r="X358" s="463" t="s">
        <v>1532</v>
      </c>
      <c r="Y358" s="463" t="s">
        <v>1533</v>
      </c>
      <c r="Z358" s="463" t="s">
        <v>573</v>
      </c>
      <c r="AA358" s="463" t="s">
        <v>1615</v>
      </c>
      <c r="AB358" s="459" t="s">
        <v>1534</v>
      </c>
    </row>
    <row r="359" spans="1:28" ht="24" customHeight="1">
      <c r="A359" s="593" t="s">
        <v>1860</v>
      </c>
      <c r="B359" s="460" t="s">
        <v>675</v>
      </c>
      <c r="C359" s="522" t="s">
        <v>758</v>
      </c>
      <c r="D359" s="524" t="s">
        <v>759</v>
      </c>
      <c r="E359" s="497">
        <f t="shared" si="30"/>
        <v>40</v>
      </c>
      <c r="F359" s="497">
        <v>0</v>
      </c>
      <c r="G359" s="497">
        <v>40</v>
      </c>
      <c r="H359" s="497">
        <v>0</v>
      </c>
      <c r="I359" s="497">
        <f t="shared" si="29"/>
        <v>40</v>
      </c>
      <c r="J359" s="497">
        <v>0</v>
      </c>
      <c r="K359" s="497">
        <v>40</v>
      </c>
      <c r="L359" s="497">
        <v>0</v>
      </c>
      <c r="M359" s="673">
        <v>100</v>
      </c>
      <c r="N359" s="653" ph="1">
        <v>7.2</v>
      </c>
      <c r="O359" s="699" t="s">
        <v>760</v>
      </c>
      <c r="P359" s="462" t="s">
        <v>1588</v>
      </c>
      <c r="Q359" s="673">
        <v>0</v>
      </c>
      <c r="R359" s="673">
        <v>0</v>
      </c>
      <c r="S359" s="673">
        <v>0</v>
      </c>
      <c r="T359" s="673">
        <v>0</v>
      </c>
      <c r="U359" s="462" t="s">
        <v>761</v>
      </c>
      <c r="V359" s="462" t="s">
        <v>762</v>
      </c>
      <c r="W359" s="653">
        <v>108</v>
      </c>
      <c r="X359" s="462" t="s">
        <v>1532</v>
      </c>
      <c r="Y359" s="462"/>
      <c r="Z359" s="462" t="s">
        <v>763</v>
      </c>
      <c r="AA359" s="462" t="s">
        <v>1615</v>
      </c>
      <c r="AB359" s="467" t="s">
        <v>1534</v>
      </c>
    </row>
    <row r="360" spans="1:28" ht="24" customHeight="1">
      <c r="A360" s="594"/>
      <c r="B360" s="460" t="s">
        <v>675</v>
      </c>
      <c r="C360" s="522" t="s">
        <v>764</v>
      </c>
      <c r="D360" s="524" t="s">
        <v>765</v>
      </c>
      <c r="E360" s="497">
        <f t="shared" si="30"/>
        <v>20</v>
      </c>
      <c r="F360" s="497">
        <v>0</v>
      </c>
      <c r="G360" s="497">
        <v>0</v>
      </c>
      <c r="H360" s="497">
        <v>20</v>
      </c>
      <c r="I360" s="497">
        <f t="shared" si="29"/>
        <v>20</v>
      </c>
      <c r="J360" s="497">
        <v>0</v>
      </c>
      <c r="K360" s="497">
        <v>0</v>
      </c>
      <c r="L360" s="497">
        <v>20</v>
      </c>
      <c r="M360" s="673">
        <v>100</v>
      </c>
      <c r="N360" s="653">
        <v>5.2</v>
      </c>
      <c r="O360" s="699" t="s">
        <v>766</v>
      </c>
      <c r="P360" s="462" t="s">
        <v>1588</v>
      </c>
      <c r="Q360" s="673">
        <v>0</v>
      </c>
      <c r="R360" s="673">
        <v>0</v>
      </c>
      <c r="S360" s="673">
        <v>0</v>
      </c>
      <c r="T360" s="673">
        <v>0</v>
      </c>
      <c r="U360" s="462" t="s">
        <v>767</v>
      </c>
      <c r="V360" s="462" t="s">
        <v>768</v>
      </c>
      <c r="W360" s="653">
        <v>200</v>
      </c>
      <c r="X360" s="462" t="s">
        <v>1532</v>
      </c>
      <c r="Y360" s="462"/>
      <c r="Z360" s="462" t="s">
        <v>769</v>
      </c>
      <c r="AA360" s="462" t="s">
        <v>1615</v>
      </c>
      <c r="AB360" s="467" t="s">
        <v>1534</v>
      </c>
    </row>
    <row r="361" spans="1:28" ht="24" customHeight="1">
      <c r="A361" s="594"/>
      <c r="B361" s="460" t="s">
        <v>675</v>
      </c>
      <c r="C361" s="522" t="s">
        <v>770</v>
      </c>
      <c r="D361" s="524" t="s">
        <v>771</v>
      </c>
      <c r="E361" s="497">
        <f t="shared" si="30"/>
        <v>16</v>
      </c>
      <c r="F361" s="497">
        <v>0</v>
      </c>
      <c r="G361" s="497">
        <v>0</v>
      </c>
      <c r="H361" s="497">
        <v>16</v>
      </c>
      <c r="I361" s="497">
        <f t="shared" si="29"/>
        <v>16</v>
      </c>
      <c r="J361" s="497">
        <v>0</v>
      </c>
      <c r="K361" s="497">
        <v>0</v>
      </c>
      <c r="L361" s="497">
        <v>16</v>
      </c>
      <c r="M361" s="673">
        <v>100</v>
      </c>
      <c r="N361" s="653">
        <v>5.3</v>
      </c>
      <c r="O361" s="699" t="s">
        <v>772</v>
      </c>
      <c r="P361" s="462" t="s">
        <v>1588</v>
      </c>
      <c r="Q361" s="673">
        <v>0</v>
      </c>
      <c r="R361" s="673">
        <v>0</v>
      </c>
      <c r="S361" s="673">
        <v>0</v>
      </c>
      <c r="T361" s="673">
        <v>0</v>
      </c>
      <c r="U361" s="462" t="s">
        <v>767</v>
      </c>
      <c r="V361" s="462" t="s">
        <v>773</v>
      </c>
      <c r="W361" s="653">
        <v>82</v>
      </c>
      <c r="X361" s="462" t="s">
        <v>1532</v>
      </c>
      <c r="Y361" s="462"/>
      <c r="Z361" s="462" t="s">
        <v>2259</v>
      </c>
      <c r="AA361" s="462" t="s">
        <v>1615</v>
      </c>
      <c r="AB361" s="467" t="s">
        <v>1534</v>
      </c>
    </row>
    <row r="362" spans="1:28" ht="24" customHeight="1">
      <c r="A362" s="594"/>
      <c r="B362" s="460" t="s">
        <v>675</v>
      </c>
      <c r="C362" s="522" t="s">
        <v>774</v>
      </c>
      <c r="D362" s="524" t="s">
        <v>775</v>
      </c>
      <c r="E362" s="497">
        <f t="shared" si="30"/>
        <v>42</v>
      </c>
      <c r="F362" s="497">
        <v>0</v>
      </c>
      <c r="G362" s="497">
        <v>42</v>
      </c>
      <c r="H362" s="497">
        <v>0</v>
      </c>
      <c r="I362" s="497">
        <f t="shared" si="29"/>
        <v>42</v>
      </c>
      <c r="J362" s="497">
        <v>0</v>
      </c>
      <c r="K362" s="497">
        <v>42</v>
      </c>
      <c r="L362" s="497">
        <v>0</v>
      </c>
      <c r="M362" s="673">
        <v>100</v>
      </c>
      <c r="N362" s="653" t="s">
        <v>7395</v>
      </c>
      <c r="O362" s="699" t="s">
        <v>776</v>
      </c>
      <c r="P362" s="462" t="s">
        <v>1588</v>
      </c>
      <c r="Q362" s="673">
        <v>0</v>
      </c>
      <c r="R362" s="673">
        <v>0</v>
      </c>
      <c r="S362" s="673">
        <v>0</v>
      </c>
      <c r="T362" s="673">
        <v>0</v>
      </c>
      <c r="U362" s="462" t="s">
        <v>767</v>
      </c>
      <c r="V362" s="462" t="s">
        <v>777</v>
      </c>
      <c r="W362" s="653">
        <v>200</v>
      </c>
      <c r="X362" s="462" t="s">
        <v>1532</v>
      </c>
      <c r="Y362" s="462"/>
      <c r="Z362" s="462" t="s">
        <v>1615</v>
      </c>
      <c r="AA362" s="462" t="s">
        <v>1615</v>
      </c>
      <c r="AB362" s="467" t="s">
        <v>1534</v>
      </c>
    </row>
    <row r="363" spans="1:28" ht="24" customHeight="1">
      <c r="A363" s="594"/>
      <c r="B363" s="460" t="s">
        <v>675</v>
      </c>
      <c r="C363" s="522" t="s">
        <v>778</v>
      </c>
      <c r="D363" s="524" t="s">
        <v>779</v>
      </c>
      <c r="E363" s="497">
        <f t="shared" si="30"/>
        <v>20</v>
      </c>
      <c r="F363" s="497">
        <v>0</v>
      </c>
      <c r="G363" s="497">
        <v>0</v>
      </c>
      <c r="H363" s="497">
        <v>20</v>
      </c>
      <c r="I363" s="497">
        <f t="shared" si="29"/>
        <v>20</v>
      </c>
      <c r="J363" s="497">
        <v>0</v>
      </c>
      <c r="K363" s="497">
        <v>0</v>
      </c>
      <c r="L363" s="497">
        <v>20</v>
      </c>
      <c r="M363" s="673">
        <v>100</v>
      </c>
      <c r="N363" s="653">
        <v>8.6</v>
      </c>
      <c r="O363" s="699" t="s">
        <v>780</v>
      </c>
      <c r="P363" s="462" t="s">
        <v>1588</v>
      </c>
      <c r="Q363" s="673">
        <v>0</v>
      </c>
      <c r="R363" s="673">
        <v>0</v>
      </c>
      <c r="S363" s="673">
        <v>0</v>
      </c>
      <c r="T363" s="673">
        <v>0</v>
      </c>
      <c r="U363" s="462" t="s">
        <v>767</v>
      </c>
      <c r="V363" s="462" t="s">
        <v>781</v>
      </c>
      <c r="W363" s="653">
        <v>196</v>
      </c>
      <c r="X363" s="462" t="s">
        <v>1532</v>
      </c>
      <c r="Y363" s="462"/>
      <c r="Z363" s="462" t="s">
        <v>782</v>
      </c>
      <c r="AA363" s="462" t="s">
        <v>1615</v>
      </c>
      <c r="AB363" s="467" t="s">
        <v>1534</v>
      </c>
    </row>
    <row r="364" spans="1:28" ht="24" customHeight="1">
      <c r="A364" s="594"/>
      <c r="B364" s="460" t="s">
        <v>675</v>
      </c>
      <c r="C364" s="522" t="s">
        <v>783</v>
      </c>
      <c r="D364" s="524" t="s">
        <v>784</v>
      </c>
      <c r="E364" s="497">
        <f t="shared" si="30"/>
        <v>40</v>
      </c>
      <c r="F364" s="497">
        <v>0</v>
      </c>
      <c r="G364" s="497">
        <v>0</v>
      </c>
      <c r="H364" s="497">
        <v>40</v>
      </c>
      <c r="I364" s="497">
        <f t="shared" si="29"/>
        <v>40</v>
      </c>
      <c r="J364" s="497">
        <v>0</v>
      </c>
      <c r="K364" s="497">
        <v>0</v>
      </c>
      <c r="L364" s="497">
        <v>40</v>
      </c>
      <c r="M364" s="673">
        <v>100</v>
      </c>
      <c r="N364" s="653">
        <v>16.399999999999999</v>
      </c>
      <c r="O364" s="699" t="s">
        <v>780</v>
      </c>
      <c r="P364" s="462" t="s">
        <v>1588</v>
      </c>
      <c r="Q364" s="673">
        <v>0</v>
      </c>
      <c r="R364" s="673">
        <v>0</v>
      </c>
      <c r="S364" s="673">
        <v>0</v>
      </c>
      <c r="T364" s="673">
        <v>0</v>
      </c>
      <c r="U364" s="462" t="s">
        <v>767</v>
      </c>
      <c r="V364" s="462" t="s">
        <v>785</v>
      </c>
      <c r="W364" s="653">
        <v>145</v>
      </c>
      <c r="X364" s="462" t="s">
        <v>1532</v>
      </c>
      <c r="Y364" s="462"/>
      <c r="Z364" s="462" t="s">
        <v>782</v>
      </c>
      <c r="AA364" s="462" t="s">
        <v>2259</v>
      </c>
      <c r="AB364" s="467" t="s">
        <v>1534</v>
      </c>
    </row>
    <row r="365" spans="1:28" ht="24" customHeight="1">
      <c r="A365" s="594"/>
      <c r="B365" s="460" t="s">
        <v>675</v>
      </c>
      <c r="C365" s="522" t="s">
        <v>786</v>
      </c>
      <c r="D365" s="524" t="s">
        <v>787</v>
      </c>
      <c r="E365" s="497">
        <f t="shared" si="30"/>
        <v>50</v>
      </c>
      <c r="F365" s="497">
        <v>0</v>
      </c>
      <c r="G365" s="497">
        <v>50</v>
      </c>
      <c r="H365" s="497">
        <v>0</v>
      </c>
      <c r="I365" s="497">
        <f t="shared" si="29"/>
        <v>50</v>
      </c>
      <c r="J365" s="497">
        <v>0</v>
      </c>
      <c r="K365" s="497">
        <v>50</v>
      </c>
      <c r="L365" s="497">
        <v>0</v>
      </c>
      <c r="M365" s="673">
        <v>100</v>
      </c>
      <c r="N365" s="653">
        <v>24</v>
      </c>
      <c r="O365" s="699" t="s">
        <v>1408</v>
      </c>
      <c r="P365" s="462" t="s">
        <v>1588</v>
      </c>
      <c r="Q365" s="673">
        <v>0</v>
      </c>
      <c r="R365" s="673">
        <v>0</v>
      </c>
      <c r="S365" s="673">
        <v>0</v>
      </c>
      <c r="T365" s="673">
        <v>0</v>
      </c>
      <c r="U365" s="462" t="s">
        <v>767</v>
      </c>
      <c r="V365" s="462" t="s">
        <v>788</v>
      </c>
      <c r="W365" s="653">
        <v>312</v>
      </c>
      <c r="X365" s="462" t="s">
        <v>1532</v>
      </c>
      <c r="Y365" s="462"/>
      <c r="Z365" s="462" t="s">
        <v>2259</v>
      </c>
      <c r="AA365" s="462" t="s">
        <v>1615</v>
      </c>
      <c r="AB365" s="467" t="s">
        <v>1534</v>
      </c>
    </row>
    <row r="366" spans="1:28" ht="24" customHeight="1">
      <c r="A366" s="594"/>
      <c r="B366" s="460" t="s">
        <v>675</v>
      </c>
      <c r="C366" s="522" t="s">
        <v>789</v>
      </c>
      <c r="D366" s="524" t="s">
        <v>790</v>
      </c>
      <c r="E366" s="497">
        <f t="shared" si="30"/>
        <v>50</v>
      </c>
      <c r="F366" s="497">
        <v>0</v>
      </c>
      <c r="G366" s="497">
        <v>0</v>
      </c>
      <c r="H366" s="497">
        <v>50</v>
      </c>
      <c r="I366" s="497">
        <f t="shared" si="29"/>
        <v>50</v>
      </c>
      <c r="J366" s="497">
        <v>0</v>
      </c>
      <c r="K366" s="497">
        <v>0</v>
      </c>
      <c r="L366" s="497">
        <v>50</v>
      </c>
      <c r="M366" s="673">
        <v>100</v>
      </c>
      <c r="N366" s="653">
        <v>23.5</v>
      </c>
      <c r="O366" s="699" t="s">
        <v>780</v>
      </c>
      <c r="P366" s="462" t="s">
        <v>1588</v>
      </c>
      <c r="Q366" s="673">
        <v>0</v>
      </c>
      <c r="R366" s="673">
        <v>0</v>
      </c>
      <c r="S366" s="673">
        <v>0</v>
      </c>
      <c r="T366" s="673">
        <v>0</v>
      </c>
      <c r="U366" s="462" t="s">
        <v>767</v>
      </c>
      <c r="V366" s="462" t="s">
        <v>785</v>
      </c>
      <c r="W366" s="653">
        <v>135</v>
      </c>
      <c r="X366" s="462" t="s">
        <v>1532</v>
      </c>
      <c r="Y366" s="462"/>
      <c r="Z366" s="462" t="s">
        <v>2259</v>
      </c>
      <c r="AA366" s="462" t="s">
        <v>1615</v>
      </c>
      <c r="AB366" s="467" t="s">
        <v>1534</v>
      </c>
    </row>
    <row r="367" spans="1:28" ht="24" customHeight="1">
      <c r="A367" s="594"/>
      <c r="B367" s="460" t="s">
        <v>675</v>
      </c>
      <c r="C367" s="522" t="s">
        <v>791</v>
      </c>
      <c r="D367" s="524" t="s">
        <v>792</v>
      </c>
      <c r="E367" s="497">
        <f t="shared" si="30"/>
        <v>200</v>
      </c>
      <c r="F367" s="497">
        <v>0</v>
      </c>
      <c r="G367" s="497">
        <v>200</v>
      </c>
      <c r="H367" s="497">
        <v>0</v>
      </c>
      <c r="I367" s="497">
        <f t="shared" si="29"/>
        <v>200</v>
      </c>
      <c r="J367" s="497">
        <v>0</v>
      </c>
      <c r="K367" s="497">
        <v>200</v>
      </c>
      <c r="L367" s="497">
        <v>0</v>
      </c>
      <c r="M367" s="673">
        <v>100</v>
      </c>
      <c r="N367" s="653">
        <v>64</v>
      </c>
      <c r="O367" s="699" t="s">
        <v>3742</v>
      </c>
      <c r="P367" s="462" t="s">
        <v>1588</v>
      </c>
      <c r="Q367" s="673">
        <v>0</v>
      </c>
      <c r="R367" s="673">
        <v>0</v>
      </c>
      <c r="S367" s="673">
        <v>0</v>
      </c>
      <c r="T367" s="673">
        <v>0</v>
      </c>
      <c r="U367" s="462" t="s">
        <v>767</v>
      </c>
      <c r="V367" s="462" t="s">
        <v>793</v>
      </c>
      <c r="W367" s="653">
        <v>285</v>
      </c>
      <c r="X367" s="462" t="s">
        <v>1532</v>
      </c>
      <c r="Y367" s="462"/>
      <c r="Z367" s="462" t="s">
        <v>794</v>
      </c>
      <c r="AA367" s="462" t="s">
        <v>1615</v>
      </c>
      <c r="AB367" s="467" t="s">
        <v>1534</v>
      </c>
    </row>
    <row r="368" spans="1:28" ht="24" customHeight="1">
      <c r="A368" s="594"/>
      <c r="B368" s="460" t="s">
        <v>675</v>
      </c>
      <c r="C368" s="522" t="s">
        <v>3919</v>
      </c>
      <c r="D368" s="524" t="s">
        <v>795</v>
      </c>
      <c r="E368" s="497">
        <f t="shared" si="30"/>
        <v>42</v>
      </c>
      <c r="F368" s="497">
        <v>0</v>
      </c>
      <c r="G368" s="497">
        <v>0</v>
      </c>
      <c r="H368" s="497">
        <v>42</v>
      </c>
      <c r="I368" s="497">
        <f t="shared" si="29"/>
        <v>42</v>
      </c>
      <c r="J368" s="497">
        <v>0</v>
      </c>
      <c r="K368" s="497">
        <v>0</v>
      </c>
      <c r="L368" s="497">
        <v>42</v>
      </c>
      <c r="M368" s="673">
        <v>100</v>
      </c>
      <c r="N368" s="653">
        <v>17.2</v>
      </c>
      <c r="O368" s="699" t="s">
        <v>3419</v>
      </c>
      <c r="P368" s="462" t="s">
        <v>1588</v>
      </c>
      <c r="Q368" s="673">
        <v>0</v>
      </c>
      <c r="R368" s="673">
        <v>0</v>
      </c>
      <c r="S368" s="673">
        <v>0</v>
      </c>
      <c r="T368" s="673">
        <v>0</v>
      </c>
      <c r="U368" s="462" t="s">
        <v>767</v>
      </c>
      <c r="V368" s="462" t="s">
        <v>796</v>
      </c>
      <c r="W368" s="653">
        <v>245</v>
      </c>
      <c r="X368" s="462" t="s">
        <v>1532</v>
      </c>
      <c r="Y368" s="462"/>
      <c r="Z368" s="462" t="s">
        <v>1615</v>
      </c>
      <c r="AA368" s="462" t="s">
        <v>1615</v>
      </c>
      <c r="AB368" s="467" t="s">
        <v>1534</v>
      </c>
    </row>
    <row r="369" spans="1:28" ht="24" customHeight="1">
      <c r="A369" s="594"/>
      <c r="B369" s="460" t="s">
        <v>675</v>
      </c>
      <c r="C369" s="522" t="s">
        <v>797</v>
      </c>
      <c r="D369" s="524" t="s">
        <v>798</v>
      </c>
      <c r="E369" s="497">
        <f t="shared" si="30"/>
        <v>42</v>
      </c>
      <c r="F369" s="497">
        <v>0</v>
      </c>
      <c r="G369" s="497">
        <v>0</v>
      </c>
      <c r="H369" s="497">
        <v>42</v>
      </c>
      <c r="I369" s="497">
        <f t="shared" si="29"/>
        <v>42</v>
      </c>
      <c r="J369" s="497">
        <v>0</v>
      </c>
      <c r="K369" s="497">
        <v>0</v>
      </c>
      <c r="L369" s="497">
        <v>42</v>
      </c>
      <c r="M369" s="673">
        <v>100</v>
      </c>
      <c r="N369" s="653">
        <v>23.5</v>
      </c>
      <c r="O369" s="699" t="s">
        <v>780</v>
      </c>
      <c r="P369" s="462" t="s">
        <v>1588</v>
      </c>
      <c r="Q369" s="673">
        <v>0</v>
      </c>
      <c r="R369" s="673">
        <v>0</v>
      </c>
      <c r="S369" s="673">
        <v>0</v>
      </c>
      <c r="T369" s="673">
        <v>0</v>
      </c>
      <c r="U369" s="462" t="s">
        <v>767</v>
      </c>
      <c r="V369" s="462" t="s">
        <v>2281</v>
      </c>
      <c r="W369" s="653">
        <v>227</v>
      </c>
      <c r="X369" s="462" t="s">
        <v>1532</v>
      </c>
      <c r="Y369" s="462"/>
      <c r="Z369" s="462" t="s">
        <v>2259</v>
      </c>
      <c r="AA369" s="462" t="s">
        <v>1615</v>
      </c>
      <c r="AB369" s="467" t="s">
        <v>1534</v>
      </c>
    </row>
    <row r="370" spans="1:28" ht="24" customHeight="1">
      <c r="A370" s="590" t="s">
        <v>1861</v>
      </c>
      <c r="B370" s="510" t="s">
        <v>675</v>
      </c>
      <c r="C370" s="718" t="s">
        <v>799</v>
      </c>
      <c r="D370" s="510" t="s">
        <v>800</v>
      </c>
      <c r="E370" s="497">
        <f t="shared" si="30"/>
        <v>150</v>
      </c>
      <c r="F370" s="497">
        <v>0</v>
      </c>
      <c r="G370" s="497">
        <v>150</v>
      </c>
      <c r="H370" s="497">
        <v>0</v>
      </c>
      <c r="I370" s="497">
        <f t="shared" si="29"/>
        <v>150</v>
      </c>
      <c r="J370" s="497">
        <v>0</v>
      </c>
      <c r="K370" s="497">
        <v>150</v>
      </c>
      <c r="L370" s="497">
        <v>0</v>
      </c>
      <c r="M370" s="680">
        <v>99</v>
      </c>
      <c r="N370" s="659">
        <v>13</v>
      </c>
      <c r="O370" s="720" t="s">
        <v>3221</v>
      </c>
      <c r="P370" s="479" t="s">
        <v>1588</v>
      </c>
      <c r="Q370" s="680">
        <v>0</v>
      </c>
      <c r="R370" s="680">
        <v>0</v>
      </c>
      <c r="S370" s="680">
        <v>0</v>
      </c>
      <c r="T370" s="680">
        <v>0</v>
      </c>
      <c r="U370" s="479" t="s">
        <v>801</v>
      </c>
      <c r="V370" s="479" t="s">
        <v>802</v>
      </c>
      <c r="W370" s="653">
        <v>200</v>
      </c>
      <c r="X370" s="479" t="s">
        <v>1532</v>
      </c>
      <c r="Y370" s="479" t="s">
        <v>1533</v>
      </c>
      <c r="Z370" s="479" t="s">
        <v>2259</v>
      </c>
      <c r="AA370" s="479" t="s">
        <v>803</v>
      </c>
      <c r="AB370" s="512" t="s">
        <v>1615</v>
      </c>
    </row>
    <row r="371" spans="1:28" ht="24" customHeight="1">
      <c r="A371" s="591"/>
      <c r="B371" s="510" t="s">
        <v>675</v>
      </c>
      <c r="C371" s="718" t="s">
        <v>2087</v>
      </c>
      <c r="D371" s="510" t="s">
        <v>804</v>
      </c>
      <c r="E371" s="497">
        <f t="shared" si="30"/>
        <v>250</v>
      </c>
      <c r="F371" s="497">
        <v>0</v>
      </c>
      <c r="G371" s="497">
        <v>250</v>
      </c>
      <c r="H371" s="497">
        <v>0</v>
      </c>
      <c r="I371" s="497">
        <f t="shared" si="29"/>
        <v>120</v>
      </c>
      <c r="J371" s="497">
        <v>0</v>
      </c>
      <c r="K371" s="497">
        <v>120</v>
      </c>
      <c r="L371" s="497">
        <v>0</v>
      </c>
      <c r="M371" s="680">
        <v>96</v>
      </c>
      <c r="N371" s="659">
        <v>20</v>
      </c>
      <c r="O371" s="720" t="s">
        <v>3221</v>
      </c>
      <c r="P371" s="479" t="s">
        <v>1588</v>
      </c>
      <c r="Q371" s="680">
        <v>0</v>
      </c>
      <c r="R371" s="680">
        <v>0</v>
      </c>
      <c r="S371" s="680">
        <v>0</v>
      </c>
      <c r="T371" s="680">
        <v>0</v>
      </c>
      <c r="U371" s="479" t="s">
        <v>801</v>
      </c>
      <c r="V371" s="479" t="s">
        <v>805</v>
      </c>
      <c r="W371" s="653">
        <v>265</v>
      </c>
      <c r="X371" s="479" t="s">
        <v>1532</v>
      </c>
      <c r="Y371" s="479" t="s">
        <v>1533</v>
      </c>
      <c r="Z371" s="479"/>
      <c r="AA371" s="479" t="s">
        <v>2261</v>
      </c>
      <c r="AB371" s="512" t="s">
        <v>1615</v>
      </c>
    </row>
    <row r="372" spans="1:28" ht="24" customHeight="1">
      <c r="A372" s="591"/>
      <c r="B372" s="510" t="s">
        <v>675</v>
      </c>
      <c r="C372" s="718" t="s">
        <v>574</v>
      </c>
      <c r="D372" s="510" t="s">
        <v>806</v>
      </c>
      <c r="E372" s="497">
        <f t="shared" si="30"/>
        <v>250</v>
      </c>
      <c r="F372" s="497">
        <v>0</v>
      </c>
      <c r="G372" s="497">
        <v>250</v>
      </c>
      <c r="H372" s="497">
        <v>0</v>
      </c>
      <c r="I372" s="497">
        <f t="shared" si="29"/>
        <v>130</v>
      </c>
      <c r="J372" s="497">
        <v>0</v>
      </c>
      <c r="K372" s="497">
        <v>130</v>
      </c>
      <c r="L372" s="497">
        <v>0</v>
      </c>
      <c r="M372" s="680">
        <v>93</v>
      </c>
      <c r="N372" s="659">
        <v>16</v>
      </c>
      <c r="O372" s="720" t="s">
        <v>3221</v>
      </c>
      <c r="P372" s="479" t="s">
        <v>1588</v>
      </c>
      <c r="Q372" s="680">
        <v>0</v>
      </c>
      <c r="R372" s="680">
        <v>0</v>
      </c>
      <c r="S372" s="680">
        <v>0</v>
      </c>
      <c r="T372" s="680">
        <v>0</v>
      </c>
      <c r="U372" s="479" t="s">
        <v>801</v>
      </c>
      <c r="V372" s="479" t="s">
        <v>807</v>
      </c>
      <c r="W372" s="653">
        <v>460</v>
      </c>
      <c r="X372" s="479" t="s">
        <v>1532</v>
      </c>
      <c r="Y372" s="479" t="s">
        <v>1533</v>
      </c>
      <c r="Z372" s="479" t="s">
        <v>2259</v>
      </c>
      <c r="AA372" s="479" t="s">
        <v>803</v>
      </c>
      <c r="AB372" s="512" t="s">
        <v>1615</v>
      </c>
    </row>
    <row r="373" spans="1:28" ht="24" customHeight="1">
      <c r="A373" s="591"/>
      <c r="B373" s="510" t="s">
        <v>675</v>
      </c>
      <c r="C373" s="718" t="s">
        <v>808</v>
      </c>
      <c r="D373" s="510" t="s">
        <v>809</v>
      </c>
      <c r="E373" s="497">
        <f t="shared" si="30"/>
        <v>250</v>
      </c>
      <c r="F373" s="497">
        <v>0</v>
      </c>
      <c r="G373" s="497">
        <v>250</v>
      </c>
      <c r="H373" s="497">
        <v>0</v>
      </c>
      <c r="I373" s="497">
        <f t="shared" si="29"/>
        <v>250</v>
      </c>
      <c r="J373" s="497">
        <v>0</v>
      </c>
      <c r="K373" s="497">
        <v>250</v>
      </c>
      <c r="L373" s="497">
        <v>0</v>
      </c>
      <c r="M373" s="680">
        <v>96</v>
      </c>
      <c r="N373" s="659">
        <v>18</v>
      </c>
      <c r="O373" s="720" t="s">
        <v>3221</v>
      </c>
      <c r="P373" s="479" t="s">
        <v>1588</v>
      </c>
      <c r="Q373" s="680">
        <v>0</v>
      </c>
      <c r="R373" s="680">
        <v>0</v>
      </c>
      <c r="S373" s="680">
        <v>0</v>
      </c>
      <c r="T373" s="680">
        <v>0</v>
      </c>
      <c r="U373" s="479" t="s">
        <v>801</v>
      </c>
      <c r="V373" s="479" t="s">
        <v>810</v>
      </c>
      <c r="W373" s="653">
        <v>290</v>
      </c>
      <c r="X373" s="479" t="s">
        <v>1532</v>
      </c>
      <c r="Y373" s="479" t="s">
        <v>1533</v>
      </c>
      <c r="Z373" s="479" t="s">
        <v>2259</v>
      </c>
      <c r="AA373" s="479" t="s">
        <v>803</v>
      </c>
      <c r="AB373" s="512" t="s">
        <v>1615</v>
      </c>
    </row>
    <row r="374" spans="1:28" ht="24" customHeight="1">
      <c r="A374" s="591"/>
      <c r="B374" s="510" t="s">
        <v>675</v>
      </c>
      <c r="C374" s="718" t="s">
        <v>811</v>
      </c>
      <c r="D374" s="510" t="s">
        <v>812</v>
      </c>
      <c r="E374" s="497">
        <f t="shared" si="30"/>
        <v>250</v>
      </c>
      <c r="F374" s="497">
        <v>0</v>
      </c>
      <c r="G374" s="497">
        <v>250</v>
      </c>
      <c r="H374" s="497">
        <v>0</v>
      </c>
      <c r="I374" s="497">
        <f t="shared" si="29"/>
        <v>250</v>
      </c>
      <c r="J374" s="497">
        <v>0</v>
      </c>
      <c r="K374" s="497">
        <v>250</v>
      </c>
      <c r="L374" s="497">
        <v>0</v>
      </c>
      <c r="M374" s="680">
        <v>97</v>
      </c>
      <c r="N374" s="659">
        <v>9</v>
      </c>
      <c r="O374" s="720" t="s">
        <v>3221</v>
      </c>
      <c r="P374" s="479" t="s">
        <v>1588</v>
      </c>
      <c r="Q374" s="839">
        <v>0</v>
      </c>
      <c r="R374" s="839">
        <v>0</v>
      </c>
      <c r="S374" s="680">
        <v>0</v>
      </c>
      <c r="T374" s="680">
        <v>0</v>
      </c>
      <c r="U374" s="479" t="s">
        <v>801</v>
      </c>
      <c r="V374" s="479" t="s">
        <v>813</v>
      </c>
      <c r="W374" s="653">
        <v>284</v>
      </c>
      <c r="X374" s="479" t="s">
        <v>1532</v>
      </c>
      <c r="Y374" s="479" t="s">
        <v>1533</v>
      </c>
      <c r="Z374" s="479" t="s">
        <v>2259</v>
      </c>
      <c r="AA374" s="479" t="s">
        <v>803</v>
      </c>
      <c r="AB374" s="512" t="s">
        <v>1615</v>
      </c>
    </row>
    <row r="375" spans="1:28" ht="24" customHeight="1">
      <c r="A375" s="591"/>
      <c r="B375" s="510" t="s">
        <v>675</v>
      </c>
      <c r="C375" s="718" t="s">
        <v>2164</v>
      </c>
      <c r="D375" s="510" t="s">
        <v>814</v>
      </c>
      <c r="E375" s="497">
        <f t="shared" si="30"/>
        <v>200</v>
      </c>
      <c r="F375" s="497">
        <v>0</v>
      </c>
      <c r="G375" s="497">
        <v>200</v>
      </c>
      <c r="H375" s="497">
        <v>0</v>
      </c>
      <c r="I375" s="497">
        <f t="shared" si="29"/>
        <v>200</v>
      </c>
      <c r="J375" s="497">
        <v>0</v>
      </c>
      <c r="K375" s="497">
        <v>200</v>
      </c>
      <c r="L375" s="497">
        <v>0</v>
      </c>
      <c r="M375" s="680">
        <v>92</v>
      </c>
      <c r="N375" s="659">
        <v>21</v>
      </c>
      <c r="O375" s="720" t="s">
        <v>3221</v>
      </c>
      <c r="P375" s="479" t="s">
        <v>1588</v>
      </c>
      <c r="Q375" s="680">
        <v>0</v>
      </c>
      <c r="R375" s="680">
        <v>0</v>
      </c>
      <c r="S375" s="680">
        <v>0</v>
      </c>
      <c r="T375" s="680">
        <v>0</v>
      </c>
      <c r="U375" s="479" t="s">
        <v>801</v>
      </c>
      <c r="V375" s="479" t="s">
        <v>815</v>
      </c>
      <c r="W375" s="653">
        <v>435</v>
      </c>
      <c r="X375" s="479" t="s">
        <v>1532</v>
      </c>
      <c r="Y375" s="479" t="s">
        <v>1533</v>
      </c>
      <c r="Z375" s="479"/>
      <c r="AA375" s="479" t="s">
        <v>2261</v>
      </c>
      <c r="AB375" s="512" t="s">
        <v>1615</v>
      </c>
    </row>
    <row r="376" spans="1:28" ht="24" customHeight="1">
      <c r="A376" s="582" t="s">
        <v>1863</v>
      </c>
      <c r="B376" s="460" t="s">
        <v>675</v>
      </c>
      <c r="C376" s="458" t="s">
        <v>817</v>
      </c>
      <c r="D376" s="510" t="s">
        <v>818</v>
      </c>
      <c r="E376" s="497">
        <f t="shared" si="30"/>
        <v>260</v>
      </c>
      <c r="F376" s="497">
        <v>0</v>
      </c>
      <c r="G376" s="497">
        <v>0</v>
      </c>
      <c r="H376" s="497">
        <v>260</v>
      </c>
      <c r="I376" s="497">
        <f t="shared" ref="I376:I389" si="31">J376+K376+L376</f>
        <v>78</v>
      </c>
      <c r="J376" s="497">
        <v>0</v>
      </c>
      <c r="K376" s="497">
        <v>0</v>
      </c>
      <c r="L376" s="497">
        <v>78</v>
      </c>
      <c r="M376" s="672">
        <v>92.8</v>
      </c>
      <c r="N376" s="498">
        <v>3.1125120000000002</v>
      </c>
      <c r="O376" s="669" t="s">
        <v>819</v>
      </c>
      <c r="P376" s="463" t="s">
        <v>1588</v>
      </c>
      <c r="Q376" s="672">
        <v>0</v>
      </c>
      <c r="R376" s="672">
        <v>0</v>
      </c>
      <c r="S376" s="672">
        <v>0</v>
      </c>
      <c r="T376" s="672">
        <v>0</v>
      </c>
      <c r="U376" s="463" t="s">
        <v>816</v>
      </c>
      <c r="V376" s="518">
        <v>39083</v>
      </c>
      <c r="W376" s="653">
        <v>4095</v>
      </c>
      <c r="X376" s="463" t="s">
        <v>2193</v>
      </c>
      <c r="Y376" s="463" t="s">
        <v>3161</v>
      </c>
      <c r="Z376" s="463" t="s">
        <v>575</v>
      </c>
      <c r="AA376" s="463" t="s">
        <v>1534</v>
      </c>
      <c r="AB376" s="459" t="s">
        <v>1534</v>
      </c>
    </row>
    <row r="377" spans="1:28" ht="24" customHeight="1">
      <c r="A377" s="584"/>
      <c r="B377" s="460" t="s">
        <v>675</v>
      </c>
      <c r="C377" s="458" t="s">
        <v>820</v>
      </c>
      <c r="D377" s="510" t="s">
        <v>821</v>
      </c>
      <c r="E377" s="497">
        <f t="shared" si="30"/>
        <v>35</v>
      </c>
      <c r="F377" s="497">
        <v>0</v>
      </c>
      <c r="G377" s="497">
        <v>35</v>
      </c>
      <c r="H377" s="497">
        <v>0</v>
      </c>
      <c r="I377" s="497">
        <f t="shared" si="31"/>
        <v>29.7</v>
      </c>
      <c r="J377" s="497">
        <v>0</v>
      </c>
      <c r="K377" s="497">
        <v>29.7</v>
      </c>
      <c r="L377" s="497">
        <v>0</v>
      </c>
      <c r="M377" s="672">
        <v>82.5</v>
      </c>
      <c r="N377" s="498">
        <v>0.93354524999999988</v>
      </c>
      <c r="O377" s="669" t="s">
        <v>3221</v>
      </c>
      <c r="P377" s="463" t="s">
        <v>1588</v>
      </c>
      <c r="Q377" s="672">
        <v>0</v>
      </c>
      <c r="R377" s="672">
        <v>0</v>
      </c>
      <c r="S377" s="672">
        <v>0</v>
      </c>
      <c r="T377" s="672">
        <v>0</v>
      </c>
      <c r="U377" s="463" t="s">
        <v>816</v>
      </c>
      <c r="V377" s="518">
        <v>37216</v>
      </c>
      <c r="W377" s="653">
        <v>175</v>
      </c>
      <c r="X377" s="463" t="s">
        <v>2199</v>
      </c>
      <c r="Y377" s="463"/>
      <c r="Z377" s="463" t="s">
        <v>575</v>
      </c>
      <c r="AA377" s="463" t="s">
        <v>1534</v>
      </c>
      <c r="AB377" s="459" t="s">
        <v>1534</v>
      </c>
    </row>
    <row r="378" spans="1:28" ht="24" customHeight="1">
      <c r="A378" s="584"/>
      <c r="B378" s="460" t="s">
        <v>2201</v>
      </c>
      <c r="C378" s="458" t="s">
        <v>335</v>
      </c>
      <c r="D378" s="510" t="s">
        <v>822</v>
      </c>
      <c r="E378" s="497">
        <f t="shared" si="30"/>
        <v>6000</v>
      </c>
      <c r="F378" s="497">
        <v>0</v>
      </c>
      <c r="G378" s="497">
        <v>0</v>
      </c>
      <c r="H378" s="497">
        <v>6000</v>
      </c>
      <c r="I378" s="497">
        <f t="shared" si="31"/>
        <v>2656</v>
      </c>
      <c r="J378" s="497">
        <v>0</v>
      </c>
      <c r="K378" s="497">
        <v>0</v>
      </c>
      <c r="L378" s="497">
        <v>2656</v>
      </c>
      <c r="M378" s="672">
        <v>95.8</v>
      </c>
      <c r="N378" s="498">
        <v>230.52698879999997</v>
      </c>
      <c r="O378" s="669" t="s">
        <v>3798</v>
      </c>
      <c r="P378" s="463" t="s">
        <v>1588</v>
      </c>
      <c r="Q378" s="672">
        <v>0</v>
      </c>
      <c r="R378" s="672">
        <v>0</v>
      </c>
      <c r="S378" s="672">
        <v>0</v>
      </c>
      <c r="T378" s="672">
        <v>0</v>
      </c>
      <c r="U378" s="463" t="s">
        <v>823</v>
      </c>
      <c r="V378" s="518">
        <v>38292</v>
      </c>
      <c r="W378" s="653">
        <v>38097</v>
      </c>
      <c r="X378" s="463" t="s">
        <v>1532</v>
      </c>
      <c r="Y378" s="463" t="s">
        <v>4034</v>
      </c>
      <c r="Z378" s="463" t="s">
        <v>335</v>
      </c>
      <c r="AA378" s="463" t="s">
        <v>1534</v>
      </c>
      <c r="AB378" s="459" t="s">
        <v>1534</v>
      </c>
    </row>
    <row r="379" spans="1:28" ht="24" customHeight="1">
      <c r="A379" s="584"/>
      <c r="B379" s="460" t="s">
        <v>675</v>
      </c>
      <c r="C379" s="458" t="s">
        <v>2096</v>
      </c>
      <c r="D379" s="510" t="s">
        <v>824</v>
      </c>
      <c r="E379" s="497">
        <f t="shared" si="30"/>
        <v>40</v>
      </c>
      <c r="F379" s="497">
        <v>0</v>
      </c>
      <c r="G379" s="497">
        <v>40</v>
      </c>
      <c r="H379" s="497">
        <v>0</v>
      </c>
      <c r="I379" s="497">
        <f t="shared" si="31"/>
        <v>34.6</v>
      </c>
      <c r="J379" s="497">
        <v>0</v>
      </c>
      <c r="K379" s="497">
        <v>34.6</v>
      </c>
      <c r="L379" s="497">
        <v>0</v>
      </c>
      <c r="M379" s="672">
        <v>90.2</v>
      </c>
      <c r="N379" s="498">
        <v>1.9131239600000001</v>
      </c>
      <c r="O379" s="669" t="s">
        <v>3221</v>
      </c>
      <c r="P379" s="463" t="s">
        <v>1588</v>
      </c>
      <c r="Q379" s="672">
        <v>0</v>
      </c>
      <c r="R379" s="672">
        <v>0</v>
      </c>
      <c r="S379" s="672">
        <v>0</v>
      </c>
      <c r="T379" s="672">
        <v>0</v>
      </c>
      <c r="U379" s="463" t="s">
        <v>816</v>
      </c>
      <c r="V379" s="518">
        <v>36686</v>
      </c>
      <c r="W379" s="653">
        <v>12647</v>
      </c>
      <c r="X379" s="463" t="s">
        <v>2199</v>
      </c>
      <c r="Y379" s="463"/>
      <c r="Z379" s="463" t="s">
        <v>825</v>
      </c>
      <c r="AA379" s="463" t="s">
        <v>1534</v>
      </c>
      <c r="AB379" s="459" t="s">
        <v>1534</v>
      </c>
    </row>
    <row r="380" spans="1:28" ht="24" customHeight="1">
      <c r="A380" s="584"/>
      <c r="B380" s="460" t="s">
        <v>675</v>
      </c>
      <c r="C380" s="458" t="s">
        <v>826</v>
      </c>
      <c r="D380" s="510" t="s">
        <v>827</v>
      </c>
      <c r="E380" s="497">
        <f t="shared" si="30"/>
        <v>32</v>
      </c>
      <c r="F380" s="497">
        <v>0</v>
      </c>
      <c r="G380" s="497">
        <v>32</v>
      </c>
      <c r="H380" s="497">
        <v>0</v>
      </c>
      <c r="I380" s="497">
        <f t="shared" si="31"/>
        <v>27.2</v>
      </c>
      <c r="J380" s="497">
        <v>0</v>
      </c>
      <c r="K380" s="497">
        <v>27.2</v>
      </c>
      <c r="L380" s="497">
        <v>0</v>
      </c>
      <c r="M380" s="672">
        <v>90</v>
      </c>
      <c r="N380" s="498">
        <v>1.598544</v>
      </c>
      <c r="O380" s="669" t="s">
        <v>3872</v>
      </c>
      <c r="P380" s="463" t="s">
        <v>1588</v>
      </c>
      <c r="Q380" s="672">
        <v>0</v>
      </c>
      <c r="R380" s="672">
        <v>0</v>
      </c>
      <c r="S380" s="672">
        <v>0</v>
      </c>
      <c r="T380" s="672">
        <v>0</v>
      </c>
      <c r="U380" s="463" t="s">
        <v>816</v>
      </c>
      <c r="V380" s="518">
        <v>36686</v>
      </c>
      <c r="W380" s="653">
        <v>2834</v>
      </c>
      <c r="X380" s="463" t="s">
        <v>2199</v>
      </c>
      <c r="Y380" s="463"/>
      <c r="Z380" s="463" t="s">
        <v>825</v>
      </c>
      <c r="AA380" s="463" t="s">
        <v>1534</v>
      </c>
      <c r="AB380" s="459" t="s">
        <v>1534</v>
      </c>
    </row>
    <row r="381" spans="1:28" ht="24" customHeight="1">
      <c r="A381" s="584"/>
      <c r="B381" s="460" t="s">
        <v>675</v>
      </c>
      <c r="C381" s="458" t="s">
        <v>828</v>
      </c>
      <c r="D381" s="510" t="s">
        <v>829</v>
      </c>
      <c r="E381" s="497">
        <f t="shared" si="30"/>
        <v>200</v>
      </c>
      <c r="F381" s="497">
        <v>0</v>
      </c>
      <c r="G381" s="497">
        <v>200</v>
      </c>
      <c r="H381" s="497">
        <v>0</v>
      </c>
      <c r="I381" s="497">
        <f t="shared" si="31"/>
        <v>181.8</v>
      </c>
      <c r="J381" s="497">
        <v>0</v>
      </c>
      <c r="K381" s="497">
        <v>181.8</v>
      </c>
      <c r="L381" s="497">
        <v>0</v>
      </c>
      <c r="M381" s="672">
        <v>90</v>
      </c>
      <c r="N381" s="498">
        <v>24.984773999999998</v>
      </c>
      <c r="O381" s="669" t="s">
        <v>3221</v>
      </c>
      <c r="P381" s="463" t="s">
        <v>1588</v>
      </c>
      <c r="Q381" s="672">
        <v>0</v>
      </c>
      <c r="R381" s="672">
        <v>0</v>
      </c>
      <c r="S381" s="672">
        <v>0</v>
      </c>
      <c r="T381" s="672">
        <v>0</v>
      </c>
      <c r="U381" s="463" t="s">
        <v>816</v>
      </c>
      <c r="V381" s="518">
        <v>33964</v>
      </c>
      <c r="W381" s="653">
        <v>193</v>
      </c>
      <c r="X381" s="463" t="s">
        <v>2199</v>
      </c>
      <c r="Y381" s="463"/>
      <c r="Z381" s="463" t="s">
        <v>575</v>
      </c>
      <c r="AA381" s="463" t="s">
        <v>1534</v>
      </c>
      <c r="AB381" s="459" t="s">
        <v>1534</v>
      </c>
    </row>
    <row r="382" spans="1:28" ht="24" customHeight="1">
      <c r="A382" s="584"/>
      <c r="B382" s="460" t="s">
        <v>675</v>
      </c>
      <c r="C382" s="458" t="s">
        <v>830</v>
      </c>
      <c r="D382" s="510" t="s">
        <v>831</v>
      </c>
      <c r="E382" s="497">
        <f t="shared" si="30"/>
        <v>60</v>
      </c>
      <c r="F382" s="497">
        <v>0</v>
      </c>
      <c r="G382" s="497">
        <v>60</v>
      </c>
      <c r="H382" s="497">
        <v>0</v>
      </c>
      <c r="I382" s="497">
        <f t="shared" si="31"/>
        <v>53.1</v>
      </c>
      <c r="J382" s="497">
        <v>0</v>
      </c>
      <c r="K382" s="497">
        <v>53.1</v>
      </c>
      <c r="L382" s="497">
        <v>0</v>
      </c>
      <c r="M382" s="672">
        <v>72.2</v>
      </c>
      <c r="N382" s="498">
        <v>0.60574356000000007</v>
      </c>
      <c r="O382" s="669" t="s">
        <v>3221</v>
      </c>
      <c r="P382" s="463" t="s">
        <v>1588</v>
      </c>
      <c r="Q382" s="672">
        <v>0</v>
      </c>
      <c r="R382" s="672">
        <v>0</v>
      </c>
      <c r="S382" s="672">
        <v>0</v>
      </c>
      <c r="T382" s="672">
        <v>0</v>
      </c>
      <c r="U382" s="463" t="s">
        <v>816</v>
      </c>
      <c r="V382" s="518">
        <v>36734</v>
      </c>
      <c r="W382" s="653">
        <v>253</v>
      </c>
      <c r="X382" s="463" t="s">
        <v>2199</v>
      </c>
      <c r="Y382" s="463" t="s">
        <v>3232</v>
      </c>
      <c r="Z382" s="463" t="s">
        <v>575</v>
      </c>
      <c r="AA382" s="463" t="s">
        <v>1534</v>
      </c>
      <c r="AB382" s="459" t="s">
        <v>1534</v>
      </c>
    </row>
    <row r="383" spans="1:28" ht="24" customHeight="1">
      <c r="A383" s="584"/>
      <c r="B383" s="460" t="s">
        <v>675</v>
      </c>
      <c r="C383" s="458" t="s">
        <v>2029</v>
      </c>
      <c r="D383" s="510" t="s">
        <v>832</v>
      </c>
      <c r="E383" s="497">
        <f t="shared" si="30"/>
        <v>28</v>
      </c>
      <c r="F383" s="497">
        <v>0</v>
      </c>
      <c r="G383" s="497">
        <v>28</v>
      </c>
      <c r="H383" s="497">
        <v>0</v>
      </c>
      <c r="I383" s="497">
        <f t="shared" si="31"/>
        <v>25.7</v>
      </c>
      <c r="J383" s="497">
        <v>0</v>
      </c>
      <c r="K383" s="497">
        <v>25.7</v>
      </c>
      <c r="L383" s="497">
        <v>0</v>
      </c>
      <c r="M383" s="672">
        <v>91.8</v>
      </c>
      <c r="N383" s="498">
        <v>2.4040859399999999</v>
      </c>
      <c r="O383" s="669" t="s">
        <v>3221</v>
      </c>
      <c r="P383" s="463" t="s">
        <v>1588</v>
      </c>
      <c r="Q383" s="672">
        <v>0</v>
      </c>
      <c r="R383" s="672">
        <v>0</v>
      </c>
      <c r="S383" s="672">
        <v>0</v>
      </c>
      <c r="T383" s="672">
        <v>0</v>
      </c>
      <c r="U383" s="463" t="s">
        <v>816</v>
      </c>
      <c r="V383" s="518">
        <v>37216</v>
      </c>
      <c r="W383" s="653">
        <v>198</v>
      </c>
      <c r="X383" s="463" t="s">
        <v>2199</v>
      </c>
      <c r="Y383" s="463"/>
      <c r="Z383" s="463" t="s">
        <v>575</v>
      </c>
      <c r="AA383" s="463" t="s">
        <v>1534</v>
      </c>
      <c r="AB383" s="459" t="s">
        <v>1534</v>
      </c>
    </row>
    <row r="384" spans="1:28" ht="24" customHeight="1">
      <c r="A384" s="584"/>
      <c r="B384" s="460" t="s">
        <v>675</v>
      </c>
      <c r="C384" s="458" t="s">
        <v>833</v>
      </c>
      <c r="D384" s="510" t="s">
        <v>834</v>
      </c>
      <c r="E384" s="497">
        <f t="shared" si="30"/>
        <v>80</v>
      </c>
      <c r="F384" s="497">
        <v>0</v>
      </c>
      <c r="G384" s="497">
        <v>80</v>
      </c>
      <c r="H384" s="497">
        <v>0</v>
      </c>
      <c r="I384" s="497">
        <f t="shared" si="31"/>
        <v>74.8</v>
      </c>
      <c r="J384" s="497">
        <v>0</v>
      </c>
      <c r="K384" s="497">
        <v>74.8</v>
      </c>
      <c r="L384" s="497">
        <v>0</v>
      </c>
      <c r="M384" s="672">
        <v>93.5</v>
      </c>
      <c r="N384" s="498">
        <v>9.9242022000000016</v>
      </c>
      <c r="O384" s="669" t="s">
        <v>3872</v>
      </c>
      <c r="P384" s="463" t="s">
        <v>1588</v>
      </c>
      <c r="Q384" s="672">
        <v>0</v>
      </c>
      <c r="R384" s="672">
        <v>0</v>
      </c>
      <c r="S384" s="672">
        <v>0</v>
      </c>
      <c r="T384" s="672">
        <v>0</v>
      </c>
      <c r="U384" s="463" t="s">
        <v>816</v>
      </c>
      <c r="V384" s="518">
        <v>36800</v>
      </c>
      <c r="W384" s="653">
        <v>200</v>
      </c>
      <c r="X384" s="463" t="s">
        <v>2199</v>
      </c>
      <c r="Y384" s="463"/>
      <c r="Z384" s="463" t="s">
        <v>575</v>
      </c>
      <c r="AA384" s="463" t="s">
        <v>1534</v>
      </c>
      <c r="AB384" s="459" t="s">
        <v>1534</v>
      </c>
    </row>
    <row r="385" spans="1:28" ht="24" customHeight="1">
      <c r="A385" s="584"/>
      <c r="B385" s="460" t="s">
        <v>675</v>
      </c>
      <c r="C385" s="458" t="s">
        <v>835</v>
      </c>
      <c r="D385" s="510" t="s">
        <v>836</v>
      </c>
      <c r="E385" s="497">
        <f t="shared" si="30"/>
        <v>300</v>
      </c>
      <c r="F385" s="497">
        <v>0</v>
      </c>
      <c r="G385" s="497">
        <v>0</v>
      </c>
      <c r="H385" s="497">
        <v>300</v>
      </c>
      <c r="I385" s="497">
        <f t="shared" si="31"/>
        <v>269.5</v>
      </c>
      <c r="J385" s="497">
        <v>0</v>
      </c>
      <c r="K385" s="497">
        <v>0</v>
      </c>
      <c r="L385" s="497">
        <v>269.5</v>
      </c>
      <c r="M385" s="672">
        <v>95.4</v>
      </c>
      <c r="N385" s="498">
        <v>22.239409500000001</v>
      </c>
      <c r="O385" s="669" t="s">
        <v>3221</v>
      </c>
      <c r="P385" s="463" t="s">
        <v>1588</v>
      </c>
      <c r="Q385" s="672">
        <v>0</v>
      </c>
      <c r="R385" s="672">
        <v>0</v>
      </c>
      <c r="S385" s="672">
        <v>0</v>
      </c>
      <c r="T385" s="672">
        <v>0</v>
      </c>
      <c r="U385" s="463" t="s">
        <v>816</v>
      </c>
      <c r="V385" s="518">
        <v>35570</v>
      </c>
      <c r="W385" s="653">
        <v>546</v>
      </c>
      <c r="X385" s="463" t="s">
        <v>2199</v>
      </c>
      <c r="Y385" s="463" t="s">
        <v>3232</v>
      </c>
      <c r="Z385" s="463" t="s">
        <v>575</v>
      </c>
      <c r="AA385" s="463" t="s">
        <v>1534</v>
      </c>
      <c r="AB385" s="459" t="s">
        <v>1534</v>
      </c>
    </row>
    <row r="386" spans="1:28" ht="24" customHeight="1">
      <c r="A386" s="584"/>
      <c r="B386" s="460" t="s">
        <v>675</v>
      </c>
      <c r="C386" s="458" t="s">
        <v>2048</v>
      </c>
      <c r="D386" s="510" t="s">
        <v>837</v>
      </c>
      <c r="E386" s="497">
        <f t="shared" si="30"/>
        <v>150</v>
      </c>
      <c r="F386" s="497">
        <v>0</v>
      </c>
      <c r="G386" s="497">
        <v>0</v>
      </c>
      <c r="H386" s="497">
        <v>150</v>
      </c>
      <c r="I386" s="497">
        <f t="shared" si="31"/>
        <v>70</v>
      </c>
      <c r="J386" s="497">
        <v>0</v>
      </c>
      <c r="K386" s="497">
        <v>0</v>
      </c>
      <c r="L386" s="497">
        <v>70</v>
      </c>
      <c r="M386" s="672">
        <v>92.7</v>
      </c>
      <c r="N386" s="498">
        <v>2.0505239999999998</v>
      </c>
      <c r="O386" s="669" t="s">
        <v>819</v>
      </c>
      <c r="P386" s="463" t="s">
        <v>1588</v>
      </c>
      <c r="Q386" s="672">
        <v>0</v>
      </c>
      <c r="R386" s="672">
        <v>0</v>
      </c>
      <c r="S386" s="672">
        <v>0</v>
      </c>
      <c r="T386" s="672">
        <v>0</v>
      </c>
      <c r="U386" s="463" t="s">
        <v>816</v>
      </c>
      <c r="V386" s="518">
        <v>39083</v>
      </c>
      <c r="W386" s="653">
        <v>3128</v>
      </c>
      <c r="X386" s="463" t="s">
        <v>2193</v>
      </c>
      <c r="Y386" s="463" t="s">
        <v>3161</v>
      </c>
      <c r="Z386" s="463" t="s">
        <v>575</v>
      </c>
      <c r="AA386" s="463" t="s">
        <v>1534</v>
      </c>
      <c r="AB386" s="459" t="s">
        <v>1534</v>
      </c>
    </row>
    <row r="387" spans="1:28" ht="24" customHeight="1">
      <c r="A387" s="584"/>
      <c r="B387" s="460" t="s">
        <v>675</v>
      </c>
      <c r="C387" s="458" t="s">
        <v>838</v>
      </c>
      <c r="D387" s="510" t="s">
        <v>839</v>
      </c>
      <c r="E387" s="497">
        <f t="shared" si="30"/>
        <v>250</v>
      </c>
      <c r="F387" s="497">
        <v>0</v>
      </c>
      <c r="G387" s="497">
        <v>250</v>
      </c>
      <c r="H387" s="497">
        <v>0</v>
      </c>
      <c r="I387" s="497">
        <f t="shared" si="31"/>
        <v>241.5</v>
      </c>
      <c r="J387" s="497">
        <v>0</v>
      </c>
      <c r="K387" s="497">
        <v>241.5</v>
      </c>
      <c r="L387" s="497">
        <v>0</v>
      </c>
      <c r="M387" s="672">
        <v>87.9</v>
      </c>
      <c r="N387" s="498">
        <v>23.541685650000002</v>
      </c>
      <c r="O387" s="669" t="s">
        <v>3221</v>
      </c>
      <c r="P387" s="463" t="s">
        <v>1588</v>
      </c>
      <c r="Q387" s="672">
        <v>0</v>
      </c>
      <c r="R387" s="672">
        <v>0</v>
      </c>
      <c r="S387" s="672">
        <v>0</v>
      </c>
      <c r="T387" s="672">
        <v>0</v>
      </c>
      <c r="U387" s="463" t="s">
        <v>816</v>
      </c>
      <c r="V387" s="518">
        <v>34313</v>
      </c>
      <c r="W387" s="653">
        <v>250</v>
      </c>
      <c r="X387" s="463" t="s">
        <v>2199</v>
      </c>
      <c r="Y387" s="463"/>
      <c r="Z387" s="463" t="s">
        <v>575</v>
      </c>
      <c r="AA387" s="463" t="s">
        <v>1534</v>
      </c>
      <c r="AB387" s="459" t="s">
        <v>1534</v>
      </c>
    </row>
    <row r="388" spans="1:28" ht="24" customHeight="1">
      <c r="A388" s="584"/>
      <c r="B388" s="460" t="s">
        <v>675</v>
      </c>
      <c r="C388" s="458" t="s">
        <v>840</v>
      </c>
      <c r="D388" s="510" t="s">
        <v>841</v>
      </c>
      <c r="E388" s="497">
        <f t="shared" si="30"/>
        <v>40</v>
      </c>
      <c r="F388" s="497">
        <v>0</v>
      </c>
      <c r="G388" s="497">
        <v>40</v>
      </c>
      <c r="H388" s="497">
        <v>0</v>
      </c>
      <c r="I388" s="497">
        <f t="shared" si="31"/>
        <v>34.299999999999997</v>
      </c>
      <c r="J388" s="497">
        <v>0</v>
      </c>
      <c r="K388" s="497">
        <v>34.299999999999997</v>
      </c>
      <c r="L388" s="497">
        <v>0</v>
      </c>
      <c r="M388" s="672">
        <v>93.8</v>
      </c>
      <c r="N388" s="498">
        <v>3.4586404999999996</v>
      </c>
      <c r="O388" s="669" t="s">
        <v>3221</v>
      </c>
      <c r="P388" s="463" t="s">
        <v>1588</v>
      </c>
      <c r="Q388" s="672">
        <v>0</v>
      </c>
      <c r="R388" s="672">
        <v>0</v>
      </c>
      <c r="S388" s="672">
        <v>0</v>
      </c>
      <c r="T388" s="672">
        <v>0</v>
      </c>
      <c r="U388" s="463" t="s">
        <v>816</v>
      </c>
      <c r="V388" s="518">
        <v>37009</v>
      </c>
      <c r="W388" s="653">
        <v>310</v>
      </c>
      <c r="X388" s="463" t="s">
        <v>2199</v>
      </c>
      <c r="Y388" s="463"/>
      <c r="Z388" s="463" t="s">
        <v>575</v>
      </c>
      <c r="AA388" s="463" t="s">
        <v>1534</v>
      </c>
      <c r="AB388" s="459" t="s">
        <v>1534</v>
      </c>
    </row>
    <row r="389" spans="1:28" ht="24" customHeight="1">
      <c r="A389" s="584"/>
      <c r="B389" s="460" t="s">
        <v>675</v>
      </c>
      <c r="C389" s="458" t="s">
        <v>1604</v>
      </c>
      <c r="D389" s="510" t="s">
        <v>842</v>
      </c>
      <c r="E389" s="497">
        <f t="shared" si="30"/>
        <v>120</v>
      </c>
      <c r="F389" s="497">
        <v>0</v>
      </c>
      <c r="G389" s="497">
        <v>0</v>
      </c>
      <c r="H389" s="497">
        <v>120</v>
      </c>
      <c r="I389" s="497">
        <f t="shared" si="31"/>
        <v>114.3</v>
      </c>
      <c r="J389" s="497">
        <v>0</v>
      </c>
      <c r="K389" s="497">
        <v>0</v>
      </c>
      <c r="L389" s="497">
        <v>114.3</v>
      </c>
      <c r="M389" s="672">
        <v>86.1</v>
      </c>
      <c r="N389" s="498">
        <v>12.596774400000001</v>
      </c>
      <c r="O389" s="669" t="s">
        <v>3221</v>
      </c>
      <c r="P389" s="463" t="s">
        <v>1588</v>
      </c>
      <c r="Q389" s="672">
        <v>0</v>
      </c>
      <c r="R389" s="672">
        <v>0</v>
      </c>
      <c r="S389" s="672">
        <v>0</v>
      </c>
      <c r="T389" s="672">
        <v>0</v>
      </c>
      <c r="U389" s="463" t="s">
        <v>816</v>
      </c>
      <c r="V389" s="518">
        <v>36441</v>
      </c>
      <c r="W389" s="653">
        <v>400</v>
      </c>
      <c r="X389" s="463" t="s">
        <v>2199</v>
      </c>
      <c r="Y389" s="463" t="s">
        <v>3232</v>
      </c>
      <c r="Z389" s="463" t="s">
        <v>575</v>
      </c>
      <c r="AA389" s="463" t="s">
        <v>1534</v>
      </c>
      <c r="AB389" s="459" t="s">
        <v>1534</v>
      </c>
    </row>
    <row r="390" spans="1:28" ht="24" customHeight="1">
      <c r="A390" s="582" t="s">
        <v>1864</v>
      </c>
      <c r="B390" s="460" t="s">
        <v>2201</v>
      </c>
      <c r="C390" s="458" t="s">
        <v>843</v>
      </c>
      <c r="D390" s="510" t="s">
        <v>844</v>
      </c>
      <c r="E390" s="497">
        <f>F390+G390+H390</f>
        <v>4200</v>
      </c>
      <c r="F390" s="497">
        <v>0</v>
      </c>
      <c r="G390" s="497">
        <v>4200</v>
      </c>
      <c r="H390" s="497">
        <v>0</v>
      </c>
      <c r="I390" s="497">
        <f>J390+K390+L390</f>
        <v>3133</v>
      </c>
      <c r="J390" s="497">
        <v>0</v>
      </c>
      <c r="K390" s="497">
        <v>3133</v>
      </c>
      <c r="L390" s="497">
        <v>0</v>
      </c>
      <c r="M390" s="672">
        <v>90.3</v>
      </c>
      <c r="N390" s="498">
        <v>104</v>
      </c>
      <c r="O390" s="669" t="s">
        <v>845</v>
      </c>
      <c r="P390" s="463" t="s">
        <v>1588</v>
      </c>
      <c r="Q390" s="672">
        <v>106</v>
      </c>
      <c r="R390" s="672">
        <v>0</v>
      </c>
      <c r="S390" s="672">
        <v>0</v>
      </c>
      <c r="T390" s="672">
        <v>178</v>
      </c>
      <c r="U390" s="463"/>
      <c r="V390" s="463" t="s">
        <v>2176</v>
      </c>
      <c r="W390" s="653"/>
      <c r="X390" s="463" t="s">
        <v>1532</v>
      </c>
      <c r="Y390" s="463" t="s">
        <v>3390</v>
      </c>
      <c r="Z390" s="463" t="s">
        <v>846</v>
      </c>
      <c r="AA390" s="463" t="s">
        <v>2263</v>
      </c>
      <c r="AB390" s="459" t="s">
        <v>1597</v>
      </c>
    </row>
    <row r="391" spans="1:28" ht="24" customHeight="1">
      <c r="A391" s="584"/>
      <c r="B391" s="460" t="s">
        <v>2201</v>
      </c>
      <c r="C391" s="458" t="s">
        <v>847</v>
      </c>
      <c r="D391" s="510" t="s">
        <v>848</v>
      </c>
      <c r="E391" s="497">
        <f>F391+G391+H391</f>
        <v>2500</v>
      </c>
      <c r="F391" s="497">
        <v>0</v>
      </c>
      <c r="G391" s="497">
        <v>2500</v>
      </c>
      <c r="H391" s="497">
        <v>0</v>
      </c>
      <c r="I391" s="497">
        <f>J391+K391+L391</f>
        <v>1275</v>
      </c>
      <c r="J391" s="497">
        <v>0</v>
      </c>
      <c r="K391" s="497">
        <v>1275</v>
      </c>
      <c r="L391" s="497">
        <v>0</v>
      </c>
      <c r="M391" s="672">
        <v>94.6</v>
      </c>
      <c r="N391" s="498">
        <v>40.299999999999997</v>
      </c>
      <c r="O391" s="669" t="s">
        <v>845</v>
      </c>
      <c r="P391" s="463" t="s">
        <v>1588</v>
      </c>
      <c r="Q391" s="672">
        <v>0</v>
      </c>
      <c r="R391" s="672">
        <v>0</v>
      </c>
      <c r="S391" s="672">
        <v>0</v>
      </c>
      <c r="T391" s="672">
        <v>0</v>
      </c>
      <c r="U391" s="463" t="s">
        <v>7463</v>
      </c>
      <c r="V391" s="463" t="s">
        <v>2177</v>
      </c>
      <c r="W391" s="653">
        <v>15704</v>
      </c>
      <c r="X391" s="463" t="s">
        <v>1532</v>
      </c>
      <c r="Y391" s="463" t="s">
        <v>3390</v>
      </c>
      <c r="Z391" s="463" t="s">
        <v>1602</v>
      </c>
      <c r="AA391" s="463" t="s">
        <v>2263</v>
      </c>
      <c r="AB391" s="459" t="s">
        <v>1597</v>
      </c>
    </row>
    <row r="392" spans="1:28" ht="24" customHeight="1">
      <c r="A392" s="584"/>
      <c r="B392" s="460" t="s">
        <v>675</v>
      </c>
      <c r="C392" s="458" t="s">
        <v>849</v>
      </c>
      <c r="D392" s="510" t="s">
        <v>850</v>
      </c>
      <c r="E392" s="497">
        <f>F392+G392+H392</f>
        <v>150</v>
      </c>
      <c r="F392" s="497">
        <v>0</v>
      </c>
      <c r="G392" s="497">
        <v>150</v>
      </c>
      <c r="H392" s="497">
        <v>0</v>
      </c>
      <c r="I392" s="497">
        <f>J392+K392+L392</f>
        <v>150</v>
      </c>
      <c r="J392" s="497">
        <v>0</v>
      </c>
      <c r="K392" s="497">
        <v>150</v>
      </c>
      <c r="L392" s="497">
        <v>0</v>
      </c>
      <c r="M392" s="672">
        <v>97.2</v>
      </c>
      <c r="N392" s="498">
        <v>17.350000000000001</v>
      </c>
      <c r="O392" s="669" t="s">
        <v>3221</v>
      </c>
      <c r="P392" s="463" t="s">
        <v>1588</v>
      </c>
      <c r="Q392" s="672">
        <v>0</v>
      </c>
      <c r="R392" s="672">
        <v>0</v>
      </c>
      <c r="S392" s="672">
        <v>0</v>
      </c>
      <c r="T392" s="672">
        <v>0</v>
      </c>
      <c r="U392" s="463" t="s">
        <v>7464</v>
      </c>
      <c r="V392" s="466" t="s">
        <v>851</v>
      </c>
      <c r="W392" s="653">
        <v>400</v>
      </c>
      <c r="X392" s="463" t="s">
        <v>1532</v>
      </c>
      <c r="Y392" s="463" t="s">
        <v>3232</v>
      </c>
      <c r="Z392" s="463" t="s">
        <v>1602</v>
      </c>
      <c r="AA392" s="463" t="s">
        <v>2263</v>
      </c>
      <c r="AB392" s="459" t="s">
        <v>852</v>
      </c>
    </row>
    <row r="393" spans="1:28" ht="24" customHeight="1">
      <c r="A393" s="584"/>
      <c r="B393" s="460" t="s">
        <v>675</v>
      </c>
      <c r="C393" s="458" t="s">
        <v>853</v>
      </c>
      <c r="D393" s="510" t="s">
        <v>854</v>
      </c>
      <c r="E393" s="497">
        <f>F393+G393+H393</f>
        <v>100</v>
      </c>
      <c r="F393" s="497">
        <v>0</v>
      </c>
      <c r="G393" s="497">
        <v>100</v>
      </c>
      <c r="H393" s="497">
        <v>0</v>
      </c>
      <c r="I393" s="497">
        <f>J393+K393+L393</f>
        <v>100</v>
      </c>
      <c r="J393" s="497">
        <v>0</v>
      </c>
      <c r="K393" s="497">
        <v>100</v>
      </c>
      <c r="L393" s="497">
        <v>0</v>
      </c>
      <c r="M393" s="672">
        <v>94.9</v>
      </c>
      <c r="N393" s="498">
        <v>9.56</v>
      </c>
      <c r="O393" s="669" t="s">
        <v>855</v>
      </c>
      <c r="P393" s="463" t="s">
        <v>855</v>
      </c>
      <c r="Q393" s="672">
        <v>0</v>
      </c>
      <c r="R393" s="672">
        <v>0</v>
      </c>
      <c r="S393" s="672">
        <v>0</v>
      </c>
      <c r="T393" s="672">
        <v>0</v>
      </c>
      <c r="U393" s="463" t="s">
        <v>7464</v>
      </c>
      <c r="V393" s="466" t="s">
        <v>856</v>
      </c>
      <c r="W393" s="653">
        <v>1028</v>
      </c>
      <c r="X393" s="463" t="s">
        <v>1532</v>
      </c>
      <c r="Y393" s="463" t="s">
        <v>3232</v>
      </c>
      <c r="Z393" s="463" t="s">
        <v>1602</v>
      </c>
      <c r="AA393" s="463" t="s">
        <v>2263</v>
      </c>
      <c r="AB393" s="459" t="s">
        <v>852</v>
      </c>
    </row>
    <row r="394" spans="1:28" ht="24" customHeight="1">
      <c r="A394" s="584"/>
      <c r="B394" s="460" t="s">
        <v>675</v>
      </c>
      <c r="C394" s="458" t="s">
        <v>857</v>
      </c>
      <c r="D394" s="510" t="s">
        <v>858</v>
      </c>
      <c r="E394" s="497">
        <f>F394+G394+H394</f>
        <v>60</v>
      </c>
      <c r="F394" s="497">
        <v>0</v>
      </c>
      <c r="G394" s="497">
        <v>60</v>
      </c>
      <c r="H394" s="497">
        <v>0</v>
      </c>
      <c r="I394" s="497">
        <f>J394+K394+L394</f>
        <v>60</v>
      </c>
      <c r="J394" s="497">
        <v>0</v>
      </c>
      <c r="K394" s="497">
        <v>60</v>
      </c>
      <c r="L394" s="497">
        <v>0</v>
      </c>
      <c r="M394" s="672">
        <v>94.7</v>
      </c>
      <c r="N394" s="498">
        <v>5.25</v>
      </c>
      <c r="O394" s="669" t="s">
        <v>855</v>
      </c>
      <c r="P394" s="463" t="s">
        <v>855</v>
      </c>
      <c r="Q394" s="672">
        <v>0</v>
      </c>
      <c r="R394" s="672">
        <v>0</v>
      </c>
      <c r="S394" s="672">
        <v>0</v>
      </c>
      <c r="T394" s="672">
        <v>0</v>
      </c>
      <c r="U394" s="463" t="s">
        <v>7464</v>
      </c>
      <c r="V394" s="466" t="s">
        <v>859</v>
      </c>
      <c r="W394" s="653">
        <v>749</v>
      </c>
      <c r="X394" s="463" t="s">
        <v>1532</v>
      </c>
      <c r="Y394" s="463" t="s">
        <v>3232</v>
      </c>
      <c r="Z394" s="463" t="s">
        <v>1602</v>
      </c>
      <c r="AA394" s="463" t="s">
        <v>2263</v>
      </c>
      <c r="AB394" s="459" t="s">
        <v>852</v>
      </c>
    </row>
    <row r="395" spans="1:28" ht="24" customHeight="1">
      <c r="A395" s="582" t="s">
        <v>1605</v>
      </c>
      <c r="B395" s="460" t="s">
        <v>2201</v>
      </c>
      <c r="C395" s="458" t="s">
        <v>190</v>
      </c>
      <c r="D395" s="510" t="s">
        <v>860</v>
      </c>
      <c r="E395" s="497">
        <f t="shared" ref="E395:E414" si="32">SUM(F395:H395)</f>
        <v>1000</v>
      </c>
      <c r="F395" s="497">
        <v>0</v>
      </c>
      <c r="G395" s="497">
        <v>0</v>
      </c>
      <c r="H395" s="497">
        <v>1000</v>
      </c>
      <c r="I395" s="497">
        <f t="shared" ref="I395:I453" si="33">SUM(J395:L395)</f>
        <v>812</v>
      </c>
      <c r="J395" s="497">
        <v>0</v>
      </c>
      <c r="K395" s="497">
        <v>0</v>
      </c>
      <c r="L395" s="497">
        <v>812</v>
      </c>
      <c r="M395" s="672">
        <v>81.2</v>
      </c>
      <c r="N395" s="498">
        <v>109.3</v>
      </c>
      <c r="O395" s="669" t="s">
        <v>3798</v>
      </c>
      <c r="P395" s="463" t="s">
        <v>1588</v>
      </c>
      <c r="Q395" s="672" t="s">
        <v>1588</v>
      </c>
      <c r="R395" s="672" t="s">
        <v>1588</v>
      </c>
      <c r="S395" s="672" t="s">
        <v>1588</v>
      </c>
      <c r="T395" s="672" t="s">
        <v>1588</v>
      </c>
      <c r="U395" s="463" t="s">
        <v>861</v>
      </c>
      <c r="V395" s="466" t="s">
        <v>862</v>
      </c>
      <c r="W395" s="653">
        <v>7214</v>
      </c>
      <c r="X395" s="463" t="s">
        <v>2276</v>
      </c>
      <c r="Y395" s="463" t="s">
        <v>863</v>
      </c>
      <c r="Z395" s="463" t="s">
        <v>576</v>
      </c>
      <c r="AA395" s="463" t="s">
        <v>1999</v>
      </c>
      <c r="AB395" s="459" t="s">
        <v>1534</v>
      </c>
    </row>
    <row r="396" spans="1:28" ht="24" customHeight="1">
      <c r="A396" s="584"/>
      <c r="B396" s="460" t="s">
        <v>675</v>
      </c>
      <c r="C396" s="458" t="s">
        <v>864</v>
      </c>
      <c r="D396" s="510" t="s">
        <v>865</v>
      </c>
      <c r="E396" s="497">
        <f t="shared" si="32"/>
        <v>30</v>
      </c>
      <c r="F396" s="497">
        <v>0</v>
      </c>
      <c r="G396" s="497">
        <v>30</v>
      </c>
      <c r="H396" s="497">
        <v>0</v>
      </c>
      <c r="I396" s="497">
        <f t="shared" si="33"/>
        <v>24</v>
      </c>
      <c r="J396" s="497">
        <v>0</v>
      </c>
      <c r="K396" s="497">
        <v>24</v>
      </c>
      <c r="L396" s="497">
        <v>0</v>
      </c>
      <c r="M396" s="672">
        <v>87.3</v>
      </c>
      <c r="N396" s="498">
        <v>2.5</v>
      </c>
      <c r="O396" s="669" t="s">
        <v>3221</v>
      </c>
      <c r="P396" s="463" t="s">
        <v>1588</v>
      </c>
      <c r="Q396" s="672" t="s">
        <v>1588</v>
      </c>
      <c r="R396" s="672" t="s">
        <v>1588</v>
      </c>
      <c r="S396" s="672" t="s">
        <v>1588</v>
      </c>
      <c r="T396" s="672" t="s">
        <v>1588</v>
      </c>
      <c r="U396" s="463" t="s">
        <v>866</v>
      </c>
      <c r="V396" s="466" t="s">
        <v>867</v>
      </c>
      <c r="W396" s="653">
        <v>142</v>
      </c>
      <c r="X396" s="463" t="s">
        <v>1532</v>
      </c>
      <c r="Y396" s="463" t="s">
        <v>1533</v>
      </c>
      <c r="Z396" s="463" t="s">
        <v>576</v>
      </c>
      <c r="AA396" s="463" t="s">
        <v>1999</v>
      </c>
      <c r="AB396" s="459" t="s">
        <v>1534</v>
      </c>
    </row>
    <row r="397" spans="1:28" ht="24" customHeight="1">
      <c r="A397" s="584"/>
      <c r="B397" s="460" t="s">
        <v>675</v>
      </c>
      <c r="C397" s="458" t="s">
        <v>868</v>
      </c>
      <c r="D397" s="510" t="s">
        <v>869</v>
      </c>
      <c r="E397" s="497">
        <f t="shared" si="32"/>
        <v>50</v>
      </c>
      <c r="F397" s="497">
        <v>0</v>
      </c>
      <c r="G397" s="497">
        <v>50</v>
      </c>
      <c r="H397" s="497">
        <v>0</v>
      </c>
      <c r="I397" s="497">
        <f t="shared" si="33"/>
        <v>50</v>
      </c>
      <c r="J397" s="497">
        <v>0</v>
      </c>
      <c r="K397" s="497">
        <v>50</v>
      </c>
      <c r="L397" s="497">
        <v>0</v>
      </c>
      <c r="M397" s="672">
        <v>91.7</v>
      </c>
      <c r="N397" s="498">
        <v>5.5</v>
      </c>
      <c r="O397" s="669" t="s">
        <v>870</v>
      </c>
      <c r="P397" s="463" t="s">
        <v>1588</v>
      </c>
      <c r="Q397" s="672" t="s">
        <v>1588</v>
      </c>
      <c r="R397" s="672" t="s">
        <v>1588</v>
      </c>
      <c r="S397" s="672" t="s">
        <v>1588</v>
      </c>
      <c r="T397" s="672" t="s">
        <v>1588</v>
      </c>
      <c r="U397" s="463" t="s">
        <v>866</v>
      </c>
      <c r="V397" s="466" t="s">
        <v>871</v>
      </c>
      <c r="W397" s="653">
        <v>141</v>
      </c>
      <c r="X397" s="463" t="s">
        <v>1532</v>
      </c>
      <c r="Y397" s="463" t="s">
        <v>1533</v>
      </c>
      <c r="Z397" s="463" t="s">
        <v>576</v>
      </c>
      <c r="AA397" s="463" t="s">
        <v>1999</v>
      </c>
      <c r="AB397" s="459" t="s">
        <v>1534</v>
      </c>
    </row>
    <row r="398" spans="1:28" ht="24" customHeight="1">
      <c r="A398" s="584"/>
      <c r="B398" s="460" t="s">
        <v>675</v>
      </c>
      <c r="C398" s="458" t="s">
        <v>872</v>
      </c>
      <c r="D398" s="510" t="s">
        <v>873</v>
      </c>
      <c r="E398" s="497">
        <f t="shared" si="32"/>
        <v>23</v>
      </c>
      <c r="F398" s="497">
        <v>0</v>
      </c>
      <c r="G398" s="497">
        <v>23</v>
      </c>
      <c r="H398" s="497">
        <v>0</v>
      </c>
      <c r="I398" s="497">
        <f t="shared" si="33"/>
        <v>20.7</v>
      </c>
      <c r="J398" s="497">
        <v>0</v>
      </c>
      <c r="K398" s="497">
        <v>20.7</v>
      </c>
      <c r="L398" s="497">
        <v>0</v>
      </c>
      <c r="M398" s="672">
        <v>49</v>
      </c>
      <c r="N398" s="498">
        <v>1.2</v>
      </c>
      <c r="O398" s="669" t="s">
        <v>874</v>
      </c>
      <c r="P398" s="463" t="s">
        <v>1588</v>
      </c>
      <c r="Q398" s="672" t="s">
        <v>1588</v>
      </c>
      <c r="R398" s="672" t="s">
        <v>1588</v>
      </c>
      <c r="S398" s="672" t="s">
        <v>1588</v>
      </c>
      <c r="T398" s="672" t="s">
        <v>1588</v>
      </c>
      <c r="U398" s="463" t="s">
        <v>866</v>
      </c>
      <c r="V398" s="466" t="s">
        <v>875</v>
      </c>
      <c r="W398" s="653">
        <v>69</v>
      </c>
      <c r="X398" s="463" t="s">
        <v>1532</v>
      </c>
      <c r="Y398" s="463" t="s">
        <v>1533</v>
      </c>
      <c r="Z398" s="463" t="s">
        <v>876</v>
      </c>
      <c r="AA398" s="463" t="s">
        <v>1999</v>
      </c>
      <c r="AB398" s="459" t="s">
        <v>1534</v>
      </c>
    </row>
    <row r="399" spans="1:28" ht="24" customHeight="1">
      <c r="A399" s="584"/>
      <c r="B399" s="460" t="s">
        <v>675</v>
      </c>
      <c r="C399" s="458" t="s">
        <v>877</v>
      </c>
      <c r="D399" s="510" t="s">
        <v>878</v>
      </c>
      <c r="E399" s="497">
        <f t="shared" si="32"/>
        <v>35</v>
      </c>
      <c r="F399" s="497">
        <v>0</v>
      </c>
      <c r="G399" s="497">
        <v>35</v>
      </c>
      <c r="H399" s="497">
        <v>0</v>
      </c>
      <c r="I399" s="497">
        <f t="shared" si="33"/>
        <v>28</v>
      </c>
      <c r="J399" s="497">
        <v>0</v>
      </c>
      <c r="K399" s="497">
        <v>28</v>
      </c>
      <c r="L399" s="497">
        <v>0</v>
      </c>
      <c r="M399" s="672">
        <v>96.4</v>
      </c>
      <c r="N399" s="498">
        <v>3.3</v>
      </c>
      <c r="O399" s="669" t="s">
        <v>3221</v>
      </c>
      <c r="P399" s="463" t="s">
        <v>1588</v>
      </c>
      <c r="Q399" s="672" t="s">
        <v>1588</v>
      </c>
      <c r="R399" s="672" t="s">
        <v>1588</v>
      </c>
      <c r="S399" s="672" t="s">
        <v>1588</v>
      </c>
      <c r="T399" s="672" t="s">
        <v>1588</v>
      </c>
      <c r="U399" s="463" t="s">
        <v>866</v>
      </c>
      <c r="V399" s="466" t="s">
        <v>879</v>
      </c>
      <c r="W399" s="653">
        <v>184</v>
      </c>
      <c r="X399" s="463" t="s">
        <v>1532</v>
      </c>
      <c r="Y399" s="463" t="s">
        <v>1533</v>
      </c>
      <c r="Z399" s="463" t="s">
        <v>576</v>
      </c>
      <c r="AA399" s="463" t="s">
        <v>1999</v>
      </c>
      <c r="AB399" s="459" t="s">
        <v>1534</v>
      </c>
    </row>
    <row r="400" spans="1:28" ht="24" customHeight="1">
      <c r="A400" s="584"/>
      <c r="B400" s="460" t="s">
        <v>675</v>
      </c>
      <c r="C400" s="458" t="s">
        <v>880</v>
      </c>
      <c r="D400" s="510" t="s">
        <v>881</v>
      </c>
      <c r="E400" s="497">
        <f t="shared" si="32"/>
        <v>50</v>
      </c>
      <c r="F400" s="497">
        <v>0</v>
      </c>
      <c r="G400" s="497">
        <v>50</v>
      </c>
      <c r="H400" s="497">
        <v>0</v>
      </c>
      <c r="I400" s="497">
        <f t="shared" si="33"/>
        <v>40</v>
      </c>
      <c r="J400" s="497">
        <v>0</v>
      </c>
      <c r="K400" s="497">
        <v>40</v>
      </c>
      <c r="L400" s="497">
        <v>0</v>
      </c>
      <c r="M400" s="672">
        <v>71.8</v>
      </c>
      <c r="N400" s="498">
        <v>0.8</v>
      </c>
      <c r="O400" s="669" t="s">
        <v>3221</v>
      </c>
      <c r="P400" s="463" t="s">
        <v>1588</v>
      </c>
      <c r="Q400" s="672" t="s">
        <v>1588</v>
      </c>
      <c r="R400" s="672" t="s">
        <v>1588</v>
      </c>
      <c r="S400" s="672" t="s">
        <v>1588</v>
      </c>
      <c r="T400" s="672" t="s">
        <v>1588</v>
      </c>
      <c r="U400" s="463" t="s">
        <v>866</v>
      </c>
      <c r="V400" s="466" t="s">
        <v>882</v>
      </c>
      <c r="W400" s="653">
        <v>230</v>
      </c>
      <c r="X400" s="463" t="s">
        <v>1532</v>
      </c>
      <c r="Y400" s="463" t="s">
        <v>1533</v>
      </c>
      <c r="Z400" s="463" t="s">
        <v>883</v>
      </c>
      <c r="AA400" s="463" t="s">
        <v>1999</v>
      </c>
      <c r="AB400" s="459" t="s">
        <v>1534</v>
      </c>
    </row>
    <row r="401" spans="1:28" ht="24" customHeight="1">
      <c r="A401" s="584"/>
      <c r="B401" s="460" t="s">
        <v>675</v>
      </c>
      <c r="C401" s="458" t="s">
        <v>884</v>
      </c>
      <c r="D401" s="510" t="s">
        <v>885</v>
      </c>
      <c r="E401" s="497">
        <f t="shared" si="32"/>
        <v>50</v>
      </c>
      <c r="F401" s="497">
        <v>0</v>
      </c>
      <c r="G401" s="497">
        <v>50</v>
      </c>
      <c r="H401" s="497">
        <v>0</v>
      </c>
      <c r="I401" s="497">
        <f t="shared" si="33"/>
        <v>25</v>
      </c>
      <c r="J401" s="497">
        <v>0</v>
      </c>
      <c r="K401" s="497">
        <v>25</v>
      </c>
      <c r="L401" s="497">
        <v>0</v>
      </c>
      <c r="M401" s="672">
        <v>90.9</v>
      </c>
      <c r="N401" s="498">
        <v>1.7</v>
      </c>
      <c r="O401" s="669" t="s">
        <v>874</v>
      </c>
      <c r="P401" s="463" t="s">
        <v>1588</v>
      </c>
      <c r="Q401" s="672" t="s">
        <v>1588</v>
      </c>
      <c r="R401" s="672" t="s">
        <v>1588</v>
      </c>
      <c r="S401" s="672" t="s">
        <v>1588</v>
      </c>
      <c r="T401" s="672" t="s">
        <v>1588</v>
      </c>
      <c r="U401" s="463" t="s">
        <v>866</v>
      </c>
      <c r="V401" s="466" t="s">
        <v>886</v>
      </c>
      <c r="W401" s="653">
        <v>194</v>
      </c>
      <c r="X401" s="463" t="s">
        <v>1532</v>
      </c>
      <c r="Y401" s="463" t="s">
        <v>1533</v>
      </c>
      <c r="Z401" s="463" t="s">
        <v>887</v>
      </c>
      <c r="AA401" s="463" t="s">
        <v>1999</v>
      </c>
      <c r="AB401" s="459" t="s">
        <v>1534</v>
      </c>
    </row>
    <row r="402" spans="1:28" ht="24" customHeight="1">
      <c r="A402" s="584"/>
      <c r="B402" s="460" t="s">
        <v>675</v>
      </c>
      <c r="C402" s="458" t="s">
        <v>888</v>
      </c>
      <c r="D402" s="510" t="s">
        <v>889</v>
      </c>
      <c r="E402" s="497">
        <f t="shared" si="32"/>
        <v>35</v>
      </c>
      <c r="F402" s="497">
        <v>0</v>
      </c>
      <c r="G402" s="497">
        <v>35</v>
      </c>
      <c r="H402" s="497">
        <v>0</v>
      </c>
      <c r="I402" s="497">
        <f t="shared" si="33"/>
        <v>22.5</v>
      </c>
      <c r="J402" s="497">
        <v>0</v>
      </c>
      <c r="K402" s="497">
        <v>22.5</v>
      </c>
      <c r="L402" s="497">
        <v>0</v>
      </c>
      <c r="M402" s="672">
        <v>79.400000000000006</v>
      </c>
      <c r="N402" s="498">
        <v>0.4</v>
      </c>
      <c r="O402" s="669" t="s">
        <v>3221</v>
      </c>
      <c r="P402" s="463" t="s">
        <v>1588</v>
      </c>
      <c r="Q402" s="672" t="s">
        <v>1588</v>
      </c>
      <c r="R402" s="672" t="s">
        <v>1588</v>
      </c>
      <c r="S402" s="672" t="s">
        <v>1588</v>
      </c>
      <c r="T402" s="672" t="s">
        <v>1588</v>
      </c>
      <c r="U402" s="463" t="s">
        <v>866</v>
      </c>
      <c r="V402" s="466" t="s">
        <v>890</v>
      </c>
      <c r="W402" s="653">
        <v>144</v>
      </c>
      <c r="X402" s="463" t="s">
        <v>1532</v>
      </c>
      <c r="Y402" s="463" t="s">
        <v>1533</v>
      </c>
      <c r="Z402" s="463" t="s">
        <v>887</v>
      </c>
      <c r="AA402" s="463" t="s">
        <v>1999</v>
      </c>
      <c r="AB402" s="459" t="s">
        <v>1534</v>
      </c>
    </row>
    <row r="403" spans="1:28" ht="24" customHeight="1">
      <c r="A403" s="584"/>
      <c r="B403" s="460" t="s">
        <v>675</v>
      </c>
      <c r="C403" s="458" t="s">
        <v>891</v>
      </c>
      <c r="D403" s="510" t="s">
        <v>892</v>
      </c>
      <c r="E403" s="497">
        <f t="shared" si="32"/>
        <v>70</v>
      </c>
      <c r="F403" s="497">
        <v>0</v>
      </c>
      <c r="G403" s="497">
        <v>70</v>
      </c>
      <c r="H403" s="497">
        <v>0</v>
      </c>
      <c r="I403" s="497">
        <f t="shared" si="33"/>
        <v>55</v>
      </c>
      <c r="J403" s="497">
        <v>0</v>
      </c>
      <c r="K403" s="497">
        <v>55</v>
      </c>
      <c r="L403" s="497">
        <v>0</v>
      </c>
      <c r="M403" s="672">
        <v>89.5</v>
      </c>
      <c r="N403" s="498">
        <v>6.2</v>
      </c>
      <c r="O403" s="669" t="s">
        <v>874</v>
      </c>
      <c r="P403" s="463" t="s">
        <v>1588</v>
      </c>
      <c r="Q403" s="672" t="s">
        <v>1588</v>
      </c>
      <c r="R403" s="672" t="s">
        <v>1588</v>
      </c>
      <c r="S403" s="672" t="s">
        <v>1588</v>
      </c>
      <c r="T403" s="672" t="s">
        <v>1588</v>
      </c>
      <c r="U403" s="463" t="s">
        <v>866</v>
      </c>
      <c r="V403" s="466" t="s">
        <v>893</v>
      </c>
      <c r="W403" s="653">
        <v>196</v>
      </c>
      <c r="X403" s="463" t="s">
        <v>1532</v>
      </c>
      <c r="Y403" s="463" t="s">
        <v>1533</v>
      </c>
      <c r="Z403" s="463" t="s">
        <v>887</v>
      </c>
      <c r="AA403" s="463" t="s">
        <v>1999</v>
      </c>
      <c r="AB403" s="459" t="s">
        <v>1534</v>
      </c>
    </row>
    <row r="404" spans="1:28" ht="24" customHeight="1">
      <c r="A404" s="584"/>
      <c r="B404" s="460" t="s">
        <v>675</v>
      </c>
      <c r="C404" s="458" t="s">
        <v>894</v>
      </c>
      <c r="D404" s="510" t="s">
        <v>895</v>
      </c>
      <c r="E404" s="497">
        <f t="shared" si="32"/>
        <v>150</v>
      </c>
      <c r="F404" s="497">
        <v>0</v>
      </c>
      <c r="G404" s="497">
        <v>150</v>
      </c>
      <c r="H404" s="497">
        <v>0</v>
      </c>
      <c r="I404" s="497">
        <f t="shared" si="33"/>
        <v>120</v>
      </c>
      <c r="J404" s="497">
        <v>0</v>
      </c>
      <c r="K404" s="497">
        <v>120</v>
      </c>
      <c r="L404" s="497">
        <v>0</v>
      </c>
      <c r="M404" s="672">
        <v>79.599999999999994</v>
      </c>
      <c r="N404" s="498">
        <v>3</v>
      </c>
      <c r="O404" s="669" t="s">
        <v>3221</v>
      </c>
      <c r="P404" s="463" t="s">
        <v>1588</v>
      </c>
      <c r="Q404" s="672" t="s">
        <v>1588</v>
      </c>
      <c r="R404" s="672" t="s">
        <v>1588</v>
      </c>
      <c r="S404" s="672" t="s">
        <v>1588</v>
      </c>
      <c r="T404" s="672" t="s">
        <v>1588</v>
      </c>
      <c r="U404" s="463" t="s">
        <v>866</v>
      </c>
      <c r="V404" s="466" t="s">
        <v>896</v>
      </c>
      <c r="W404" s="653">
        <v>240</v>
      </c>
      <c r="X404" s="463" t="s">
        <v>1532</v>
      </c>
      <c r="Y404" s="463" t="s">
        <v>1533</v>
      </c>
      <c r="Z404" s="463" t="s">
        <v>897</v>
      </c>
      <c r="AA404" s="463" t="s">
        <v>1999</v>
      </c>
      <c r="AB404" s="459" t="s">
        <v>1534</v>
      </c>
    </row>
    <row r="405" spans="1:28" ht="24" customHeight="1">
      <c r="A405" s="584"/>
      <c r="B405" s="460" t="s">
        <v>675</v>
      </c>
      <c r="C405" s="458" t="s">
        <v>898</v>
      </c>
      <c r="D405" s="510" t="s">
        <v>899</v>
      </c>
      <c r="E405" s="497">
        <f t="shared" si="32"/>
        <v>100</v>
      </c>
      <c r="F405" s="497">
        <v>0</v>
      </c>
      <c r="G405" s="497">
        <v>100</v>
      </c>
      <c r="H405" s="497">
        <v>0</v>
      </c>
      <c r="I405" s="497">
        <f t="shared" si="33"/>
        <v>70</v>
      </c>
      <c r="J405" s="497">
        <v>0</v>
      </c>
      <c r="K405" s="497">
        <v>70</v>
      </c>
      <c r="L405" s="497">
        <v>0</v>
      </c>
      <c r="M405" s="672">
        <v>61.4</v>
      </c>
      <c r="N405" s="498">
        <v>7.1</v>
      </c>
      <c r="O405" s="669" t="s">
        <v>900</v>
      </c>
      <c r="P405" s="463" t="s">
        <v>1588</v>
      </c>
      <c r="Q405" s="672" t="s">
        <v>1588</v>
      </c>
      <c r="R405" s="672" t="s">
        <v>1588</v>
      </c>
      <c r="S405" s="672" t="s">
        <v>1588</v>
      </c>
      <c r="T405" s="672" t="s">
        <v>1588</v>
      </c>
      <c r="U405" s="463" t="s">
        <v>866</v>
      </c>
      <c r="V405" s="466" t="s">
        <v>901</v>
      </c>
      <c r="W405" s="653">
        <v>205</v>
      </c>
      <c r="X405" s="463" t="s">
        <v>1532</v>
      </c>
      <c r="Y405" s="463" t="s">
        <v>1533</v>
      </c>
      <c r="Z405" s="463" t="s">
        <v>902</v>
      </c>
      <c r="AA405" s="463" t="s">
        <v>1999</v>
      </c>
      <c r="AB405" s="459" t="s">
        <v>1534</v>
      </c>
    </row>
    <row r="406" spans="1:28" ht="24" customHeight="1">
      <c r="A406" s="584"/>
      <c r="B406" s="460" t="s">
        <v>675</v>
      </c>
      <c r="C406" s="458" t="s">
        <v>903</v>
      </c>
      <c r="D406" s="510" t="s">
        <v>904</v>
      </c>
      <c r="E406" s="497">
        <f t="shared" si="32"/>
        <v>48</v>
      </c>
      <c r="F406" s="497">
        <v>0</v>
      </c>
      <c r="G406" s="497">
        <v>48</v>
      </c>
      <c r="H406" s="497">
        <v>0</v>
      </c>
      <c r="I406" s="497">
        <f t="shared" si="33"/>
        <v>46</v>
      </c>
      <c r="J406" s="497">
        <v>0</v>
      </c>
      <c r="K406" s="497">
        <v>46</v>
      </c>
      <c r="L406" s="497">
        <v>0</v>
      </c>
      <c r="M406" s="672">
        <v>60.8</v>
      </c>
      <c r="N406" s="498">
        <v>3</v>
      </c>
      <c r="O406" s="669" t="s">
        <v>900</v>
      </c>
      <c r="P406" s="463" t="s">
        <v>1588</v>
      </c>
      <c r="Q406" s="672" t="s">
        <v>1588</v>
      </c>
      <c r="R406" s="672" t="s">
        <v>1588</v>
      </c>
      <c r="S406" s="672" t="s">
        <v>1588</v>
      </c>
      <c r="T406" s="672" t="s">
        <v>1588</v>
      </c>
      <c r="U406" s="463" t="s">
        <v>866</v>
      </c>
      <c r="V406" s="466" t="s">
        <v>905</v>
      </c>
      <c r="W406" s="653">
        <v>208</v>
      </c>
      <c r="X406" s="463" t="s">
        <v>1532</v>
      </c>
      <c r="Y406" s="463" t="s">
        <v>1533</v>
      </c>
      <c r="Z406" s="463" t="s">
        <v>906</v>
      </c>
      <c r="AA406" s="463" t="s">
        <v>1999</v>
      </c>
      <c r="AB406" s="459" t="s">
        <v>1534</v>
      </c>
    </row>
    <row r="407" spans="1:28" ht="24" customHeight="1">
      <c r="A407" s="584"/>
      <c r="B407" s="460" t="s">
        <v>675</v>
      </c>
      <c r="C407" s="458" t="s">
        <v>907</v>
      </c>
      <c r="D407" s="510" t="s">
        <v>908</v>
      </c>
      <c r="E407" s="497">
        <f t="shared" si="32"/>
        <v>200</v>
      </c>
      <c r="F407" s="497">
        <v>0</v>
      </c>
      <c r="G407" s="497">
        <v>200</v>
      </c>
      <c r="H407" s="497">
        <v>0</v>
      </c>
      <c r="I407" s="497">
        <f t="shared" si="33"/>
        <v>173.23</v>
      </c>
      <c r="J407" s="497">
        <v>0</v>
      </c>
      <c r="K407" s="497">
        <v>173.23</v>
      </c>
      <c r="L407" s="497">
        <v>0</v>
      </c>
      <c r="M407" s="672">
        <v>80.8</v>
      </c>
      <c r="N407" s="498">
        <v>26.5</v>
      </c>
      <c r="O407" s="669" t="s">
        <v>3221</v>
      </c>
      <c r="P407" s="463" t="s">
        <v>1588</v>
      </c>
      <c r="Q407" s="672" t="s">
        <v>1588</v>
      </c>
      <c r="R407" s="672" t="s">
        <v>1588</v>
      </c>
      <c r="S407" s="672" t="s">
        <v>1588</v>
      </c>
      <c r="T407" s="672" t="s">
        <v>1588</v>
      </c>
      <c r="U407" s="463" t="s">
        <v>866</v>
      </c>
      <c r="V407" s="466" t="s">
        <v>909</v>
      </c>
      <c r="W407" s="653">
        <v>400</v>
      </c>
      <c r="X407" s="463" t="s">
        <v>1532</v>
      </c>
      <c r="Y407" s="463" t="s">
        <v>1533</v>
      </c>
      <c r="Z407" s="463" t="s">
        <v>906</v>
      </c>
      <c r="AA407" s="463" t="s">
        <v>1999</v>
      </c>
      <c r="AB407" s="459" t="s">
        <v>1534</v>
      </c>
    </row>
    <row r="408" spans="1:28" ht="24" customHeight="1">
      <c r="A408" s="584"/>
      <c r="B408" s="460" t="s">
        <v>675</v>
      </c>
      <c r="C408" s="458" t="s">
        <v>910</v>
      </c>
      <c r="D408" s="510" t="s">
        <v>911</v>
      </c>
      <c r="E408" s="497">
        <f t="shared" si="32"/>
        <v>50</v>
      </c>
      <c r="F408" s="497">
        <v>0</v>
      </c>
      <c r="G408" s="497">
        <v>50</v>
      </c>
      <c r="H408" s="497">
        <v>0</v>
      </c>
      <c r="I408" s="497">
        <f t="shared" si="33"/>
        <v>50</v>
      </c>
      <c r="J408" s="497">
        <v>0</v>
      </c>
      <c r="K408" s="497">
        <v>50</v>
      </c>
      <c r="L408" s="497">
        <v>0</v>
      </c>
      <c r="M408" s="672">
        <v>72.7</v>
      </c>
      <c r="N408" s="498">
        <v>0.6</v>
      </c>
      <c r="O408" s="669" t="s">
        <v>912</v>
      </c>
      <c r="P408" s="463" t="s">
        <v>1588</v>
      </c>
      <c r="Q408" s="672" t="s">
        <v>1588</v>
      </c>
      <c r="R408" s="672" t="s">
        <v>1588</v>
      </c>
      <c r="S408" s="672" t="s">
        <v>1588</v>
      </c>
      <c r="T408" s="672" t="s">
        <v>1588</v>
      </c>
      <c r="U408" s="463" t="s">
        <v>866</v>
      </c>
      <c r="V408" s="466" t="s">
        <v>913</v>
      </c>
      <c r="W408" s="653">
        <v>161</v>
      </c>
      <c r="X408" s="463" t="s">
        <v>1532</v>
      </c>
      <c r="Y408" s="463" t="s">
        <v>1533</v>
      </c>
      <c r="Z408" s="463" t="s">
        <v>914</v>
      </c>
      <c r="AA408" s="463" t="s">
        <v>1999</v>
      </c>
      <c r="AB408" s="459" t="s">
        <v>1534</v>
      </c>
    </row>
    <row r="409" spans="1:28" ht="24" customHeight="1">
      <c r="A409" s="584"/>
      <c r="B409" s="460" t="s">
        <v>675</v>
      </c>
      <c r="C409" s="458" t="s">
        <v>915</v>
      </c>
      <c r="D409" s="510" t="s">
        <v>916</v>
      </c>
      <c r="E409" s="497">
        <f t="shared" si="32"/>
        <v>30</v>
      </c>
      <c r="F409" s="497">
        <v>0</v>
      </c>
      <c r="G409" s="497">
        <v>30</v>
      </c>
      <c r="H409" s="497">
        <v>0</v>
      </c>
      <c r="I409" s="497">
        <f t="shared" si="33"/>
        <v>23.7</v>
      </c>
      <c r="J409" s="497">
        <v>0</v>
      </c>
      <c r="K409" s="497">
        <v>23.7</v>
      </c>
      <c r="L409" s="497">
        <v>0</v>
      </c>
      <c r="M409" s="672">
        <v>88.4</v>
      </c>
      <c r="N409" s="498">
        <v>0.8</v>
      </c>
      <c r="O409" s="669" t="s">
        <v>912</v>
      </c>
      <c r="P409" s="463" t="s">
        <v>1588</v>
      </c>
      <c r="Q409" s="672" t="s">
        <v>1588</v>
      </c>
      <c r="R409" s="672" t="s">
        <v>1588</v>
      </c>
      <c r="S409" s="672" t="s">
        <v>1588</v>
      </c>
      <c r="T409" s="672" t="s">
        <v>1588</v>
      </c>
      <c r="U409" s="463" t="s">
        <v>866</v>
      </c>
      <c r="V409" s="466" t="s">
        <v>917</v>
      </c>
      <c r="W409" s="653">
        <v>122</v>
      </c>
      <c r="X409" s="463" t="s">
        <v>1532</v>
      </c>
      <c r="Y409" s="463" t="s">
        <v>1533</v>
      </c>
      <c r="Z409" s="463" t="s">
        <v>918</v>
      </c>
      <c r="AA409" s="463" t="s">
        <v>1999</v>
      </c>
      <c r="AB409" s="459" t="s">
        <v>1534</v>
      </c>
    </row>
    <row r="410" spans="1:28" ht="24" customHeight="1">
      <c r="A410" s="584"/>
      <c r="B410" s="460" t="s">
        <v>675</v>
      </c>
      <c r="C410" s="458" t="s">
        <v>919</v>
      </c>
      <c r="D410" s="510" t="s">
        <v>920</v>
      </c>
      <c r="E410" s="497">
        <f t="shared" si="32"/>
        <v>40</v>
      </c>
      <c r="F410" s="497">
        <v>0</v>
      </c>
      <c r="G410" s="497">
        <v>40</v>
      </c>
      <c r="H410" s="497">
        <v>0</v>
      </c>
      <c r="I410" s="497">
        <f t="shared" si="33"/>
        <v>32</v>
      </c>
      <c r="J410" s="497">
        <v>0</v>
      </c>
      <c r="K410" s="497">
        <v>32</v>
      </c>
      <c r="L410" s="497">
        <v>0</v>
      </c>
      <c r="M410" s="672">
        <v>90.9</v>
      </c>
      <c r="N410" s="498">
        <v>2.2000000000000002</v>
      </c>
      <c r="O410" s="669" t="s">
        <v>3221</v>
      </c>
      <c r="P410" s="463" t="s">
        <v>1588</v>
      </c>
      <c r="Q410" s="672" t="s">
        <v>1588</v>
      </c>
      <c r="R410" s="672" t="s">
        <v>1588</v>
      </c>
      <c r="S410" s="672" t="s">
        <v>1588</v>
      </c>
      <c r="T410" s="672" t="s">
        <v>1588</v>
      </c>
      <c r="U410" s="463" t="s">
        <v>866</v>
      </c>
      <c r="V410" s="466" t="s">
        <v>921</v>
      </c>
      <c r="W410" s="653">
        <v>170</v>
      </c>
      <c r="X410" s="463" t="s">
        <v>1532</v>
      </c>
      <c r="Y410" s="463" t="s">
        <v>1533</v>
      </c>
      <c r="Z410" s="463" t="s">
        <v>922</v>
      </c>
      <c r="AA410" s="463" t="s">
        <v>1999</v>
      </c>
      <c r="AB410" s="459" t="s">
        <v>1534</v>
      </c>
    </row>
    <row r="411" spans="1:28" ht="24" customHeight="1">
      <c r="A411" s="584"/>
      <c r="B411" s="460" t="s">
        <v>675</v>
      </c>
      <c r="C411" s="458" t="s">
        <v>923</v>
      </c>
      <c r="D411" s="510" t="s">
        <v>924</v>
      </c>
      <c r="E411" s="497">
        <f t="shared" si="32"/>
        <v>70</v>
      </c>
      <c r="F411" s="497">
        <v>0</v>
      </c>
      <c r="G411" s="497">
        <v>70</v>
      </c>
      <c r="H411" s="497">
        <v>0</v>
      </c>
      <c r="I411" s="497">
        <f t="shared" si="33"/>
        <v>46.5</v>
      </c>
      <c r="J411" s="497">
        <v>0</v>
      </c>
      <c r="K411" s="497">
        <v>46.5</v>
      </c>
      <c r="L411" s="497">
        <v>0</v>
      </c>
      <c r="M411" s="672">
        <v>90.7</v>
      </c>
      <c r="N411" s="498">
        <v>3.6</v>
      </c>
      <c r="O411" s="669" t="s">
        <v>3221</v>
      </c>
      <c r="P411" s="463" t="s">
        <v>1588</v>
      </c>
      <c r="Q411" s="672" t="s">
        <v>1588</v>
      </c>
      <c r="R411" s="672" t="s">
        <v>1588</v>
      </c>
      <c r="S411" s="672" t="s">
        <v>1588</v>
      </c>
      <c r="T411" s="672" t="s">
        <v>1588</v>
      </c>
      <c r="U411" s="463" t="s">
        <v>866</v>
      </c>
      <c r="V411" s="466" t="s">
        <v>925</v>
      </c>
      <c r="W411" s="653">
        <v>497</v>
      </c>
      <c r="X411" s="463" t="s">
        <v>1532</v>
      </c>
      <c r="Y411" s="463" t="s">
        <v>1533</v>
      </c>
      <c r="Z411" s="463" t="s">
        <v>922</v>
      </c>
      <c r="AA411" s="463" t="s">
        <v>1999</v>
      </c>
      <c r="AB411" s="459" t="s">
        <v>1534</v>
      </c>
    </row>
    <row r="412" spans="1:28" ht="24" customHeight="1">
      <c r="A412" s="584"/>
      <c r="B412" s="460" t="s">
        <v>675</v>
      </c>
      <c r="C412" s="458" t="s">
        <v>926</v>
      </c>
      <c r="D412" s="510" t="s">
        <v>927</v>
      </c>
      <c r="E412" s="497">
        <f t="shared" si="32"/>
        <v>34</v>
      </c>
      <c r="F412" s="497">
        <v>0</v>
      </c>
      <c r="G412" s="497">
        <v>34</v>
      </c>
      <c r="H412" s="497">
        <v>0</v>
      </c>
      <c r="I412" s="497">
        <f t="shared" si="33"/>
        <v>27</v>
      </c>
      <c r="J412" s="497">
        <v>0</v>
      </c>
      <c r="K412" s="497">
        <v>27</v>
      </c>
      <c r="L412" s="497">
        <v>0</v>
      </c>
      <c r="M412" s="672">
        <v>78.099999999999994</v>
      </c>
      <c r="N412" s="498">
        <v>1.1000000000000001</v>
      </c>
      <c r="O412" s="669" t="s">
        <v>874</v>
      </c>
      <c r="P412" s="463" t="s">
        <v>1588</v>
      </c>
      <c r="Q412" s="672" t="s">
        <v>1588</v>
      </c>
      <c r="R412" s="672" t="s">
        <v>1588</v>
      </c>
      <c r="S412" s="672" t="s">
        <v>1588</v>
      </c>
      <c r="T412" s="672" t="s">
        <v>1588</v>
      </c>
      <c r="U412" s="463" t="s">
        <v>866</v>
      </c>
      <c r="V412" s="466" t="s">
        <v>921</v>
      </c>
      <c r="W412" s="653">
        <v>170</v>
      </c>
      <c r="X412" s="463" t="s">
        <v>1532</v>
      </c>
      <c r="Y412" s="463" t="s">
        <v>1533</v>
      </c>
      <c r="Z412" s="463" t="s">
        <v>2264</v>
      </c>
      <c r="AA412" s="463" t="s">
        <v>1999</v>
      </c>
      <c r="AB412" s="459" t="s">
        <v>1534</v>
      </c>
    </row>
    <row r="413" spans="1:28" ht="24" customHeight="1">
      <c r="A413" s="584"/>
      <c r="B413" s="460" t="s">
        <v>675</v>
      </c>
      <c r="C413" s="458" t="s">
        <v>928</v>
      </c>
      <c r="D413" s="510" t="s">
        <v>929</v>
      </c>
      <c r="E413" s="497">
        <f t="shared" si="32"/>
        <v>100</v>
      </c>
      <c r="F413" s="497">
        <v>0</v>
      </c>
      <c r="G413" s="497">
        <v>100</v>
      </c>
      <c r="H413" s="497">
        <v>0</v>
      </c>
      <c r="I413" s="497">
        <f t="shared" si="33"/>
        <v>80</v>
      </c>
      <c r="J413" s="497">
        <v>0</v>
      </c>
      <c r="K413" s="497">
        <v>80</v>
      </c>
      <c r="L413" s="497">
        <v>0</v>
      </c>
      <c r="M413" s="672">
        <v>47.9</v>
      </c>
      <c r="N413" s="498">
        <v>2.2000000000000002</v>
      </c>
      <c r="O413" s="669" t="s">
        <v>3221</v>
      </c>
      <c r="P413" s="463" t="s">
        <v>1588</v>
      </c>
      <c r="Q413" s="672" t="s">
        <v>1588</v>
      </c>
      <c r="R413" s="672" t="s">
        <v>1588</v>
      </c>
      <c r="S413" s="672" t="s">
        <v>1588</v>
      </c>
      <c r="T413" s="672" t="s">
        <v>1588</v>
      </c>
      <c r="U413" s="463" t="s">
        <v>866</v>
      </c>
      <c r="V413" s="466" t="s">
        <v>930</v>
      </c>
      <c r="W413" s="653">
        <v>411</v>
      </c>
      <c r="X413" s="463" t="s">
        <v>1532</v>
      </c>
      <c r="Y413" s="463" t="s">
        <v>1533</v>
      </c>
      <c r="Z413" s="463" t="s">
        <v>2264</v>
      </c>
      <c r="AA413" s="463" t="s">
        <v>1999</v>
      </c>
      <c r="AB413" s="459" t="s">
        <v>1534</v>
      </c>
    </row>
    <row r="414" spans="1:28" ht="24" customHeight="1">
      <c r="A414" s="584"/>
      <c r="B414" s="460" t="s">
        <v>675</v>
      </c>
      <c r="C414" s="458" t="s">
        <v>931</v>
      </c>
      <c r="D414" s="510" t="s">
        <v>932</v>
      </c>
      <c r="E414" s="497">
        <f t="shared" si="32"/>
        <v>55</v>
      </c>
      <c r="F414" s="497">
        <v>0</v>
      </c>
      <c r="G414" s="497">
        <v>55</v>
      </c>
      <c r="H414" s="497">
        <v>0</v>
      </c>
      <c r="I414" s="497">
        <f t="shared" si="33"/>
        <v>43</v>
      </c>
      <c r="J414" s="497">
        <v>0</v>
      </c>
      <c r="K414" s="497">
        <v>43</v>
      </c>
      <c r="L414" s="497">
        <v>0</v>
      </c>
      <c r="M414" s="672">
        <v>69.099999999999994</v>
      </c>
      <c r="N414" s="498">
        <v>2.2999999999999998</v>
      </c>
      <c r="O414" s="669" t="s">
        <v>933</v>
      </c>
      <c r="P414" s="463" t="s">
        <v>1588</v>
      </c>
      <c r="Q414" s="672" t="s">
        <v>1588</v>
      </c>
      <c r="R414" s="672" t="s">
        <v>1588</v>
      </c>
      <c r="S414" s="672" t="s">
        <v>1588</v>
      </c>
      <c r="T414" s="672" t="s">
        <v>1588</v>
      </c>
      <c r="U414" s="463" t="s">
        <v>866</v>
      </c>
      <c r="V414" s="466" t="s">
        <v>934</v>
      </c>
      <c r="W414" s="653">
        <v>302</v>
      </c>
      <c r="X414" s="463" t="s">
        <v>1532</v>
      </c>
      <c r="Y414" s="463" t="s">
        <v>1533</v>
      </c>
      <c r="Z414" s="463" t="s">
        <v>935</v>
      </c>
      <c r="AA414" s="463" t="s">
        <v>1999</v>
      </c>
      <c r="AB414" s="459" t="s">
        <v>1534</v>
      </c>
    </row>
    <row r="415" spans="1:28" ht="24" customHeight="1">
      <c r="A415" s="582" t="s">
        <v>1606</v>
      </c>
      <c r="B415" s="460" t="s">
        <v>675</v>
      </c>
      <c r="C415" s="458" t="s">
        <v>936</v>
      </c>
      <c r="D415" s="510" t="s">
        <v>937</v>
      </c>
      <c r="E415" s="497">
        <f t="shared" ref="E415:E453" si="34">SUM(F415:H415)</f>
        <v>150</v>
      </c>
      <c r="F415" s="497">
        <v>0</v>
      </c>
      <c r="G415" s="497">
        <v>150</v>
      </c>
      <c r="H415" s="497">
        <v>0</v>
      </c>
      <c r="I415" s="497">
        <f t="shared" si="33"/>
        <v>105</v>
      </c>
      <c r="J415" s="497">
        <v>0</v>
      </c>
      <c r="K415" s="497">
        <v>105</v>
      </c>
      <c r="L415" s="497">
        <v>0</v>
      </c>
      <c r="M415" s="672">
        <v>85.25</v>
      </c>
      <c r="N415" s="498">
        <v>4.34</v>
      </c>
      <c r="O415" s="669" t="s">
        <v>938</v>
      </c>
      <c r="P415" s="463" t="s">
        <v>1588</v>
      </c>
      <c r="Q415" s="672">
        <v>0</v>
      </c>
      <c r="R415" s="672">
        <v>0</v>
      </c>
      <c r="S415" s="672">
        <v>0</v>
      </c>
      <c r="T415" s="672">
        <v>0</v>
      </c>
      <c r="U415" s="463" t="s">
        <v>939</v>
      </c>
      <c r="V415" s="463" t="s">
        <v>940</v>
      </c>
      <c r="W415" s="653">
        <v>250</v>
      </c>
      <c r="X415" s="463" t="s">
        <v>1532</v>
      </c>
      <c r="Y415" s="463" t="s">
        <v>1533</v>
      </c>
      <c r="Z415" s="463"/>
      <c r="AA415" s="463" t="s">
        <v>1607</v>
      </c>
      <c r="AB415" s="459" t="s">
        <v>1534</v>
      </c>
    </row>
    <row r="416" spans="1:28" ht="24" customHeight="1">
      <c r="A416" s="584"/>
      <c r="B416" s="460" t="s">
        <v>675</v>
      </c>
      <c r="C416" s="458" t="s">
        <v>941</v>
      </c>
      <c r="D416" s="510" t="s">
        <v>942</v>
      </c>
      <c r="E416" s="497">
        <f t="shared" si="34"/>
        <v>20</v>
      </c>
      <c r="F416" s="497">
        <v>0</v>
      </c>
      <c r="G416" s="497">
        <v>20</v>
      </c>
      <c r="H416" s="497">
        <v>0</v>
      </c>
      <c r="I416" s="497">
        <f t="shared" si="33"/>
        <v>16</v>
      </c>
      <c r="J416" s="497">
        <v>0</v>
      </c>
      <c r="K416" s="497">
        <v>16</v>
      </c>
      <c r="L416" s="497">
        <v>0</v>
      </c>
      <c r="M416" s="672">
        <f>(I416/E416)*100</f>
        <v>80</v>
      </c>
      <c r="N416" s="498">
        <v>0.34</v>
      </c>
      <c r="O416" s="669" t="s">
        <v>943</v>
      </c>
      <c r="P416" s="463" t="s">
        <v>1588</v>
      </c>
      <c r="Q416" s="672">
        <v>0</v>
      </c>
      <c r="R416" s="672">
        <v>0</v>
      </c>
      <c r="S416" s="672">
        <v>0</v>
      </c>
      <c r="T416" s="672">
        <v>0</v>
      </c>
      <c r="U416" s="463" t="s">
        <v>939</v>
      </c>
      <c r="V416" s="463" t="s">
        <v>944</v>
      </c>
      <c r="W416" s="653">
        <v>200</v>
      </c>
      <c r="X416" s="463" t="s">
        <v>1532</v>
      </c>
      <c r="Y416" s="463" t="s">
        <v>1533</v>
      </c>
      <c r="Z416" s="463"/>
      <c r="AA416" s="463" t="s">
        <v>1607</v>
      </c>
      <c r="AB416" s="459" t="s">
        <v>1534</v>
      </c>
    </row>
    <row r="417" spans="1:28" ht="24" customHeight="1">
      <c r="A417" s="584"/>
      <c r="B417" s="460" t="s">
        <v>675</v>
      </c>
      <c r="C417" s="458" t="s">
        <v>945</v>
      </c>
      <c r="D417" s="510" t="s">
        <v>946</v>
      </c>
      <c r="E417" s="497">
        <f t="shared" si="34"/>
        <v>30</v>
      </c>
      <c r="F417" s="497">
        <v>0</v>
      </c>
      <c r="G417" s="497">
        <v>30</v>
      </c>
      <c r="H417" s="497">
        <v>0</v>
      </c>
      <c r="I417" s="497">
        <f t="shared" si="33"/>
        <v>24</v>
      </c>
      <c r="J417" s="497">
        <v>0</v>
      </c>
      <c r="K417" s="497">
        <v>24</v>
      </c>
      <c r="L417" s="497">
        <v>0</v>
      </c>
      <c r="M417" s="672">
        <v>81.25</v>
      </c>
      <c r="N417" s="498">
        <v>1.1200000000000001</v>
      </c>
      <c r="O417" s="669" t="s">
        <v>3742</v>
      </c>
      <c r="P417" s="463" t="s">
        <v>1588</v>
      </c>
      <c r="Q417" s="672">
        <v>0</v>
      </c>
      <c r="R417" s="672">
        <v>0</v>
      </c>
      <c r="S417" s="672">
        <v>0</v>
      </c>
      <c r="T417" s="672">
        <v>0</v>
      </c>
      <c r="U417" s="463" t="s">
        <v>939</v>
      </c>
      <c r="V417" s="463" t="s">
        <v>947</v>
      </c>
      <c r="W417" s="653">
        <v>276</v>
      </c>
      <c r="X417" s="463" t="s">
        <v>1532</v>
      </c>
      <c r="Y417" s="463" t="s">
        <v>1533</v>
      </c>
      <c r="Z417" s="463"/>
      <c r="AA417" s="463" t="s">
        <v>948</v>
      </c>
      <c r="AB417" s="459" t="s">
        <v>1534</v>
      </c>
    </row>
    <row r="418" spans="1:28" ht="24" customHeight="1">
      <c r="A418" s="584"/>
      <c r="B418" s="460" t="s">
        <v>675</v>
      </c>
      <c r="C418" s="458" t="s">
        <v>949</v>
      </c>
      <c r="D418" s="510" t="s">
        <v>950</v>
      </c>
      <c r="E418" s="497">
        <f t="shared" si="34"/>
        <v>30</v>
      </c>
      <c r="F418" s="497">
        <v>0</v>
      </c>
      <c r="G418" s="497">
        <v>30</v>
      </c>
      <c r="H418" s="497">
        <v>0</v>
      </c>
      <c r="I418" s="497">
        <f t="shared" si="33"/>
        <v>24</v>
      </c>
      <c r="J418" s="497">
        <v>0</v>
      </c>
      <c r="K418" s="497">
        <v>24</v>
      </c>
      <c r="L418" s="497">
        <v>0</v>
      </c>
      <c r="M418" s="672">
        <v>90</v>
      </c>
      <c r="N418" s="498">
        <v>0.8</v>
      </c>
      <c r="O418" s="669" t="s">
        <v>3742</v>
      </c>
      <c r="P418" s="463" t="s">
        <v>1588</v>
      </c>
      <c r="Q418" s="672">
        <v>0</v>
      </c>
      <c r="R418" s="672">
        <v>0</v>
      </c>
      <c r="S418" s="672">
        <v>0</v>
      </c>
      <c r="T418" s="672">
        <v>0</v>
      </c>
      <c r="U418" s="463" t="s">
        <v>939</v>
      </c>
      <c r="V418" s="463" t="s">
        <v>951</v>
      </c>
      <c r="W418" s="653">
        <v>200</v>
      </c>
      <c r="X418" s="463" t="s">
        <v>1532</v>
      </c>
      <c r="Y418" s="463" t="s">
        <v>1533</v>
      </c>
      <c r="Z418" s="463"/>
      <c r="AA418" s="463" t="s">
        <v>948</v>
      </c>
      <c r="AB418" s="459" t="s">
        <v>1534</v>
      </c>
    </row>
    <row r="419" spans="1:28" ht="24" customHeight="1">
      <c r="A419" s="584"/>
      <c r="B419" s="460" t="s">
        <v>675</v>
      </c>
      <c r="C419" s="458" t="s">
        <v>952</v>
      </c>
      <c r="D419" s="510" t="s">
        <v>953</v>
      </c>
      <c r="E419" s="497">
        <f t="shared" si="34"/>
        <v>23</v>
      </c>
      <c r="F419" s="497">
        <v>0</v>
      </c>
      <c r="G419" s="497">
        <v>23</v>
      </c>
      <c r="H419" s="497">
        <v>0</v>
      </c>
      <c r="I419" s="497">
        <f t="shared" si="33"/>
        <v>18</v>
      </c>
      <c r="J419" s="497">
        <v>0</v>
      </c>
      <c r="K419" s="497">
        <v>18</v>
      </c>
      <c r="L419" s="497">
        <v>0</v>
      </c>
      <c r="M419" s="672">
        <v>85</v>
      </c>
      <c r="N419" s="498">
        <v>0.67</v>
      </c>
      <c r="O419" s="669" t="s">
        <v>3757</v>
      </c>
      <c r="P419" s="463" t="s">
        <v>1588</v>
      </c>
      <c r="Q419" s="672">
        <v>0</v>
      </c>
      <c r="R419" s="672">
        <v>0</v>
      </c>
      <c r="S419" s="672">
        <v>0</v>
      </c>
      <c r="T419" s="672">
        <v>0</v>
      </c>
      <c r="U419" s="463" t="s">
        <v>939</v>
      </c>
      <c r="V419" s="463" t="s">
        <v>954</v>
      </c>
      <c r="W419" s="653">
        <v>226</v>
      </c>
      <c r="X419" s="463" t="s">
        <v>1532</v>
      </c>
      <c r="Y419" s="463" t="s">
        <v>1533</v>
      </c>
      <c r="Z419" s="463"/>
      <c r="AA419" s="463" t="s">
        <v>955</v>
      </c>
      <c r="AB419" s="459" t="s">
        <v>1534</v>
      </c>
    </row>
    <row r="420" spans="1:28" ht="24" customHeight="1">
      <c r="A420" s="584"/>
      <c r="B420" s="460" t="s">
        <v>675</v>
      </c>
      <c r="C420" s="458" t="s">
        <v>956</v>
      </c>
      <c r="D420" s="510" t="s">
        <v>957</v>
      </c>
      <c r="E420" s="497">
        <f t="shared" si="34"/>
        <v>35</v>
      </c>
      <c r="F420" s="497">
        <v>0</v>
      </c>
      <c r="G420" s="497">
        <v>35</v>
      </c>
      <c r="H420" s="497">
        <v>0</v>
      </c>
      <c r="I420" s="497">
        <f t="shared" si="33"/>
        <v>30</v>
      </c>
      <c r="J420" s="497">
        <v>0</v>
      </c>
      <c r="K420" s="497">
        <v>30</v>
      </c>
      <c r="L420" s="497">
        <v>0</v>
      </c>
      <c r="M420" s="672">
        <v>83.33</v>
      </c>
      <c r="N420" s="498">
        <v>1.43</v>
      </c>
      <c r="O420" s="669" t="s">
        <v>3742</v>
      </c>
      <c r="P420" s="463" t="s">
        <v>1588</v>
      </c>
      <c r="Q420" s="672">
        <v>0</v>
      </c>
      <c r="R420" s="672">
        <v>0</v>
      </c>
      <c r="S420" s="672">
        <v>0</v>
      </c>
      <c r="T420" s="672">
        <v>0</v>
      </c>
      <c r="U420" s="463" t="s">
        <v>939</v>
      </c>
      <c r="V420" s="463" t="s">
        <v>958</v>
      </c>
      <c r="W420" s="653">
        <v>286</v>
      </c>
      <c r="X420" s="463" t="s">
        <v>1532</v>
      </c>
      <c r="Y420" s="463" t="s">
        <v>1533</v>
      </c>
      <c r="Z420" s="463"/>
      <c r="AA420" s="463" t="s">
        <v>1607</v>
      </c>
      <c r="AB420" s="459" t="s">
        <v>1534</v>
      </c>
    </row>
    <row r="421" spans="1:28" ht="24" customHeight="1">
      <c r="A421" s="584"/>
      <c r="B421" s="460" t="s">
        <v>675</v>
      </c>
      <c r="C421" s="458" t="s">
        <v>959</v>
      </c>
      <c r="D421" s="510" t="s">
        <v>960</v>
      </c>
      <c r="E421" s="497">
        <f t="shared" si="34"/>
        <v>30</v>
      </c>
      <c r="F421" s="497">
        <v>0</v>
      </c>
      <c r="G421" s="497">
        <v>30</v>
      </c>
      <c r="H421" s="497">
        <v>0</v>
      </c>
      <c r="I421" s="497">
        <f t="shared" si="33"/>
        <v>18</v>
      </c>
      <c r="J421" s="497">
        <v>0</v>
      </c>
      <c r="K421" s="497">
        <v>18</v>
      </c>
      <c r="L421" s="497">
        <v>0</v>
      </c>
      <c r="M421" s="672">
        <v>87.3</v>
      </c>
      <c r="N421" s="498">
        <v>0.63</v>
      </c>
      <c r="O421" s="669" t="s">
        <v>3757</v>
      </c>
      <c r="P421" s="463" t="s">
        <v>1588</v>
      </c>
      <c r="Q421" s="672">
        <v>0</v>
      </c>
      <c r="R421" s="672">
        <v>0</v>
      </c>
      <c r="S421" s="672">
        <v>0</v>
      </c>
      <c r="T421" s="672">
        <v>0</v>
      </c>
      <c r="U421" s="463" t="s">
        <v>939</v>
      </c>
      <c r="V421" s="463" t="s">
        <v>958</v>
      </c>
      <c r="W421" s="653">
        <v>292</v>
      </c>
      <c r="X421" s="463" t="s">
        <v>1532</v>
      </c>
      <c r="Y421" s="463" t="s">
        <v>1533</v>
      </c>
      <c r="Z421" s="463"/>
      <c r="AA421" s="463" t="s">
        <v>1607</v>
      </c>
      <c r="AB421" s="459" t="s">
        <v>1534</v>
      </c>
    </row>
    <row r="422" spans="1:28" ht="24" customHeight="1">
      <c r="A422" s="584"/>
      <c r="B422" s="460" t="s">
        <v>675</v>
      </c>
      <c r="C422" s="458" t="s">
        <v>961</v>
      </c>
      <c r="D422" s="510" t="s">
        <v>962</v>
      </c>
      <c r="E422" s="497">
        <f t="shared" si="34"/>
        <v>35</v>
      </c>
      <c r="F422" s="497">
        <v>0</v>
      </c>
      <c r="G422" s="497">
        <v>35</v>
      </c>
      <c r="H422" s="497">
        <v>0</v>
      </c>
      <c r="I422" s="497">
        <f t="shared" si="33"/>
        <v>28</v>
      </c>
      <c r="J422" s="497">
        <v>0</v>
      </c>
      <c r="K422" s="497">
        <v>28</v>
      </c>
      <c r="L422" s="497">
        <v>0</v>
      </c>
      <c r="M422" s="672">
        <v>70.7</v>
      </c>
      <c r="N422" s="498">
        <v>1.4</v>
      </c>
      <c r="O422" s="669" t="s">
        <v>3742</v>
      </c>
      <c r="P422" s="463" t="s">
        <v>1588</v>
      </c>
      <c r="Q422" s="672">
        <v>0</v>
      </c>
      <c r="R422" s="672">
        <v>0</v>
      </c>
      <c r="S422" s="672">
        <v>0</v>
      </c>
      <c r="T422" s="672">
        <v>0</v>
      </c>
      <c r="U422" s="463" t="s">
        <v>939</v>
      </c>
      <c r="V422" s="463" t="s">
        <v>963</v>
      </c>
      <c r="W422" s="653">
        <v>216</v>
      </c>
      <c r="X422" s="463" t="s">
        <v>1532</v>
      </c>
      <c r="Y422" s="463" t="s">
        <v>1533</v>
      </c>
      <c r="Z422" s="463"/>
      <c r="AA422" s="463" t="s">
        <v>1607</v>
      </c>
      <c r="AB422" s="459" t="s">
        <v>1534</v>
      </c>
    </row>
    <row r="423" spans="1:28" ht="24" customHeight="1">
      <c r="A423" s="584"/>
      <c r="B423" s="460" t="s">
        <v>675</v>
      </c>
      <c r="C423" s="458" t="s">
        <v>964</v>
      </c>
      <c r="D423" s="510" t="s">
        <v>965</v>
      </c>
      <c r="E423" s="497">
        <f t="shared" si="34"/>
        <v>23</v>
      </c>
      <c r="F423" s="497">
        <v>0</v>
      </c>
      <c r="G423" s="497">
        <v>23</v>
      </c>
      <c r="H423" s="497">
        <v>0</v>
      </c>
      <c r="I423" s="497">
        <f t="shared" si="33"/>
        <v>18</v>
      </c>
      <c r="J423" s="497">
        <v>0</v>
      </c>
      <c r="K423" s="497">
        <v>18</v>
      </c>
      <c r="L423" s="497">
        <v>0</v>
      </c>
      <c r="M423" s="672">
        <v>83</v>
      </c>
      <c r="N423" s="498">
        <v>0.41</v>
      </c>
      <c r="O423" s="669" t="s">
        <v>3757</v>
      </c>
      <c r="P423" s="463" t="s">
        <v>1588</v>
      </c>
      <c r="Q423" s="672">
        <v>0</v>
      </c>
      <c r="R423" s="672">
        <v>0</v>
      </c>
      <c r="S423" s="672">
        <v>0</v>
      </c>
      <c r="T423" s="672">
        <v>0</v>
      </c>
      <c r="U423" s="463" t="s">
        <v>939</v>
      </c>
      <c r="V423" s="463" t="s">
        <v>966</v>
      </c>
      <c r="W423" s="653">
        <v>218</v>
      </c>
      <c r="X423" s="463" t="s">
        <v>1532</v>
      </c>
      <c r="Y423" s="463" t="s">
        <v>1533</v>
      </c>
      <c r="Z423" s="463"/>
      <c r="AA423" s="463" t="s">
        <v>1607</v>
      </c>
      <c r="AB423" s="459" t="s">
        <v>1534</v>
      </c>
    </row>
    <row r="424" spans="1:28" ht="24" customHeight="1">
      <c r="A424" s="584"/>
      <c r="B424" s="460" t="s">
        <v>675</v>
      </c>
      <c r="C424" s="458" t="s">
        <v>967</v>
      </c>
      <c r="D424" s="510" t="s">
        <v>968</v>
      </c>
      <c r="E424" s="497">
        <f t="shared" si="34"/>
        <v>100</v>
      </c>
      <c r="F424" s="497">
        <v>0</v>
      </c>
      <c r="G424" s="497">
        <v>100</v>
      </c>
      <c r="H424" s="497">
        <v>0</v>
      </c>
      <c r="I424" s="497">
        <f t="shared" si="33"/>
        <v>95</v>
      </c>
      <c r="J424" s="497">
        <v>0</v>
      </c>
      <c r="K424" s="497">
        <v>95</v>
      </c>
      <c r="L424" s="497">
        <v>0</v>
      </c>
      <c r="M424" s="672">
        <v>76</v>
      </c>
      <c r="N424" s="498">
        <v>4.84</v>
      </c>
      <c r="O424" s="669" t="s">
        <v>938</v>
      </c>
      <c r="P424" s="463" t="s">
        <v>1588</v>
      </c>
      <c r="Q424" s="672">
        <v>0</v>
      </c>
      <c r="R424" s="672">
        <v>0</v>
      </c>
      <c r="S424" s="672">
        <v>0</v>
      </c>
      <c r="T424" s="672">
        <v>0</v>
      </c>
      <c r="U424" s="463" t="s">
        <v>939</v>
      </c>
      <c r="V424" s="463" t="s">
        <v>969</v>
      </c>
      <c r="W424" s="653">
        <v>200</v>
      </c>
      <c r="X424" s="463" t="s">
        <v>1532</v>
      </c>
      <c r="Y424" s="463" t="s">
        <v>1533</v>
      </c>
      <c r="Z424" s="463"/>
      <c r="AA424" s="463" t="s">
        <v>1607</v>
      </c>
      <c r="AB424" s="459" t="s">
        <v>1534</v>
      </c>
    </row>
    <row r="425" spans="1:28" ht="24" customHeight="1">
      <c r="A425" s="584"/>
      <c r="B425" s="460" t="s">
        <v>675</v>
      </c>
      <c r="C425" s="458" t="s">
        <v>970</v>
      </c>
      <c r="D425" s="510" t="s">
        <v>971</v>
      </c>
      <c r="E425" s="497">
        <f t="shared" si="34"/>
        <v>100</v>
      </c>
      <c r="F425" s="497">
        <v>0</v>
      </c>
      <c r="G425" s="497">
        <v>100</v>
      </c>
      <c r="H425" s="497">
        <v>0</v>
      </c>
      <c r="I425" s="497">
        <f t="shared" si="33"/>
        <v>95</v>
      </c>
      <c r="J425" s="497">
        <v>0</v>
      </c>
      <c r="K425" s="497">
        <v>95</v>
      </c>
      <c r="L425" s="497">
        <v>0</v>
      </c>
      <c r="M425" s="672">
        <v>86</v>
      </c>
      <c r="N425" s="498">
        <v>4.5599999999999996</v>
      </c>
      <c r="O425" s="669" t="s">
        <v>938</v>
      </c>
      <c r="P425" s="463" t="s">
        <v>1588</v>
      </c>
      <c r="Q425" s="672">
        <v>0</v>
      </c>
      <c r="R425" s="672">
        <v>0</v>
      </c>
      <c r="S425" s="672">
        <v>0</v>
      </c>
      <c r="T425" s="672">
        <v>0</v>
      </c>
      <c r="U425" s="463" t="s">
        <v>939</v>
      </c>
      <c r="V425" s="463" t="s">
        <v>972</v>
      </c>
      <c r="W425" s="653">
        <v>200</v>
      </c>
      <c r="X425" s="463" t="s">
        <v>1532</v>
      </c>
      <c r="Y425" s="463" t="s">
        <v>1533</v>
      </c>
      <c r="Z425" s="463"/>
      <c r="AA425" s="463" t="s">
        <v>1607</v>
      </c>
      <c r="AB425" s="459" t="s">
        <v>1534</v>
      </c>
    </row>
    <row r="426" spans="1:28" ht="24" customHeight="1">
      <c r="A426" s="584"/>
      <c r="B426" s="460" t="s">
        <v>675</v>
      </c>
      <c r="C426" s="458" t="s">
        <v>973</v>
      </c>
      <c r="D426" s="510" t="s">
        <v>974</v>
      </c>
      <c r="E426" s="497">
        <f t="shared" si="34"/>
        <v>34</v>
      </c>
      <c r="F426" s="497">
        <v>0</v>
      </c>
      <c r="G426" s="497">
        <v>34</v>
      </c>
      <c r="H426" s="497">
        <v>0</v>
      </c>
      <c r="I426" s="497">
        <f t="shared" si="33"/>
        <v>29</v>
      </c>
      <c r="J426" s="497">
        <v>0</v>
      </c>
      <c r="K426" s="497">
        <v>29</v>
      </c>
      <c r="L426" s="497">
        <v>0</v>
      </c>
      <c r="M426" s="672">
        <v>78</v>
      </c>
      <c r="N426" s="498">
        <v>1.53</v>
      </c>
      <c r="O426" s="669" t="s">
        <v>3757</v>
      </c>
      <c r="P426" s="463" t="s">
        <v>1588</v>
      </c>
      <c r="Q426" s="672">
        <v>0</v>
      </c>
      <c r="R426" s="672">
        <v>0</v>
      </c>
      <c r="S426" s="672">
        <v>0</v>
      </c>
      <c r="T426" s="672">
        <v>0</v>
      </c>
      <c r="U426" s="463" t="s">
        <v>939</v>
      </c>
      <c r="V426" s="463" t="s">
        <v>975</v>
      </c>
      <c r="W426" s="653">
        <v>80</v>
      </c>
      <c r="X426" s="463" t="s">
        <v>1532</v>
      </c>
      <c r="Y426" s="463" t="s">
        <v>1533</v>
      </c>
      <c r="Z426" s="463"/>
      <c r="AA426" s="463" t="s">
        <v>1607</v>
      </c>
      <c r="AB426" s="459" t="s">
        <v>1534</v>
      </c>
    </row>
    <row r="427" spans="1:28" ht="24" customHeight="1">
      <c r="A427" s="584"/>
      <c r="B427" s="460" t="s">
        <v>675</v>
      </c>
      <c r="C427" s="458" t="s">
        <v>976</v>
      </c>
      <c r="D427" s="510" t="s">
        <v>977</v>
      </c>
      <c r="E427" s="497">
        <f t="shared" si="34"/>
        <v>45</v>
      </c>
      <c r="F427" s="497">
        <v>0</v>
      </c>
      <c r="G427" s="497">
        <v>45</v>
      </c>
      <c r="H427" s="497">
        <v>0</v>
      </c>
      <c r="I427" s="497">
        <f t="shared" si="33"/>
        <v>32</v>
      </c>
      <c r="J427" s="497">
        <v>0</v>
      </c>
      <c r="K427" s="497">
        <v>32</v>
      </c>
      <c r="L427" s="497">
        <v>0</v>
      </c>
      <c r="M427" s="672">
        <v>92</v>
      </c>
      <c r="N427" s="498">
        <v>2.4</v>
      </c>
      <c r="O427" s="669" t="s">
        <v>3742</v>
      </c>
      <c r="P427" s="463" t="s">
        <v>1588</v>
      </c>
      <c r="Q427" s="672">
        <v>0</v>
      </c>
      <c r="R427" s="672">
        <v>0</v>
      </c>
      <c r="S427" s="672">
        <v>0</v>
      </c>
      <c r="T427" s="672">
        <v>0</v>
      </c>
      <c r="U427" s="463" t="s">
        <v>939</v>
      </c>
      <c r="V427" s="463" t="s">
        <v>978</v>
      </c>
      <c r="W427" s="653">
        <v>200</v>
      </c>
      <c r="X427" s="463" t="s">
        <v>1532</v>
      </c>
      <c r="Y427" s="463" t="s">
        <v>1533</v>
      </c>
      <c r="Z427" s="463"/>
      <c r="AA427" s="463" t="s">
        <v>1607</v>
      </c>
      <c r="AB427" s="459" t="s">
        <v>1534</v>
      </c>
    </row>
    <row r="428" spans="1:28" ht="24" customHeight="1">
      <c r="A428" s="584"/>
      <c r="B428" s="460" t="s">
        <v>675</v>
      </c>
      <c r="C428" s="458" t="s">
        <v>979</v>
      </c>
      <c r="D428" s="510" t="s">
        <v>980</v>
      </c>
      <c r="E428" s="497">
        <f t="shared" si="34"/>
        <v>170</v>
      </c>
      <c r="F428" s="497">
        <v>0</v>
      </c>
      <c r="G428" s="497">
        <v>170</v>
      </c>
      <c r="H428" s="497">
        <v>0</v>
      </c>
      <c r="I428" s="497">
        <f t="shared" si="33"/>
        <v>164</v>
      </c>
      <c r="J428" s="497">
        <v>0</v>
      </c>
      <c r="K428" s="497">
        <v>164</v>
      </c>
      <c r="L428" s="497">
        <v>0</v>
      </c>
      <c r="M428" s="672">
        <v>71</v>
      </c>
      <c r="N428" s="498">
        <v>9.67</v>
      </c>
      <c r="O428" s="669" t="s">
        <v>3742</v>
      </c>
      <c r="P428" s="463" t="s">
        <v>1588</v>
      </c>
      <c r="Q428" s="672">
        <v>0</v>
      </c>
      <c r="R428" s="672">
        <v>0</v>
      </c>
      <c r="S428" s="672">
        <v>0</v>
      </c>
      <c r="T428" s="672">
        <v>0</v>
      </c>
      <c r="U428" s="463" t="s">
        <v>939</v>
      </c>
      <c r="V428" s="463" t="s">
        <v>981</v>
      </c>
      <c r="W428" s="653">
        <v>300</v>
      </c>
      <c r="X428" s="463" t="s">
        <v>1532</v>
      </c>
      <c r="Y428" s="463" t="s">
        <v>1533</v>
      </c>
      <c r="Z428" s="463"/>
      <c r="AA428" s="463" t="s">
        <v>1607</v>
      </c>
      <c r="AB428" s="459" t="s">
        <v>1534</v>
      </c>
    </row>
    <row r="429" spans="1:28" ht="24" customHeight="1">
      <c r="A429" s="584"/>
      <c r="B429" s="460" t="s">
        <v>675</v>
      </c>
      <c r="C429" s="458" t="s">
        <v>982</v>
      </c>
      <c r="D429" s="510" t="s">
        <v>983</v>
      </c>
      <c r="E429" s="497">
        <f t="shared" si="34"/>
        <v>25</v>
      </c>
      <c r="F429" s="497">
        <v>0</v>
      </c>
      <c r="G429" s="497">
        <v>25</v>
      </c>
      <c r="H429" s="497">
        <v>0</v>
      </c>
      <c r="I429" s="497">
        <f t="shared" si="33"/>
        <v>20</v>
      </c>
      <c r="J429" s="497">
        <v>0</v>
      </c>
      <c r="K429" s="497">
        <v>20</v>
      </c>
      <c r="L429" s="497">
        <v>0</v>
      </c>
      <c r="M429" s="672">
        <v>76</v>
      </c>
      <c r="N429" s="498">
        <v>1.08</v>
      </c>
      <c r="O429" s="669" t="s">
        <v>3742</v>
      </c>
      <c r="P429" s="463" t="s">
        <v>1588</v>
      </c>
      <c r="Q429" s="672">
        <v>0</v>
      </c>
      <c r="R429" s="672">
        <v>0</v>
      </c>
      <c r="S429" s="672">
        <v>0</v>
      </c>
      <c r="T429" s="672">
        <v>0</v>
      </c>
      <c r="U429" s="463" t="s">
        <v>939</v>
      </c>
      <c r="V429" s="463" t="s">
        <v>984</v>
      </c>
      <c r="W429" s="653">
        <v>276</v>
      </c>
      <c r="X429" s="463" t="s">
        <v>1532</v>
      </c>
      <c r="Y429" s="463" t="s">
        <v>1533</v>
      </c>
      <c r="Z429" s="463"/>
      <c r="AA429" s="463" t="s">
        <v>1607</v>
      </c>
      <c r="AB429" s="459" t="s">
        <v>1534</v>
      </c>
    </row>
    <row r="430" spans="1:28" ht="24" customHeight="1">
      <c r="A430" s="584"/>
      <c r="B430" s="460" t="s">
        <v>675</v>
      </c>
      <c r="C430" s="458" t="s">
        <v>985</v>
      </c>
      <c r="D430" s="510" t="s">
        <v>986</v>
      </c>
      <c r="E430" s="497">
        <f t="shared" si="34"/>
        <v>200</v>
      </c>
      <c r="F430" s="497">
        <v>0</v>
      </c>
      <c r="G430" s="497">
        <v>200</v>
      </c>
      <c r="H430" s="497">
        <v>0</v>
      </c>
      <c r="I430" s="497">
        <f t="shared" si="33"/>
        <v>160</v>
      </c>
      <c r="J430" s="497">
        <v>0</v>
      </c>
      <c r="K430" s="497">
        <v>160</v>
      </c>
      <c r="L430" s="497">
        <v>0</v>
      </c>
      <c r="M430" s="672">
        <v>86</v>
      </c>
      <c r="N430" s="498">
        <v>5.6</v>
      </c>
      <c r="O430" s="669" t="s">
        <v>3742</v>
      </c>
      <c r="P430" s="463" t="s">
        <v>1588</v>
      </c>
      <c r="Q430" s="672">
        <v>0</v>
      </c>
      <c r="R430" s="672">
        <v>0</v>
      </c>
      <c r="S430" s="672">
        <v>0</v>
      </c>
      <c r="T430" s="672">
        <v>0</v>
      </c>
      <c r="U430" s="463" t="s">
        <v>939</v>
      </c>
      <c r="V430" s="463" t="s">
        <v>987</v>
      </c>
      <c r="W430" s="653">
        <v>671</v>
      </c>
      <c r="X430" s="463" t="s">
        <v>1532</v>
      </c>
      <c r="Y430" s="463" t="s">
        <v>1533</v>
      </c>
      <c r="Z430" s="463"/>
      <c r="AA430" s="463" t="s">
        <v>1607</v>
      </c>
      <c r="AB430" s="459" t="s">
        <v>1534</v>
      </c>
    </row>
    <row r="431" spans="1:28" ht="24" customHeight="1">
      <c r="A431" s="584"/>
      <c r="B431" s="460" t="s">
        <v>675</v>
      </c>
      <c r="C431" s="458" t="s">
        <v>988</v>
      </c>
      <c r="D431" s="510" t="s">
        <v>989</v>
      </c>
      <c r="E431" s="497">
        <f t="shared" si="34"/>
        <v>23</v>
      </c>
      <c r="F431" s="497">
        <v>0</v>
      </c>
      <c r="G431" s="497">
        <v>23</v>
      </c>
      <c r="H431" s="497">
        <v>0</v>
      </c>
      <c r="I431" s="497">
        <f t="shared" si="33"/>
        <v>18</v>
      </c>
      <c r="J431" s="497">
        <v>0</v>
      </c>
      <c r="K431" s="497">
        <v>18</v>
      </c>
      <c r="L431" s="497">
        <v>0</v>
      </c>
      <c r="M431" s="672">
        <v>68</v>
      </c>
      <c r="N431" s="498">
        <v>0.84</v>
      </c>
      <c r="O431" s="669" t="s">
        <v>3757</v>
      </c>
      <c r="P431" s="463" t="s">
        <v>1588</v>
      </c>
      <c r="Q431" s="672">
        <v>0</v>
      </c>
      <c r="R431" s="672">
        <v>0</v>
      </c>
      <c r="S431" s="672">
        <v>0</v>
      </c>
      <c r="T431" s="672">
        <v>0</v>
      </c>
      <c r="U431" s="463" t="s">
        <v>939</v>
      </c>
      <c r="V431" s="463" t="s">
        <v>990</v>
      </c>
      <c r="W431" s="653">
        <v>198</v>
      </c>
      <c r="X431" s="463" t="s">
        <v>1532</v>
      </c>
      <c r="Y431" s="463" t="s">
        <v>1533</v>
      </c>
      <c r="Z431" s="463"/>
      <c r="AA431" s="463" t="s">
        <v>1607</v>
      </c>
      <c r="AB431" s="459" t="s">
        <v>1534</v>
      </c>
    </row>
    <row r="432" spans="1:28" ht="24" customHeight="1">
      <c r="A432" s="584"/>
      <c r="B432" s="460" t="s">
        <v>675</v>
      </c>
      <c r="C432" s="458" t="s">
        <v>991</v>
      </c>
      <c r="D432" s="510" t="s">
        <v>992</v>
      </c>
      <c r="E432" s="497">
        <f t="shared" si="34"/>
        <v>150</v>
      </c>
      <c r="F432" s="497">
        <v>0</v>
      </c>
      <c r="G432" s="497">
        <v>150</v>
      </c>
      <c r="H432" s="497">
        <v>0</v>
      </c>
      <c r="I432" s="497">
        <f t="shared" si="33"/>
        <v>120</v>
      </c>
      <c r="J432" s="497">
        <v>0</v>
      </c>
      <c r="K432" s="497">
        <v>120</v>
      </c>
      <c r="L432" s="497">
        <v>0</v>
      </c>
      <c r="M432" s="672">
        <v>84</v>
      </c>
      <c r="N432" s="498">
        <v>8.4</v>
      </c>
      <c r="O432" s="669" t="s">
        <v>3742</v>
      </c>
      <c r="P432" s="463" t="s">
        <v>1588</v>
      </c>
      <c r="Q432" s="672">
        <v>0</v>
      </c>
      <c r="R432" s="672">
        <v>0</v>
      </c>
      <c r="S432" s="672">
        <v>0</v>
      </c>
      <c r="T432" s="672">
        <v>0</v>
      </c>
      <c r="U432" s="463" t="s">
        <v>939</v>
      </c>
      <c r="V432" s="463" t="s">
        <v>993</v>
      </c>
      <c r="W432" s="653">
        <v>400</v>
      </c>
      <c r="X432" s="463" t="s">
        <v>1532</v>
      </c>
      <c r="Y432" s="463" t="s">
        <v>1533</v>
      </c>
      <c r="Z432" s="463"/>
      <c r="AA432" s="463" t="s">
        <v>1607</v>
      </c>
      <c r="AB432" s="459" t="s">
        <v>1534</v>
      </c>
    </row>
    <row r="433" spans="1:28" ht="24" customHeight="1">
      <c r="A433" s="584"/>
      <c r="B433" s="460" t="s">
        <v>675</v>
      </c>
      <c r="C433" s="458" t="s">
        <v>994</v>
      </c>
      <c r="D433" s="510" t="s">
        <v>995</v>
      </c>
      <c r="E433" s="497">
        <f t="shared" si="34"/>
        <v>260</v>
      </c>
      <c r="F433" s="497">
        <v>0</v>
      </c>
      <c r="G433" s="497">
        <v>260</v>
      </c>
      <c r="H433" s="497">
        <v>0</v>
      </c>
      <c r="I433" s="497">
        <f t="shared" si="33"/>
        <v>204</v>
      </c>
      <c r="J433" s="497">
        <v>0</v>
      </c>
      <c r="K433" s="497">
        <v>204</v>
      </c>
      <c r="L433" s="497">
        <v>0</v>
      </c>
      <c r="M433" s="672">
        <v>65</v>
      </c>
      <c r="N433" s="498">
        <v>9.7899999999999991</v>
      </c>
      <c r="O433" s="669" t="s">
        <v>938</v>
      </c>
      <c r="P433" s="463" t="s">
        <v>1588</v>
      </c>
      <c r="Q433" s="672">
        <v>0</v>
      </c>
      <c r="R433" s="672">
        <v>0</v>
      </c>
      <c r="S433" s="672">
        <v>0</v>
      </c>
      <c r="T433" s="672">
        <v>0</v>
      </c>
      <c r="U433" s="463" t="s">
        <v>939</v>
      </c>
      <c r="V433" s="463" t="s">
        <v>981</v>
      </c>
      <c r="W433" s="653">
        <v>315</v>
      </c>
      <c r="X433" s="463" t="s">
        <v>1532</v>
      </c>
      <c r="Y433" s="463" t="s">
        <v>1533</v>
      </c>
      <c r="Z433" s="463"/>
      <c r="AA433" s="463" t="s">
        <v>1607</v>
      </c>
      <c r="AB433" s="459" t="s">
        <v>1534</v>
      </c>
    </row>
    <row r="434" spans="1:28" ht="24" customHeight="1">
      <c r="A434" s="584"/>
      <c r="B434" s="460" t="s">
        <v>675</v>
      </c>
      <c r="C434" s="458" t="s">
        <v>996</v>
      </c>
      <c r="D434" s="510" t="s">
        <v>997</v>
      </c>
      <c r="E434" s="497">
        <f t="shared" si="34"/>
        <v>30</v>
      </c>
      <c r="F434" s="497">
        <v>0</v>
      </c>
      <c r="G434" s="497">
        <v>30</v>
      </c>
      <c r="H434" s="497">
        <v>0</v>
      </c>
      <c r="I434" s="497">
        <f t="shared" si="33"/>
        <v>24</v>
      </c>
      <c r="J434" s="497">
        <v>0</v>
      </c>
      <c r="K434" s="497">
        <v>24</v>
      </c>
      <c r="L434" s="497">
        <v>0</v>
      </c>
      <c r="M434" s="672">
        <v>71</v>
      </c>
      <c r="N434" s="498">
        <v>1.08</v>
      </c>
      <c r="O434" s="669" t="s">
        <v>3742</v>
      </c>
      <c r="P434" s="463" t="s">
        <v>1588</v>
      </c>
      <c r="Q434" s="672">
        <v>0</v>
      </c>
      <c r="R434" s="672">
        <v>0</v>
      </c>
      <c r="S434" s="672">
        <v>0</v>
      </c>
      <c r="T434" s="672">
        <v>0</v>
      </c>
      <c r="U434" s="463" t="s">
        <v>939</v>
      </c>
      <c r="V434" s="463" t="s">
        <v>998</v>
      </c>
      <c r="W434" s="653">
        <v>213</v>
      </c>
      <c r="X434" s="463" t="s">
        <v>1532</v>
      </c>
      <c r="Y434" s="463" t="s">
        <v>1533</v>
      </c>
      <c r="Z434" s="463"/>
      <c r="AA434" s="463" t="s">
        <v>1607</v>
      </c>
      <c r="AB434" s="459" t="s">
        <v>1534</v>
      </c>
    </row>
    <row r="435" spans="1:28" ht="24" customHeight="1">
      <c r="A435" s="584"/>
      <c r="B435" s="460" t="s">
        <v>675</v>
      </c>
      <c r="C435" s="458" t="s">
        <v>999</v>
      </c>
      <c r="D435" s="510" t="s">
        <v>1000</v>
      </c>
      <c r="E435" s="497">
        <f t="shared" si="34"/>
        <v>30</v>
      </c>
      <c r="F435" s="497">
        <v>0</v>
      </c>
      <c r="G435" s="497">
        <v>30</v>
      </c>
      <c r="H435" s="497">
        <v>0</v>
      </c>
      <c r="I435" s="497">
        <f t="shared" si="33"/>
        <v>24</v>
      </c>
      <c r="J435" s="497">
        <v>0</v>
      </c>
      <c r="K435" s="497">
        <v>24</v>
      </c>
      <c r="L435" s="497">
        <v>0</v>
      </c>
      <c r="M435" s="672">
        <v>94</v>
      </c>
      <c r="N435" s="498">
        <v>1.94</v>
      </c>
      <c r="O435" s="669" t="s">
        <v>3742</v>
      </c>
      <c r="P435" s="463" t="s">
        <v>1588</v>
      </c>
      <c r="Q435" s="672">
        <v>0</v>
      </c>
      <c r="R435" s="672">
        <v>0</v>
      </c>
      <c r="S435" s="672">
        <v>0</v>
      </c>
      <c r="T435" s="672">
        <v>0</v>
      </c>
      <c r="U435" s="463" t="s">
        <v>939</v>
      </c>
      <c r="V435" s="463" t="s">
        <v>1001</v>
      </c>
      <c r="W435" s="653">
        <v>200</v>
      </c>
      <c r="X435" s="463" t="s">
        <v>1532</v>
      </c>
      <c r="Y435" s="463" t="s">
        <v>1533</v>
      </c>
      <c r="Z435" s="463"/>
      <c r="AA435" s="463" t="s">
        <v>1607</v>
      </c>
      <c r="AB435" s="459" t="s">
        <v>1534</v>
      </c>
    </row>
    <row r="436" spans="1:28" ht="24" customHeight="1">
      <c r="A436" s="584"/>
      <c r="B436" s="460" t="s">
        <v>675</v>
      </c>
      <c r="C436" s="458" t="s">
        <v>1002</v>
      </c>
      <c r="D436" s="510" t="s">
        <v>1003</v>
      </c>
      <c r="E436" s="497">
        <f t="shared" si="34"/>
        <v>40</v>
      </c>
      <c r="F436" s="497">
        <v>0</v>
      </c>
      <c r="G436" s="497">
        <v>40</v>
      </c>
      <c r="H436" s="497">
        <v>0</v>
      </c>
      <c r="I436" s="497">
        <f t="shared" si="33"/>
        <v>32</v>
      </c>
      <c r="J436" s="497">
        <v>0</v>
      </c>
      <c r="K436" s="497">
        <v>32</v>
      </c>
      <c r="L436" s="497">
        <v>0</v>
      </c>
      <c r="M436" s="672">
        <v>84</v>
      </c>
      <c r="N436" s="498">
        <v>2.56</v>
      </c>
      <c r="O436" s="669" t="s">
        <v>3742</v>
      </c>
      <c r="P436" s="463" t="s">
        <v>1588</v>
      </c>
      <c r="Q436" s="672">
        <v>0</v>
      </c>
      <c r="R436" s="672">
        <v>0</v>
      </c>
      <c r="S436" s="672">
        <v>0</v>
      </c>
      <c r="T436" s="672">
        <v>0</v>
      </c>
      <c r="U436" s="463" t="s">
        <v>939</v>
      </c>
      <c r="V436" s="463" t="s">
        <v>978</v>
      </c>
      <c r="W436" s="653">
        <v>200</v>
      </c>
      <c r="X436" s="463" t="s">
        <v>1532</v>
      </c>
      <c r="Y436" s="463" t="s">
        <v>1533</v>
      </c>
      <c r="Z436" s="463"/>
      <c r="AA436" s="463" t="s">
        <v>1607</v>
      </c>
      <c r="AB436" s="459" t="s">
        <v>1534</v>
      </c>
    </row>
    <row r="437" spans="1:28" ht="24" customHeight="1">
      <c r="A437" s="584"/>
      <c r="B437" s="460" t="s">
        <v>675</v>
      </c>
      <c r="C437" s="458" t="s">
        <v>1004</v>
      </c>
      <c r="D437" s="510" t="s">
        <v>1005</v>
      </c>
      <c r="E437" s="497">
        <f t="shared" si="34"/>
        <v>250</v>
      </c>
      <c r="F437" s="497">
        <v>0</v>
      </c>
      <c r="G437" s="497">
        <v>250</v>
      </c>
      <c r="H437" s="497">
        <v>0</v>
      </c>
      <c r="I437" s="497">
        <f t="shared" si="33"/>
        <v>194</v>
      </c>
      <c r="J437" s="497">
        <v>0</v>
      </c>
      <c r="K437" s="497">
        <v>194</v>
      </c>
      <c r="L437" s="497">
        <v>0</v>
      </c>
      <c r="M437" s="672">
        <v>84</v>
      </c>
      <c r="N437" s="498">
        <v>16.87</v>
      </c>
      <c r="O437" s="669" t="s">
        <v>938</v>
      </c>
      <c r="P437" s="463" t="s">
        <v>1588</v>
      </c>
      <c r="Q437" s="672">
        <v>0</v>
      </c>
      <c r="R437" s="672">
        <v>0</v>
      </c>
      <c r="S437" s="672">
        <v>0</v>
      </c>
      <c r="T437" s="672">
        <v>0</v>
      </c>
      <c r="U437" s="463" t="s">
        <v>939</v>
      </c>
      <c r="V437" s="463" t="s">
        <v>1006</v>
      </c>
      <c r="W437" s="653">
        <v>300</v>
      </c>
      <c r="X437" s="463" t="s">
        <v>1532</v>
      </c>
      <c r="Y437" s="463" t="s">
        <v>1533</v>
      </c>
      <c r="Z437" s="463"/>
      <c r="AA437" s="463" t="s">
        <v>1607</v>
      </c>
      <c r="AB437" s="459" t="s">
        <v>1534</v>
      </c>
    </row>
    <row r="438" spans="1:28" ht="24" customHeight="1">
      <c r="A438" s="584"/>
      <c r="B438" s="460" t="s">
        <v>675</v>
      </c>
      <c r="C438" s="458" t="s">
        <v>1007</v>
      </c>
      <c r="D438" s="510" t="s">
        <v>1008</v>
      </c>
      <c r="E438" s="497">
        <f t="shared" si="34"/>
        <v>23</v>
      </c>
      <c r="F438" s="497">
        <v>0</v>
      </c>
      <c r="G438" s="497">
        <v>23</v>
      </c>
      <c r="H438" s="497">
        <v>0</v>
      </c>
      <c r="I438" s="497">
        <f t="shared" si="33"/>
        <v>18</v>
      </c>
      <c r="J438" s="497">
        <v>0</v>
      </c>
      <c r="K438" s="497">
        <v>18</v>
      </c>
      <c r="L438" s="497">
        <v>0</v>
      </c>
      <c r="M438" s="672">
        <v>94</v>
      </c>
      <c r="N438" s="498">
        <v>0.48</v>
      </c>
      <c r="O438" s="669" t="s">
        <v>1009</v>
      </c>
      <c r="P438" s="463" t="s">
        <v>1588</v>
      </c>
      <c r="Q438" s="672">
        <v>0</v>
      </c>
      <c r="R438" s="672">
        <v>0</v>
      </c>
      <c r="S438" s="672">
        <v>0</v>
      </c>
      <c r="T438" s="672">
        <v>0</v>
      </c>
      <c r="U438" s="463" t="s">
        <v>939</v>
      </c>
      <c r="V438" s="463" t="s">
        <v>1010</v>
      </c>
      <c r="W438" s="653">
        <v>289</v>
      </c>
      <c r="X438" s="463" t="s">
        <v>1532</v>
      </c>
      <c r="Y438" s="463" t="s">
        <v>1533</v>
      </c>
      <c r="Z438" s="463"/>
      <c r="AA438" s="463" t="s">
        <v>1607</v>
      </c>
      <c r="AB438" s="459" t="s">
        <v>1534</v>
      </c>
    </row>
    <row r="439" spans="1:28" ht="24" customHeight="1">
      <c r="A439" s="584"/>
      <c r="B439" s="460" t="s">
        <v>675</v>
      </c>
      <c r="C439" s="458" t="s">
        <v>1011</v>
      </c>
      <c r="D439" s="510" t="s">
        <v>1012</v>
      </c>
      <c r="E439" s="497">
        <f t="shared" si="34"/>
        <v>100</v>
      </c>
      <c r="F439" s="497">
        <v>0</v>
      </c>
      <c r="G439" s="497">
        <v>100</v>
      </c>
      <c r="H439" s="497">
        <v>0</v>
      </c>
      <c r="I439" s="497">
        <f t="shared" si="33"/>
        <v>80</v>
      </c>
      <c r="J439" s="497">
        <v>0</v>
      </c>
      <c r="K439" s="497">
        <v>80</v>
      </c>
      <c r="L439" s="497">
        <v>0</v>
      </c>
      <c r="M439" s="672">
        <v>87</v>
      </c>
      <c r="N439" s="498">
        <v>4.88</v>
      </c>
      <c r="O439" s="669" t="s">
        <v>3461</v>
      </c>
      <c r="P439" s="463" t="s">
        <v>1588</v>
      </c>
      <c r="Q439" s="672">
        <v>0</v>
      </c>
      <c r="R439" s="672">
        <v>0</v>
      </c>
      <c r="S439" s="672">
        <v>0</v>
      </c>
      <c r="T439" s="672">
        <v>0</v>
      </c>
      <c r="U439" s="463" t="s">
        <v>939</v>
      </c>
      <c r="V439" s="463" t="s">
        <v>1013</v>
      </c>
      <c r="W439" s="653">
        <v>346</v>
      </c>
      <c r="X439" s="463" t="s">
        <v>1532</v>
      </c>
      <c r="Y439" s="463" t="s">
        <v>1533</v>
      </c>
      <c r="Z439" s="463"/>
      <c r="AA439" s="463" t="s">
        <v>1607</v>
      </c>
      <c r="AB439" s="459" t="s">
        <v>1534</v>
      </c>
    </row>
    <row r="440" spans="1:28" ht="24" customHeight="1">
      <c r="A440" s="584"/>
      <c r="B440" s="460" t="s">
        <v>675</v>
      </c>
      <c r="C440" s="458" t="s">
        <v>1014</v>
      </c>
      <c r="D440" s="510" t="s">
        <v>1015</v>
      </c>
      <c r="E440" s="497">
        <f t="shared" si="34"/>
        <v>100</v>
      </c>
      <c r="F440" s="497">
        <v>0</v>
      </c>
      <c r="G440" s="497">
        <v>100</v>
      </c>
      <c r="H440" s="497">
        <v>0</v>
      </c>
      <c r="I440" s="497">
        <f t="shared" si="33"/>
        <v>80</v>
      </c>
      <c r="J440" s="497">
        <v>0</v>
      </c>
      <c r="K440" s="497">
        <v>80</v>
      </c>
      <c r="L440" s="497">
        <v>0</v>
      </c>
      <c r="M440" s="672">
        <v>90</v>
      </c>
      <c r="N440" s="498">
        <v>3.36</v>
      </c>
      <c r="O440" s="669" t="s">
        <v>3461</v>
      </c>
      <c r="P440" s="463" t="s">
        <v>1588</v>
      </c>
      <c r="Q440" s="672">
        <v>0</v>
      </c>
      <c r="R440" s="672">
        <v>0</v>
      </c>
      <c r="S440" s="672">
        <v>0</v>
      </c>
      <c r="T440" s="672">
        <v>0</v>
      </c>
      <c r="U440" s="463" t="s">
        <v>939</v>
      </c>
      <c r="V440" s="463" t="s">
        <v>1016</v>
      </c>
      <c r="W440" s="653">
        <v>205</v>
      </c>
      <c r="X440" s="463" t="s">
        <v>1532</v>
      </c>
      <c r="Y440" s="463" t="s">
        <v>1533</v>
      </c>
      <c r="Z440" s="463"/>
      <c r="AA440" s="463" t="s">
        <v>1607</v>
      </c>
      <c r="AB440" s="459" t="s">
        <v>1534</v>
      </c>
    </row>
    <row r="441" spans="1:28" ht="24" customHeight="1">
      <c r="A441" s="584"/>
      <c r="B441" s="460" t="s">
        <v>675</v>
      </c>
      <c r="C441" s="458" t="s">
        <v>1017</v>
      </c>
      <c r="D441" s="510" t="s">
        <v>1018</v>
      </c>
      <c r="E441" s="497">
        <f t="shared" si="34"/>
        <v>70</v>
      </c>
      <c r="F441" s="497">
        <v>0</v>
      </c>
      <c r="G441" s="497">
        <v>70</v>
      </c>
      <c r="H441" s="497">
        <v>0</v>
      </c>
      <c r="I441" s="497">
        <f t="shared" si="33"/>
        <v>62</v>
      </c>
      <c r="J441" s="497">
        <v>0</v>
      </c>
      <c r="K441" s="497">
        <v>62</v>
      </c>
      <c r="L441" s="497">
        <v>0</v>
      </c>
      <c r="M441" s="672">
        <v>86</v>
      </c>
      <c r="N441" s="498">
        <v>2.23</v>
      </c>
      <c r="O441" s="669" t="s">
        <v>1019</v>
      </c>
      <c r="P441" s="463" t="s">
        <v>1588</v>
      </c>
      <c r="Q441" s="672">
        <v>0</v>
      </c>
      <c r="R441" s="672">
        <v>0</v>
      </c>
      <c r="S441" s="672">
        <v>0</v>
      </c>
      <c r="T441" s="672">
        <v>0</v>
      </c>
      <c r="U441" s="463" t="s">
        <v>939</v>
      </c>
      <c r="V441" s="463" t="s">
        <v>1020</v>
      </c>
      <c r="W441" s="653">
        <v>288</v>
      </c>
      <c r="X441" s="463" t="s">
        <v>1532</v>
      </c>
      <c r="Y441" s="463" t="s">
        <v>1533</v>
      </c>
      <c r="Z441" s="463"/>
      <c r="AA441" s="463" t="s">
        <v>1607</v>
      </c>
      <c r="AB441" s="459" t="s">
        <v>1534</v>
      </c>
    </row>
    <row r="442" spans="1:28" ht="24" customHeight="1">
      <c r="A442" s="584"/>
      <c r="B442" s="460" t="s">
        <v>675</v>
      </c>
      <c r="C442" s="458" t="s">
        <v>3453</v>
      </c>
      <c r="D442" s="510" t="s">
        <v>1021</v>
      </c>
      <c r="E442" s="497">
        <f t="shared" si="34"/>
        <v>50</v>
      </c>
      <c r="F442" s="497">
        <v>0</v>
      </c>
      <c r="G442" s="497">
        <v>50</v>
      </c>
      <c r="H442" s="497">
        <v>0</v>
      </c>
      <c r="I442" s="497">
        <f t="shared" si="33"/>
        <v>34</v>
      </c>
      <c r="J442" s="497">
        <v>0</v>
      </c>
      <c r="K442" s="497">
        <v>34</v>
      </c>
      <c r="L442" s="497">
        <v>0</v>
      </c>
      <c r="M442" s="672">
        <v>76</v>
      </c>
      <c r="N442" s="498">
        <v>2.34</v>
      </c>
      <c r="O442" s="669" t="s">
        <v>3461</v>
      </c>
      <c r="P442" s="463" t="s">
        <v>1588</v>
      </c>
      <c r="Q442" s="672">
        <v>0</v>
      </c>
      <c r="R442" s="672">
        <v>0</v>
      </c>
      <c r="S442" s="672">
        <v>0</v>
      </c>
      <c r="T442" s="672">
        <v>0</v>
      </c>
      <c r="U442" s="463" t="s">
        <v>939</v>
      </c>
      <c r="V442" s="463" t="s">
        <v>1020</v>
      </c>
      <c r="W442" s="653">
        <v>250</v>
      </c>
      <c r="X442" s="463" t="s">
        <v>1532</v>
      </c>
      <c r="Y442" s="463" t="s">
        <v>1533</v>
      </c>
      <c r="Z442" s="463"/>
      <c r="AA442" s="463" t="s">
        <v>1607</v>
      </c>
      <c r="AB442" s="459" t="s">
        <v>1534</v>
      </c>
    </row>
    <row r="443" spans="1:28" ht="24" customHeight="1">
      <c r="A443" s="584"/>
      <c r="B443" s="460" t="s">
        <v>675</v>
      </c>
      <c r="C443" s="458" t="s">
        <v>1022</v>
      </c>
      <c r="D443" s="510" t="s">
        <v>1023</v>
      </c>
      <c r="E443" s="497">
        <f t="shared" si="34"/>
        <v>200</v>
      </c>
      <c r="F443" s="497">
        <v>0</v>
      </c>
      <c r="G443" s="497">
        <v>200</v>
      </c>
      <c r="H443" s="497">
        <v>0</v>
      </c>
      <c r="I443" s="497">
        <f t="shared" si="33"/>
        <v>157</v>
      </c>
      <c r="J443" s="497">
        <v>0</v>
      </c>
      <c r="K443" s="497">
        <v>157</v>
      </c>
      <c r="L443" s="497">
        <v>0</v>
      </c>
      <c r="M443" s="672">
        <v>95</v>
      </c>
      <c r="N443" s="498">
        <v>8.7899999999999991</v>
      </c>
      <c r="O443" s="669" t="s">
        <v>1024</v>
      </c>
      <c r="P443" s="463" t="s">
        <v>1588</v>
      </c>
      <c r="Q443" s="672">
        <v>0</v>
      </c>
      <c r="R443" s="672">
        <v>0</v>
      </c>
      <c r="S443" s="672">
        <v>0</v>
      </c>
      <c r="T443" s="672">
        <v>0</v>
      </c>
      <c r="U443" s="463" t="s">
        <v>939</v>
      </c>
      <c r="V443" s="463" t="s">
        <v>1025</v>
      </c>
      <c r="W443" s="653">
        <v>950</v>
      </c>
      <c r="X443" s="463" t="s">
        <v>1532</v>
      </c>
      <c r="Y443" s="463" t="s">
        <v>1533</v>
      </c>
      <c r="Z443" s="463"/>
      <c r="AA443" s="463" t="s">
        <v>1607</v>
      </c>
      <c r="AB443" s="459" t="s">
        <v>1534</v>
      </c>
    </row>
    <row r="444" spans="1:28" ht="24" customHeight="1">
      <c r="A444" s="584"/>
      <c r="B444" s="460" t="s">
        <v>675</v>
      </c>
      <c r="C444" s="458" t="s">
        <v>1026</v>
      </c>
      <c r="D444" s="510" t="s">
        <v>1027</v>
      </c>
      <c r="E444" s="497">
        <f t="shared" si="34"/>
        <v>20</v>
      </c>
      <c r="F444" s="497">
        <v>0</v>
      </c>
      <c r="G444" s="497">
        <v>20</v>
      </c>
      <c r="H444" s="497">
        <v>0</v>
      </c>
      <c r="I444" s="497">
        <f t="shared" si="33"/>
        <v>16</v>
      </c>
      <c r="J444" s="497">
        <v>0</v>
      </c>
      <c r="K444" s="497">
        <v>16</v>
      </c>
      <c r="L444" s="497">
        <v>0</v>
      </c>
      <c r="M444" s="672">
        <v>91</v>
      </c>
      <c r="N444" s="498">
        <v>0.84</v>
      </c>
      <c r="O444" s="669" t="s">
        <v>3742</v>
      </c>
      <c r="P444" s="463" t="s">
        <v>1588</v>
      </c>
      <c r="Q444" s="672">
        <v>0</v>
      </c>
      <c r="R444" s="672">
        <v>0</v>
      </c>
      <c r="S444" s="672">
        <v>0</v>
      </c>
      <c r="T444" s="672">
        <v>0</v>
      </c>
      <c r="U444" s="463" t="s">
        <v>939</v>
      </c>
      <c r="V444" s="463" t="s">
        <v>978</v>
      </c>
      <c r="W444" s="653">
        <v>200</v>
      </c>
      <c r="X444" s="463" t="s">
        <v>1532</v>
      </c>
      <c r="Y444" s="463" t="s">
        <v>1533</v>
      </c>
      <c r="Z444" s="463"/>
      <c r="AA444" s="463" t="s">
        <v>577</v>
      </c>
      <c r="AB444" s="459" t="s">
        <v>1534</v>
      </c>
    </row>
    <row r="445" spans="1:28" ht="24" customHeight="1">
      <c r="A445" s="584"/>
      <c r="B445" s="460" t="s">
        <v>675</v>
      </c>
      <c r="C445" s="458" t="s">
        <v>1028</v>
      </c>
      <c r="D445" s="510" t="s">
        <v>1029</v>
      </c>
      <c r="E445" s="497">
        <f t="shared" si="34"/>
        <v>47</v>
      </c>
      <c r="F445" s="497">
        <v>0</v>
      </c>
      <c r="G445" s="497">
        <v>47</v>
      </c>
      <c r="H445" s="497">
        <v>0</v>
      </c>
      <c r="I445" s="497">
        <f t="shared" si="33"/>
        <v>40</v>
      </c>
      <c r="J445" s="497">
        <v>0</v>
      </c>
      <c r="K445" s="497">
        <v>40</v>
      </c>
      <c r="L445" s="497">
        <v>0</v>
      </c>
      <c r="M445" s="672">
        <v>0</v>
      </c>
      <c r="N445" s="498">
        <v>0</v>
      </c>
      <c r="O445" s="669" t="s">
        <v>1030</v>
      </c>
      <c r="P445" s="1806" t="s">
        <v>1031</v>
      </c>
      <c r="Q445" s="1806"/>
      <c r="R445" s="1806"/>
      <c r="S445" s="672">
        <v>0</v>
      </c>
      <c r="T445" s="672">
        <v>0</v>
      </c>
      <c r="U445" s="463" t="s">
        <v>939</v>
      </c>
      <c r="V445" s="463" t="s">
        <v>1032</v>
      </c>
      <c r="W445" s="653">
        <v>200</v>
      </c>
      <c r="X445" s="463" t="s">
        <v>1532</v>
      </c>
      <c r="Y445" s="463" t="s">
        <v>1533</v>
      </c>
      <c r="Z445" s="463"/>
      <c r="AA445" s="463" t="s">
        <v>577</v>
      </c>
      <c r="AB445" s="459" t="s">
        <v>1534</v>
      </c>
    </row>
    <row r="446" spans="1:28" ht="24" customHeight="1">
      <c r="A446" s="584"/>
      <c r="B446" s="460" t="s">
        <v>675</v>
      </c>
      <c r="C446" s="458" t="s">
        <v>1033</v>
      </c>
      <c r="D446" s="510" t="s">
        <v>1034</v>
      </c>
      <c r="E446" s="497">
        <f t="shared" si="34"/>
        <v>300</v>
      </c>
      <c r="F446" s="497">
        <v>0</v>
      </c>
      <c r="G446" s="497">
        <v>300</v>
      </c>
      <c r="H446" s="497">
        <v>0</v>
      </c>
      <c r="I446" s="497">
        <f t="shared" si="33"/>
        <v>240</v>
      </c>
      <c r="J446" s="497">
        <v>0</v>
      </c>
      <c r="K446" s="497">
        <v>240</v>
      </c>
      <c r="L446" s="497">
        <v>0</v>
      </c>
      <c r="M446" s="672">
        <v>57</v>
      </c>
      <c r="N446" s="498">
        <v>8.4</v>
      </c>
      <c r="O446" s="669" t="s">
        <v>3742</v>
      </c>
      <c r="P446" s="463" t="s">
        <v>1588</v>
      </c>
      <c r="Q446" s="672">
        <v>0</v>
      </c>
      <c r="R446" s="672">
        <v>0</v>
      </c>
      <c r="S446" s="672">
        <v>0</v>
      </c>
      <c r="T446" s="672">
        <v>0</v>
      </c>
      <c r="U446" s="463" t="s">
        <v>939</v>
      </c>
      <c r="V446" s="463" t="s">
        <v>1035</v>
      </c>
      <c r="W446" s="653">
        <v>628</v>
      </c>
      <c r="X446" s="463" t="s">
        <v>1532</v>
      </c>
      <c r="Y446" s="463" t="s">
        <v>1533</v>
      </c>
      <c r="Z446" s="463"/>
      <c r="AA446" s="463" t="s">
        <v>577</v>
      </c>
      <c r="AB446" s="459" t="s">
        <v>1534</v>
      </c>
    </row>
    <row r="447" spans="1:28" ht="24" customHeight="1">
      <c r="A447" s="584"/>
      <c r="B447" s="460" t="s">
        <v>675</v>
      </c>
      <c r="C447" s="458" t="s">
        <v>1036</v>
      </c>
      <c r="D447" s="510" t="s">
        <v>1037</v>
      </c>
      <c r="E447" s="497">
        <f t="shared" si="34"/>
        <v>23</v>
      </c>
      <c r="F447" s="497">
        <v>0</v>
      </c>
      <c r="G447" s="497">
        <v>23</v>
      </c>
      <c r="H447" s="497">
        <v>0</v>
      </c>
      <c r="I447" s="497">
        <f t="shared" si="33"/>
        <v>18</v>
      </c>
      <c r="J447" s="497">
        <v>0</v>
      </c>
      <c r="K447" s="497">
        <v>18</v>
      </c>
      <c r="L447" s="497">
        <v>0</v>
      </c>
      <c r="M447" s="672">
        <v>59</v>
      </c>
      <c r="N447" s="498">
        <v>0.7</v>
      </c>
      <c r="O447" s="669" t="s">
        <v>3757</v>
      </c>
      <c r="P447" s="463" t="s">
        <v>1588</v>
      </c>
      <c r="Q447" s="672">
        <v>0</v>
      </c>
      <c r="R447" s="672">
        <v>0</v>
      </c>
      <c r="S447" s="672">
        <v>0</v>
      </c>
      <c r="T447" s="672">
        <v>0</v>
      </c>
      <c r="U447" s="463" t="s">
        <v>939</v>
      </c>
      <c r="V447" s="463" t="s">
        <v>1038</v>
      </c>
      <c r="W447" s="653">
        <v>200</v>
      </c>
      <c r="X447" s="463" t="s">
        <v>1532</v>
      </c>
      <c r="Y447" s="463" t="s">
        <v>1533</v>
      </c>
      <c r="Z447" s="463"/>
      <c r="AA447" s="463" t="s">
        <v>577</v>
      </c>
      <c r="AB447" s="459" t="s">
        <v>1534</v>
      </c>
    </row>
    <row r="448" spans="1:28" ht="24" customHeight="1">
      <c r="A448" s="584"/>
      <c r="B448" s="460" t="s">
        <v>675</v>
      </c>
      <c r="C448" s="458" t="s">
        <v>1039</v>
      </c>
      <c r="D448" s="510" t="s">
        <v>1040</v>
      </c>
      <c r="E448" s="497">
        <f t="shared" si="34"/>
        <v>50</v>
      </c>
      <c r="F448" s="497">
        <v>0</v>
      </c>
      <c r="G448" s="497">
        <v>50</v>
      </c>
      <c r="H448" s="497">
        <v>0</v>
      </c>
      <c r="I448" s="497">
        <f t="shared" si="33"/>
        <v>38</v>
      </c>
      <c r="J448" s="497">
        <v>0</v>
      </c>
      <c r="K448" s="497">
        <v>38</v>
      </c>
      <c r="L448" s="497">
        <v>0</v>
      </c>
      <c r="M448" s="672">
        <v>85.98</v>
      </c>
      <c r="N448" s="498">
        <v>1.07</v>
      </c>
      <c r="O448" s="669" t="s">
        <v>1041</v>
      </c>
      <c r="P448" s="463" t="s">
        <v>1588</v>
      </c>
      <c r="Q448" s="672">
        <v>0</v>
      </c>
      <c r="R448" s="672">
        <v>0</v>
      </c>
      <c r="S448" s="672">
        <v>0</v>
      </c>
      <c r="T448" s="672">
        <v>0</v>
      </c>
      <c r="U448" s="463" t="s">
        <v>939</v>
      </c>
      <c r="V448" s="463" t="s">
        <v>1042</v>
      </c>
      <c r="W448" s="653">
        <v>460</v>
      </c>
      <c r="X448" s="463" t="s">
        <v>1532</v>
      </c>
      <c r="Y448" s="463" t="s">
        <v>1533</v>
      </c>
      <c r="Z448" s="463"/>
      <c r="AA448" s="463" t="s">
        <v>577</v>
      </c>
      <c r="AB448" s="459" t="s">
        <v>1534</v>
      </c>
    </row>
    <row r="449" spans="1:28" ht="24" customHeight="1">
      <c r="A449" s="584"/>
      <c r="B449" s="460" t="s">
        <v>675</v>
      </c>
      <c r="C449" s="458" t="s">
        <v>1043</v>
      </c>
      <c r="D449" s="510" t="s">
        <v>1044</v>
      </c>
      <c r="E449" s="497">
        <f t="shared" si="34"/>
        <v>40</v>
      </c>
      <c r="F449" s="497">
        <v>0</v>
      </c>
      <c r="G449" s="497">
        <v>40</v>
      </c>
      <c r="H449" s="497">
        <v>0</v>
      </c>
      <c r="I449" s="497">
        <f t="shared" si="33"/>
        <v>32</v>
      </c>
      <c r="J449" s="497">
        <v>0</v>
      </c>
      <c r="K449" s="497">
        <v>32</v>
      </c>
      <c r="L449" s="497">
        <v>0</v>
      </c>
      <c r="M449" s="672">
        <v>86</v>
      </c>
      <c r="N449" s="498">
        <v>0.92</v>
      </c>
      <c r="O449" s="669" t="s">
        <v>3742</v>
      </c>
      <c r="P449" s="463" t="s">
        <v>1588</v>
      </c>
      <c r="Q449" s="672">
        <v>0</v>
      </c>
      <c r="R449" s="672">
        <v>0</v>
      </c>
      <c r="S449" s="672">
        <v>0</v>
      </c>
      <c r="T449" s="672">
        <v>0</v>
      </c>
      <c r="U449" s="463" t="s">
        <v>939</v>
      </c>
      <c r="V449" s="463" t="s">
        <v>1045</v>
      </c>
      <c r="W449" s="653">
        <v>200</v>
      </c>
      <c r="X449" s="463" t="s">
        <v>1532</v>
      </c>
      <c r="Y449" s="463" t="s">
        <v>1533</v>
      </c>
      <c r="Z449" s="463"/>
      <c r="AA449" s="463" t="s">
        <v>1046</v>
      </c>
      <c r="AB449" s="459" t="s">
        <v>1534</v>
      </c>
    </row>
    <row r="450" spans="1:28" ht="24" customHeight="1">
      <c r="A450" s="584"/>
      <c r="B450" s="460" t="s">
        <v>675</v>
      </c>
      <c r="C450" s="458" t="s">
        <v>1047</v>
      </c>
      <c r="D450" s="510" t="s">
        <v>1048</v>
      </c>
      <c r="E450" s="497">
        <f t="shared" si="34"/>
        <v>40</v>
      </c>
      <c r="F450" s="497">
        <v>0</v>
      </c>
      <c r="G450" s="497">
        <v>40</v>
      </c>
      <c r="H450" s="497">
        <v>0</v>
      </c>
      <c r="I450" s="497">
        <f t="shared" si="33"/>
        <v>32</v>
      </c>
      <c r="J450" s="497">
        <v>0</v>
      </c>
      <c r="K450" s="497">
        <v>32</v>
      </c>
      <c r="L450" s="497">
        <v>0</v>
      </c>
      <c r="M450" s="672">
        <v>89</v>
      </c>
      <c r="N450" s="498">
        <v>1.9</v>
      </c>
      <c r="O450" s="669" t="s">
        <v>3742</v>
      </c>
      <c r="P450" s="463" t="s">
        <v>1588</v>
      </c>
      <c r="Q450" s="672">
        <v>0</v>
      </c>
      <c r="R450" s="672">
        <v>0</v>
      </c>
      <c r="S450" s="672">
        <v>0</v>
      </c>
      <c r="T450" s="672">
        <v>0</v>
      </c>
      <c r="U450" s="463" t="s">
        <v>939</v>
      </c>
      <c r="V450" s="463" t="s">
        <v>1049</v>
      </c>
      <c r="W450" s="653">
        <v>293</v>
      </c>
      <c r="X450" s="463" t="s">
        <v>1532</v>
      </c>
      <c r="Y450" s="463" t="s">
        <v>1533</v>
      </c>
      <c r="Z450" s="463"/>
      <c r="AA450" s="463" t="s">
        <v>1046</v>
      </c>
      <c r="AB450" s="459" t="s">
        <v>1534</v>
      </c>
    </row>
    <row r="451" spans="1:28" ht="24" customHeight="1">
      <c r="A451" s="584"/>
      <c r="B451" s="460" t="s">
        <v>675</v>
      </c>
      <c r="C451" s="458" t="s">
        <v>1050</v>
      </c>
      <c r="D451" s="510" t="s">
        <v>1051</v>
      </c>
      <c r="E451" s="497">
        <f t="shared" si="34"/>
        <v>50</v>
      </c>
      <c r="F451" s="497">
        <v>0</v>
      </c>
      <c r="G451" s="497">
        <v>50</v>
      </c>
      <c r="H451" s="497">
        <v>0</v>
      </c>
      <c r="I451" s="497">
        <f t="shared" si="33"/>
        <v>40</v>
      </c>
      <c r="J451" s="497">
        <v>0</v>
      </c>
      <c r="K451" s="497">
        <v>40</v>
      </c>
      <c r="L451" s="497">
        <v>0</v>
      </c>
      <c r="M451" s="672">
        <v>79</v>
      </c>
      <c r="N451" s="498">
        <v>2.4700000000000002</v>
      </c>
      <c r="O451" s="669" t="s">
        <v>3742</v>
      </c>
      <c r="P451" s="463" t="s">
        <v>1588</v>
      </c>
      <c r="Q451" s="672">
        <v>0</v>
      </c>
      <c r="R451" s="672">
        <v>0</v>
      </c>
      <c r="S451" s="672">
        <v>0</v>
      </c>
      <c r="T451" s="672">
        <v>0</v>
      </c>
      <c r="U451" s="463" t="s">
        <v>939</v>
      </c>
      <c r="V451" s="463" t="s">
        <v>1052</v>
      </c>
      <c r="W451" s="653">
        <v>246</v>
      </c>
      <c r="X451" s="463" t="s">
        <v>1532</v>
      </c>
      <c r="Y451" s="463" t="s">
        <v>1533</v>
      </c>
      <c r="Z451" s="463"/>
      <c r="AA451" s="463" t="s">
        <v>1046</v>
      </c>
      <c r="AB451" s="459" t="s">
        <v>1534</v>
      </c>
    </row>
    <row r="452" spans="1:28" ht="24" customHeight="1">
      <c r="A452" s="584"/>
      <c r="B452" s="460" t="s">
        <v>675</v>
      </c>
      <c r="C452" s="458" t="s">
        <v>1053</v>
      </c>
      <c r="D452" s="510" t="s">
        <v>1054</v>
      </c>
      <c r="E452" s="497">
        <f t="shared" si="34"/>
        <v>250</v>
      </c>
      <c r="F452" s="497">
        <v>0</v>
      </c>
      <c r="G452" s="497">
        <v>250</v>
      </c>
      <c r="H452" s="497">
        <v>0</v>
      </c>
      <c r="I452" s="497">
        <f t="shared" si="33"/>
        <v>200</v>
      </c>
      <c r="J452" s="497">
        <v>0</v>
      </c>
      <c r="K452" s="497">
        <v>200</v>
      </c>
      <c r="L452" s="497">
        <v>0</v>
      </c>
      <c r="M452" s="672">
        <v>71</v>
      </c>
      <c r="N452" s="498">
        <v>9.24</v>
      </c>
      <c r="O452" s="669" t="s">
        <v>3461</v>
      </c>
      <c r="P452" s="463" t="s">
        <v>1588</v>
      </c>
      <c r="Q452" s="672">
        <v>0</v>
      </c>
      <c r="R452" s="672">
        <v>0</v>
      </c>
      <c r="S452" s="672">
        <v>0</v>
      </c>
      <c r="T452" s="672">
        <v>0</v>
      </c>
      <c r="U452" s="463" t="s">
        <v>939</v>
      </c>
      <c r="V452" s="463" t="s">
        <v>1055</v>
      </c>
      <c r="W452" s="653">
        <v>930</v>
      </c>
      <c r="X452" s="463" t="s">
        <v>1532</v>
      </c>
      <c r="Y452" s="463" t="s">
        <v>1533</v>
      </c>
      <c r="Z452" s="463"/>
      <c r="AA452" s="463" t="s">
        <v>1046</v>
      </c>
      <c r="AB452" s="459" t="s">
        <v>1534</v>
      </c>
    </row>
    <row r="453" spans="1:28" ht="24" customHeight="1">
      <c r="A453" s="584"/>
      <c r="B453" s="460" t="s">
        <v>675</v>
      </c>
      <c r="C453" s="458" t="s">
        <v>1056</v>
      </c>
      <c r="D453" s="510" t="s">
        <v>1057</v>
      </c>
      <c r="E453" s="497">
        <f t="shared" si="34"/>
        <v>50</v>
      </c>
      <c r="F453" s="497">
        <v>0</v>
      </c>
      <c r="G453" s="497">
        <v>50</v>
      </c>
      <c r="H453" s="497">
        <v>0</v>
      </c>
      <c r="I453" s="497">
        <f t="shared" si="33"/>
        <v>35</v>
      </c>
      <c r="J453" s="497">
        <v>0</v>
      </c>
      <c r="K453" s="497">
        <v>35</v>
      </c>
      <c r="L453" s="497">
        <v>0</v>
      </c>
      <c r="M453" s="672">
        <v>91</v>
      </c>
      <c r="N453" s="498">
        <v>2.41</v>
      </c>
      <c r="O453" s="669" t="s">
        <v>1024</v>
      </c>
      <c r="P453" s="463" t="s">
        <v>1588</v>
      </c>
      <c r="Q453" s="672">
        <v>0</v>
      </c>
      <c r="R453" s="672">
        <v>0</v>
      </c>
      <c r="S453" s="672">
        <v>0</v>
      </c>
      <c r="T453" s="672">
        <v>0</v>
      </c>
      <c r="U453" s="463" t="s">
        <v>939</v>
      </c>
      <c r="V453" s="463" t="s">
        <v>1058</v>
      </c>
      <c r="W453" s="653">
        <v>680</v>
      </c>
      <c r="X453" s="463" t="s">
        <v>1532</v>
      </c>
      <c r="Y453" s="463" t="s">
        <v>1533</v>
      </c>
      <c r="Z453" s="463"/>
      <c r="AA453" s="463" t="s">
        <v>1046</v>
      </c>
      <c r="AB453" s="459" t="s">
        <v>1534</v>
      </c>
    </row>
    <row r="454" spans="1:28" ht="24" customHeight="1">
      <c r="A454" s="582" t="s">
        <v>1608</v>
      </c>
      <c r="B454" s="460" t="s">
        <v>2201</v>
      </c>
      <c r="C454" s="458" t="s">
        <v>1059</v>
      </c>
      <c r="D454" s="510" t="s">
        <v>1060</v>
      </c>
      <c r="E454" s="497">
        <f t="shared" ref="E454:E463" si="35">SUM(F454:H454)</f>
        <v>2600</v>
      </c>
      <c r="F454" s="497">
        <v>0</v>
      </c>
      <c r="G454" s="497">
        <v>0</v>
      </c>
      <c r="H454" s="497">
        <v>2600</v>
      </c>
      <c r="I454" s="497">
        <f t="shared" ref="I454:I466" si="36">SUM(J454:L454)</f>
        <v>1729</v>
      </c>
      <c r="J454" s="497">
        <v>0</v>
      </c>
      <c r="K454" s="497">
        <v>0</v>
      </c>
      <c r="L454" s="497">
        <v>1729</v>
      </c>
      <c r="M454" s="672">
        <v>96.7</v>
      </c>
      <c r="N454" s="498">
        <v>166.2</v>
      </c>
      <c r="O454" s="669" t="s">
        <v>1061</v>
      </c>
      <c r="P454" s="463" t="s">
        <v>1588</v>
      </c>
      <c r="Q454" s="672">
        <v>0</v>
      </c>
      <c r="R454" s="672">
        <v>0</v>
      </c>
      <c r="S454" s="672">
        <v>0</v>
      </c>
      <c r="T454" s="672">
        <v>0</v>
      </c>
      <c r="U454" s="463" t="s">
        <v>1062</v>
      </c>
      <c r="V454" s="466" t="s">
        <v>1063</v>
      </c>
      <c r="W454" s="653">
        <v>11507</v>
      </c>
      <c r="X454" s="463" t="s">
        <v>1532</v>
      </c>
      <c r="Y454" s="463" t="s">
        <v>1064</v>
      </c>
      <c r="Z454" s="480" t="s">
        <v>2265</v>
      </c>
      <c r="AA454" s="463" t="s">
        <v>1534</v>
      </c>
      <c r="AB454" s="459" t="s">
        <v>1534</v>
      </c>
    </row>
    <row r="455" spans="1:28" ht="24" customHeight="1">
      <c r="A455" s="584"/>
      <c r="B455" s="460" t="s">
        <v>2201</v>
      </c>
      <c r="C455" s="458" t="s">
        <v>1065</v>
      </c>
      <c r="D455" s="510" t="s">
        <v>1066</v>
      </c>
      <c r="E455" s="497">
        <f t="shared" si="35"/>
        <v>1700</v>
      </c>
      <c r="F455" s="497">
        <v>0</v>
      </c>
      <c r="G455" s="497">
        <v>0</v>
      </c>
      <c r="H455" s="497">
        <v>1700</v>
      </c>
      <c r="I455" s="497">
        <f t="shared" si="36"/>
        <v>615</v>
      </c>
      <c r="J455" s="497">
        <v>0</v>
      </c>
      <c r="K455" s="497">
        <v>0</v>
      </c>
      <c r="L455" s="497">
        <v>615</v>
      </c>
      <c r="M455" s="672">
        <v>82.2</v>
      </c>
      <c r="N455" s="498">
        <v>20.100000000000001</v>
      </c>
      <c r="O455" s="669" t="s">
        <v>3409</v>
      </c>
      <c r="P455" s="463" t="s">
        <v>1588</v>
      </c>
      <c r="Q455" s="672">
        <v>0</v>
      </c>
      <c r="R455" s="672">
        <v>0</v>
      </c>
      <c r="S455" s="672">
        <v>0</v>
      </c>
      <c r="T455" s="672">
        <v>0</v>
      </c>
      <c r="U455" s="463" t="s">
        <v>1062</v>
      </c>
      <c r="V455" s="466" t="s">
        <v>2220</v>
      </c>
      <c r="W455" s="653">
        <v>10512</v>
      </c>
      <c r="X455" s="463" t="s">
        <v>1532</v>
      </c>
      <c r="Y455" s="463" t="s">
        <v>1064</v>
      </c>
      <c r="Z455" s="480" t="s">
        <v>569</v>
      </c>
      <c r="AA455" s="463" t="s">
        <v>1534</v>
      </c>
      <c r="AB455" s="459" t="s">
        <v>1534</v>
      </c>
    </row>
    <row r="456" spans="1:28" ht="24" customHeight="1">
      <c r="A456" s="584"/>
      <c r="B456" s="460" t="s">
        <v>675</v>
      </c>
      <c r="C456" s="458" t="s">
        <v>1067</v>
      </c>
      <c r="D456" s="510" t="s">
        <v>1068</v>
      </c>
      <c r="E456" s="497">
        <f t="shared" si="35"/>
        <v>90</v>
      </c>
      <c r="F456" s="497">
        <v>0</v>
      </c>
      <c r="G456" s="497">
        <v>0</v>
      </c>
      <c r="H456" s="497">
        <v>90</v>
      </c>
      <c r="I456" s="497">
        <f t="shared" si="36"/>
        <v>0</v>
      </c>
      <c r="J456" s="497">
        <v>0</v>
      </c>
      <c r="K456" s="497">
        <v>0</v>
      </c>
      <c r="L456" s="497">
        <v>0</v>
      </c>
      <c r="M456" s="672">
        <v>0</v>
      </c>
      <c r="N456" s="498" t="s">
        <v>1069</v>
      </c>
      <c r="O456" s="723" t="s">
        <v>1070</v>
      </c>
      <c r="P456" s="480" t="s">
        <v>1588</v>
      </c>
      <c r="Q456" s="840">
        <v>0</v>
      </c>
      <c r="R456" s="672">
        <v>0</v>
      </c>
      <c r="S456" s="672">
        <v>0</v>
      </c>
      <c r="T456" s="672">
        <v>0</v>
      </c>
      <c r="U456" s="463" t="s">
        <v>1071</v>
      </c>
      <c r="V456" s="466" t="s">
        <v>1072</v>
      </c>
      <c r="W456" s="653">
        <v>500</v>
      </c>
      <c r="X456" s="463" t="s">
        <v>1532</v>
      </c>
      <c r="Y456" s="463" t="s">
        <v>1533</v>
      </c>
      <c r="Z456" s="480" t="s">
        <v>569</v>
      </c>
      <c r="AA456" s="463" t="s">
        <v>1534</v>
      </c>
      <c r="AB456" s="459" t="s">
        <v>1534</v>
      </c>
    </row>
    <row r="457" spans="1:28" ht="24" customHeight="1">
      <c r="A457" s="584"/>
      <c r="B457" s="460" t="s">
        <v>675</v>
      </c>
      <c r="C457" s="458" t="s">
        <v>1073</v>
      </c>
      <c r="D457" s="510" t="s">
        <v>1074</v>
      </c>
      <c r="E457" s="497">
        <f t="shared" si="35"/>
        <v>200</v>
      </c>
      <c r="F457" s="497">
        <v>0</v>
      </c>
      <c r="G457" s="497">
        <v>0</v>
      </c>
      <c r="H457" s="497">
        <v>200</v>
      </c>
      <c r="I457" s="497">
        <f t="shared" si="36"/>
        <v>186</v>
      </c>
      <c r="J457" s="497">
        <v>0</v>
      </c>
      <c r="K457" s="497">
        <v>0</v>
      </c>
      <c r="L457" s="497">
        <v>186</v>
      </c>
      <c r="M457" s="672">
        <v>95.1</v>
      </c>
      <c r="N457" s="498">
        <v>16.7</v>
      </c>
      <c r="O457" s="669" t="s">
        <v>1075</v>
      </c>
      <c r="P457" s="463" t="s">
        <v>1588</v>
      </c>
      <c r="Q457" s="672">
        <v>0</v>
      </c>
      <c r="R457" s="672">
        <v>0</v>
      </c>
      <c r="S457" s="672">
        <v>0</v>
      </c>
      <c r="T457" s="672">
        <v>0</v>
      </c>
      <c r="U457" s="463" t="s">
        <v>1071</v>
      </c>
      <c r="V457" s="466" t="s">
        <v>1076</v>
      </c>
      <c r="W457" s="653">
        <v>400</v>
      </c>
      <c r="X457" s="463" t="s">
        <v>1532</v>
      </c>
      <c r="Y457" s="463" t="s">
        <v>1533</v>
      </c>
      <c r="Z457" s="480" t="s">
        <v>1904</v>
      </c>
      <c r="AA457" s="463" t="s">
        <v>1534</v>
      </c>
      <c r="AB457" s="459" t="s">
        <v>1534</v>
      </c>
    </row>
    <row r="458" spans="1:28" ht="24" customHeight="1">
      <c r="A458" s="584"/>
      <c r="B458" s="460" t="s">
        <v>675</v>
      </c>
      <c r="C458" s="458" t="s">
        <v>1077</v>
      </c>
      <c r="D458" s="510" t="s">
        <v>1078</v>
      </c>
      <c r="E458" s="497">
        <f t="shared" si="35"/>
        <v>150</v>
      </c>
      <c r="F458" s="497">
        <v>0</v>
      </c>
      <c r="G458" s="497">
        <v>150</v>
      </c>
      <c r="H458" s="497">
        <v>0</v>
      </c>
      <c r="I458" s="497">
        <f t="shared" si="36"/>
        <v>145</v>
      </c>
      <c r="J458" s="497">
        <v>0</v>
      </c>
      <c r="K458" s="497">
        <v>145</v>
      </c>
      <c r="L458" s="497">
        <v>0</v>
      </c>
      <c r="M458" s="672">
        <v>93.4</v>
      </c>
      <c r="N458" s="498">
        <v>10.1</v>
      </c>
      <c r="O458" s="669" t="s">
        <v>1079</v>
      </c>
      <c r="P458" s="463" t="s">
        <v>1588</v>
      </c>
      <c r="Q458" s="672">
        <v>0</v>
      </c>
      <c r="R458" s="672">
        <v>0</v>
      </c>
      <c r="S458" s="672">
        <v>0</v>
      </c>
      <c r="T458" s="672">
        <v>0</v>
      </c>
      <c r="U458" s="463" t="s">
        <v>1071</v>
      </c>
      <c r="V458" s="466" t="s">
        <v>1080</v>
      </c>
      <c r="W458" s="653">
        <v>250</v>
      </c>
      <c r="X458" s="463" t="s">
        <v>1532</v>
      </c>
      <c r="Y458" s="463" t="s">
        <v>1533</v>
      </c>
      <c r="Z458" s="480" t="s">
        <v>578</v>
      </c>
      <c r="AA458" s="463" t="s">
        <v>1534</v>
      </c>
      <c r="AB458" s="459" t="s">
        <v>1534</v>
      </c>
    </row>
    <row r="459" spans="1:28" ht="24" customHeight="1">
      <c r="A459" s="584"/>
      <c r="B459" s="460" t="s">
        <v>675</v>
      </c>
      <c r="C459" s="458" t="s">
        <v>1081</v>
      </c>
      <c r="D459" s="510" t="s">
        <v>1082</v>
      </c>
      <c r="E459" s="497">
        <f t="shared" si="35"/>
        <v>200</v>
      </c>
      <c r="F459" s="497">
        <v>0</v>
      </c>
      <c r="G459" s="497">
        <v>0</v>
      </c>
      <c r="H459" s="497">
        <v>200</v>
      </c>
      <c r="I459" s="497">
        <f t="shared" si="36"/>
        <v>168</v>
      </c>
      <c r="J459" s="497">
        <v>0</v>
      </c>
      <c r="K459" s="497">
        <v>0</v>
      </c>
      <c r="L459" s="497">
        <v>168</v>
      </c>
      <c r="M459" s="672">
        <v>95.2</v>
      </c>
      <c r="N459" s="498">
        <v>14.7</v>
      </c>
      <c r="O459" s="669" t="s">
        <v>1070</v>
      </c>
      <c r="P459" s="463" t="s">
        <v>1588</v>
      </c>
      <c r="Q459" s="672">
        <v>0</v>
      </c>
      <c r="R459" s="672">
        <v>0</v>
      </c>
      <c r="S459" s="672">
        <v>0</v>
      </c>
      <c r="T459" s="672">
        <v>0</v>
      </c>
      <c r="U459" s="463" t="s">
        <v>1071</v>
      </c>
      <c r="V459" s="466" t="s">
        <v>1083</v>
      </c>
      <c r="W459" s="653">
        <v>780</v>
      </c>
      <c r="X459" s="463" t="s">
        <v>1532</v>
      </c>
      <c r="Y459" s="463" t="s">
        <v>1533</v>
      </c>
      <c r="Z459" s="480" t="s">
        <v>569</v>
      </c>
      <c r="AA459" s="463" t="s">
        <v>1534</v>
      </c>
      <c r="AB459" s="459" t="s">
        <v>1534</v>
      </c>
    </row>
    <row r="460" spans="1:28" ht="24" customHeight="1">
      <c r="A460" s="584"/>
      <c r="B460" s="460" t="s">
        <v>675</v>
      </c>
      <c r="C460" s="458" t="s">
        <v>1084</v>
      </c>
      <c r="D460" s="510" t="s">
        <v>1085</v>
      </c>
      <c r="E460" s="497">
        <f t="shared" si="35"/>
        <v>240</v>
      </c>
      <c r="F460" s="497">
        <v>0</v>
      </c>
      <c r="G460" s="497">
        <v>240</v>
      </c>
      <c r="H460" s="497">
        <v>0</v>
      </c>
      <c r="I460" s="497">
        <f t="shared" si="36"/>
        <v>189</v>
      </c>
      <c r="J460" s="497">
        <v>0</v>
      </c>
      <c r="K460" s="497">
        <v>189</v>
      </c>
      <c r="L460" s="497">
        <v>0</v>
      </c>
      <c r="M460" s="672">
        <v>93.7</v>
      </c>
      <c r="N460" s="498">
        <v>15.8</v>
      </c>
      <c r="O460" s="669" t="s">
        <v>1079</v>
      </c>
      <c r="P460" s="463" t="s">
        <v>1588</v>
      </c>
      <c r="Q460" s="672">
        <v>0</v>
      </c>
      <c r="R460" s="672">
        <v>0</v>
      </c>
      <c r="S460" s="672">
        <v>0</v>
      </c>
      <c r="T460" s="672">
        <v>0</v>
      </c>
      <c r="U460" s="463" t="s">
        <v>1071</v>
      </c>
      <c r="V460" s="466" t="s">
        <v>1086</v>
      </c>
      <c r="W460" s="653">
        <v>480</v>
      </c>
      <c r="X460" s="463" t="s">
        <v>1532</v>
      </c>
      <c r="Y460" s="463" t="s">
        <v>1533</v>
      </c>
      <c r="Z460" s="480" t="s">
        <v>2265</v>
      </c>
      <c r="AA460" s="463" t="s">
        <v>1534</v>
      </c>
      <c r="AB460" s="459" t="s">
        <v>1534</v>
      </c>
    </row>
    <row r="461" spans="1:28" ht="24" customHeight="1">
      <c r="A461" s="584"/>
      <c r="B461" s="460" t="s">
        <v>675</v>
      </c>
      <c r="C461" s="458" t="s">
        <v>3612</v>
      </c>
      <c r="D461" s="510" t="s">
        <v>1087</v>
      </c>
      <c r="E461" s="497">
        <f t="shared" si="35"/>
        <v>50</v>
      </c>
      <c r="F461" s="497">
        <v>0</v>
      </c>
      <c r="G461" s="497">
        <v>50</v>
      </c>
      <c r="H461" s="497">
        <v>0</v>
      </c>
      <c r="I461" s="497">
        <f t="shared" si="36"/>
        <v>44</v>
      </c>
      <c r="J461" s="497">
        <v>0</v>
      </c>
      <c r="K461" s="497">
        <v>44</v>
      </c>
      <c r="L461" s="497">
        <v>0</v>
      </c>
      <c r="M461" s="672">
        <v>96.3</v>
      </c>
      <c r="N461" s="498">
        <v>3.9</v>
      </c>
      <c r="O461" s="669" t="s">
        <v>1088</v>
      </c>
      <c r="P461" s="463" t="s">
        <v>1588</v>
      </c>
      <c r="Q461" s="672">
        <v>0</v>
      </c>
      <c r="R461" s="672">
        <v>0</v>
      </c>
      <c r="S461" s="672">
        <v>0</v>
      </c>
      <c r="T461" s="672">
        <v>0</v>
      </c>
      <c r="U461" s="463" t="s">
        <v>1071</v>
      </c>
      <c r="V461" s="466" t="s">
        <v>1089</v>
      </c>
      <c r="W461" s="653">
        <v>335</v>
      </c>
      <c r="X461" s="463" t="s">
        <v>1532</v>
      </c>
      <c r="Y461" s="463" t="s">
        <v>1533</v>
      </c>
      <c r="Z461" s="480" t="s">
        <v>2265</v>
      </c>
      <c r="AA461" s="463" t="s">
        <v>1534</v>
      </c>
      <c r="AB461" s="459" t="s">
        <v>1534</v>
      </c>
    </row>
    <row r="462" spans="1:28" ht="24" customHeight="1">
      <c r="A462" s="584"/>
      <c r="B462" s="460" t="s">
        <v>675</v>
      </c>
      <c r="C462" s="458" t="s">
        <v>1090</v>
      </c>
      <c r="D462" s="510" t="s">
        <v>1091</v>
      </c>
      <c r="E462" s="497">
        <f t="shared" si="35"/>
        <v>100</v>
      </c>
      <c r="F462" s="497">
        <v>0</v>
      </c>
      <c r="G462" s="497">
        <v>100</v>
      </c>
      <c r="H462" s="497">
        <v>0</v>
      </c>
      <c r="I462" s="497">
        <f t="shared" si="36"/>
        <v>65</v>
      </c>
      <c r="J462" s="497">
        <v>0</v>
      </c>
      <c r="K462" s="497">
        <v>65</v>
      </c>
      <c r="L462" s="497">
        <v>0</v>
      </c>
      <c r="M462" s="672">
        <v>92.9</v>
      </c>
      <c r="N462" s="498">
        <v>3</v>
      </c>
      <c r="O462" s="669" t="s">
        <v>1092</v>
      </c>
      <c r="P462" s="463" t="s">
        <v>1588</v>
      </c>
      <c r="Q462" s="672">
        <v>0</v>
      </c>
      <c r="R462" s="672">
        <v>0</v>
      </c>
      <c r="S462" s="672">
        <v>0</v>
      </c>
      <c r="T462" s="672">
        <v>0</v>
      </c>
      <c r="U462" s="463" t="s">
        <v>1071</v>
      </c>
      <c r="V462" s="466" t="s">
        <v>1089</v>
      </c>
      <c r="W462" s="653">
        <v>226</v>
      </c>
      <c r="X462" s="463" t="s">
        <v>1532</v>
      </c>
      <c r="Y462" s="463" t="s">
        <v>1533</v>
      </c>
      <c r="Z462" s="480" t="s">
        <v>569</v>
      </c>
      <c r="AA462" s="463" t="s">
        <v>1534</v>
      </c>
      <c r="AB462" s="459" t="s">
        <v>1534</v>
      </c>
    </row>
    <row r="463" spans="1:28" ht="24" customHeight="1">
      <c r="A463" s="584"/>
      <c r="B463" s="460" t="s">
        <v>675</v>
      </c>
      <c r="C463" s="458" t="s">
        <v>1093</v>
      </c>
      <c r="D463" s="510" t="s">
        <v>1094</v>
      </c>
      <c r="E463" s="497">
        <f t="shared" si="35"/>
        <v>60</v>
      </c>
      <c r="F463" s="497">
        <v>0</v>
      </c>
      <c r="G463" s="497">
        <v>0</v>
      </c>
      <c r="H463" s="497">
        <v>60</v>
      </c>
      <c r="I463" s="497">
        <f t="shared" si="36"/>
        <v>45</v>
      </c>
      <c r="J463" s="497">
        <v>0</v>
      </c>
      <c r="K463" s="497">
        <v>0</v>
      </c>
      <c r="L463" s="497">
        <v>45</v>
      </c>
      <c r="M463" s="672">
        <v>95.8</v>
      </c>
      <c r="N463" s="498">
        <v>3.6</v>
      </c>
      <c r="O463" s="669" t="s">
        <v>1075</v>
      </c>
      <c r="P463" s="463" t="s">
        <v>1588</v>
      </c>
      <c r="Q463" s="672">
        <v>0</v>
      </c>
      <c r="R463" s="672">
        <v>0</v>
      </c>
      <c r="S463" s="672">
        <v>0</v>
      </c>
      <c r="T463" s="672">
        <v>0</v>
      </c>
      <c r="U463" s="463" t="s">
        <v>1071</v>
      </c>
      <c r="V463" s="466" t="s">
        <v>1095</v>
      </c>
      <c r="W463" s="653">
        <v>372</v>
      </c>
      <c r="X463" s="463" t="s">
        <v>1532</v>
      </c>
      <c r="Y463" s="463" t="s">
        <v>1533</v>
      </c>
      <c r="Z463" s="480" t="s">
        <v>569</v>
      </c>
      <c r="AA463" s="463" t="s">
        <v>1534</v>
      </c>
      <c r="AB463" s="459" t="s">
        <v>1534</v>
      </c>
    </row>
    <row r="464" spans="1:28" ht="24" customHeight="1">
      <c r="A464" s="582" t="s">
        <v>1609</v>
      </c>
      <c r="B464" s="460" t="s">
        <v>2201</v>
      </c>
      <c r="C464" s="458" t="s">
        <v>336</v>
      </c>
      <c r="D464" s="510" t="s">
        <v>1096</v>
      </c>
      <c r="E464" s="497">
        <v>2500</v>
      </c>
      <c r="F464" s="497">
        <v>0</v>
      </c>
      <c r="G464" s="497">
        <v>0</v>
      </c>
      <c r="H464" s="497">
        <v>2500</v>
      </c>
      <c r="I464" s="497">
        <f t="shared" si="36"/>
        <v>1940</v>
      </c>
      <c r="J464" s="497">
        <v>0</v>
      </c>
      <c r="K464" s="497">
        <v>0</v>
      </c>
      <c r="L464" s="497">
        <v>1940</v>
      </c>
      <c r="M464" s="672">
        <v>93</v>
      </c>
      <c r="N464" s="498">
        <v>97.8</v>
      </c>
      <c r="O464" s="669" t="s">
        <v>1097</v>
      </c>
      <c r="P464" s="463" t="s">
        <v>1588</v>
      </c>
      <c r="Q464" s="672">
        <v>0</v>
      </c>
      <c r="R464" s="672">
        <v>0</v>
      </c>
      <c r="S464" s="672">
        <v>0</v>
      </c>
      <c r="T464" s="672">
        <v>0</v>
      </c>
      <c r="U464" s="463" t="s">
        <v>1098</v>
      </c>
      <c r="V464" s="519" t="s">
        <v>1099</v>
      </c>
      <c r="W464" s="653">
        <v>12188</v>
      </c>
      <c r="X464" s="463" t="s">
        <v>1532</v>
      </c>
      <c r="Y464" s="463" t="s">
        <v>3161</v>
      </c>
      <c r="Z464" s="463"/>
      <c r="AA464" s="463" t="s">
        <v>1904</v>
      </c>
      <c r="AB464" s="459" t="s">
        <v>1537</v>
      </c>
    </row>
    <row r="465" spans="1:28" ht="24" customHeight="1">
      <c r="A465" s="584"/>
      <c r="B465" s="460" t="s">
        <v>675</v>
      </c>
      <c r="C465" s="458" t="s">
        <v>1100</v>
      </c>
      <c r="D465" s="510" t="s">
        <v>1101</v>
      </c>
      <c r="E465" s="497">
        <f>F465+G465+H465</f>
        <v>200</v>
      </c>
      <c r="F465" s="497">
        <v>0</v>
      </c>
      <c r="G465" s="497">
        <v>200</v>
      </c>
      <c r="H465" s="497">
        <v>0</v>
      </c>
      <c r="I465" s="497">
        <f t="shared" si="36"/>
        <v>200</v>
      </c>
      <c r="J465" s="497">
        <v>0</v>
      </c>
      <c r="K465" s="497">
        <v>200</v>
      </c>
      <c r="L465" s="497">
        <v>0</v>
      </c>
      <c r="M465" s="672">
        <v>94.8</v>
      </c>
      <c r="N465" s="498">
        <v>8.1</v>
      </c>
      <c r="O465" s="669" t="s">
        <v>3221</v>
      </c>
      <c r="P465" s="463" t="s">
        <v>1588</v>
      </c>
      <c r="Q465" s="672">
        <v>0</v>
      </c>
      <c r="R465" s="672">
        <v>0</v>
      </c>
      <c r="S465" s="672">
        <v>0</v>
      </c>
      <c r="T465" s="672">
        <v>0</v>
      </c>
      <c r="U465" s="463" t="s">
        <v>1098</v>
      </c>
      <c r="V465" s="520">
        <v>1997.9</v>
      </c>
      <c r="W465" s="653">
        <v>450</v>
      </c>
      <c r="X465" s="463" t="s">
        <v>1532</v>
      </c>
      <c r="Y465" s="463" t="s">
        <v>3232</v>
      </c>
      <c r="Z465" s="463"/>
      <c r="AA465" s="463" t="s">
        <v>578</v>
      </c>
      <c r="AB465" s="459" t="s">
        <v>1537</v>
      </c>
    </row>
    <row r="466" spans="1:28" ht="24" customHeight="1">
      <c r="A466" s="584"/>
      <c r="B466" s="460" t="s">
        <v>2201</v>
      </c>
      <c r="C466" s="458" t="s">
        <v>337</v>
      </c>
      <c r="D466" s="510" t="s">
        <v>1102</v>
      </c>
      <c r="E466" s="497">
        <f>F466+G466+H466</f>
        <v>5000</v>
      </c>
      <c r="F466" s="497">
        <v>0</v>
      </c>
      <c r="G466" s="497">
        <v>0</v>
      </c>
      <c r="H466" s="497">
        <v>5000</v>
      </c>
      <c r="I466" s="497">
        <f t="shared" si="36"/>
        <v>1740</v>
      </c>
      <c r="J466" s="497">
        <v>0</v>
      </c>
      <c r="K466" s="497">
        <v>0</v>
      </c>
      <c r="L466" s="497">
        <v>1740</v>
      </c>
      <c r="M466" s="672">
        <v>96</v>
      </c>
      <c r="N466" s="498">
        <v>141.30000000000001</v>
      </c>
      <c r="O466" s="669" t="s">
        <v>1097</v>
      </c>
      <c r="P466" s="463" t="s">
        <v>1588</v>
      </c>
      <c r="Q466" s="672">
        <v>0</v>
      </c>
      <c r="R466" s="672">
        <v>0</v>
      </c>
      <c r="S466" s="672">
        <v>0</v>
      </c>
      <c r="T466" s="672">
        <v>0</v>
      </c>
      <c r="U466" s="463" t="s">
        <v>1103</v>
      </c>
      <c r="V466" s="519" t="s">
        <v>1104</v>
      </c>
      <c r="W466" s="653">
        <v>20013</v>
      </c>
      <c r="X466" s="463" t="s">
        <v>1532</v>
      </c>
      <c r="Y466" s="463" t="s">
        <v>3161</v>
      </c>
      <c r="Z466" s="463"/>
      <c r="AA466" s="463" t="s">
        <v>1105</v>
      </c>
      <c r="AB466" s="459" t="s">
        <v>1537</v>
      </c>
    </row>
    <row r="467" spans="1:28" ht="24" customHeight="1">
      <c r="A467" s="584"/>
      <c r="B467" s="460" t="s">
        <v>675</v>
      </c>
      <c r="C467" s="458" t="s">
        <v>1106</v>
      </c>
      <c r="D467" s="510" t="s">
        <v>1107</v>
      </c>
      <c r="E467" s="497">
        <f>F467+G467+H467</f>
        <v>200</v>
      </c>
      <c r="F467" s="497">
        <v>0</v>
      </c>
      <c r="G467" s="497">
        <v>200</v>
      </c>
      <c r="H467" s="497">
        <v>0</v>
      </c>
      <c r="I467" s="497">
        <f t="shared" ref="I467:I475" si="37">SUM(J467:L467)</f>
        <v>200</v>
      </c>
      <c r="J467" s="497">
        <v>0</v>
      </c>
      <c r="K467" s="497">
        <v>200</v>
      </c>
      <c r="L467" s="497">
        <v>0</v>
      </c>
      <c r="M467" s="672">
        <v>89.5</v>
      </c>
      <c r="N467" s="498">
        <v>7.5</v>
      </c>
      <c r="O467" s="669" t="s">
        <v>3221</v>
      </c>
      <c r="P467" s="463" t="s">
        <v>1588</v>
      </c>
      <c r="Q467" s="672">
        <v>0</v>
      </c>
      <c r="R467" s="672">
        <v>0</v>
      </c>
      <c r="S467" s="672">
        <v>0</v>
      </c>
      <c r="T467" s="672">
        <v>0</v>
      </c>
      <c r="U467" s="463" t="s">
        <v>1098</v>
      </c>
      <c r="V467" s="520">
        <v>1999.6</v>
      </c>
      <c r="W467" s="653">
        <v>550</v>
      </c>
      <c r="X467" s="463" t="s">
        <v>1532</v>
      </c>
      <c r="Y467" s="463" t="s">
        <v>3232</v>
      </c>
      <c r="Z467" s="463"/>
      <c r="AA467" s="463" t="s">
        <v>1108</v>
      </c>
      <c r="AB467" s="459" t="s">
        <v>1537</v>
      </c>
    </row>
    <row r="468" spans="1:28" ht="24" customHeight="1">
      <c r="A468" s="584"/>
      <c r="B468" s="460" t="s">
        <v>675</v>
      </c>
      <c r="C468" s="458" t="s">
        <v>2013</v>
      </c>
      <c r="D468" s="510" t="s">
        <v>1109</v>
      </c>
      <c r="E468" s="497">
        <f>F468+G468+H468</f>
        <v>100</v>
      </c>
      <c r="F468" s="497">
        <v>0</v>
      </c>
      <c r="G468" s="497">
        <v>100</v>
      </c>
      <c r="H468" s="497">
        <v>0</v>
      </c>
      <c r="I468" s="497">
        <f t="shared" si="37"/>
        <v>0</v>
      </c>
      <c r="J468" s="497">
        <v>0</v>
      </c>
      <c r="K468" s="497">
        <v>0</v>
      </c>
      <c r="L468" s="497">
        <v>0</v>
      </c>
      <c r="M468" s="681" t="s">
        <v>1588</v>
      </c>
      <c r="N468" s="682" t="s">
        <v>1588</v>
      </c>
      <c r="O468" s="669" t="s">
        <v>1110</v>
      </c>
      <c r="P468" s="463" t="s">
        <v>1588</v>
      </c>
      <c r="Q468" s="672">
        <v>0</v>
      </c>
      <c r="R468" s="672">
        <v>0</v>
      </c>
      <c r="S468" s="672">
        <v>0</v>
      </c>
      <c r="T468" s="672">
        <v>0</v>
      </c>
      <c r="U468" s="463" t="s">
        <v>1098</v>
      </c>
      <c r="V468" s="520">
        <v>1992.12</v>
      </c>
      <c r="W468" s="653">
        <v>200</v>
      </c>
      <c r="X468" s="463" t="s">
        <v>1532</v>
      </c>
      <c r="Y468" s="463" t="s">
        <v>3232</v>
      </c>
      <c r="Z468" s="463"/>
      <c r="AA468" s="463" t="s">
        <v>1105</v>
      </c>
      <c r="AB468" s="459" t="s">
        <v>1537</v>
      </c>
    </row>
    <row r="469" spans="1:28" ht="24" customHeight="1">
      <c r="A469" s="584"/>
      <c r="B469" s="460" t="s">
        <v>675</v>
      </c>
      <c r="C469" s="458" t="s">
        <v>1111</v>
      </c>
      <c r="D469" s="510" t="s">
        <v>1112</v>
      </c>
      <c r="E469" s="497">
        <v>300</v>
      </c>
      <c r="F469" s="497">
        <v>0</v>
      </c>
      <c r="G469" s="497">
        <v>300</v>
      </c>
      <c r="H469" s="497">
        <v>0</v>
      </c>
      <c r="I469" s="497">
        <f t="shared" si="37"/>
        <v>300</v>
      </c>
      <c r="J469" s="497">
        <v>0</v>
      </c>
      <c r="K469" s="497">
        <v>300</v>
      </c>
      <c r="L469" s="497">
        <v>0</v>
      </c>
      <c r="M469" s="672">
        <v>93.1</v>
      </c>
      <c r="N469" s="498">
        <v>16.3</v>
      </c>
      <c r="O469" s="669" t="s">
        <v>1113</v>
      </c>
      <c r="P469" s="463" t="s">
        <v>1588</v>
      </c>
      <c r="Q469" s="672">
        <v>0</v>
      </c>
      <c r="R469" s="672">
        <v>0</v>
      </c>
      <c r="S469" s="672">
        <v>0</v>
      </c>
      <c r="T469" s="672">
        <v>0</v>
      </c>
      <c r="U469" s="463" t="s">
        <v>1098</v>
      </c>
      <c r="V469" s="520">
        <v>1995.8</v>
      </c>
      <c r="W469" s="653">
        <v>285</v>
      </c>
      <c r="X469" s="463" t="s">
        <v>1532</v>
      </c>
      <c r="Y469" s="463" t="s">
        <v>3232</v>
      </c>
      <c r="Z469" s="463"/>
      <c r="AA469" s="463" t="s">
        <v>1108</v>
      </c>
      <c r="AB469" s="459" t="s">
        <v>1537</v>
      </c>
    </row>
    <row r="470" spans="1:28" ht="24" customHeight="1">
      <c r="A470" s="584"/>
      <c r="B470" s="460" t="s">
        <v>675</v>
      </c>
      <c r="C470" s="458" t="s">
        <v>1114</v>
      </c>
      <c r="D470" s="510" t="s">
        <v>1115</v>
      </c>
      <c r="E470" s="497">
        <f>F470+G470+H470</f>
        <v>200</v>
      </c>
      <c r="F470" s="497">
        <v>0</v>
      </c>
      <c r="G470" s="497">
        <v>200</v>
      </c>
      <c r="H470" s="497">
        <v>0</v>
      </c>
      <c r="I470" s="497">
        <f t="shared" si="37"/>
        <v>200</v>
      </c>
      <c r="J470" s="497">
        <v>0</v>
      </c>
      <c r="K470" s="497">
        <v>200</v>
      </c>
      <c r="L470" s="497">
        <v>0</v>
      </c>
      <c r="M470" s="672">
        <v>93.9</v>
      </c>
      <c r="N470" s="498">
        <v>13</v>
      </c>
      <c r="O470" s="669" t="s">
        <v>1116</v>
      </c>
      <c r="P470" s="463" t="s">
        <v>1588</v>
      </c>
      <c r="Q470" s="672">
        <v>0</v>
      </c>
      <c r="R470" s="672">
        <v>0</v>
      </c>
      <c r="S470" s="672">
        <v>0</v>
      </c>
      <c r="T470" s="672">
        <v>0</v>
      </c>
      <c r="U470" s="463" t="s">
        <v>1098</v>
      </c>
      <c r="V470" s="520">
        <v>1994.12</v>
      </c>
      <c r="W470" s="653">
        <v>360</v>
      </c>
      <c r="X470" s="463" t="s">
        <v>1532</v>
      </c>
      <c r="Y470" s="463" t="s">
        <v>3232</v>
      </c>
      <c r="Z470" s="463"/>
      <c r="AA470" s="463" t="s">
        <v>1117</v>
      </c>
      <c r="AB470" s="459" t="s">
        <v>1537</v>
      </c>
    </row>
    <row r="471" spans="1:28" ht="24" customHeight="1">
      <c r="A471" s="584"/>
      <c r="B471" s="460" t="s">
        <v>675</v>
      </c>
      <c r="C471" s="458" t="s">
        <v>2070</v>
      </c>
      <c r="D471" s="510" t="s">
        <v>1118</v>
      </c>
      <c r="E471" s="497">
        <f>F471+G471+H471</f>
        <v>100</v>
      </c>
      <c r="F471" s="497">
        <v>0</v>
      </c>
      <c r="G471" s="497">
        <v>100</v>
      </c>
      <c r="H471" s="497">
        <v>0</v>
      </c>
      <c r="I471" s="497">
        <f t="shared" si="37"/>
        <v>100</v>
      </c>
      <c r="J471" s="497">
        <v>0</v>
      </c>
      <c r="K471" s="497">
        <v>100</v>
      </c>
      <c r="L471" s="497">
        <v>0</v>
      </c>
      <c r="M471" s="672">
        <v>93.5</v>
      </c>
      <c r="N471" s="498">
        <v>5.9</v>
      </c>
      <c r="O471" s="669" t="s">
        <v>3221</v>
      </c>
      <c r="P471" s="463" t="s">
        <v>1588</v>
      </c>
      <c r="Q471" s="672">
        <v>0</v>
      </c>
      <c r="R471" s="672">
        <v>0</v>
      </c>
      <c r="S471" s="672">
        <v>0</v>
      </c>
      <c r="T471" s="672">
        <v>0</v>
      </c>
      <c r="U471" s="463" t="s">
        <v>1098</v>
      </c>
      <c r="V471" s="520">
        <v>1994.1</v>
      </c>
      <c r="W471" s="653">
        <v>287</v>
      </c>
      <c r="X471" s="463" t="s">
        <v>1532</v>
      </c>
      <c r="Y471" s="463" t="s">
        <v>3232</v>
      </c>
      <c r="Z471" s="463"/>
      <c r="AA471" s="463" t="s">
        <v>1119</v>
      </c>
      <c r="AB471" s="459" t="s">
        <v>1537</v>
      </c>
    </row>
    <row r="472" spans="1:28" ht="24" customHeight="1">
      <c r="A472" s="582" t="s">
        <v>1610</v>
      </c>
      <c r="B472" s="460" t="s">
        <v>2201</v>
      </c>
      <c r="C472" s="458" t="s">
        <v>2031</v>
      </c>
      <c r="D472" s="510" t="s">
        <v>1120</v>
      </c>
      <c r="E472" s="497">
        <f t="shared" ref="E472:E481" si="38">F472+G472+H472</f>
        <v>9000</v>
      </c>
      <c r="F472" s="497">
        <v>0</v>
      </c>
      <c r="G472" s="497">
        <v>0</v>
      </c>
      <c r="H472" s="497">
        <v>9000</v>
      </c>
      <c r="I472" s="497">
        <f t="shared" si="37"/>
        <v>4150</v>
      </c>
      <c r="J472" s="497">
        <v>0</v>
      </c>
      <c r="K472" s="497">
        <v>0</v>
      </c>
      <c r="L472" s="497">
        <v>4150</v>
      </c>
      <c r="M472" s="673">
        <v>92</v>
      </c>
      <c r="N472" s="653">
        <v>239</v>
      </c>
      <c r="O472" s="669" t="s">
        <v>3347</v>
      </c>
      <c r="P472" s="463" t="s">
        <v>1588</v>
      </c>
      <c r="Q472" s="672">
        <v>50</v>
      </c>
      <c r="R472" s="672">
        <v>0</v>
      </c>
      <c r="S472" s="672">
        <v>0</v>
      </c>
      <c r="T472" s="672">
        <v>0</v>
      </c>
      <c r="U472" s="463" t="s">
        <v>2266</v>
      </c>
      <c r="V472" s="466" t="s">
        <v>1121</v>
      </c>
      <c r="W472" s="653">
        <v>22392</v>
      </c>
      <c r="X472" s="463" t="s">
        <v>2193</v>
      </c>
      <c r="Y472" s="463" t="s">
        <v>3336</v>
      </c>
      <c r="Z472" s="463" t="s">
        <v>1602</v>
      </c>
      <c r="AA472" s="463" t="s">
        <v>1915</v>
      </c>
      <c r="AB472" s="459" t="s">
        <v>1587</v>
      </c>
    </row>
    <row r="473" spans="1:28" ht="24" customHeight="1">
      <c r="A473" s="584"/>
      <c r="B473" s="460" t="s">
        <v>2201</v>
      </c>
      <c r="C473" s="458" t="s">
        <v>2179</v>
      </c>
      <c r="D473" s="510" t="s">
        <v>1122</v>
      </c>
      <c r="E473" s="497">
        <f t="shared" si="38"/>
        <v>600</v>
      </c>
      <c r="F473" s="497">
        <v>0</v>
      </c>
      <c r="G473" s="497">
        <v>0</v>
      </c>
      <c r="H473" s="497">
        <v>600</v>
      </c>
      <c r="I473" s="497">
        <f t="shared" si="37"/>
        <v>150</v>
      </c>
      <c r="J473" s="497">
        <v>0</v>
      </c>
      <c r="K473" s="497">
        <v>0</v>
      </c>
      <c r="L473" s="497">
        <v>150</v>
      </c>
      <c r="M473" s="673">
        <v>92</v>
      </c>
      <c r="N473" s="653">
        <v>9</v>
      </c>
      <c r="O473" s="669" t="s">
        <v>3409</v>
      </c>
      <c r="P473" s="463" t="s">
        <v>1588</v>
      </c>
      <c r="Q473" s="672">
        <v>0</v>
      </c>
      <c r="R473" s="672">
        <v>0</v>
      </c>
      <c r="S473" s="672">
        <v>0</v>
      </c>
      <c r="T473" s="672">
        <v>0</v>
      </c>
      <c r="U473" s="463" t="s">
        <v>2266</v>
      </c>
      <c r="V473" s="466" t="s">
        <v>1123</v>
      </c>
      <c r="W473" s="653">
        <v>5018</v>
      </c>
      <c r="X473" s="463" t="s">
        <v>2193</v>
      </c>
      <c r="Y473" s="463" t="s">
        <v>3336</v>
      </c>
      <c r="Z473" s="463" t="s">
        <v>1124</v>
      </c>
      <c r="AA473" s="463" t="s">
        <v>1915</v>
      </c>
      <c r="AB473" s="459" t="s">
        <v>1587</v>
      </c>
    </row>
    <row r="474" spans="1:28" ht="24" customHeight="1">
      <c r="A474" s="584"/>
      <c r="B474" s="460" t="s">
        <v>675</v>
      </c>
      <c r="C474" s="458" t="s">
        <v>1125</v>
      </c>
      <c r="D474" s="510" t="s">
        <v>1126</v>
      </c>
      <c r="E474" s="497">
        <f t="shared" si="38"/>
        <v>50</v>
      </c>
      <c r="F474" s="497">
        <v>0</v>
      </c>
      <c r="G474" s="497">
        <v>50</v>
      </c>
      <c r="H474" s="497">
        <v>0</v>
      </c>
      <c r="I474" s="497">
        <f t="shared" si="37"/>
        <v>50</v>
      </c>
      <c r="J474" s="497">
        <v>0</v>
      </c>
      <c r="K474" s="497">
        <v>50</v>
      </c>
      <c r="L474" s="497">
        <v>0</v>
      </c>
      <c r="M474" s="673">
        <v>68</v>
      </c>
      <c r="N474" s="653">
        <v>1</v>
      </c>
      <c r="O474" s="669" t="s">
        <v>1127</v>
      </c>
      <c r="P474" s="463" t="s">
        <v>1588</v>
      </c>
      <c r="Q474" s="672">
        <v>0</v>
      </c>
      <c r="R474" s="672">
        <v>0</v>
      </c>
      <c r="S474" s="672">
        <v>0</v>
      </c>
      <c r="T474" s="672">
        <v>0</v>
      </c>
      <c r="U474" s="463" t="s">
        <v>2266</v>
      </c>
      <c r="V474" s="466" t="s">
        <v>1128</v>
      </c>
      <c r="W474" s="653">
        <v>131</v>
      </c>
      <c r="X474" s="463" t="s">
        <v>2193</v>
      </c>
      <c r="Y474" s="463" t="s">
        <v>1533</v>
      </c>
      <c r="Z474" s="463" t="s">
        <v>1129</v>
      </c>
      <c r="AA474" s="463" t="s">
        <v>1130</v>
      </c>
      <c r="AB474" s="459" t="s">
        <v>1587</v>
      </c>
    </row>
    <row r="475" spans="1:28" ht="24" customHeight="1">
      <c r="A475" s="584"/>
      <c r="B475" s="460" t="s">
        <v>675</v>
      </c>
      <c r="C475" s="458" t="s">
        <v>1131</v>
      </c>
      <c r="D475" s="510" t="s">
        <v>1132</v>
      </c>
      <c r="E475" s="497">
        <f t="shared" si="38"/>
        <v>60</v>
      </c>
      <c r="F475" s="497">
        <v>0</v>
      </c>
      <c r="G475" s="497">
        <v>60</v>
      </c>
      <c r="H475" s="497">
        <v>0</v>
      </c>
      <c r="I475" s="497">
        <f t="shared" si="37"/>
        <v>28</v>
      </c>
      <c r="J475" s="497">
        <v>0</v>
      </c>
      <c r="K475" s="497">
        <v>28</v>
      </c>
      <c r="L475" s="497">
        <v>0</v>
      </c>
      <c r="M475" s="673">
        <v>83</v>
      </c>
      <c r="N475" s="653">
        <v>2</v>
      </c>
      <c r="O475" s="669" t="s">
        <v>3221</v>
      </c>
      <c r="P475" s="463" t="s">
        <v>1588</v>
      </c>
      <c r="Q475" s="672">
        <v>0</v>
      </c>
      <c r="R475" s="672">
        <v>0</v>
      </c>
      <c r="S475" s="672">
        <v>0</v>
      </c>
      <c r="T475" s="672">
        <v>0</v>
      </c>
      <c r="U475" s="463" t="s">
        <v>1133</v>
      </c>
      <c r="V475" s="466" t="s">
        <v>1134</v>
      </c>
      <c r="W475" s="653">
        <v>170</v>
      </c>
      <c r="X475" s="463" t="s">
        <v>2193</v>
      </c>
      <c r="Y475" s="463" t="s">
        <v>1533</v>
      </c>
      <c r="Z475" s="463"/>
      <c r="AA475" s="463" t="s">
        <v>1915</v>
      </c>
      <c r="AB475" s="459" t="s">
        <v>1587</v>
      </c>
    </row>
    <row r="476" spans="1:28" ht="24" customHeight="1">
      <c r="A476" s="595"/>
      <c r="B476" s="460" t="s">
        <v>675</v>
      </c>
      <c r="C476" s="458" t="s">
        <v>1135</v>
      </c>
      <c r="D476" s="510" t="s">
        <v>1136</v>
      </c>
      <c r="E476" s="497">
        <f t="shared" si="38"/>
        <v>90</v>
      </c>
      <c r="F476" s="497">
        <v>0</v>
      </c>
      <c r="G476" s="497">
        <v>0</v>
      </c>
      <c r="H476" s="497">
        <v>90</v>
      </c>
      <c r="I476" s="497">
        <f t="shared" ref="I476:I481" si="39">SUM(J476:L476)</f>
        <v>50</v>
      </c>
      <c r="J476" s="497">
        <v>0</v>
      </c>
      <c r="K476" s="497">
        <v>0</v>
      </c>
      <c r="L476" s="497">
        <v>50</v>
      </c>
      <c r="M476" s="673">
        <v>93</v>
      </c>
      <c r="N476" s="653">
        <v>4</v>
      </c>
      <c r="O476" s="669" t="s">
        <v>1137</v>
      </c>
      <c r="P476" s="463" t="s">
        <v>1588</v>
      </c>
      <c r="Q476" s="672">
        <v>0</v>
      </c>
      <c r="R476" s="672">
        <v>0</v>
      </c>
      <c r="S476" s="672">
        <v>0</v>
      </c>
      <c r="T476" s="672">
        <v>0</v>
      </c>
      <c r="U476" s="463" t="s">
        <v>2266</v>
      </c>
      <c r="V476" s="466" t="s">
        <v>1138</v>
      </c>
      <c r="W476" s="653">
        <v>1425</v>
      </c>
      <c r="X476" s="463" t="s">
        <v>2193</v>
      </c>
      <c r="Y476" s="463" t="s">
        <v>3336</v>
      </c>
      <c r="Z476" s="463"/>
      <c r="AA476" s="463" t="s">
        <v>1915</v>
      </c>
      <c r="AB476" s="459" t="s">
        <v>1587</v>
      </c>
    </row>
    <row r="477" spans="1:28" ht="24" customHeight="1">
      <c r="A477" s="584"/>
      <c r="B477" s="460" t="s">
        <v>675</v>
      </c>
      <c r="C477" s="458" t="s">
        <v>1139</v>
      </c>
      <c r="D477" s="510" t="s">
        <v>1140</v>
      </c>
      <c r="E477" s="497">
        <f t="shared" si="38"/>
        <v>30</v>
      </c>
      <c r="F477" s="497">
        <v>0</v>
      </c>
      <c r="G477" s="497">
        <v>30</v>
      </c>
      <c r="H477" s="497">
        <v>0</v>
      </c>
      <c r="I477" s="497">
        <f t="shared" si="39"/>
        <v>30</v>
      </c>
      <c r="J477" s="497">
        <v>0</v>
      </c>
      <c r="K477" s="497">
        <v>30</v>
      </c>
      <c r="L477" s="497">
        <v>0</v>
      </c>
      <c r="M477" s="673">
        <v>77</v>
      </c>
      <c r="N477" s="653">
        <v>1</v>
      </c>
      <c r="O477" s="669" t="s">
        <v>1127</v>
      </c>
      <c r="P477" s="463" t="s">
        <v>1588</v>
      </c>
      <c r="Q477" s="672">
        <v>0</v>
      </c>
      <c r="R477" s="672">
        <v>0</v>
      </c>
      <c r="S477" s="672">
        <v>0</v>
      </c>
      <c r="T477" s="672">
        <v>0</v>
      </c>
      <c r="U477" s="463" t="s">
        <v>2266</v>
      </c>
      <c r="V477" s="466" t="s">
        <v>1141</v>
      </c>
      <c r="W477" s="653">
        <v>126</v>
      </c>
      <c r="X477" s="463" t="s">
        <v>2193</v>
      </c>
      <c r="Y477" s="463" t="s">
        <v>1533</v>
      </c>
      <c r="Z477" s="463" t="s">
        <v>1142</v>
      </c>
      <c r="AA477" s="463" t="s">
        <v>1915</v>
      </c>
      <c r="AB477" s="459" t="s">
        <v>1587</v>
      </c>
    </row>
    <row r="478" spans="1:28" ht="24" customHeight="1">
      <c r="A478" s="584"/>
      <c r="B478" s="460" t="s">
        <v>675</v>
      </c>
      <c r="C478" s="458" t="s">
        <v>1143</v>
      </c>
      <c r="D478" s="510" t="s">
        <v>1144</v>
      </c>
      <c r="E478" s="497">
        <f t="shared" si="38"/>
        <v>100</v>
      </c>
      <c r="F478" s="497">
        <v>0</v>
      </c>
      <c r="G478" s="497">
        <v>100</v>
      </c>
      <c r="H478" s="497">
        <v>0</v>
      </c>
      <c r="I478" s="497">
        <f t="shared" si="39"/>
        <v>100</v>
      </c>
      <c r="J478" s="497">
        <v>0</v>
      </c>
      <c r="K478" s="497">
        <v>100</v>
      </c>
      <c r="L478" s="497">
        <v>0</v>
      </c>
      <c r="M478" s="673">
        <v>82</v>
      </c>
      <c r="N478" s="653">
        <v>6</v>
      </c>
      <c r="O478" s="669" t="s">
        <v>1145</v>
      </c>
      <c r="P478" s="463" t="s">
        <v>1588</v>
      </c>
      <c r="Q478" s="672">
        <v>0</v>
      </c>
      <c r="R478" s="672">
        <v>0</v>
      </c>
      <c r="S478" s="672">
        <v>0</v>
      </c>
      <c r="T478" s="672">
        <v>0</v>
      </c>
      <c r="U478" s="463" t="s">
        <v>2266</v>
      </c>
      <c r="V478" s="466" t="s">
        <v>1146</v>
      </c>
      <c r="W478" s="653">
        <v>327</v>
      </c>
      <c r="X478" s="463" t="s">
        <v>2193</v>
      </c>
      <c r="Y478" s="463" t="s">
        <v>1533</v>
      </c>
      <c r="Z478" s="463"/>
      <c r="AA478" s="463" t="s">
        <v>1915</v>
      </c>
      <c r="AB478" s="459" t="s">
        <v>1587</v>
      </c>
    </row>
    <row r="479" spans="1:28" ht="24" customHeight="1">
      <c r="A479" s="595"/>
      <c r="B479" s="460" t="s">
        <v>675</v>
      </c>
      <c r="C479" s="458" t="s">
        <v>1147</v>
      </c>
      <c r="D479" s="510" t="s">
        <v>1148</v>
      </c>
      <c r="E479" s="497">
        <f t="shared" si="38"/>
        <v>30</v>
      </c>
      <c r="F479" s="497">
        <v>0</v>
      </c>
      <c r="G479" s="497">
        <v>30</v>
      </c>
      <c r="H479" s="497">
        <v>0</v>
      </c>
      <c r="I479" s="497">
        <f t="shared" si="39"/>
        <v>30</v>
      </c>
      <c r="J479" s="497">
        <v>0</v>
      </c>
      <c r="K479" s="497">
        <v>30</v>
      </c>
      <c r="L479" s="497">
        <v>0</v>
      </c>
      <c r="M479" s="673">
        <v>76</v>
      </c>
      <c r="N479" s="653">
        <v>1</v>
      </c>
      <c r="O479" s="669" t="s">
        <v>1149</v>
      </c>
      <c r="P479" s="463" t="s">
        <v>1588</v>
      </c>
      <c r="Q479" s="672">
        <v>0</v>
      </c>
      <c r="R479" s="672">
        <v>0</v>
      </c>
      <c r="S479" s="672">
        <v>0</v>
      </c>
      <c r="T479" s="672">
        <v>0</v>
      </c>
      <c r="U479" s="463" t="s">
        <v>2266</v>
      </c>
      <c r="V479" s="466" t="s">
        <v>1150</v>
      </c>
      <c r="W479" s="653">
        <v>132</v>
      </c>
      <c r="X479" s="463" t="s">
        <v>2193</v>
      </c>
      <c r="Y479" s="463" t="s">
        <v>1533</v>
      </c>
      <c r="Z479" s="463"/>
      <c r="AA479" s="463" t="s">
        <v>1915</v>
      </c>
      <c r="AB479" s="459" t="s">
        <v>1587</v>
      </c>
    </row>
    <row r="480" spans="1:28" ht="24" customHeight="1">
      <c r="A480" s="595"/>
      <c r="B480" s="460" t="s">
        <v>675</v>
      </c>
      <c r="C480" s="458" t="s">
        <v>1151</v>
      </c>
      <c r="D480" s="510" t="s">
        <v>1152</v>
      </c>
      <c r="E480" s="497">
        <f t="shared" si="38"/>
        <v>80</v>
      </c>
      <c r="F480" s="497">
        <v>0</v>
      </c>
      <c r="G480" s="497">
        <v>80</v>
      </c>
      <c r="H480" s="497">
        <v>0</v>
      </c>
      <c r="I480" s="497">
        <f t="shared" si="39"/>
        <v>80</v>
      </c>
      <c r="J480" s="497">
        <v>0</v>
      </c>
      <c r="K480" s="497">
        <v>80</v>
      </c>
      <c r="L480" s="497">
        <v>0</v>
      </c>
      <c r="M480" s="673">
        <v>82</v>
      </c>
      <c r="N480" s="653">
        <v>4</v>
      </c>
      <c r="O480" s="669" t="s">
        <v>1153</v>
      </c>
      <c r="P480" s="463" t="s">
        <v>1588</v>
      </c>
      <c r="Q480" s="672">
        <v>0</v>
      </c>
      <c r="R480" s="672">
        <v>0</v>
      </c>
      <c r="S480" s="672">
        <v>0</v>
      </c>
      <c r="T480" s="672">
        <v>0</v>
      </c>
      <c r="U480" s="463" t="s">
        <v>2266</v>
      </c>
      <c r="V480" s="466" t="s">
        <v>1154</v>
      </c>
      <c r="W480" s="653">
        <v>387</v>
      </c>
      <c r="X480" s="463" t="s">
        <v>2193</v>
      </c>
      <c r="Y480" s="463" t="s">
        <v>1533</v>
      </c>
      <c r="Z480" s="463"/>
      <c r="AA480" s="463" t="s">
        <v>1915</v>
      </c>
      <c r="AB480" s="459" t="s">
        <v>1587</v>
      </c>
    </row>
    <row r="481" spans="1:28" ht="24" customHeight="1">
      <c r="A481" s="583"/>
      <c r="B481" s="460" t="s">
        <v>675</v>
      </c>
      <c r="C481" s="458" t="s">
        <v>1155</v>
      </c>
      <c r="D481" s="510" t="s">
        <v>1156</v>
      </c>
      <c r="E481" s="497">
        <f t="shared" si="38"/>
        <v>60</v>
      </c>
      <c r="F481" s="497">
        <v>0</v>
      </c>
      <c r="G481" s="497">
        <v>60</v>
      </c>
      <c r="H481" s="497">
        <v>0</v>
      </c>
      <c r="I481" s="497">
        <f t="shared" si="39"/>
        <v>60</v>
      </c>
      <c r="J481" s="497">
        <v>0</v>
      </c>
      <c r="K481" s="497">
        <v>60</v>
      </c>
      <c r="L481" s="497">
        <v>0</v>
      </c>
      <c r="M481" s="673">
        <v>78</v>
      </c>
      <c r="N481" s="653">
        <v>2</v>
      </c>
      <c r="O481" s="669" t="s">
        <v>1149</v>
      </c>
      <c r="P481" s="463" t="s">
        <v>1588</v>
      </c>
      <c r="Q481" s="672">
        <v>0</v>
      </c>
      <c r="R481" s="672">
        <v>0</v>
      </c>
      <c r="S481" s="672">
        <v>0</v>
      </c>
      <c r="T481" s="672">
        <v>0</v>
      </c>
      <c r="U481" s="463" t="s">
        <v>2266</v>
      </c>
      <c r="V481" s="466" t="s">
        <v>1150</v>
      </c>
      <c r="W481" s="653">
        <v>205</v>
      </c>
      <c r="X481" s="463" t="s">
        <v>2193</v>
      </c>
      <c r="Y481" s="463" t="s">
        <v>1533</v>
      </c>
      <c r="Z481" s="463" t="s">
        <v>1157</v>
      </c>
      <c r="AA481" s="463" t="s">
        <v>1915</v>
      </c>
      <c r="AB481" s="459" t="s">
        <v>1587</v>
      </c>
    </row>
    <row r="482" spans="1:28" ht="24" customHeight="1">
      <c r="A482" s="583" t="s">
        <v>1977</v>
      </c>
      <c r="B482" s="458" t="s">
        <v>5943</v>
      </c>
      <c r="C482" s="458"/>
      <c r="D482" s="510"/>
      <c r="E482" s="498" t="s">
        <v>6314</v>
      </c>
      <c r="F482" s="498">
        <v>0</v>
      </c>
      <c r="G482" s="498" t="s">
        <v>6315</v>
      </c>
      <c r="H482" s="498" t="s">
        <v>6316</v>
      </c>
      <c r="I482" s="498" t="s">
        <v>6317</v>
      </c>
      <c r="J482" s="498" t="s">
        <v>6318</v>
      </c>
      <c r="K482" s="498" t="s">
        <v>6319</v>
      </c>
      <c r="L482" s="668" t="s">
        <v>6320</v>
      </c>
      <c r="M482" s="672">
        <v>0</v>
      </c>
      <c r="N482" s="498" t="s">
        <v>6321</v>
      </c>
      <c r="O482" s="669" t="s">
        <v>1588</v>
      </c>
      <c r="P482" s="463" t="s">
        <v>1588</v>
      </c>
      <c r="Q482" s="672" t="s">
        <v>6322</v>
      </c>
      <c r="R482" s="672" t="s">
        <v>6182</v>
      </c>
      <c r="S482" s="672" t="s">
        <v>7318</v>
      </c>
      <c r="T482" s="672" t="s">
        <v>7319</v>
      </c>
      <c r="U482" s="463"/>
      <c r="V482" s="463"/>
      <c r="W482" s="498">
        <f>W483+W534</f>
        <v>632298</v>
      </c>
      <c r="X482" s="463"/>
      <c r="Y482" s="463"/>
      <c r="Z482" s="463"/>
      <c r="AA482" s="463"/>
      <c r="AB482" s="459"/>
    </row>
    <row r="483" spans="1:28" ht="24" customHeight="1">
      <c r="A483" s="457" t="s">
        <v>1674</v>
      </c>
      <c r="B483" s="458" t="s">
        <v>5941</v>
      </c>
      <c r="C483" s="579"/>
      <c r="D483" s="579"/>
      <c r="E483" s="498" t="s">
        <v>6164</v>
      </c>
      <c r="F483" s="498">
        <v>0</v>
      </c>
      <c r="G483" s="498" t="s">
        <v>6165</v>
      </c>
      <c r="H483" s="498" t="s">
        <v>6166</v>
      </c>
      <c r="I483" s="498" t="s">
        <v>6167</v>
      </c>
      <c r="J483" s="498" t="s">
        <v>6168</v>
      </c>
      <c r="K483" s="498" t="s">
        <v>6169</v>
      </c>
      <c r="L483" s="668" t="s">
        <v>6170</v>
      </c>
      <c r="M483" s="672">
        <v>0</v>
      </c>
      <c r="N483" s="498" t="s">
        <v>6171</v>
      </c>
      <c r="O483" s="669" t="s">
        <v>1588</v>
      </c>
      <c r="P483" s="463" t="s">
        <v>1588</v>
      </c>
      <c r="Q483" s="672" t="s">
        <v>6172</v>
      </c>
      <c r="R483" s="672">
        <v>0</v>
      </c>
      <c r="S483" s="672" t="s">
        <v>6173</v>
      </c>
      <c r="T483" s="672" t="s">
        <v>6129</v>
      </c>
      <c r="U483" s="463"/>
      <c r="V483" s="463"/>
      <c r="W483" s="498">
        <f>SUM(W484:W533)</f>
        <v>280673</v>
      </c>
      <c r="X483" s="463"/>
      <c r="Y483" s="463"/>
      <c r="Z483" s="463"/>
      <c r="AA483" s="463"/>
      <c r="AB483" s="459"/>
    </row>
    <row r="484" spans="1:28" ht="24" customHeight="1">
      <c r="A484" s="582" t="s">
        <v>1611</v>
      </c>
      <c r="B484" s="521" t="s">
        <v>2201</v>
      </c>
      <c r="C484" s="724" t="s">
        <v>2393</v>
      </c>
      <c r="D484" s="524" t="s">
        <v>1158</v>
      </c>
      <c r="E484" s="653">
        <v>280000</v>
      </c>
      <c r="F484" s="653">
        <v>0</v>
      </c>
      <c r="G484" s="653">
        <v>280000</v>
      </c>
      <c r="H484" s="653">
        <v>0</v>
      </c>
      <c r="I484" s="653">
        <v>275295</v>
      </c>
      <c r="J484" s="653">
        <v>0</v>
      </c>
      <c r="K484" s="653">
        <v>275295</v>
      </c>
      <c r="L484" s="698">
        <v>0</v>
      </c>
      <c r="M484" s="673">
        <v>92</v>
      </c>
      <c r="N484" s="653">
        <v>3649641</v>
      </c>
      <c r="O484" s="725" t="s">
        <v>1159</v>
      </c>
      <c r="P484" s="498" t="s">
        <v>1160</v>
      </c>
      <c r="Q484" s="672">
        <v>732</v>
      </c>
      <c r="R484" s="672">
        <v>0</v>
      </c>
      <c r="S484" s="672">
        <v>139.69999999999999</v>
      </c>
      <c r="T484" s="672">
        <v>18.3</v>
      </c>
      <c r="U484" s="465" t="s">
        <v>2267</v>
      </c>
      <c r="V484" s="465" t="s">
        <v>1161</v>
      </c>
      <c r="W484" s="653">
        <v>93917</v>
      </c>
      <c r="X484" s="463" t="s">
        <v>1532</v>
      </c>
      <c r="Y484" s="463" t="s">
        <v>1533</v>
      </c>
      <c r="Z484" s="463" t="s">
        <v>1618</v>
      </c>
      <c r="AA484" s="463" t="s">
        <v>1592</v>
      </c>
      <c r="AB484" s="459" t="s">
        <v>1592</v>
      </c>
    </row>
    <row r="485" spans="1:28" ht="24" customHeight="1">
      <c r="A485" s="593" t="s">
        <v>1612</v>
      </c>
      <c r="B485" s="521" t="s">
        <v>2201</v>
      </c>
      <c r="C485" s="522" t="s">
        <v>2394</v>
      </c>
      <c r="D485" s="524" t="s">
        <v>1162</v>
      </c>
      <c r="E485" s="653">
        <f t="shared" ref="E485:E512" si="40">F485+G485+H485</f>
        <v>75000</v>
      </c>
      <c r="F485" s="653">
        <v>0</v>
      </c>
      <c r="G485" s="653">
        <v>0</v>
      </c>
      <c r="H485" s="653">
        <v>75000</v>
      </c>
      <c r="I485" s="653">
        <f t="shared" ref="I485:I512" si="41">J485+K485+L485</f>
        <v>54455</v>
      </c>
      <c r="J485" s="653">
        <v>0</v>
      </c>
      <c r="K485" s="653">
        <v>0</v>
      </c>
      <c r="L485" s="698">
        <v>54455</v>
      </c>
      <c r="M485" s="673">
        <v>87.2</v>
      </c>
      <c r="N485" s="653">
        <v>664786.64</v>
      </c>
      <c r="O485" s="699" t="s">
        <v>2197</v>
      </c>
      <c r="P485" s="462" t="s">
        <v>1588</v>
      </c>
      <c r="Q485" s="673">
        <v>142.69999999999999</v>
      </c>
      <c r="R485" s="673">
        <v>0</v>
      </c>
      <c r="S485" s="673">
        <v>82.5</v>
      </c>
      <c r="T485" s="673">
        <v>0</v>
      </c>
      <c r="U485" s="463" t="s">
        <v>1163</v>
      </c>
      <c r="V485" s="465" t="s">
        <v>1164</v>
      </c>
      <c r="W485" s="653">
        <v>55375</v>
      </c>
      <c r="X485" s="462" t="s">
        <v>1532</v>
      </c>
      <c r="Y485" s="463" t="s">
        <v>1533</v>
      </c>
      <c r="Z485" s="462" t="s">
        <v>1534</v>
      </c>
      <c r="AA485" s="462" t="s">
        <v>1534</v>
      </c>
      <c r="AB485" s="467" t="s">
        <v>1534</v>
      </c>
    </row>
    <row r="486" spans="1:28" ht="24" customHeight="1">
      <c r="A486" s="584"/>
      <c r="B486" s="521" t="s">
        <v>675</v>
      </c>
      <c r="C486" s="522" t="s">
        <v>1165</v>
      </c>
      <c r="D486" s="524" t="s">
        <v>1166</v>
      </c>
      <c r="E486" s="653">
        <f t="shared" si="40"/>
        <v>50</v>
      </c>
      <c r="F486" s="653">
        <v>0</v>
      </c>
      <c r="G486" s="653">
        <v>0</v>
      </c>
      <c r="H486" s="653">
        <v>50</v>
      </c>
      <c r="I486" s="653">
        <f t="shared" si="41"/>
        <v>26.3</v>
      </c>
      <c r="J486" s="653">
        <v>0</v>
      </c>
      <c r="K486" s="653">
        <v>0</v>
      </c>
      <c r="L486" s="698">
        <v>26.3</v>
      </c>
      <c r="M486" s="673">
        <v>96.72</v>
      </c>
      <c r="N486" s="653">
        <v>324.01</v>
      </c>
      <c r="O486" s="669" t="s">
        <v>1167</v>
      </c>
      <c r="P486" s="463" t="s">
        <v>1588</v>
      </c>
      <c r="Q486" s="672">
        <v>0</v>
      </c>
      <c r="R486" s="672">
        <v>0</v>
      </c>
      <c r="S486" s="672">
        <v>0</v>
      </c>
      <c r="T486" s="672">
        <v>0</v>
      </c>
      <c r="U486" s="463" t="s">
        <v>1168</v>
      </c>
      <c r="V486" s="466" t="s">
        <v>1169</v>
      </c>
      <c r="W486" s="653">
        <v>174</v>
      </c>
      <c r="X486" s="463" t="s">
        <v>1532</v>
      </c>
      <c r="Y486" s="463" t="s">
        <v>1533</v>
      </c>
      <c r="Z486" s="463" t="s">
        <v>1613</v>
      </c>
      <c r="AA486" s="463" t="s">
        <v>1534</v>
      </c>
      <c r="AB486" s="459" t="s">
        <v>1534</v>
      </c>
    </row>
    <row r="487" spans="1:28" ht="24" customHeight="1">
      <c r="A487" s="584"/>
      <c r="B487" s="521" t="s">
        <v>675</v>
      </c>
      <c r="C487" s="522" t="s">
        <v>1170</v>
      </c>
      <c r="D487" s="524" t="s">
        <v>1171</v>
      </c>
      <c r="E487" s="653">
        <f t="shared" si="40"/>
        <v>50</v>
      </c>
      <c r="F487" s="653">
        <v>0</v>
      </c>
      <c r="G487" s="653">
        <v>0</v>
      </c>
      <c r="H487" s="653">
        <v>50</v>
      </c>
      <c r="I487" s="653">
        <f t="shared" si="41"/>
        <v>6.6</v>
      </c>
      <c r="J487" s="653">
        <v>0</v>
      </c>
      <c r="K487" s="653">
        <v>0</v>
      </c>
      <c r="L487" s="698">
        <v>6.6</v>
      </c>
      <c r="M487" s="673">
        <v>97.22</v>
      </c>
      <c r="N487" s="653">
        <v>34.99</v>
      </c>
      <c r="O487" s="669" t="s">
        <v>1172</v>
      </c>
      <c r="P487" s="463" t="s">
        <v>1588</v>
      </c>
      <c r="Q487" s="672">
        <v>0</v>
      </c>
      <c r="R487" s="672">
        <v>0</v>
      </c>
      <c r="S487" s="672">
        <v>0</v>
      </c>
      <c r="T487" s="672">
        <v>0</v>
      </c>
      <c r="U487" s="463" t="s">
        <v>1168</v>
      </c>
      <c r="V487" s="466" t="s">
        <v>1173</v>
      </c>
      <c r="W487" s="653">
        <v>372</v>
      </c>
      <c r="X487" s="463" t="s">
        <v>1532</v>
      </c>
      <c r="Y487" s="463" t="s">
        <v>1533</v>
      </c>
      <c r="Z487" s="463" t="s">
        <v>1613</v>
      </c>
      <c r="AA487" s="463" t="s">
        <v>1534</v>
      </c>
      <c r="AB487" s="459" t="s">
        <v>1534</v>
      </c>
    </row>
    <row r="488" spans="1:28" ht="24" customHeight="1">
      <c r="A488" s="584"/>
      <c r="B488" s="521" t="s">
        <v>2201</v>
      </c>
      <c r="C488" s="522" t="s">
        <v>1174</v>
      </c>
      <c r="D488" s="524" t="s">
        <v>1175</v>
      </c>
      <c r="E488" s="653">
        <f t="shared" si="40"/>
        <v>4000</v>
      </c>
      <c r="F488" s="653">
        <v>0</v>
      </c>
      <c r="G488" s="653">
        <v>0</v>
      </c>
      <c r="H488" s="653">
        <v>4000</v>
      </c>
      <c r="I488" s="653">
        <f t="shared" si="41"/>
        <v>804</v>
      </c>
      <c r="J488" s="653">
        <v>0</v>
      </c>
      <c r="K488" s="653">
        <v>0</v>
      </c>
      <c r="L488" s="698">
        <v>804</v>
      </c>
      <c r="M488" s="673">
        <v>97.6</v>
      </c>
      <c r="N488" s="653">
        <v>92.8</v>
      </c>
      <c r="O488" s="669" t="s">
        <v>3347</v>
      </c>
      <c r="P488" s="463" t="s">
        <v>1588</v>
      </c>
      <c r="Q488" s="672">
        <v>0</v>
      </c>
      <c r="R488" s="672">
        <v>0</v>
      </c>
      <c r="S488" s="672">
        <v>0</v>
      </c>
      <c r="T488" s="672">
        <v>0</v>
      </c>
      <c r="U488" s="465" t="s">
        <v>1176</v>
      </c>
      <c r="V488" s="466" t="s">
        <v>1177</v>
      </c>
      <c r="W488" s="653">
        <v>20823</v>
      </c>
      <c r="X488" s="463" t="s">
        <v>1532</v>
      </c>
      <c r="Y488" s="463" t="s">
        <v>4034</v>
      </c>
      <c r="Z488" s="463" t="s">
        <v>1613</v>
      </c>
      <c r="AA488" s="463" t="s">
        <v>1615</v>
      </c>
      <c r="AB488" s="459" t="s">
        <v>1534</v>
      </c>
    </row>
    <row r="489" spans="1:28" ht="24" customHeight="1">
      <c r="A489" s="584"/>
      <c r="B489" s="521" t="s">
        <v>675</v>
      </c>
      <c r="C489" s="522" t="s">
        <v>1178</v>
      </c>
      <c r="D489" s="524" t="s">
        <v>1179</v>
      </c>
      <c r="E489" s="653">
        <f t="shared" si="40"/>
        <v>45</v>
      </c>
      <c r="F489" s="653">
        <v>0</v>
      </c>
      <c r="G489" s="653">
        <v>0</v>
      </c>
      <c r="H489" s="653">
        <v>45</v>
      </c>
      <c r="I489" s="653">
        <f t="shared" si="41"/>
        <v>3.2</v>
      </c>
      <c r="J489" s="653">
        <v>0</v>
      </c>
      <c r="K489" s="653">
        <v>0</v>
      </c>
      <c r="L489" s="698">
        <v>3.2</v>
      </c>
      <c r="M489" s="673">
        <v>98.28</v>
      </c>
      <c r="N489" s="653">
        <v>12.78</v>
      </c>
      <c r="O489" s="669" t="s">
        <v>1180</v>
      </c>
      <c r="P489" s="463" t="s">
        <v>1588</v>
      </c>
      <c r="Q489" s="672">
        <v>0</v>
      </c>
      <c r="R489" s="672">
        <v>0</v>
      </c>
      <c r="S489" s="672">
        <v>0</v>
      </c>
      <c r="T489" s="672">
        <v>0</v>
      </c>
      <c r="U489" s="463" t="s">
        <v>1168</v>
      </c>
      <c r="V489" s="466" t="s">
        <v>1181</v>
      </c>
      <c r="W489" s="653">
        <v>235</v>
      </c>
      <c r="X489" s="463" t="s">
        <v>1532</v>
      </c>
      <c r="Y489" s="463" t="s">
        <v>1533</v>
      </c>
      <c r="Z489" s="463" t="s">
        <v>1613</v>
      </c>
      <c r="AA489" s="463" t="s">
        <v>1534</v>
      </c>
      <c r="AB489" s="459" t="s">
        <v>1534</v>
      </c>
    </row>
    <row r="490" spans="1:28" ht="24" customHeight="1">
      <c r="A490" s="584"/>
      <c r="B490" s="521" t="s">
        <v>675</v>
      </c>
      <c r="C490" s="522" t="s">
        <v>1182</v>
      </c>
      <c r="D490" s="524" t="s">
        <v>1183</v>
      </c>
      <c r="E490" s="653">
        <f t="shared" si="40"/>
        <v>60</v>
      </c>
      <c r="F490" s="653">
        <v>0</v>
      </c>
      <c r="G490" s="653">
        <v>0</v>
      </c>
      <c r="H490" s="653">
        <v>60</v>
      </c>
      <c r="I490" s="653">
        <f t="shared" si="41"/>
        <v>35.799999999999997</v>
      </c>
      <c r="J490" s="653">
        <v>0</v>
      </c>
      <c r="K490" s="653">
        <v>0</v>
      </c>
      <c r="L490" s="698">
        <v>35.799999999999997</v>
      </c>
      <c r="M490" s="673">
        <v>93.66</v>
      </c>
      <c r="N490" s="653">
        <v>384.01</v>
      </c>
      <c r="O490" s="669" t="s">
        <v>1180</v>
      </c>
      <c r="P490" s="463" t="s">
        <v>1588</v>
      </c>
      <c r="Q490" s="672">
        <v>0</v>
      </c>
      <c r="R490" s="672">
        <v>0</v>
      </c>
      <c r="S490" s="672">
        <v>0</v>
      </c>
      <c r="T490" s="672">
        <v>0</v>
      </c>
      <c r="U490" s="463" t="s">
        <v>1168</v>
      </c>
      <c r="V490" s="466" t="s">
        <v>1184</v>
      </c>
      <c r="W490" s="653">
        <v>324</v>
      </c>
      <c r="X490" s="463" t="s">
        <v>1532</v>
      </c>
      <c r="Y490" s="463" t="s">
        <v>1533</v>
      </c>
      <c r="Z490" s="463" t="s">
        <v>1613</v>
      </c>
      <c r="AA490" s="463" t="s">
        <v>1534</v>
      </c>
      <c r="AB490" s="459" t="s">
        <v>1534</v>
      </c>
    </row>
    <row r="491" spans="1:28" ht="24" customHeight="1">
      <c r="A491" s="584"/>
      <c r="B491" s="521" t="s">
        <v>675</v>
      </c>
      <c r="C491" s="522" t="s">
        <v>1185</v>
      </c>
      <c r="D491" s="524" t="s">
        <v>1186</v>
      </c>
      <c r="E491" s="653">
        <f t="shared" si="40"/>
        <v>30</v>
      </c>
      <c r="F491" s="653">
        <v>0</v>
      </c>
      <c r="G491" s="653">
        <v>0</v>
      </c>
      <c r="H491" s="653">
        <v>30</v>
      </c>
      <c r="I491" s="653">
        <f t="shared" si="41"/>
        <v>11.8</v>
      </c>
      <c r="J491" s="653">
        <v>0</v>
      </c>
      <c r="K491" s="653">
        <v>0</v>
      </c>
      <c r="L491" s="698">
        <v>11.8</v>
      </c>
      <c r="M491" s="673">
        <v>95.92</v>
      </c>
      <c r="N491" s="653">
        <v>94</v>
      </c>
      <c r="O491" s="669" t="s">
        <v>1180</v>
      </c>
      <c r="P491" s="463" t="s">
        <v>1588</v>
      </c>
      <c r="Q491" s="672">
        <v>0</v>
      </c>
      <c r="R491" s="672">
        <v>0</v>
      </c>
      <c r="S491" s="672">
        <v>0</v>
      </c>
      <c r="T491" s="672">
        <v>0</v>
      </c>
      <c r="U491" s="463" t="s">
        <v>1168</v>
      </c>
      <c r="V491" s="466" t="s">
        <v>1187</v>
      </c>
      <c r="W491" s="653">
        <v>228</v>
      </c>
      <c r="X491" s="463" t="s">
        <v>1532</v>
      </c>
      <c r="Y491" s="463" t="s">
        <v>1533</v>
      </c>
      <c r="Z491" s="463" t="s">
        <v>1613</v>
      </c>
      <c r="AA491" s="463" t="s">
        <v>1534</v>
      </c>
      <c r="AB491" s="459" t="s">
        <v>1534</v>
      </c>
    </row>
    <row r="492" spans="1:28" ht="24" customHeight="1">
      <c r="A492" s="584"/>
      <c r="B492" s="521" t="s">
        <v>675</v>
      </c>
      <c r="C492" s="522" t="s">
        <v>1188</v>
      </c>
      <c r="D492" s="524" t="s">
        <v>1189</v>
      </c>
      <c r="E492" s="653">
        <f t="shared" si="40"/>
        <v>60</v>
      </c>
      <c r="F492" s="653">
        <v>0</v>
      </c>
      <c r="G492" s="653">
        <v>0</v>
      </c>
      <c r="H492" s="653">
        <v>60</v>
      </c>
      <c r="I492" s="653">
        <f t="shared" si="41"/>
        <v>13.5</v>
      </c>
      <c r="J492" s="653">
        <v>0</v>
      </c>
      <c r="K492" s="653">
        <v>0</v>
      </c>
      <c r="L492" s="698">
        <v>13.5</v>
      </c>
      <c r="M492" s="673">
        <v>95.57</v>
      </c>
      <c r="N492" s="653">
        <v>151</v>
      </c>
      <c r="O492" s="669" t="s">
        <v>1180</v>
      </c>
      <c r="P492" s="463" t="s">
        <v>1588</v>
      </c>
      <c r="Q492" s="672">
        <v>0</v>
      </c>
      <c r="R492" s="672">
        <v>0</v>
      </c>
      <c r="S492" s="672">
        <v>0</v>
      </c>
      <c r="T492" s="672">
        <v>0</v>
      </c>
      <c r="U492" s="463" t="s">
        <v>1168</v>
      </c>
      <c r="V492" s="466" t="s">
        <v>1190</v>
      </c>
      <c r="W492" s="653">
        <v>260</v>
      </c>
      <c r="X492" s="463" t="s">
        <v>1532</v>
      </c>
      <c r="Y492" s="463" t="s">
        <v>1533</v>
      </c>
      <c r="Z492" s="463" t="s">
        <v>1613</v>
      </c>
      <c r="AA492" s="463" t="s">
        <v>1534</v>
      </c>
      <c r="AB492" s="459" t="s">
        <v>1534</v>
      </c>
    </row>
    <row r="493" spans="1:28" ht="24" customHeight="1">
      <c r="A493" s="584"/>
      <c r="B493" s="521" t="s">
        <v>675</v>
      </c>
      <c r="C493" s="522" t="s">
        <v>1191</v>
      </c>
      <c r="D493" s="524" t="s">
        <v>1192</v>
      </c>
      <c r="E493" s="653">
        <f t="shared" si="40"/>
        <v>25</v>
      </c>
      <c r="F493" s="653">
        <v>0</v>
      </c>
      <c r="G493" s="653">
        <v>0</v>
      </c>
      <c r="H493" s="653">
        <v>25</v>
      </c>
      <c r="I493" s="653">
        <f t="shared" si="41"/>
        <v>14.4</v>
      </c>
      <c r="J493" s="653">
        <v>0</v>
      </c>
      <c r="K493" s="653">
        <v>0</v>
      </c>
      <c r="L493" s="698">
        <v>14.4</v>
      </c>
      <c r="M493" s="673">
        <v>95.92</v>
      </c>
      <c r="N493" s="653">
        <v>188</v>
      </c>
      <c r="O493" s="669" t="s">
        <v>1180</v>
      </c>
      <c r="P493" s="463" t="s">
        <v>1588</v>
      </c>
      <c r="Q493" s="672">
        <v>0</v>
      </c>
      <c r="R493" s="672">
        <v>0</v>
      </c>
      <c r="S493" s="672">
        <v>0</v>
      </c>
      <c r="T493" s="672">
        <v>0</v>
      </c>
      <c r="U493" s="463" t="s">
        <v>1168</v>
      </c>
      <c r="V493" s="466" t="s">
        <v>1184</v>
      </c>
      <c r="W493" s="653">
        <v>215</v>
      </c>
      <c r="X493" s="463" t="s">
        <v>1532</v>
      </c>
      <c r="Y493" s="463" t="s">
        <v>1533</v>
      </c>
      <c r="Z493" s="463" t="s">
        <v>1613</v>
      </c>
      <c r="AA493" s="463" t="s">
        <v>1534</v>
      </c>
      <c r="AB493" s="459" t="s">
        <v>1534</v>
      </c>
    </row>
    <row r="494" spans="1:28" ht="24" customHeight="1">
      <c r="A494" s="584"/>
      <c r="B494" s="521" t="s">
        <v>675</v>
      </c>
      <c r="C494" s="522" t="s">
        <v>1193</v>
      </c>
      <c r="D494" s="524" t="s">
        <v>1194</v>
      </c>
      <c r="E494" s="653">
        <f t="shared" si="40"/>
        <v>50</v>
      </c>
      <c r="F494" s="653">
        <v>0</v>
      </c>
      <c r="G494" s="653">
        <v>0</v>
      </c>
      <c r="H494" s="653">
        <v>50</v>
      </c>
      <c r="I494" s="653">
        <f t="shared" si="41"/>
        <v>26.2</v>
      </c>
      <c r="J494" s="653">
        <v>0</v>
      </c>
      <c r="K494" s="653">
        <v>0</v>
      </c>
      <c r="L494" s="698">
        <v>26.2</v>
      </c>
      <c r="M494" s="673">
        <v>95.75</v>
      </c>
      <c r="N494" s="653">
        <v>247.99</v>
      </c>
      <c r="O494" s="669" t="s">
        <v>1195</v>
      </c>
      <c r="P494" s="463" t="s">
        <v>1588</v>
      </c>
      <c r="Q494" s="672">
        <v>0</v>
      </c>
      <c r="R494" s="672">
        <v>0</v>
      </c>
      <c r="S494" s="672">
        <v>0</v>
      </c>
      <c r="T494" s="672">
        <v>0</v>
      </c>
      <c r="U494" s="463" t="s">
        <v>1168</v>
      </c>
      <c r="V494" s="466" t="s">
        <v>1196</v>
      </c>
      <c r="W494" s="653">
        <v>216</v>
      </c>
      <c r="X494" s="463" t="s">
        <v>1532</v>
      </c>
      <c r="Y494" s="463" t="s">
        <v>1533</v>
      </c>
      <c r="Z494" s="463" t="s">
        <v>1613</v>
      </c>
      <c r="AA494" s="463" t="s">
        <v>1534</v>
      </c>
      <c r="AB494" s="459" t="s">
        <v>1534</v>
      </c>
    </row>
    <row r="495" spans="1:28" ht="24" customHeight="1">
      <c r="A495" s="584"/>
      <c r="B495" s="521" t="s">
        <v>675</v>
      </c>
      <c r="C495" s="522" t="s">
        <v>1197</v>
      </c>
      <c r="D495" s="524" t="s">
        <v>1198</v>
      </c>
      <c r="E495" s="653">
        <f t="shared" si="40"/>
        <v>35</v>
      </c>
      <c r="F495" s="653">
        <v>0</v>
      </c>
      <c r="G495" s="653">
        <v>35</v>
      </c>
      <c r="H495" s="653">
        <v>0</v>
      </c>
      <c r="I495" s="653">
        <f t="shared" si="41"/>
        <v>14</v>
      </c>
      <c r="J495" s="653">
        <v>0</v>
      </c>
      <c r="K495" s="653">
        <v>14</v>
      </c>
      <c r="L495" s="698">
        <v>0</v>
      </c>
      <c r="M495" s="673">
        <v>90</v>
      </c>
      <c r="N495" s="653">
        <v>108</v>
      </c>
      <c r="O495" s="669" t="s">
        <v>1092</v>
      </c>
      <c r="P495" s="463" t="s">
        <v>1588</v>
      </c>
      <c r="Q495" s="672">
        <v>0</v>
      </c>
      <c r="R495" s="672">
        <v>0</v>
      </c>
      <c r="S495" s="672">
        <v>0</v>
      </c>
      <c r="T495" s="672">
        <v>0</v>
      </c>
      <c r="U495" s="463" t="s">
        <v>1199</v>
      </c>
      <c r="V495" s="466" t="s">
        <v>1200</v>
      </c>
      <c r="W495" s="653">
        <v>409</v>
      </c>
      <c r="X495" s="463" t="s">
        <v>1532</v>
      </c>
      <c r="Y495" s="463"/>
      <c r="Z495" s="463" t="s">
        <v>1613</v>
      </c>
      <c r="AA495" s="463" t="s">
        <v>1534</v>
      </c>
      <c r="AB495" s="459" t="s">
        <v>1534</v>
      </c>
    </row>
    <row r="496" spans="1:28" ht="24" customHeight="1">
      <c r="A496" s="584"/>
      <c r="B496" s="521" t="s">
        <v>2201</v>
      </c>
      <c r="C496" s="522" t="s">
        <v>2000</v>
      </c>
      <c r="D496" s="524" t="s">
        <v>1201</v>
      </c>
      <c r="E496" s="653">
        <f t="shared" si="40"/>
        <v>14000</v>
      </c>
      <c r="F496" s="653">
        <v>0</v>
      </c>
      <c r="G496" s="653">
        <v>14000</v>
      </c>
      <c r="H496" s="653">
        <v>0</v>
      </c>
      <c r="I496" s="653">
        <f t="shared" si="41"/>
        <v>6680</v>
      </c>
      <c r="J496" s="653">
        <v>0</v>
      </c>
      <c r="K496" s="653">
        <v>6680</v>
      </c>
      <c r="L496" s="698">
        <v>0</v>
      </c>
      <c r="M496" s="673">
        <v>93.06</v>
      </c>
      <c r="N496" s="653">
        <v>45690.6</v>
      </c>
      <c r="O496" s="669" t="s">
        <v>1202</v>
      </c>
      <c r="P496" s="463" t="s">
        <v>1588</v>
      </c>
      <c r="Q496" s="672">
        <v>0</v>
      </c>
      <c r="R496" s="672">
        <v>0</v>
      </c>
      <c r="S496" s="672">
        <v>0</v>
      </c>
      <c r="T496" s="672">
        <v>0</v>
      </c>
      <c r="U496" s="463" t="s">
        <v>1203</v>
      </c>
      <c r="V496" s="466" t="s">
        <v>1204</v>
      </c>
      <c r="W496" s="653">
        <v>20833</v>
      </c>
      <c r="X496" s="463" t="s">
        <v>1532</v>
      </c>
      <c r="Y496" s="463" t="s">
        <v>3161</v>
      </c>
      <c r="Z496" s="463" t="s">
        <v>1613</v>
      </c>
      <c r="AA496" s="463" t="s">
        <v>1534</v>
      </c>
      <c r="AB496" s="459" t="s">
        <v>1534</v>
      </c>
    </row>
    <row r="497" spans="1:28" ht="24" customHeight="1">
      <c r="A497" s="584"/>
      <c r="B497" s="521" t="s">
        <v>675</v>
      </c>
      <c r="C497" s="522" t="s">
        <v>1205</v>
      </c>
      <c r="D497" s="524" t="s">
        <v>1206</v>
      </c>
      <c r="E497" s="653">
        <f t="shared" si="40"/>
        <v>140</v>
      </c>
      <c r="F497" s="653">
        <v>0</v>
      </c>
      <c r="G497" s="653">
        <v>0</v>
      </c>
      <c r="H497" s="653">
        <v>140</v>
      </c>
      <c r="I497" s="653">
        <f t="shared" si="41"/>
        <v>41.4</v>
      </c>
      <c r="J497" s="653">
        <v>0</v>
      </c>
      <c r="K497" s="653">
        <v>0</v>
      </c>
      <c r="L497" s="698">
        <v>41.4</v>
      </c>
      <c r="M497" s="673">
        <v>98.47</v>
      </c>
      <c r="N497" s="653">
        <v>515.98</v>
      </c>
      <c r="O497" s="669" t="s">
        <v>1172</v>
      </c>
      <c r="P497" s="463" t="s">
        <v>1588</v>
      </c>
      <c r="Q497" s="672">
        <v>0</v>
      </c>
      <c r="R497" s="672">
        <v>0</v>
      </c>
      <c r="S497" s="672">
        <v>0</v>
      </c>
      <c r="T497" s="672">
        <v>0</v>
      </c>
      <c r="U497" s="463" t="s">
        <v>1168</v>
      </c>
      <c r="V497" s="463" t="s">
        <v>1207</v>
      </c>
      <c r="W497" s="653">
        <v>1279</v>
      </c>
      <c r="X497" s="463" t="s">
        <v>1532</v>
      </c>
      <c r="Y497" s="463" t="s">
        <v>1533</v>
      </c>
      <c r="Z497" s="463" t="s">
        <v>1613</v>
      </c>
      <c r="AA497" s="463" t="s">
        <v>1534</v>
      </c>
      <c r="AB497" s="459" t="s">
        <v>1534</v>
      </c>
    </row>
    <row r="498" spans="1:28" ht="24" customHeight="1">
      <c r="A498" s="584"/>
      <c r="B498" s="521" t="s">
        <v>675</v>
      </c>
      <c r="C498" s="522" t="s">
        <v>1208</v>
      </c>
      <c r="D498" s="524" t="s">
        <v>1209</v>
      </c>
      <c r="E498" s="653">
        <f t="shared" si="40"/>
        <v>35</v>
      </c>
      <c r="F498" s="653">
        <v>0</v>
      </c>
      <c r="G498" s="653">
        <v>0</v>
      </c>
      <c r="H498" s="653">
        <v>35</v>
      </c>
      <c r="I498" s="653">
        <f t="shared" si="41"/>
        <v>6.7</v>
      </c>
      <c r="J498" s="653">
        <v>0</v>
      </c>
      <c r="K498" s="653">
        <v>0</v>
      </c>
      <c r="L498" s="698">
        <v>6.7</v>
      </c>
      <c r="M498" s="673">
        <v>98</v>
      </c>
      <c r="N498" s="653">
        <v>513.52</v>
      </c>
      <c r="O498" s="669" t="s">
        <v>1210</v>
      </c>
      <c r="P498" s="463" t="s">
        <v>1588</v>
      </c>
      <c r="Q498" s="672">
        <v>0</v>
      </c>
      <c r="R498" s="672">
        <v>0</v>
      </c>
      <c r="S498" s="672">
        <v>0</v>
      </c>
      <c r="T498" s="672">
        <v>0</v>
      </c>
      <c r="U498" s="463" t="s">
        <v>1168</v>
      </c>
      <c r="V498" s="463" t="s">
        <v>1211</v>
      </c>
      <c r="W498" s="653">
        <v>144</v>
      </c>
      <c r="X498" s="463" t="s">
        <v>1532</v>
      </c>
      <c r="Y498" s="463" t="s">
        <v>1533</v>
      </c>
      <c r="Z498" s="463" t="s">
        <v>1613</v>
      </c>
      <c r="AA498" s="463" t="s">
        <v>1534</v>
      </c>
      <c r="AB498" s="459" t="s">
        <v>1534</v>
      </c>
    </row>
    <row r="499" spans="1:28" ht="24" customHeight="1">
      <c r="A499" s="584"/>
      <c r="B499" s="521" t="s">
        <v>2201</v>
      </c>
      <c r="C499" s="522" t="s">
        <v>1212</v>
      </c>
      <c r="D499" s="524" t="s">
        <v>1213</v>
      </c>
      <c r="E499" s="653">
        <f t="shared" si="40"/>
        <v>900</v>
      </c>
      <c r="F499" s="653">
        <v>0</v>
      </c>
      <c r="G499" s="653">
        <v>0</v>
      </c>
      <c r="H499" s="653">
        <v>900</v>
      </c>
      <c r="I499" s="653">
        <f t="shared" si="41"/>
        <v>345</v>
      </c>
      <c r="J499" s="653">
        <v>0</v>
      </c>
      <c r="K499" s="653">
        <v>0</v>
      </c>
      <c r="L499" s="698">
        <v>345</v>
      </c>
      <c r="M499" s="673">
        <v>97.91</v>
      </c>
      <c r="N499" s="653">
        <v>4219.92</v>
      </c>
      <c r="O499" s="669" t="s">
        <v>1214</v>
      </c>
      <c r="P499" s="463" t="s">
        <v>1588</v>
      </c>
      <c r="Q499" s="672">
        <v>0</v>
      </c>
      <c r="R499" s="672">
        <v>0</v>
      </c>
      <c r="S499" s="672">
        <v>0</v>
      </c>
      <c r="T499" s="672">
        <v>0</v>
      </c>
      <c r="U499" s="463" t="s">
        <v>1215</v>
      </c>
      <c r="V499" s="466" t="s">
        <v>1216</v>
      </c>
      <c r="W499" s="653">
        <v>5620</v>
      </c>
      <c r="X499" s="463" t="s">
        <v>1532</v>
      </c>
      <c r="Y499" s="463" t="s">
        <v>1935</v>
      </c>
      <c r="Z499" s="463" t="s">
        <v>1534</v>
      </c>
      <c r="AA499" s="463" t="s">
        <v>1534</v>
      </c>
      <c r="AB499" s="459" t="s">
        <v>1534</v>
      </c>
    </row>
    <row r="500" spans="1:28" ht="24" customHeight="1">
      <c r="A500" s="584"/>
      <c r="B500" s="521" t="s">
        <v>2201</v>
      </c>
      <c r="C500" s="522" t="s">
        <v>1217</v>
      </c>
      <c r="D500" s="524" t="s">
        <v>1218</v>
      </c>
      <c r="E500" s="653">
        <f t="shared" si="40"/>
        <v>1800</v>
      </c>
      <c r="F500" s="653">
        <v>0</v>
      </c>
      <c r="G500" s="653">
        <v>0</v>
      </c>
      <c r="H500" s="653">
        <v>1800</v>
      </c>
      <c r="I500" s="653">
        <f t="shared" si="41"/>
        <v>784</v>
      </c>
      <c r="J500" s="653">
        <v>0</v>
      </c>
      <c r="K500" s="653">
        <v>0</v>
      </c>
      <c r="L500" s="698">
        <v>784</v>
      </c>
      <c r="M500" s="673">
        <v>89.27</v>
      </c>
      <c r="N500" s="653">
        <v>1830.04</v>
      </c>
      <c r="O500" s="669" t="s">
        <v>1219</v>
      </c>
      <c r="P500" s="463" t="s">
        <v>1588</v>
      </c>
      <c r="Q500" s="672">
        <v>0</v>
      </c>
      <c r="R500" s="672">
        <v>0</v>
      </c>
      <c r="S500" s="672">
        <v>0</v>
      </c>
      <c r="T500" s="672">
        <v>0</v>
      </c>
      <c r="U500" s="463" t="s">
        <v>1215</v>
      </c>
      <c r="V500" s="466" t="s">
        <v>1216</v>
      </c>
      <c r="W500" s="653">
        <v>11789</v>
      </c>
      <c r="X500" s="463" t="s">
        <v>1532</v>
      </c>
      <c r="Y500" s="463" t="s">
        <v>1935</v>
      </c>
      <c r="Z500" s="463" t="s">
        <v>1534</v>
      </c>
      <c r="AA500" s="463" t="s">
        <v>1534</v>
      </c>
      <c r="AB500" s="459" t="s">
        <v>1534</v>
      </c>
    </row>
    <row r="501" spans="1:28" ht="24" customHeight="1">
      <c r="A501" s="584"/>
      <c r="B501" s="521" t="s">
        <v>675</v>
      </c>
      <c r="C501" s="522" t="s">
        <v>1220</v>
      </c>
      <c r="D501" s="524" t="s">
        <v>1221</v>
      </c>
      <c r="E501" s="653">
        <f t="shared" si="40"/>
        <v>60</v>
      </c>
      <c r="F501" s="653">
        <v>0</v>
      </c>
      <c r="G501" s="653">
        <v>0</v>
      </c>
      <c r="H501" s="653">
        <v>60</v>
      </c>
      <c r="I501" s="653">
        <f t="shared" si="41"/>
        <v>28.1</v>
      </c>
      <c r="J501" s="653">
        <v>0</v>
      </c>
      <c r="K501" s="653">
        <v>0</v>
      </c>
      <c r="L501" s="698">
        <v>28.1</v>
      </c>
      <c r="M501" s="673">
        <v>96.09</v>
      </c>
      <c r="N501" s="653">
        <v>270.97000000000003</v>
      </c>
      <c r="O501" s="669" t="s">
        <v>1222</v>
      </c>
      <c r="P501" s="463" t="s">
        <v>1588</v>
      </c>
      <c r="Q501" s="672">
        <v>0</v>
      </c>
      <c r="R501" s="672">
        <v>0</v>
      </c>
      <c r="S501" s="672">
        <v>0</v>
      </c>
      <c r="T501" s="672">
        <v>0</v>
      </c>
      <c r="U501" s="463" t="s">
        <v>1168</v>
      </c>
      <c r="V501" s="466" t="s">
        <v>1223</v>
      </c>
      <c r="W501" s="653">
        <v>200</v>
      </c>
      <c r="X501" s="463" t="s">
        <v>1532</v>
      </c>
      <c r="Y501" s="463" t="s">
        <v>1533</v>
      </c>
      <c r="Z501" s="463" t="s">
        <v>1534</v>
      </c>
      <c r="AA501" s="463" t="s">
        <v>1534</v>
      </c>
      <c r="AB501" s="459" t="s">
        <v>1534</v>
      </c>
    </row>
    <row r="502" spans="1:28" ht="24" customHeight="1">
      <c r="A502" s="584"/>
      <c r="B502" s="521" t="s">
        <v>675</v>
      </c>
      <c r="C502" s="522" t="s">
        <v>1224</v>
      </c>
      <c r="D502" s="524" t="s">
        <v>1225</v>
      </c>
      <c r="E502" s="653">
        <f t="shared" si="40"/>
        <v>45</v>
      </c>
      <c r="F502" s="653">
        <v>0</v>
      </c>
      <c r="G502" s="653">
        <v>0</v>
      </c>
      <c r="H502" s="653">
        <v>45</v>
      </c>
      <c r="I502" s="653">
        <f t="shared" si="41"/>
        <v>23.8</v>
      </c>
      <c r="J502" s="653">
        <v>0</v>
      </c>
      <c r="K502" s="653">
        <v>0</v>
      </c>
      <c r="L502" s="698">
        <v>23.8</v>
      </c>
      <c r="M502" s="673">
        <v>96.2</v>
      </c>
      <c r="N502" s="653">
        <v>227.99</v>
      </c>
      <c r="O502" s="669" t="s">
        <v>1167</v>
      </c>
      <c r="P502" s="463" t="s">
        <v>1588</v>
      </c>
      <c r="Q502" s="672">
        <v>0</v>
      </c>
      <c r="R502" s="672">
        <v>0</v>
      </c>
      <c r="S502" s="672">
        <v>0</v>
      </c>
      <c r="T502" s="672">
        <v>0</v>
      </c>
      <c r="U502" s="463" t="s">
        <v>1168</v>
      </c>
      <c r="V502" s="466" t="s">
        <v>1226</v>
      </c>
      <c r="W502" s="653">
        <v>370</v>
      </c>
      <c r="X502" s="463" t="s">
        <v>1532</v>
      </c>
      <c r="Y502" s="463" t="s">
        <v>1533</v>
      </c>
      <c r="Z502" s="463" t="s">
        <v>1534</v>
      </c>
      <c r="AA502" s="463" t="s">
        <v>1534</v>
      </c>
      <c r="AB502" s="459" t="s">
        <v>1534</v>
      </c>
    </row>
    <row r="503" spans="1:28" ht="24" customHeight="1">
      <c r="A503" s="584"/>
      <c r="B503" s="521" t="s">
        <v>675</v>
      </c>
      <c r="C503" s="522" t="s">
        <v>1227</v>
      </c>
      <c r="D503" s="524" t="s">
        <v>1228</v>
      </c>
      <c r="E503" s="653">
        <f t="shared" si="40"/>
        <v>64</v>
      </c>
      <c r="F503" s="653">
        <v>0</v>
      </c>
      <c r="G503" s="653">
        <v>0</v>
      </c>
      <c r="H503" s="653">
        <v>64</v>
      </c>
      <c r="I503" s="653">
        <f t="shared" si="41"/>
        <v>13.9</v>
      </c>
      <c r="J503" s="653">
        <v>0</v>
      </c>
      <c r="K503" s="653">
        <v>0</v>
      </c>
      <c r="L503" s="698">
        <v>13.9</v>
      </c>
      <c r="M503" s="673">
        <v>98.47</v>
      </c>
      <c r="N503" s="653">
        <v>128.99</v>
      </c>
      <c r="O503" s="669" t="s">
        <v>1180</v>
      </c>
      <c r="P503" s="463" t="s">
        <v>1588</v>
      </c>
      <c r="Q503" s="672">
        <v>0</v>
      </c>
      <c r="R503" s="672">
        <v>0</v>
      </c>
      <c r="S503" s="672">
        <v>0</v>
      </c>
      <c r="T503" s="672">
        <v>0</v>
      </c>
      <c r="U503" s="463" t="s">
        <v>1168</v>
      </c>
      <c r="V503" s="466" t="s">
        <v>1229</v>
      </c>
      <c r="W503" s="653">
        <v>375</v>
      </c>
      <c r="X503" s="463" t="s">
        <v>1532</v>
      </c>
      <c r="Y503" s="463" t="s">
        <v>1533</v>
      </c>
      <c r="Z503" s="463" t="s">
        <v>1534</v>
      </c>
      <c r="AA503" s="463" t="s">
        <v>1534</v>
      </c>
      <c r="AB503" s="459" t="s">
        <v>1534</v>
      </c>
    </row>
    <row r="504" spans="1:28" ht="24" customHeight="1">
      <c r="A504" s="584"/>
      <c r="B504" s="521" t="s">
        <v>675</v>
      </c>
      <c r="C504" s="522" t="s">
        <v>1230</v>
      </c>
      <c r="D504" s="524" t="s">
        <v>1231</v>
      </c>
      <c r="E504" s="653">
        <f t="shared" si="40"/>
        <v>60</v>
      </c>
      <c r="F504" s="653">
        <v>0</v>
      </c>
      <c r="G504" s="653">
        <v>60</v>
      </c>
      <c r="H504" s="653">
        <v>0</v>
      </c>
      <c r="I504" s="653">
        <f t="shared" si="41"/>
        <v>22</v>
      </c>
      <c r="J504" s="653">
        <v>0</v>
      </c>
      <c r="K504" s="653">
        <v>22</v>
      </c>
      <c r="L504" s="698">
        <v>0</v>
      </c>
      <c r="M504" s="673">
        <v>91.47</v>
      </c>
      <c r="N504" s="653">
        <v>353.99</v>
      </c>
      <c r="O504" s="669" t="s">
        <v>1232</v>
      </c>
      <c r="P504" s="463" t="s">
        <v>1588</v>
      </c>
      <c r="Q504" s="672">
        <v>0</v>
      </c>
      <c r="R504" s="672">
        <v>0</v>
      </c>
      <c r="S504" s="672">
        <v>0</v>
      </c>
      <c r="T504" s="672">
        <v>0</v>
      </c>
      <c r="U504" s="463" t="s">
        <v>1233</v>
      </c>
      <c r="V504" s="466" t="s">
        <v>1234</v>
      </c>
      <c r="W504" s="653">
        <v>413</v>
      </c>
      <c r="X504" s="463" t="s">
        <v>1532</v>
      </c>
      <c r="Y504" s="463"/>
      <c r="Z504" s="463" t="s">
        <v>1534</v>
      </c>
      <c r="AA504" s="463" t="s">
        <v>1534</v>
      </c>
      <c r="AB504" s="459" t="s">
        <v>1534</v>
      </c>
    </row>
    <row r="505" spans="1:28" ht="24" customHeight="1">
      <c r="A505" s="584"/>
      <c r="B505" s="521" t="s">
        <v>675</v>
      </c>
      <c r="C505" s="522" t="s">
        <v>1073</v>
      </c>
      <c r="D505" s="524" t="s">
        <v>1235</v>
      </c>
      <c r="E505" s="653">
        <f t="shared" si="40"/>
        <v>120</v>
      </c>
      <c r="F505" s="653">
        <v>0</v>
      </c>
      <c r="G505" s="653">
        <v>0</v>
      </c>
      <c r="H505" s="653">
        <v>120</v>
      </c>
      <c r="I505" s="653">
        <f t="shared" si="41"/>
        <v>45.1</v>
      </c>
      <c r="J505" s="653">
        <v>0</v>
      </c>
      <c r="K505" s="653">
        <v>0</v>
      </c>
      <c r="L505" s="698">
        <v>45.1</v>
      </c>
      <c r="M505" s="673">
        <v>87.39</v>
      </c>
      <c r="N505" s="653">
        <v>291</v>
      </c>
      <c r="O505" s="669" t="s">
        <v>1195</v>
      </c>
      <c r="P505" s="463" t="s">
        <v>1588</v>
      </c>
      <c r="Q505" s="672">
        <v>0</v>
      </c>
      <c r="R505" s="672">
        <v>0</v>
      </c>
      <c r="S505" s="672">
        <v>0</v>
      </c>
      <c r="T505" s="672">
        <v>0</v>
      </c>
      <c r="U505" s="463" t="s">
        <v>1168</v>
      </c>
      <c r="V505" s="466" t="s">
        <v>1236</v>
      </c>
      <c r="W505" s="653">
        <v>320</v>
      </c>
      <c r="X505" s="463" t="s">
        <v>1532</v>
      </c>
      <c r="Y505" s="463" t="s">
        <v>1533</v>
      </c>
      <c r="Z505" s="463" t="s">
        <v>1534</v>
      </c>
      <c r="AA505" s="463" t="s">
        <v>1534</v>
      </c>
      <c r="AB505" s="459" t="s">
        <v>1534</v>
      </c>
    </row>
    <row r="506" spans="1:28" ht="24" customHeight="1">
      <c r="A506" s="584"/>
      <c r="B506" s="521" t="s">
        <v>675</v>
      </c>
      <c r="C506" s="522" t="s">
        <v>1237</v>
      </c>
      <c r="D506" s="524" t="s">
        <v>1238</v>
      </c>
      <c r="E506" s="653">
        <f t="shared" si="40"/>
        <v>400</v>
      </c>
      <c r="F506" s="653">
        <v>0</v>
      </c>
      <c r="G506" s="653">
        <v>0</v>
      </c>
      <c r="H506" s="653">
        <v>400</v>
      </c>
      <c r="I506" s="653">
        <f t="shared" si="41"/>
        <v>285.10000000000002</v>
      </c>
      <c r="J506" s="653">
        <v>0</v>
      </c>
      <c r="K506" s="653">
        <v>0</v>
      </c>
      <c r="L506" s="698">
        <v>285.10000000000002</v>
      </c>
      <c r="M506" s="673">
        <v>96.49</v>
      </c>
      <c r="N506" s="653">
        <v>3993.72</v>
      </c>
      <c r="O506" s="669" t="s">
        <v>1239</v>
      </c>
      <c r="P506" s="463" t="s">
        <v>1588</v>
      </c>
      <c r="Q506" s="672">
        <v>0</v>
      </c>
      <c r="R506" s="672">
        <v>0</v>
      </c>
      <c r="S506" s="672">
        <v>0</v>
      </c>
      <c r="T506" s="672">
        <v>0</v>
      </c>
      <c r="U506" s="463" t="s">
        <v>1168</v>
      </c>
      <c r="V506" s="466" t="s">
        <v>1240</v>
      </c>
      <c r="W506" s="653">
        <v>8981</v>
      </c>
      <c r="X506" s="463" t="s">
        <v>1532</v>
      </c>
      <c r="Y506" s="463" t="s">
        <v>3161</v>
      </c>
      <c r="Z506" s="463" t="s">
        <v>1534</v>
      </c>
      <c r="AA506" s="463" t="s">
        <v>1534</v>
      </c>
      <c r="AB506" s="459" t="s">
        <v>1534</v>
      </c>
    </row>
    <row r="507" spans="1:28" ht="24" customHeight="1">
      <c r="A507" s="584"/>
      <c r="B507" s="521" t="s">
        <v>675</v>
      </c>
      <c r="C507" s="522" t="s">
        <v>2013</v>
      </c>
      <c r="D507" s="524" t="s">
        <v>1241</v>
      </c>
      <c r="E507" s="653">
        <f t="shared" si="40"/>
        <v>35</v>
      </c>
      <c r="F507" s="653">
        <v>0</v>
      </c>
      <c r="G507" s="653">
        <v>0</v>
      </c>
      <c r="H507" s="653">
        <v>35</v>
      </c>
      <c r="I507" s="653">
        <f t="shared" si="41"/>
        <v>54.3</v>
      </c>
      <c r="J507" s="653">
        <v>19.3</v>
      </c>
      <c r="K507" s="653">
        <v>0</v>
      </c>
      <c r="L507" s="698">
        <v>35</v>
      </c>
      <c r="M507" s="673">
        <v>97.64</v>
      </c>
      <c r="N507" s="653">
        <v>455</v>
      </c>
      <c r="O507" s="669" t="s">
        <v>1172</v>
      </c>
      <c r="P507" s="463" t="s">
        <v>1588</v>
      </c>
      <c r="Q507" s="672">
        <v>0</v>
      </c>
      <c r="R507" s="672">
        <v>0</v>
      </c>
      <c r="S507" s="672">
        <v>0</v>
      </c>
      <c r="T507" s="672">
        <v>0</v>
      </c>
      <c r="U507" s="463" t="s">
        <v>1168</v>
      </c>
      <c r="V507" s="466" t="s">
        <v>1242</v>
      </c>
      <c r="W507" s="653">
        <v>170</v>
      </c>
      <c r="X507" s="463" t="s">
        <v>1532</v>
      </c>
      <c r="Y507" s="463" t="s">
        <v>1533</v>
      </c>
      <c r="Z507" s="463" t="s">
        <v>1534</v>
      </c>
      <c r="AA507" s="463" t="s">
        <v>1534</v>
      </c>
      <c r="AB507" s="459" t="s">
        <v>1534</v>
      </c>
    </row>
    <row r="508" spans="1:28" ht="24" customHeight="1">
      <c r="A508" s="584"/>
      <c r="B508" s="521" t="s">
        <v>675</v>
      </c>
      <c r="C508" s="522" t="s">
        <v>1243</v>
      </c>
      <c r="D508" s="524" t="s">
        <v>1244</v>
      </c>
      <c r="E508" s="653">
        <f t="shared" si="40"/>
        <v>95</v>
      </c>
      <c r="F508" s="653">
        <v>0</v>
      </c>
      <c r="G508" s="653">
        <v>0</v>
      </c>
      <c r="H508" s="653">
        <v>95</v>
      </c>
      <c r="I508" s="653">
        <f t="shared" si="41"/>
        <v>26.5</v>
      </c>
      <c r="J508" s="653">
        <v>0</v>
      </c>
      <c r="K508" s="653">
        <v>0</v>
      </c>
      <c r="L508" s="698">
        <v>26.5</v>
      </c>
      <c r="M508" s="673">
        <v>97.79</v>
      </c>
      <c r="N508" s="653">
        <v>265</v>
      </c>
      <c r="O508" s="669" t="s">
        <v>1245</v>
      </c>
      <c r="P508" s="463" t="s">
        <v>1588</v>
      </c>
      <c r="Q508" s="672">
        <v>0</v>
      </c>
      <c r="R508" s="672">
        <v>0</v>
      </c>
      <c r="S508" s="672">
        <v>0</v>
      </c>
      <c r="T508" s="672">
        <v>0</v>
      </c>
      <c r="U508" s="463" t="s">
        <v>1168</v>
      </c>
      <c r="V508" s="466" t="s">
        <v>1246</v>
      </c>
      <c r="W508" s="653">
        <v>346</v>
      </c>
      <c r="X508" s="463" t="s">
        <v>1532</v>
      </c>
      <c r="Y508" s="463" t="s">
        <v>1533</v>
      </c>
      <c r="Z508" s="463" t="s">
        <v>1534</v>
      </c>
      <c r="AA508" s="463" t="s">
        <v>1534</v>
      </c>
      <c r="AB508" s="459" t="s">
        <v>1534</v>
      </c>
    </row>
    <row r="509" spans="1:28" ht="24" customHeight="1">
      <c r="A509" s="584"/>
      <c r="B509" s="521" t="s">
        <v>675</v>
      </c>
      <c r="C509" s="522" t="s">
        <v>1247</v>
      </c>
      <c r="D509" s="524" t="s">
        <v>1248</v>
      </c>
      <c r="E509" s="653">
        <f t="shared" si="40"/>
        <v>90</v>
      </c>
      <c r="F509" s="653">
        <v>0</v>
      </c>
      <c r="G509" s="653">
        <v>0</v>
      </c>
      <c r="H509" s="653">
        <v>90</v>
      </c>
      <c r="I509" s="653">
        <f t="shared" si="41"/>
        <v>64.900000000000006</v>
      </c>
      <c r="J509" s="653">
        <v>0</v>
      </c>
      <c r="K509" s="653">
        <v>0</v>
      </c>
      <c r="L509" s="698">
        <v>64.900000000000006</v>
      </c>
      <c r="M509" s="673">
        <v>93.53</v>
      </c>
      <c r="N509" s="653">
        <v>549.02</v>
      </c>
      <c r="O509" s="669" t="s">
        <v>1249</v>
      </c>
      <c r="P509" s="463" t="s">
        <v>1588</v>
      </c>
      <c r="Q509" s="672">
        <v>0</v>
      </c>
      <c r="R509" s="672">
        <v>0</v>
      </c>
      <c r="S509" s="672">
        <v>0</v>
      </c>
      <c r="T509" s="672">
        <v>0</v>
      </c>
      <c r="U509" s="463" t="s">
        <v>1168</v>
      </c>
      <c r="V509" s="466" t="s">
        <v>1250</v>
      </c>
      <c r="W509" s="653">
        <v>724</v>
      </c>
      <c r="X509" s="463" t="s">
        <v>1532</v>
      </c>
      <c r="Y509" s="463" t="s">
        <v>1533</v>
      </c>
      <c r="Z509" s="463" t="s">
        <v>1534</v>
      </c>
      <c r="AA509" s="463" t="s">
        <v>1534</v>
      </c>
      <c r="AB509" s="459" t="s">
        <v>1534</v>
      </c>
    </row>
    <row r="510" spans="1:28" ht="24" customHeight="1">
      <c r="A510" s="584"/>
      <c r="B510" s="521" t="s">
        <v>675</v>
      </c>
      <c r="C510" s="522" t="s">
        <v>2115</v>
      </c>
      <c r="D510" s="524" t="s">
        <v>1251</v>
      </c>
      <c r="E510" s="653">
        <f t="shared" si="40"/>
        <v>40</v>
      </c>
      <c r="F510" s="653">
        <v>0</v>
      </c>
      <c r="G510" s="653">
        <v>0</v>
      </c>
      <c r="H510" s="653">
        <v>40</v>
      </c>
      <c r="I510" s="653">
        <f t="shared" si="41"/>
        <v>1.7</v>
      </c>
      <c r="J510" s="653">
        <v>0</v>
      </c>
      <c r="K510" s="653">
        <v>0</v>
      </c>
      <c r="L510" s="698">
        <v>1.7</v>
      </c>
      <c r="M510" s="673">
        <v>94.74</v>
      </c>
      <c r="N510" s="653">
        <v>18</v>
      </c>
      <c r="O510" s="669" t="s">
        <v>1180</v>
      </c>
      <c r="P510" s="463" t="s">
        <v>1588</v>
      </c>
      <c r="Q510" s="672">
        <v>0</v>
      </c>
      <c r="R510" s="672">
        <v>0</v>
      </c>
      <c r="S510" s="672">
        <v>0</v>
      </c>
      <c r="T510" s="672">
        <v>0</v>
      </c>
      <c r="U510" s="463" t="s">
        <v>1168</v>
      </c>
      <c r="V510" s="466" t="s">
        <v>1229</v>
      </c>
      <c r="W510" s="653">
        <v>362</v>
      </c>
      <c r="X510" s="463" t="s">
        <v>1532</v>
      </c>
      <c r="Y510" s="463" t="s">
        <v>1533</v>
      </c>
      <c r="Z510" s="463" t="s">
        <v>1534</v>
      </c>
      <c r="AA510" s="463" t="s">
        <v>1534</v>
      </c>
      <c r="AB510" s="459" t="s">
        <v>1534</v>
      </c>
    </row>
    <row r="511" spans="1:28" ht="24" customHeight="1">
      <c r="A511" s="584"/>
      <c r="B511" s="521" t="s">
        <v>675</v>
      </c>
      <c r="C511" s="522" t="s">
        <v>1252</v>
      </c>
      <c r="D511" s="524" t="s">
        <v>1253</v>
      </c>
      <c r="E511" s="653">
        <f t="shared" si="40"/>
        <v>68</v>
      </c>
      <c r="F511" s="653">
        <v>0</v>
      </c>
      <c r="G511" s="653">
        <v>0</v>
      </c>
      <c r="H511" s="653">
        <v>68</v>
      </c>
      <c r="I511" s="653">
        <f t="shared" si="41"/>
        <v>14.5</v>
      </c>
      <c r="J511" s="653">
        <v>0</v>
      </c>
      <c r="K511" s="653">
        <v>0</v>
      </c>
      <c r="L511" s="698">
        <v>14.5</v>
      </c>
      <c r="M511" s="673">
        <v>97.68</v>
      </c>
      <c r="N511" s="653">
        <v>169.4</v>
      </c>
      <c r="O511" s="669" t="s">
        <v>1254</v>
      </c>
      <c r="P511" s="463" t="s">
        <v>1588</v>
      </c>
      <c r="Q511" s="672">
        <v>0</v>
      </c>
      <c r="R511" s="672">
        <v>0</v>
      </c>
      <c r="S511" s="672">
        <v>0</v>
      </c>
      <c r="T511" s="672">
        <v>0</v>
      </c>
      <c r="U511" s="463" t="s">
        <v>1168</v>
      </c>
      <c r="V511" s="466" t="s">
        <v>1229</v>
      </c>
      <c r="W511" s="653">
        <v>386</v>
      </c>
      <c r="X511" s="463" t="s">
        <v>1532</v>
      </c>
      <c r="Y511" s="463" t="s">
        <v>1533</v>
      </c>
      <c r="Z511" s="463" t="s">
        <v>1534</v>
      </c>
      <c r="AA511" s="463" t="s">
        <v>1534</v>
      </c>
      <c r="AB511" s="459" t="s">
        <v>1534</v>
      </c>
    </row>
    <row r="512" spans="1:28" ht="24" customHeight="1">
      <c r="A512" s="584"/>
      <c r="B512" s="521" t="s">
        <v>675</v>
      </c>
      <c r="C512" s="522" t="s">
        <v>1255</v>
      </c>
      <c r="D512" s="524" t="s">
        <v>1256</v>
      </c>
      <c r="E512" s="653">
        <f t="shared" si="40"/>
        <v>40</v>
      </c>
      <c r="F512" s="653">
        <v>0</v>
      </c>
      <c r="G512" s="653">
        <v>0</v>
      </c>
      <c r="H512" s="653">
        <v>40</v>
      </c>
      <c r="I512" s="653">
        <f t="shared" si="41"/>
        <v>6.6</v>
      </c>
      <c r="J512" s="653">
        <v>0</v>
      </c>
      <c r="K512" s="653">
        <v>0</v>
      </c>
      <c r="L512" s="698">
        <v>6.6</v>
      </c>
      <c r="M512" s="673">
        <v>96</v>
      </c>
      <c r="N512" s="653">
        <v>48</v>
      </c>
      <c r="O512" s="669" t="s">
        <v>1257</v>
      </c>
      <c r="P512" s="463" t="s">
        <v>1588</v>
      </c>
      <c r="Q512" s="672">
        <v>0</v>
      </c>
      <c r="R512" s="672">
        <v>0</v>
      </c>
      <c r="S512" s="672">
        <v>0</v>
      </c>
      <c r="T512" s="672">
        <v>0</v>
      </c>
      <c r="U512" s="463" t="s">
        <v>1168</v>
      </c>
      <c r="V512" s="466" t="s">
        <v>1258</v>
      </c>
      <c r="W512" s="653">
        <v>169</v>
      </c>
      <c r="X512" s="463" t="s">
        <v>1532</v>
      </c>
      <c r="Y512" s="463" t="s">
        <v>1533</v>
      </c>
      <c r="Z512" s="463" t="s">
        <v>1534</v>
      </c>
      <c r="AA512" s="463" t="s">
        <v>1534</v>
      </c>
      <c r="AB512" s="459" t="s">
        <v>1534</v>
      </c>
    </row>
    <row r="513" spans="1:28" ht="24" customHeight="1">
      <c r="A513" s="582" t="s">
        <v>1614</v>
      </c>
      <c r="B513" s="521" t="s">
        <v>2201</v>
      </c>
      <c r="C513" s="522" t="s">
        <v>2395</v>
      </c>
      <c r="D513" s="524" t="s">
        <v>1259</v>
      </c>
      <c r="E513" s="653">
        <f>F513+G513+H513</f>
        <v>70000</v>
      </c>
      <c r="F513" s="653">
        <v>0</v>
      </c>
      <c r="G513" s="653">
        <v>70000</v>
      </c>
      <c r="H513" s="653">
        <v>0</v>
      </c>
      <c r="I513" s="653">
        <f>J513+K513+L513</f>
        <v>53376</v>
      </c>
      <c r="J513" s="653">
        <v>0</v>
      </c>
      <c r="K513" s="653">
        <v>53376</v>
      </c>
      <c r="L513" s="698">
        <v>0</v>
      </c>
      <c r="M513" s="673">
        <v>93.2</v>
      </c>
      <c r="N513" s="653">
        <v>528043</v>
      </c>
      <c r="O513" s="669" t="s">
        <v>1260</v>
      </c>
      <c r="P513" s="463" t="s">
        <v>1588</v>
      </c>
      <c r="Q513" s="672">
        <v>73.099999999999994</v>
      </c>
      <c r="R513" s="672">
        <v>0</v>
      </c>
      <c r="S513" s="672">
        <v>35.5</v>
      </c>
      <c r="T513" s="672">
        <v>0</v>
      </c>
      <c r="U513" s="463" t="s">
        <v>1261</v>
      </c>
      <c r="V513" s="463" t="s">
        <v>1262</v>
      </c>
      <c r="W513" s="653">
        <v>41171</v>
      </c>
      <c r="X513" s="463" t="s">
        <v>1532</v>
      </c>
      <c r="Y513" s="463" t="s">
        <v>3336</v>
      </c>
      <c r="Z513" s="463" t="s">
        <v>579</v>
      </c>
      <c r="AA513" s="463" t="s">
        <v>1615</v>
      </c>
      <c r="AB513" s="459" t="s">
        <v>1534</v>
      </c>
    </row>
    <row r="514" spans="1:28" ht="24" customHeight="1">
      <c r="A514" s="584"/>
      <c r="B514" s="521" t="s">
        <v>2201</v>
      </c>
      <c r="C514" s="522" t="s">
        <v>1263</v>
      </c>
      <c r="D514" s="524" t="s">
        <v>1264</v>
      </c>
      <c r="E514" s="653">
        <f>F514+G514+H514</f>
        <v>1200</v>
      </c>
      <c r="F514" s="653">
        <v>0</v>
      </c>
      <c r="G514" s="653">
        <v>1200</v>
      </c>
      <c r="H514" s="653">
        <v>0</v>
      </c>
      <c r="I514" s="653">
        <f>J514+K514+L514</f>
        <v>926</v>
      </c>
      <c r="J514" s="653">
        <v>0</v>
      </c>
      <c r="K514" s="653">
        <v>926</v>
      </c>
      <c r="L514" s="698">
        <v>0</v>
      </c>
      <c r="M514" s="673">
        <v>96.2</v>
      </c>
      <c r="N514" s="653">
        <v>743</v>
      </c>
      <c r="O514" s="669" t="s">
        <v>3347</v>
      </c>
      <c r="P514" s="463" t="s">
        <v>1588</v>
      </c>
      <c r="Q514" s="672">
        <v>0</v>
      </c>
      <c r="R514" s="672">
        <v>0</v>
      </c>
      <c r="S514" s="672">
        <v>0</v>
      </c>
      <c r="T514" s="672">
        <v>0</v>
      </c>
      <c r="U514" s="463" t="s">
        <v>1265</v>
      </c>
      <c r="V514" s="463" t="s">
        <v>1266</v>
      </c>
      <c r="W514" s="653">
        <v>9314</v>
      </c>
      <c r="X514" s="463" t="s">
        <v>1532</v>
      </c>
      <c r="Y514" s="463" t="s">
        <v>3336</v>
      </c>
      <c r="Z514" s="463" t="s">
        <v>1267</v>
      </c>
      <c r="AA514" s="463" t="s">
        <v>1615</v>
      </c>
      <c r="AB514" s="459" t="s">
        <v>1534</v>
      </c>
    </row>
    <row r="515" spans="1:28" ht="24" customHeight="1">
      <c r="A515" s="584"/>
      <c r="B515" s="521" t="s">
        <v>3837</v>
      </c>
      <c r="C515" s="522" t="s">
        <v>1268</v>
      </c>
      <c r="D515" s="524" t="s">
        <v>1269</v>
      </c>
      <c r="E515" s="653">
        <f t="shared" ref="E515:E533" si="42">F515+G515+H515</f>
        <v>40</v>
      </c>
      <c r="F515" s="653">
        <v>0</v>
      </c>
      <c r="G515" s="653">
        <v>40</v>
      </c>
      <c r="H515" s="653">
        <v>0</v>
      </c>
      <c r="I515" s="653">
        <f t="shared" ref="I515:I533" si="43">J515+K515+L515</f>
        <v>40</v>
      </c>
      <c r="J515" s="653">
        <v>0</v>
      </c>
      <c r="K515" s="653">
        <v>40</v>
      </c>
      <c r="L515" s="698">
        <v>0</v>
      </c>
      <c r="M515" s="673">
        <v>94</v>
      </c>
      <c r="N515" s="653">
        <v>1022</v>
      </c>
      <c r="O515" s="669" t="s">
        <v>1270</v>
      </c>
      <c r="P515" s="463" t="s">
        <v>1588</v>
      </c>
      <c r="Q515" s="672">
        <v>0</v>
      </c>
      <c r="R515" s="672">
        <v>0</v>
      </c>
      <c r="S515" s="672">
        <v>0</v>
      </c>
      <c r="T515" s="672">
        <v>0</v>
      </c>
      <c r="U515" s="463" t="s">
        <v>1271</v>
      </c>
      <c r="V515" s="463" t="s">
        <v>1272</v>
      </c>
      <c r="W515" s="653">
        <v>258</v>
      </c>
      <c r="X515" s="463" t="s">
        <v>2243</v>
      </c>
      <c r="Y515" s="463" t="s">
        <v>1273</v>
      </c>
      <c r="Z515" s="463"/>
      <c r="AA515" s="463" t="s">
        <v>3640</v>
      </c>
      <c r="AB515" s="459" t="s">
        <v>1595</v>
      </c>
    </row>
    <row r="516" spans="1:28" ht="24" customHeight="1">
      <c r="A516" s="584"/>
      <c r="B516" s="521" t="s">
        <v>3837</v>
      </c>
      <c r="C516" s="522" t="s">
        <v>1274</v>
      </c>
      <c r="D516" s="524" t="s">
        <v>1275</v>
      </c>
      <c r="E516" s="653">
        <f t="shared" si="42"/>
        <v>160</v>
      </c>
      <c r="F516" s="653">
        <v>0</v>
      </c>
      <c r="G516" s="653">
        <v>0</v>
      </c>
      <c r="H516" s="653">
        <v>160</v>
      </c>
      <c r="I516" s="653">
        <f t="shared" si="43"/>
        <v>144</v>
      </c>
      <c r="J516" s="653">
        <v>0</v>
      </c>
      <c r="K516" s="653">
        <v>0</v>
      </c>
      <c r="L516" s="698">
        <v>144</v>
      </c>
      <c r="M516" s="673">
        <v>93</v>
      </c>
      <c r="N516" s="653">
        <v>3642</v>
      </c>
      <c r="O516" s="669" t="s">
        <v>1276</v>
      </c>
      <c r="P516" s="463" t="s">
        <v>1588</v>
      </c>
      <c r="Q516" s="672">
        <v>0</v>
      </c>
      <c r="R516" s="672">
        <v>0</v>
      </c>
      <c r="S516" s="672">
        <v>0</v>
      </c>
      <c r="T516" s="672">
        <v>0</v>
      </c>
      <c r="U516" s="463" t="s">
        <v>1271</v>
      </c>
      <c r="V516" s="463" t="s">
        <v>1277</v>
      </c>
      <c r="W516" s="653">
        <v>375</v>
      </c>
      <c r="X516" s="463" t="s">
        <v>2243</v>
      </c>
      <c r="Y516" s="463" t="s">
        <v>1273</v>
      </c>
      <c r="Z516" s="463"/>
      <c r="AA516" s="463" t="s">
        <v>3640</v>
      </c>
      <c r="AB516" s="459" t="s">
        <v>1595</v>
      </c>
    </row>
    <row r="517" spans="1:28" ht="24" customHeight="1">
      <c r="A517" s="584"/>
      <c r="B517" s="521" t="s">
        <v>3837</v>
      </c>
      <c r="C517" s="522" t="s">
        <v>1278</v>
      </c>
      <c r="D517" s="524" t="s">
        <v>1279</v>
      </c>
      <c r="E517" s="653">
        <f t="shared" si="42"/>
        <v>48</v>
      </c>
      <c r="F517" s="653">
        <v>0</v>
      </c>
      <c r="G517" s="653">
        <v>0</v>
      </c>
      <c r="H517" s="653">
        <v>48</v>
      </c>
      <c r="I517" s="653">
        <f t="shared" si="43"/>
        <v>44</v>
      </c>
      <c r="J517" s="653">
        <v>0</v>
      </c>
      <c r="K517" s="653">
        <v>0</v>
      </c>
      <c r="L517" s="698">
        <v>44</v>
      </c>
      <c r="M517" s="673">
        <v>94</v>
      </c>
      <c r="N517" s="653">
        <v>591</v>
      </c>
      <c r="O517" s="669" t="s">
        <v>1280</v>
      </c>
      <c r="P517" s="463" t="s">
        <v>1588</v>
      </c>
      <c r="Q517" s="672">
        <v>0</v>
      </c>
      <c r="R517" s="672">
        <v>0</v>
      </c>
      <c r="S517" s="672">
        <v>0</v>
      </c>
      <c r="T517" s="672">
        <v>0</v>
      </c>
      <c r="U517" s="463" t="s">
        <v>1271</v>
      </c>
      <c r="V517" s="463" t="s">
        <v>1272</v>
      </c>
      <c r="W517" s="653">
        <v>259</v>
      </c>
      <c r="X517" s="463" t="s">
        <v>2243</v>
      </c>
      <c r="Y517" s="463" t="s">
        <v>1273</v>
      </c>
      <c r="Z517" s="463"/>
      <c r="AA517" s="463" t="s">
        <v>3640</v>
      </c>
      <c r="AB517" s="459" t="s">
        <v>1595</v>
      </c>
    </row>
    <row r="518" spans="1:28" ht="24" customHeight="1">
      <c r="A518" s="584"/>
      <c r="B518" s="521" t="s">
        <v>3837</v>
      </c>
      <c r="C518" s="522" t="s">
        <v>1281</v>
      </c>
      <c r="D518" s="524" t="s">
        <v>1282</v>
      </c>
      <c r="E518" s="653">
        <f t="shared" si="42"/>
        <v>68</v>
      </c>
      <c r="F518" s="653">
        <v>0</v>
      </c>
      <c r="G518" s="653">
        <v>0</v>
      </c>
      <c r="H518" s="653">
        <v>68</v>
      </c>
      <c r="I518" s="653">
        <f t="shared" si="43"/>
        <v>39</v>
      </c>
      <c r="J518" s="653">
        <v>0</v>
      </c>
      <c r="K518" s="653">
        <v>0</v>
      </c>
      <c r="L518" s="698">
        <v>39</v>
      </c>
      <c r="M518" s="673">
        <v>94</v>
      </c>
      <c r="N518" s="653">
        <v>448</v>
      </c>
      <c r="O518" s="669" t="s">
        <v>1283</v>
      </c>
      <c r="P518" s="463" t="s">
        <v>1588</v>
      </c>
      <c r="Q518" s="672">
        <v>0</v>
      </c>
      <c r="R518" s="672">
        <v>0</v>
      </c>
      <c r="S518" s="672">
        <v>0</v>
      </c>
      <c r="T518" s="672">
        <v>0</v>
      </c>
      <c r="U518" s="463" t="s">
        <v>1271</v>
      </c>
      <c r="V518" s="463" t="s">
        <v>1272</v>
      </c>
      <c r="W518" s="653">
        <v>280</v>
      </c>
      <c r="X518" s="463" t="s">
        <v>2243</v>
      </c>
      <c r="Y518" s="463" t="s">
        <v>1273</v>
      </c>
      <c r="Z518" s="463"/>
      <c r="AA518" s="463" t="s">
        <v>3640</v>
      </c>
      <c r="AB518" s="459" t="s">
        <v>1595</v>
      </c>
    </row>
    <row r="519" spans="1:28" ht="24" customHeight="1">
      <c r="A519" s="584"/>
      <c r="B519" s="521" t="s">
        <v>3837</v>
      </c>
      <c r="C519" s="522" t="s">
        <v>1284</v>
      </c>
      <c r="D519" s="524" t="s">
        <v>1285</v>
      </c>
      <c r="E519" s="653">
        <f t="shared" si="42"/>
        <v>190</v>
      </c>
      <c r="F519" s="653">
        <v>0</v>
      </c>
      <c r="G519" s="653">
        <v>0</v>
      </c>
      <c r="H519" s="653">
        <v>190</v>
      </c>
      <c r="I519" s="653">
        <f t="shared" si="43"/>
        <v>110</v>
      </c>
      <c r="J519" s="653">
        <v>0</v>
      </c>
      <c r="K519" s="653">
        <v>0</v>
      </c>
      <c r="L519" s="698">
        <v>110</v>
      </c>
      <c r="M519" s="673">
        <v>95</v>
      </c>
      <c r="N519" s="653">
        <v>1444</v>
      </c>
      <c r="O519" s="669" t="s">
        <v>1280</v>
      </c>
      <c r="P519" s="463" t="s">
        <v>1588</v>
      </c>
      <c r="Q519" s="672">
        <v>0</v>
      </c>
      <c r="R519" s="672">
        <v>0</v>
      </c>
      <c r="S519" s="672">
        <v>0</v>
      </c>
      <c r="T519" s="672">
        <v>0</v>
      </c>
      <c r="U519" s="463" t="s">
        <v>1271</v>
      </c>
      <c r="V519" s="463" t="s">
        <v>1286</v>
      </c>
      <c r="W519" s="653">
        <v>495</v>
      </c>
      <c r="X519" s="463" t="s">
        <v>2243</v>
      </c>
      <c r="Y519" s="463" t="s">
        <v>1273</v>
      </c>
      <c r="Z519" s="463"/>
      <c r="AA519" s="463" t="s">
        <v>3640</v>
      </c>
      <c r="AB519" s="459" t="s">
        <v>1595</v>
      </c>
    </row>
    <row r="520" spans="1:28" ht="24" customHeight="1">
      <c r="A520" s="584"/>
      <c r="B520" s="521" t="s">
        <v>3837</v>
      </c>
      <c r="C520" s="522" t="s">
        <v>1287</v>
      </c>
      <c r="D520" s="524" t="s">
        <v>1285</v>
      </c>
      <c r="E520" s="653">
        <f t="shared" si="42"/>
        <v>170</v>
      </c>
      <c r="F520" s="653">
        <v>0</v>
      </c>
      <c r="G520" s="653">
        <v>0</v>
      </c>
      <c r="H520" s="653">
        <v>170</v>
      </c>
      <c r="I520" s="653">
        <f t="shared" si="43"/>
        <v>110</v>
      </c>
      <c r="J520" s="653">
        <v>0</v>
      </c>
      <c r="K520" s="653">
        <v>0</v>
      </c>
      <c r="L520" s="698">
        <v>110</v>
      </c>
      <c r="M520" s="673">
        <v>95</v>
      </c>
      <c r="N520" s="653">
        <v>1444</v>
      </c>
      <c r="O520" s="669" t="s">
        <v>1280</v>
      </c>
      <c r="P520" s="463" t="s">
        <v>1588</v>
      </c>
      <c r="Q520" s="672">
        <v>0</v>
      </c>
      <c r="R520" s="672">
        <v>0</v>
      </c>
      <c r="S520" s="672">
        <v>0</v>
      </c>
      <c r="T520" s="672">
        <v>0</v>
      </c>
      <c r="U520" s="463" t="s">
        <v>1271</v>
      </c>
      <c r="V520" s="463" t="s">
        <v>1288</v>
      </c>
      <c r="W520" s="653">
        <v>291</v>
      </c>
      <c r="X520" s="463" t="s">
        <v>2243</v>
      </c>
      <c r="Y520" s="463" t="s">
        <v>1273</v>
      </c>
      <c r="Z520" s="463"/>
      <c r="AA520" s="463" t="s">
        <v>3640</v>
      </c>
      <c r="AB520" s="459" t="s">
        <v>1595</v>
      </c>
    </row>
    <row r="521" spans="1:28" ht="24" customHeight="1">
      <c r="A521" s="584"/>
      <c r="B521" s="521" t="s">
        <v>3837</v>
      </c>
      <c r="C521" s="522" t="s">
        <v>1289</v>
      </c>
      <c r="D521" s="524" t="s">
        <v>1290</v>
      </c>
      <c r="E521" s="653">
        <f t="shared" si="42"/>
        <v>34</v>
      </c>
      <c r="F521" s="653">
        <v>0</v>
      </c>
      <c r="G521" s="653">
        <v>0</v>
      </c>
      <c r="H521" s="653">
        <v>34</v>
      </c>
      <c r="I521" s="653">
        <f t="shared" si="43"/>
        <v>32</v>
      </c>
      <c r="J521" s="653">
        <v>0</v>
      </c>
      <c r="K521" s="653">
        <v>0</v>
      </c>
      <c r="L521" s="698">
        <v>32</v>
      </c>
      <c r="M521" s="673">
        <v>94</v>
      </c>
      <c r="N521" s="653">
        <v>700</v>
      </c>
      <c r="O521" s="669" t="s">
        <v>1283</v>
      </c>
      <c r="P521" s="463" t="s">
        <v>1588</v>
      </c>
      <c r="Q521" s="672">
        <v>0</v>
      </c>
      <c r="R521" s="672">
        <v>0</v>
      </c>
      <c r="S521" s="672">
        <v>0</v>
      </c>
      <c r="T521" s="672">
        <v>0</v>
      </c>
      <c r="U521" s="463" t="s">
        <v>1271</v>
      </c>
      <c r="V521" s="463" t="s">
        <v>1272</v>
      </c>
      <c r="W521" s="653">
        <v>280</v>
      </c>
      <c r="X521" s="463" t="s">
        <v>2243</v>
      </c>
      <c r="Y521" s="463" t="s">
        <v>1273</v>
      </c>
      <c r="Z521" s="463"/>
      <c r="AA521" s="463" t="s">
        <v>3640</v>
      </c>
      <c r="AB521" s="459" t="s">
        <v>1595</v>
      </c>
    </row>
    <row r="522" spans="1:28" ht="24" customHeight="1">
      <c r="A522" s="584"/>
      <c r="B522" s="521" t="s">
        <v>3837</v>
      </c>
      <c r="C522" s="522" t="s">
        <v>1291</v>
      </c>
      <c r="D522" s="524" t="s">
        <v>1292</v>
      </c>
      <c r="E522" s="653">
        <f t="shared" si="42"/>
        <v>35</v>
      </c>
      <c r="F522" s="653">
        <v>0</v>
      </c>
      <c r="G522" s="653">
        <v>0</v>
      </c>
      <c r="H522" s="653">
        <v>35</v>
      </c>
      <c r="I522" s="653">
        <f t="shared" si="43"/>
        <v>34</v>
      </c>
      <c r="J522" s="653">
        <v>0</v>
      </c>
      <c r="K522" s="653">
        <v>0</v>
      </c>
      <c r="L522" s="698">
        <v>34</v>
      </c>
      <c r="M522" s="673">
        <v>93</v>
      </c>
      <c r="N522" s="653">
        <v>480</v>
      </c>
      <c r="O522" s="669" t="s">
        <v>1280</v>
      </c>
      <c r="P522" s="463" t="s">
        <v>1588</v>
      </c>
      <c r="Q522" s="672">
        <v>0</v>
      </c>
      <c r="R522" s="672">
        <v>0</v>
      </c>
      <c r="S522" s="672">
        <v>0</v>
      </c>
      <c r="T522" s="672">
        <v>0</v>
      </c>
      <c r="U522" s="463" t="s">
        <v>1271</v>
      </c>
      <c r="V522" s="463" t="s">
        <v>1293</v>
      </c>
      <c r="W522" s="653">
        <v>224</v>
      </c>
      <c r="X522" s="463" t="s">
        <v>2243</v>
      </c>
      <c r="Y522" s="463" t="s">
        <v>1273</v>
      </c>
      <c r="Z522" s="463"/>
      <c r="AA522" s="463" t="s">
        <v>3640</v>
      </c>
      <c r="AB522" s="459" t="s">
        <v>1595</v>
      </c>
    </row>
    <row r="523" spans="1:28" ht="24" customHeight="1">
      <c r="A523" s="584"/>
      <c r="B523" s="521" t="s">
        <v>3837</v>
      </c>
      <c r="C523" s="522" t="s">
        <v>1294</v>
      </c>
      <c r="D523" s="524" t="s">
        <v>1295</v>
      </c>
      <c r="E523" s="653">
        <f t="shared" si="42"/>
        <v>58</v>
      </c>
      <c r="F523" s="653">
        <v>0</v>
      </c>
      <c r="G523" s="653">
        <v>0</v>
      </c>
      <c r="H523" s="653">
        <v>58</v>
      </c>
      <c r="I523" s="653">
        <f t="shared" si="43"/>
        <v>33</v>
      </c>
      <c r="J523" s="653">
        <v>0</v>
      </c>
      <c r="K523" s="653">
        <v>0</v>
      </c>
      <c r="L523" s="698">
        <v>33</v>
      </c>
      <c r="M523" s="673">
        <v>93</v>
      </c>
      <c r="N523" s="653">
        <v>368</v>
      </c>
      <c r="O523" s="669" t="s">
        <v>1280</v>
      </c>
      <c r="P523" s="463" t="s">
        <v>1588</v>
      </c>
      <c r="Q523" s="672">
        <v>0</v>
      </c>
      <c r="R523" s="672">
        <v>0</v>
      </c>
      <c r="S523" s="672">
        <v>0</v>
      </c>
      <c r="T523" s="672">
        <v>0</v>
      </c>
      <c r="U523" s="463" t="s">
        <v>1271</v>
      </c>
      <c r="V523" s="463" t="s">
        <v>1293</v>
      </c>
      <c r="W523" s="653">
        <v>222</v>
      </c>
      <c r="X523" s="463" t="s">
        <v>2243</v>
      </c>
      <c r="Y523" s="463" t="s">
        <v>1273</v>
      </c>
      <c r="Z523" s="463"/>
      <c r="AA523" s="463" t="s">
        <v>3640</v>
      </c>
      <c r="AB523" s="459" t="s">
        <v>1595</v>
      </c>
    </row>
    <row r="524" spans="1:28" ht="24" customHeight="1">
      <c r="A524" s="584"/>
      <c r="B524" s="521" t="s">
        <v>3837</v>
      </c>
      <c r="C524" s="522" t="s">
        <v>1296</v>
      </c>
      <c r="D524" s="524" t="s">
        <v>1297</v>
      </c>
      <c r="E524" s="653">
        <f t="shared" si="42"/>
        <v>160</v>
      </c>
      <c r="F524" s="653">
        <v>0</v>
      </c>
      <c r="G524" s="653">
        <v>0</v>
      </c>
      <c r="H524" s="653">
        <v>160</v>
      </c>
      <c r="I524" s="653">
        <f t="shared" si="43"/>
        <v>107</v>
      </c>
      <c r="J524" s="653">
        <v>0</v>
      </c>
      <c r="K524" s="653">
        <v>0</v>
      </c>
      <c r="L524" s="698">
        <v>107</v>
      </c>
      <c r="M524" s="673">
        <v>95</v>
      </c>
      <c r="N524" s="653">
        <v>1697</v>
      </c>
      <c r="O524" s="669" t="s">
        <v>1280</v>
      </c>
      <c r="P524" s="463" t="s">
        <v>1588</v>
      </c>
      <c r="Q524" s="672">
        <v>0</v>
      </c>
      <c r="R524" s="672">
        <v>0</v>
      </c>
      <c r="S524" s="672">
        <v>0</v>
      </c>
      <c r="T524" s="672">
        <v>0</v>
      </c>
      <c r="U524" s="463" t="s">
        <v>1271</v>
      </c>
      <c r="V524" s="463" t="s">
        <v>1298</v>
      </c>
      <c r="W524" s="653">
        <v>400</v>
      </c>
      <c r="X524" s="463" t="s">
        <v>2243</v>
      </c>
      <c r="Y524" s="463" t="s">
        <v>1273</v>
      </c>
      <c r="Z524" s="463"/>
      <c r="AA524" s="463" t="s">
        <v>3640</v>
      </c>
      <c r="AB524" s="459" t="s">
        <v>1595</v>
      </c>
    </row>
    <row r="525" spans="1:28" ht="24" customHeight="1">
      <c r="A525" s="584"/>
      <c r="B525" s="521" t="s">
        <v>3837</v>
      </c>
      <c r="C525" s="522" t="s">
        <v>1299</v>
      </c>
      <c r="D525" s="524" t="s">
        <v>1297</v>
      </c>
      <c r="E525" s="653">
        <f t="shared" si="42"/>
        <v>120</v>
      </c>
      <c r="F525" s="653">
        <v>0</v>
      </c>
      <c r="G525" s="653">
        <v>0</v>
      </c>
      <c r="H525" s="653">
        <v>120</v>
      </c>
      <c r="I525" s="653">
        <f t="shared" si="43"/>
        <v>89</v>
      </c>
      <c r="J525" s="653">
        <v>0</v>
      </c>
      <c r="K525" s="653">
        <v>0</v>
      </c>
      <c r="L525" s="698">
        <v>89</v>
      </c>
      <c r="M525" s="673">
        <v>95</v>
      </c>
      <c r="N525" s="653">
        <v>1389</v>
      </c>
      <c r="O525" s="669" t="s">
        <v>1280</v>
      </c>
      <c r="P525" s="463" t="s">
        <v>1588</v>
      </c>
      <c r="Q525" s="672">
        <v>0</v>
      </c>
      <c r="R525" s="672">
        <v>0</v>
      </c>
      <c r="S525" s="672">
        <v>0</v>
      </c>
      <c r="T525" s="672">
        <v>0</v>
      </c>
      <c r="U525" s="463" t="s">
        <v>1271</v>
      </c>
      <c r="V525" s="463" t="s">
        <v>1298</v>
      </c>
      <c r="W525" s="653">
        <v>302</v>
      </c>
      <c r="X525" s="463" t="s">
        <v>2243</v>
      </c>
      <c r="Y525" s="463" t="s">
        <v>1273</v>
      </c>
      <c r="Z525" s="463"/>
      <c r="AA525" s="463" t="s">
        <v>3640</v>
      </c>
      <c r="AB525" s="459" t="s">
        <v>1595</v>
      </c>
    </row>
    <row r="526" spans="1:28" ht="24" customHeight="1">
      <c r="A526" s="584"/>
      <c r="B526" s="521" t="s">
        <v>3837</v>
      </c>
      <c r="C526" s="522" t="s">
        <v>1300</v>
      </c>
      <c r="D526" s="524" t="s">
        <v>1301</v>
      </c>
      <c r="E526" s="653">
        <f t="shared" si="42"/>
        <v>60</v>
      </c>
      <c r="F526" s="653">
        <v>0</v>
      </c>
      <c r="G526" s="653">
        <v>60</v>
      </c>
      <c r="H526" s="653">
        <v>0</v>
      </c>
      <c r="I526" s="653">
        <f t="shared" si="43"/>
        <v>43</v>
      </c>
      <c r="J526" s="653">
        <v>0</v>
      </c>
      <c r="K526" s="653">
        <v>43</v>
      </c>
      <c r="L526" s="698">
        <v>0</v>
      </c>
      <c r="M526" s="673">
        <v>92</v>
      </c>
      <c r="N526" s="653">
        <v>207</v>
      </c>
      <c r="O526" s="669" t="s">
        <v>1302</v>
      </c>
      <c r="P526" s="463" t="s">
        <v>1588</v>
      </c>
      <c r="Q526" s="672">
        <v>0</v>
      </c>
      <c r="R526" s="672">
        <v>0</v>
      </c>
      <c r="S526" s="672">
        <v>0</v>
      </c>
      <c r="T526" s="672">
        <v>0</v>
      </c>
      <c r="U526" s="463" t="s">
        <v>1271</v>
      </c>
      <c r="V526" s="463" t="s">
        <v>1303</v>
      </c>
      <c r="W526" s="653">
        <v>384</v>
      </c>
      <c r="X526" s="463" t="s">
        <v>2243</v>
      </c>
      <c r="Y526" s="463" t="s">
        <v>1273</v>
      </c>
      <c r="Z526" s="463" t="s">
        <v>1304</v>
      </c>
      <c r="AA526" s="463" t="s">
        <v>3640</v>
      </c>
      <c r="AB526" s="459" t="s">
        <v>1595</v>
      </c>
    </row>
    <row r="527" spans="1:28" ht="24" customHeight="1">
      <c r="A527" s="584"/>
      <c r="B527" s="521" t="s">
        <v>3837</v>
      </c>
      <c r="C527" s="522" t="s">
        <v>1305</v>
      </c>
      <c r="D527" s="524" t="s">
        <v>1306</v>
      </c>
      <c r="E527" s="653">
        <f t="shared" si="42"/>
        <v>70</v>
      </c>
      <c r="F527" s="653">
        <v>0</v>
      </c>
      <c r="G527" s="653">
        <v>0</v>
      </c>
      <c r="H527" s="653">
        <v>70</v>
      </c>
      <c r="I527" s="653">
        <f t="shared" si="43"/>
        <v>47</v>
      </c>
      <c r="J527" s="653">
        <v>0</v>
      </c>
      <c r="K527" s="653">
        <v>0</v>
      </c>
      <c r="L527" s="698">
        <v>47</v>
      </c>
      <c r="M527" s="673">
        <v>95</v>
      </c>
      <c r="N527" s="653">
        <v>582</v>
      </c>
      <c r="O527" s="669" t="s">
        <v>1307</v>
      </c>
      <c r="P527" s="463" t="s">
        <v>1588</v>
      </c>
      <c r="Q527" s="672">
        <v>0</v>
      </c>
      <c r="R527" s="672">
        <v>0</v>
      </c>
      <c r="S527" s="672">
        <v>0</v>
      </c>
      <c r="T527" s="672">
        <v>0</v>
      </c>
      <c r="U527" s="463" t="s">
        <v>1271</v>
      </c>
      <c r="V527" s="463" t="s">
        <v>1288</v>
      </c>
      <c r="W527" s="653">
        <v>149</v>
      </c>
      <c r="X527" s="463" t="s">
        <v>2243</v>
      </c>
      <c r="Y527" s="463" t="s">
        <v>1273</v>
      </c>
      <c r="Z527" s="463"/>
      <c r="AA527" s="463" t="s">
        <v>3640</v>
      </c>
      <c r="AB527" s="459" t="s">
        <v>1595</v>
      </c>
    </row>
    <row r="528" spans="1:28" ht="24" customHeight="1">
      <c r="A528" s="584"/>
      <c r="B528" s="521" t="s">
        <v>3837</v>
      </c>
      <c r="C528" s="522" t="s">
        <v>1308</v>
      </c>
      <c r="D528" s="524" t="s">
        <v>1309</v>
      </c>
      <c r="E528" s="653">
        <f t="shared" si="42"/>
        <v>70</v>
      </c>
      <c r="F528" s="653">
        <v>0</v>
      </c>
      <c r="G528" s="653">
        <v>0</v>
      </c>
      <c r="H528" s="653">
        <v>70</v>
      </c>
      <c r="I528" s="653">
        <f t="shared" si="43"/>
        <v>47</v>
      </c>
      <c r="J528" s="653">
        <v>0</v>
      </c>
      <c r="K528" s="653">
        <v>0</v>
      </c>
      <c r="L528" s="698">
        <v>47</v>
      </c>
      <c r="M528" s="673">
        <v>94</v>
      </c>
      <c r="N528" s="653">
        <v>254</v>
      </c>
      <c r="O528" s="669" t="s">
        <v>1280</v>
      </c>
      <c r="P528" s="463" t="s">
        <v>1588</v>
      </c>
      <c r="Q528" s="672">
        <v>0</v>
      </c>
      <c r="R528" s="672">
        <v>0</v>
      </c>
      <c r="S528" s="672">
        <v>0</v>
      </c>
      <c r="T528" s="672">
        <v>0</v>
      </c>
      <c r="U528" s="463" t="s">
        <v>1271</v>
      </c>
      <c r="V528" s="463" t="s">
        <v>1310</v>
      </c>
      <c r="W528" s="653">
        <v>167</v>
      </c>
      <c r="X528" s="463" t="s">
        <v>2243</v>
      </c>
      <c r="Y528" s="463" t="s">
        <v>1273</v>
      </c>
      <c r="Z528" s="463"/>
      <c r="AA528" s="463" t="s">
        <v>3640</v>
      </c>
      <c r="AB528" s="459" t="s">
        <v>1595</v>
      </c>
    </row>
    <row r="529" spans="1:28" ht="24" customHeight="1">
      <c r="A529" s="584"/>
      <c r="B529" s="521" t="s">
        <v>3837</v>
      </c>
      <c r="C529" s="522" t="s">
        <v>1311</v>
      </c>
      <c r="D529" s="524" t="s">
        <v>1312</v>
      </c>
      <c r="E529" s="653">
        <f t="shared" si="42"/>
        <v>70</v>
      </c>
      <c r="F529" s="653">
        <v>0</v>
      </c>
      <c r="G529" s="653">
        <v>0</v>
      </c>
      <c r="H529" s="653">
        <v>70</v>
      </c>
      <c r="I529" s="653">
        <f t="shared" si="43"/>
        <v>51</v>
      </c>
      <c r="J529" s="653">
        <v>0</v>
      </c>
      <c r="K529" s="653">
        <v>0</v>
      </c>
      <c r="L529" s="698">
        <v>51</v>
      </c>
      <c r="M529" s="673">
        <v>94</v>
      </c>
      <c r="N529" s="653">
        <v>239</v>
      </c>
      <c r="O529" s="669" t="s">
        <v>1280</v>
      </c>
      <c r="P529" s="463" t="s">
        <v>1588</v>
      </c>
      <c r="Q529" s="672">
        <v>0</v>
      </c>
      <c r="R529" s="672">
        <v>0</v>
      </c>
      <c r="S529" s="672">
        <v>0</v>
      </c>
      <c r="T529" s="672">
        <v>0</v>
      </c>
      <c r="U529" s="463" t="s">
        <v>1271</v>
      </c>
      <c r="V529" s="463" t="s">
        <v>1310</v>
      </c>
      <c r="W529" s="653">
        <v>222</v>
      </c>
      <c r="X529" s="463" t="s">
        <v>2243</v>
      </c>
      <c r="Y529" s="463" t="s">
        <v>1273</v>
      </c>
      <c r="Z529" s="463" t="s">
        <v>1313</v>
      </c>
      <c r="AA529" s="463" t="s">
        <v>3640</v>
      </c>
      <c r="AB529" s="459" t="s">
        <v>1595</v>
      </c>
    </row>
    <row r="530" spans="1:28" ht="24" customHeight="1">
      <c r="A530" s="584"/>
      <c r="B530" s="521" t="s">
        <v>3837</v>
      </c>
      <c r="C530" s="522" t="s">
        <v>1314</v>
      </c>
      <c r="D530" s="524" t="s">
        <v>1315</v>
      </c>
      <c r="E530" s="653">
        <f t="shared" si="42"/>
        <v>200</v>
      </c>
      <c r="F530" s="653">
        <v>0</v>
      </c>
      <c r="G530" s="653">
        <v>0</v>
      </c>
      <c r="H530" s="653">
        <v>200</v>
      </c>
      <c r="I530" s="653">
        <f t="shared" si="43"/>
        <v>176</v>
      </c>
      <c r="J530" s="653">
        <v>0</v>
      </c>
      <c r="K530" s="653">
        <v>0</v>
      </c>
      <c r="L530" s="698">
        <v>176</v>
      </c>
      <c r="M530" s="673">
        <v>95</v>
      </c>
      <c r="N530" s="653">
        <v>1188</v>
      </c>
      <c r="O530" s="669" t="s">
        <v>1280</v>
      </c>
      <c r="P530" s="463" t="s">
        <v>1588</v>
      </c>
      <c r="Q530" s="672">
        <v>0</v>
      </c>
      <c r="R530" s="672">
        <v>0</v>
      </c>
      <c r="S530" s="672">
        <v>0</v>
      </c>
      <c r="T530" s="672">
        <v>0</v>
      </c>
      <c r="U530" s="463" t="s">
        <v>1271</v>
      </c>
      <c r="V530" s="463" t="s">
        <v>1288</v>
      </c>
      <c r="W530" s="653">
        <v>354</v>
      </c>
      <c r="X530" s="463" t="s">
        <v>2243</v>
      </c>
      <c r="Y530" s="463" t="s">
        <v>1273</v>
      </c>
      <c r="Z530" s="463" t="s">
        <v>1316</v>
      </c>
      <c r="AA530" s="463" t="s">
        <v>3640</v>
      </c>
      <c r="AB530" s="459" t="s">
        <v>1595</v>
      </c>
    </row>
    <row r="531" spans="1:28" ht="24" customHeight="1">
      <c r="A531" s="584"/>
      <c r="B531" s="521" t="s">
        <v>3837</v>
      </c>
      <c r="C531" s="522" t="s">
        <v>1317</v>
      </c>
      <c r="D531" s="524" t="s">
        <v>1318</v>
      </c>
      <c r="E531" s="653">
        <f t="shared" si="42"/>
        <v>40</v>
      </c>
      <c r="F531" s="653">
        <v>0</v>
      </c>
      <c r="G531" s="653">
        <v>0</v>
      </c>
      <c r="H531" s="653">
        <v>40</v>
      </c>
      <c r="I531" s="653">
        <f t="shared" si="43"/>
        <v>36</v>
      </c>
      <c r="J531" s="653">
        <v>0</v>
      </c>
      <c r="K531" s="653">
        <v>0</v>
      </c>
      <c r="L531" s="698">
        <v>36</v>
      </c>
      <c r="M531" s="673">
        <v>93</v>
      </c>
      <c r="N531" s="653">
        <v>495</v>
      </c>
      <c r="O531" s="669" t="s">
        <v>1280</v>
      </c>
      <c r="P531" s="463" t="s">
        <v>1588</v>
      </c>
      <c r="Q531" s="672">
        <v>0</v>
      </c>
      <c r="R531" s="672">
        <v>0</v>
      </c>
      <c r="S531" s="672">
        <v>0</v>
      </c>
      <c r="T531" s="672">
        <v>0</v>
      </c>
      <c r="U531" s="463" t="s">
        <v>1271</v>
      </c>
      <c r="V531" s="463" t="s">
        <v>1298</v>
      </c>
      <c r="W531" s="653">
        <v>200</v>
      </c>
      <c r="X531" s="463" t="s">
        <v>2243</v>
      </c>
      <c r="Y531" s="463" t="s">
        <v>1273</v>
      </c>
      <c r="Z531" s="463" t="s">
        <v>1316</v>
      </c>
      <c r="AA531" s="463" t="s">
        <v>3640</v>
      </c>
      <c r="AB531" s="459" t="s">
        <v>1595</v>
      </c>
    </row>
    <row r="532" spans="1:28" ht="24" customHeight="1">
      <c r="A532" s="584"/>
      <c r="B532" s="521" t="s">
        <v>3837</v>
      </c>
      <c r="C532" s="522" t="s">
        <v>1319</v>
      </c>
      <c r="D532" s="524" t="s">
        <v>1320</v>
      </c>
      <c r="E532" s="653">
        <f t="shared" si="42"/>
        <v>35</v>
      </c>
      <c r="F532" s="653">
        <v>0</v>
      </c>
      <c r="G532" s="653">
        <v>0</v>
      </c>
      <c r="H532" s="653">
        <v>35</v>
      </c>
      <c r="I532" s="653">
        <f t="shared" si="43"/>
        <v>33</v>
      </c>
      <c r="J532" s="653">
        <v>0</v>
      </c>
      <c r="K532" s="653">
        <v>0</v>
      </c>
      <c r="L532" s="698">
        <v>33</v>
      </c>
      <c r="M532" s="673">
        <v>95</v>
      </c>
      <c r="N532" s="653">
        <v>407</v>
      </c>
      <c r="O532" s="669" t="s">
        <v>1321</v>
      </c>
      <c r="P532" s="463" t="s">
        <v>1588</v>
      </c>
      <c r="Q532" s="672">
        <v>0</v>
      </c>
      <c r="R532" s="672">
        <v>0</v>
      </c>
      <c r="S532" s="672">
        <v>0</v>
      </c>
      <c r="T532" s="672">
        <v>0</v>
      </c>
      <c r="U532" s="463" t="s">
        <v>1271</v>
      </c>
      <c r="V532" s="463" t="s">
        <v>1322</v>
      </c>
      <c r="W532" s="653">
        <v>129</v>
      </c>
      <c r="X532" s="463" t="s">
        <v>2243</v>
      </c>
      <c r="Y532" s="463" t="s">
        <v>1273</v>
      </c>
      <c r="Z532" s="463" t="s">
        <v>1323</v>
      </c>
      <c r="AA532" s="463" t="s">
        <v>3640</v>
      </c>
      <c r="AB532" s="459" t="s">
        <v>1595</v>
      </c>
    </row>
    <row r="533" spans="1:28" ht="24" customHeight="1">
      <c r="A533" s="583"/>
      <c r="B533" s="521" t="s">
        <v>3837</v>
      </c>
      <c r="C533" s="522" t="s">
        <v>1324</v>
      </c>
      <c r="D533" s="524" t="s">
        <v>1325</v>
      </c>
      <c r="E533" s="653">
        <f t="shared" si="42"/>
        <v>90</v>
      </c>
      <c r="F533" s="653">
        <v>0</v>
      </c>
      <c r="G533" s="653">
        <v>0</v>
      </c>
      <c r="H533" s="653">
        <v>90</v>
      </c>
      <c r="I533" s="653">
        <f t="shared" si="43"/>
        <v>65</v>
      </c>
      <c r="J533" s="653">
        <v>0</v>
      </c>
      <c r="K533" s="653">
        <v>0</v>
      </c>
      <c r="L533" s="698">
        <v>65</v>
      </c>
      <c r="M533" s="673">
        <v>95</v>
      </c>
      <c r="N533" s="653">
        <v>223</v>
      </c>
      <c r="O533" s="669" t="s">
        <v>1321</v>
      </c>
      <c r="P533" s="463" t="s">
        <v>1588</v>
      </c>
      <c r="Q533" s="672">
        <v>0</v>
      </c>
      <c r="R533" s="672">
        <v>0</v>
      </c>
      <c r="S533" s="672">
        <v>0</v>
      </c>
      <c r="T533" s="672">
        <v>0</v>
      </c>
      <c r="U533" s="463" t="s">
        <v>1271</v>
      </c>
      <c r="V533" s="463" t="s">
        <v>1326</v>
      </c>
      <c r="W533" s="653">
        <v>168</v>
      </c>
      <c r="X533" s="463" t="s">
        <v>2243</v>
      </c>
      <c r="Y533" s="463" t="s">
        <v>1273</v>
      </c>
      <c r="Z533" s="463"/>
      <c r="AA533" s="463" t="s">
        <v>3640</v>
      </c>
      <c r="AB533" s="459" t="s">
        <v>1595</v>
      </c>
    </row>
    <row r="534" spans="1:28" ht="24" customHeight="1">
      <c r="A534" s="584" t="s">
        <v>1616</v>
      </c>
      <c r="B534" s="522" t="s">
        <v>5942</v>
      </c>
      <c r="C534" s="579"/>
      <c r="D534" s="579"/>
      <c r="E534" s="498" t="s">
        <v>6174</v>
      </c>
      <c r="F534" s="498">
        <v>0</v>
      </c>
      <c r="G534" s="498" t="s">
        <v>6175</v>
      </c>
      <c r="H534" s="498" t="s">
        <v>6176</v>
      </c>
      <c r="I534" s="498" t="s">
        <v>7398</v>
      </c>
      <c r="J534" s="498" t="s">
        <v>6177</v>
      </c>
      <c r="K534" s="498" t="s">
        <v>6178</v>
      </c>
      <c r="L534" s="668" t="s">
        <v>6179</v>
      </c>
      <c r="M534" s="673">
        <v>0</v>
      </c>
      <c r="N534" s="653" t="s">
        <v>6180</v>
      </c>
      <c r="O534" s="669" t="s">
        <v>1588</v>
      </c>
      <c r="P534" s="463" t="s">
        <v>1588</v>
      </c>
      <c r="Q534" s="672" t="s">
        <v>6181</v>
      </c>
      <c r="R534" s="672" t="s">
        <v>6182</v>
      </c>
      <c r="S534" s="672" t="s">
        <v>6183</v>
      </c>
      <c r="T534" s="672" t="s">
        <v>6184</v>
      </c>
      <c r="U534" s="463"/>
      <c r="V534" s="463"/>
      <c r="W534" s="653">
        <f>SUM(W535:W633)</f>
        <v>351625</v>
      </c>
      <c r="X534" s="463"/>
      <c r="Y534" s="463"/>
      <c r="Z534" s="463"/>
      <c r="AA534" s="463"/>
      <c r="AB534" s="459"/>
    </row>
    <row r="535" spans="1:28" ht="24" customHeight="1">
      <c r="A535" s="582" t="s">
        <v>1617</v>
      </c>
      <c r="B535" s="521" t="s">
        <v>2201</v>
      </c>
      <c r="C535" s="522" t="s">
        <v>1327</v>
      </c>
      <c r="D535" s="524" t="s">
        <v>1328</v>
      </c>
      <c r="E535" s="653">
        <f>F535+G535+H535</f>
        <v>8000</v>
      </c>
      <c r="F535" s="653">
        <v>0</v>
      </c>
      <c r="G535" s="653">
        <v>0</v>
      </c>
      <c r="H535" s="653">
        <v>8000</v>
      </c>
      <c r="I535" s="653">
        <f>J535+K535+L535</f>
        <v>3835</v>
      </c>
      <c r="J535" s="653">
        <v>0</v>
      </c>
      <c r="K535" s="653">
        <v>0</v>
      </c>
      <c r="L535" s="698">
        <v>3835</v>
      </c>
      <c r="M535" s="673">
        <v>93</v>
      </c>
      <c r="N535" s="653">
        <f>209.1*I535*0.93*1/1000</f>
        <v>745.76560499999994</v>
      </c>
      <c r="O535" s="669" t="s">
        <v>3388</v>
      </c>
      <c r="P535" s="463" t="s">
        <v>3388</v>
      </c>
      <c r="Q535" s="672">
        <v>0</v>
      </c>
      <c r="R535" s="672">
        <v>0</v>
      </c>
      <c r="S535" s="672">
        <v>0</v>
      </c>
      <c r="T535" s="672">
        <v>0</v>
      </c>
      <c r="U535" s="463" t="s">
        <v>1329</v>
      </c>
      <c r="V535" s="466" t="s">
        <v>1330</v>
      </c>
      <c r="W535" s="653">
        <v>29854</v>
      </c>
      <c r="X535" s="463" t="s">
        <v>2199</v>
      </c>
      <c r="Y535" s="463" t="s">
        <v>3399</v>
      </c>
      <c r="Z535" s="463" t="s">
        <v>1618</v>
      </c>
      <c r="AA535" s="463" t="s">
        <v>1592</v>
      </c>
      <c r="AB535" s="459" t="s">
        <v>1592</v>
      </c>
    </row>
    <row r="536" spans="1:28" ht="24" customHeight="1">
      <c r="A536" s="584"/>
      <c r="B536" s="521" t="s">
        <v>2201</v>
      </c>
      <c r="C536" s="522" t="s">
        <v>1331</v>
      </c>
      <c r="D536" s="524" t="s">
        <v>1332</v>
      </c>
      <c r="E536" s="653">
        <f>F536+G536+H536</f>
        <v>700</v>
      </c>
      <c r="F536" s="653">
        <v>0</v>
      </c>
      <c r="G536" s="653">
        <v>0</v>
      </c>
      <c r="H536" s="653">
        <v>700</v>
      </c>
      <c r="I536" s="653">
        <f>J536+K536+L536</f>
        <v>652</v>
      </c>
      <c r="J536" s="653">
        <v>0</v>
      </c>
      <c r="K536" s="653">
        <v>0</v>
      </c>
      <c r="L536" s="698">
        <v>652</v>
      </c>
      <c r="M536" s="673">
        <v>93.6</v>
      </c>
      <c r="N536" s="653">
        <f>75*I536*0.936*1/1000</f>
        <v>45.770400000000002</v>
      </c>
      <c r="O536" s="669" t="s">
        <v>3208</v>
      </c>
      <c r="P536" s="463" t="s">
        <v>3208</v>
      </c>
      <c r="Q536" s="672">
        <v>0</v>
      </c>
      <c r="R536" s="672">
        <v>0</v>
      </c>
      <c r="S536" s="672">
        <v>0</v>
      </c>
      <c r="T536" s="672">
        <v>0</v>
      </c>
      <c r="U536" s="463" t="s">
        <v>1333</v>
      </c>
      <c r="V536" s="466" t="s">
        <v>1334</v>
      </c>
      <c r="W536" s="653">
        <v>14400</v>
      </c>
      <c r="X536" s="463" t="s">
        <v>2199</v>
      </c>
      <c r="Y536" s="463" t="s">
        <v>3399</v>
      </c>
      <c r="Z536" s="463" t="s">
        <v>1613</v>
      </c>
      <c r="AA536" s="463" t="s">
        <v>1615</v>
      </c>
      <c r="AB536" s="459" t="s">
        <v>1534</v>
      </c>
    </row>
    <row r="537" spans="1:28" ht="24" customHeight="1">
      <c r="A537" s="584"/>
      <c r="B537" s="521" t="s">
        <v>2201</v>
      </c>
      <c r="C537" s="522" t="s">
        <v>1335</v>
      </c>
      <c r="D537" s="524" t="s">
        <v>1336</v>
      </c>
      <c r="E537" s="653">
        <v>1000</v>
      </c>
      <c r="F537" s="653">
        <v>0</v>
      </c>
      <c r="G537" s="653">
        <v>1000</v>
      </c>
      <c r="H537" s="653">
        <v>0</v>
      </c>
      <c r="I537" s="653">
        <v>513</v>
      </c>
      <c r="J537" s="653">
        <v>0</v>
      </c>
      <c r="K537" s="653">
        <v>513</v>
      </c>
      <c r="L537" s="698">
        <v>0</v>
      </c>
      <c r="M537" s="673">
        <v>95.8</v>
      </c>
      <c r="N537" s="653">
        <v>42.7</v>
      </c>
      <c r="O537" s="669" t="s">
        <v>1337</v>
      </c>
      <c r="P537" s="463" t="s">
        <v>1588</v>
      </c>
      <c r="Q537" s="672">
        <v>0</v>
      </c>
      <c r="R537" s="672">
        <v>0</v>
      </c>
      <c r="S537" s="681">
        <v>0</v>
      </c>
      <c r="T537" s="672">
        <v>0</v>
      </c>
      <c r="U537" s="463" t="s">
        <v>1338</v>
      </c>
      <c r="V537" s="466" t="s">
        <v>1339</v>
      </c>
      <c r="W537" s="653">
        <v>2286</v>
      </c>
      <c r="X537" s="463" t="s">
        <v>1532</v>
      </c>
      <c r="Y537" s="463" t="s">
        <v>1273</v>
      </c>
      <c r="Z537" s="463" t="s">
        <v>1340</v>
      </c>
      <c r="AA537" s="463" t="s">
        <v>1592</v>
      </c>
      <c r="AB537" s="459" t="s">
        <v>1341</v>
      </c>
    </row>
    <row r="538" spans="1:28" ht="24" customHeight="1">
      <c r="A538" s="584"/>
      <c r="B538" s="521" t="s">
        <v>2201</v>
      </c>
      <c r="C538" s="522" t="s">
        <v>1342</v>
      </c>
      <c r="D538" s="524" t="s">
        <v>1343</v>
      </c>
      <c r="E538" s="653">
        <v>500</v>
      </c>
      <c r="F538" s="653">
        <v>0</v>
      </c>
      <c r="G538" s="653">
        <v>500</v>
      </c>
      <c r="H538" s="653">
        <v>0</v>
      </c>
      <c r="I538" s="653">
        <v>280.5</v>
      </c>
      <c r="J538" s="653">
        <v>0</v>
      </c>
      <c r="K538" s="653">
        <v>280.5</v>
      </c>
      <c r="L538" s="698">
        <v>0</v>
      </c>
      <c r="M538" s="673">
        <v>94.5</v>
      </c>
      <c r="N538" s="653">
        <v>11</v>
      </c>
      <c r="O538" s="669" t="s">
        <v>1344</v>
      </c>
      <c r="P538" s="463" t="s">
        <v>1588</v>
      </c>
      <c r="Q538" s="672">
        <v>0</v>
      </c>
      <c r="R538" s="672">
        <v>0</v>
      </c>
      <c r="S538" s="672">
        <v>0</v>
      </c>
      <c r="T538" s="672">
        <v>0</v>
      </c>
      <c r="U538" s="463" t="s">
        <v>1338</v>
      </c>
      <c r="V538" s="463" t="s">
        <v>1345</v>
      </c>
      <c r="W538" s="653">
        <v>4950</v>
      </c>
      <c r="X538" s="463" t="s">
        <v>1532</v>
      </c>
      <c r="Y538" s="463" t="s">
        <v>1273</v>
      </c>
      <c r="Z538" s="463" t="s">
        <v>1346</v>
      </c>
      <c r="AA538" s="463" t="s">
        <v>1347</v>
      </c>
      <c r="AB538" s="459" t="s">
        <v>1341</v>
      </c>
    </row>
    <row r="539" spans="1:28" ht="24" customHeight="1">
      <c r="A539" s="584"/>
      <c r="B539" s="521" t="s">
        <v>2201</v>
      </c>
      <c r="C539" s="522" t="s">
        <v>1348</v>
      </c>
      <c r="D539" s="524" t="s">
        <v>1349</v>
      </c>
      <c r="E539" s="653">
        <v>150</v>
      </c>
      <c r="F539" s="653">
        <v>0</v>
      </c>
      <c r="G539" s="653">
        <v>150</v>
      </c>
      <c r="H539" s="653">
        <v>0</v>
      </c>
      <c r="I539" s="653">
        <v>141.4</v>
      </c>
      <c r="J539" s="653">
        <v>0</v>
      </c>
      <c r="K539" s="653">
        <v>141.4</v>
      </c>
      <c r="L539" s="698">
        <v>0</v>
      </c>
      <c r="M539" s="673">
        <v>90.2</v>
      </c>
      <c r="N539" s="653">
        <v>4.72</v>
      </c>
      <c r="O539" s="669" t="s">
        <v>1350</v>
      </c>
      <c r="P539" s="463" t="s">
        <v>1588</v>
      </c>
      <c r="Q539" s="672">
        <v>0</v>
      </c>
      <c r="R539" s="672">
        <v>0</v>
      </c>
      <c r="S539" s="681">
        <v>0</v>
      </c>
      <c r="T539" s="672">
        <v>0</v>
      </c>
      <c r="U539" s="463" t="s">
        <v>1351</v>
      </c>
      <c r="V539" s="466" t="s">
        <v>1352</v>
      </c>
      <c r="W539" s="653">
        <v>229</v>
      </c>
      <c r="X539" s="463" t="s">
        <v>1532</v>
      </c>
      <c r="Y539" s="463" t="s">
        <v>1273</v>
      </c>
      <c r="Z539" s="463" t="s">
        <v>1340</v>
      </c>
      <c r="AA539" s="463" t="s">
        <v>1592</v>
      </c>
      <c r="AB539" s="459" t="s">
        <v>1341</v>
      </c>
    </row>
    <row r="540" spans="1:28" ht="24" customHeight="1">
      <c r="A540" s="584"/>
      <c r="B540" s="521" t="s">
        <v>675</v>
      </c>
      <c r="C540" s="522" t="s">
        <v>1353</v>
      </c>
      <c r="D540" s="524" t="s">
        <v>1354</v>
      </c>
      <c r="E540" s="653">
        <f t="shared" ref="E540:E547" si="44">SUM(F540:H540)</f>
        <v>25</v>
      </c>
      <c r="F540" s="653" t="s">
        <v>1991</v>
      </c>
      <c r="G540" s="653">
        <v>25</v>
      </c>
      <c r="H540" s="653" t="s">
        <v>1991</v>
      </c>
      <c r="I540" s="653">
        <v>18.8</v>
      </c>
      <c r="J540" s="653" t="s">
        <v>1991</v>
      </c>
      <c r="K540" s="653">
        <v>18.8</v>
      </c>
      <c r="L540" s="698" t="s">
        <v>1991</v>
      </c>
      <c r="M540" s="673" t="s">
        <v>1588</v>
      </c>
      <c r="N540" s="653" t="s">
        <v>1588</v>
      </c>
      <c r="O540" s="669" t="s">
        <v>1355</v>
      </c>
      <c r="P540" s="463" t="s">
        <v>1991</v>
      </c>
      <c r="Q540" s="672" t="s">
        <v>1991</v>
      </c>
      <c r="R540" s="672" t="s">
        <v>1991</v>
      </c>
      <c r="S540" s="672" t="s">
        <v>1991</v>
      </c>
      <c r="T540" s="672" t="s">
        <v>1991</v>
      </c>
      <c r="U540" s="463" t="s">
        <v>7465</v>
      </c>
      <c r="V540" s="463" t="s">
        <v>1356</v>
      </c>
      <c r="W540" s="653">
        <v>197</v>
      </c>
      <c r="X540" s="463" t="s">
        <v>2243</v>
      </c>
      <c r="Y540" s="463" t="s">
        <v>1273</v>
      </c>
      <c r="Z540" s="463" t="s">
        <v>1357</v>
      </c>
      <c r="AA540" s="463" t="s">
        <v>1618</v>
      </c>
      <c r="AB540" s="459" t="s">
        <v>1358</v>
      </c>
    </row>
    <row r="541" spans="1:28" ht="24" customHeight="1">
      <c r="A541" s="584"/>
      <c r="B541" s="521" t="s">
        <v>675</v>
      </c>
      <c r="C541" s="522" t="s">
        <v>1359</v>
      </c>
      <c r="D541" s="524" t="s">
        <v>1360</v>
      </c>
      <c r="E541" s="653">
        <f t="shared" si="44"/>
        <v>30</v>
      </c>
      <c r="F541" s="653" t="s">
        <v>1991</v>
      </c>
      <c r="G541" s="653">
        <v>30</v>
      </c>
      <c r="H541" s="653" t="s">
        <v>1991</v>
      </c>
      <c r="I541" s="653">
        <v>15.2</v>
      </c>
      <c r="J541" s="653" t="s">
        <v>1991</v>
      </c>
      <c r="K541" s="653">
        <v>15.2</v>
      </c>
      <c r="L541" s="698" t="s">
        <v>1991</v>
      </c>
      <c r="M541" s="673" t="s">
        <v>1588</v>
      </c>
      <c r="N541" s="653" t="s">
        <v>1588</v>
      </c>
      <c r="O541" s="669" t="s">
        <v>1355</v>
      </c>
      <c r="P541" s="463" t="s">
        <v>1991</v>
      </c>
      <c r="Q541" s="672" t="s">
        <v>1991</v>
      </c>
      <c r="R541" s="672" t="s">
        <v>1991</v>
      </c>
      <c r="S541" s="672" t="s">
        <v>1991</v>
      </c>
      <c r="T541" s="672" t="s">
        <v>1991</v>
      </c>
      <c r="U541" s="463" t="s">
        <v>7465</v>
      </c>
      <c r="V541" s="463" t="s">
        <v>1356</v>
      </c>
      <c r="W541" s="653">
        <v>205</v>
      </c>
      <c r="X541" s="463" t="s">
        <v>2243</v>
      </c>
      <c r="Y541" s="463" t="s">
        <v>1273</v>
      </c>
      <c r="Z541" s="463" t="s">
        <v>1357</v>
      </c>
      <c r="AA541" s="463" t="s">
        <v>1618</v>
      </c>
      <c r="AB541" s="459" t="s">
        <v>1358</v>
      </c>
    </row>
    <row r="542" spans="1:28" ht="24" customHeight="1">
      <c r="A542" s="584"/>
      <c r="B542" s="521" t="s">
        <v>675</v>
      </c>
      <c r="C542" s="522" t="s">
        <v>1361</v>
      </c>
      <c r="D542" s="524" t="s">
        <v>1362</v>
      </c>
      <c r="E542" s="653">
        <f t="shared" si="44"/>
        <v>65</v>
      </c>
      <c r="F542" s="653" t="s">
        <v>1991</v>
      </c>
      <c r="G542" s="653">
        <v>65</v>
      </c>
      <c r="H542" s="653" t="s">
        <v>1991</v>
      </c>
      <c r="I542" s="653">
        <v>53.5</v>
      </c>
      <c r="J542" s="653" t="s">
        <v>1991</v>
      </c>
      <c r="K542" s="653">
        <v>53.5</v>
      </c>
      <c r="L542" s="698" t="s">
        <v>1991</v>
      </c>
      <c r="M542" s="673" t="s">
        <v>1588</v>
      </c>
      <c r="N542" s="653" t="s">
        <v>1588</v>
      </c>
      <c r="O542" s="669" t="s">
        <v>1363</v>
      </c>
      <c r="P542" s="463" t="s">
        <v>1991</v>
      </c>
      <c r="Q542" s="672" t="s">
        <v>1991</v>
      </c>
      <c r="R542" s="672" t="s">
        <v>1991</v>
      </c>
      <c r="S542" s="672" t="s">
        <v>1991</v>
      </c>
      <c r="T542" s="672" t="s">
        <v>1991</v>
      </c>
      <c r="U542" s="463" t="s">
        <v>7465</v>
      </c>
      <c r="V542" s="463" t="s">
        <v>1364</v>
      </c>
      <c r="W542" s="653">
        <v>124</v>
      </c>
      <c r="X542" s="463" t="s">
        <v>2243</v>
      </c>
      <c r="Y542" s="463" t="s">
        <v>1273</v>
      </c>
      <c r="Z542" s="463" t="s">
        <v>1613</v>
      </c>
      <c r="AA542" s="463" t="s">
        <v>1615</v>
      </c>
      <c r="AB542" s="459" t="s">
        <v>1534</v>
      </c>
    </row>
    <row r="543" spans="1:28" ht="24" customHeight="1">
      <c r="A543" s="584"/>
      <c r="B543" s="521" t="s">
        <v>675</v>
      </c>
      <c r="C543" s="522" t="s">
        <v>1365</v>
      </c>
      <c r="D543" s="524" t="s">
        <v>1366</v>
      </c>
      <c r="E543" s="653">
        <f t="shared" si="44"/>
        <v>34</v>
      </c>
      <c r="F543" s="653" t="s">
        <v>1991</v>
      </c>
      <c r="G543" s="653">
        <v>34</v>
      </c>
      <c r="H543" s="653" t="s">
        <v>1991</v>
      </c>
      <c r="I543" s="653">
        <v>27</v>
      </c>
      <c r="J543" s="653" t="s">
        <v>1991</v>
      </c>
      <c r="K543" s="653">
        <v>27</v>
      </c>
      <c r="L543" s="698" t="s">
        <v>1991</v>
      </c>
      <c r="M543" s="673" t="s">
        <v>1588</v>
      </c>
      <c r="N543" s="653" t="s">
        <v>1588</v>
      </c>
      <c r="O543" s="669" t="s">
        <v>1367</v>
      </c>
      <c r="P543" s="463" t="s">
        <v>1991</v>
      </c>
      <c r="Q543" s="672" t="s">
        <v>1991</v>
      </c>
      <c r="R543" s="672" t="s">
        <v>1991</v>
      </c>
      <c r="S543" s="672" t="s">
        <v>1991</v>
      </c>
      <c r="T543" s="672" t="s">
        <v>1991</v>
      </c>
      <c r="U543" s="463" t="s">
        <v>7465</v>
      </c>
      <c r="V543" s="463" t="s">
        <v>1368</v>
      </c>
      <c r="W543" s="653">
        <v>277</v>
      </c>
      <c r="X543" s="463" t="s">
        <v>2243</v>
      </c>
      <c r="Y543" s="463" t="s">
        <v>1273</v>
      </c>
      <c r="Z543" s="463" t="s">
        <v>1369</v>
      </c>
      <c r="AA543" s="463" t="s">
        <v>1615</v>
      </c>
      <c r="AB543" s="459" t="s">
        <v>1534</v>
      </c>
    </row>
    <row r="544" spans="1:28" ht="24" customHeight="1">
      <c r="A544" s="584"/>
      <c r="B544" s="521" t="s">
        <v>675</v>
      </c>
      <c r="C544" s="522" t="s">
        <v>1370</v>
      </c>
      <c r="D544" s="524" t="s">
        <v>1371</v>
      </c>
      <c r="E544" s="653">
        <f t="shared" si="44"/>
        <v>60</v>
      </c>
      <c r="F544" s="653" t="s">
        <v>1991</v>
      </c>
      <c r="G544" s="653">
        <v>60</v>
      </c>
      <c r="H544" s="653" t="s">
        <v>1991</v>
      </c>
      <c r="I544" s="653">
        <v>32.799999999999997</v>
      </c>
      <c r="J544" s="653" t="s">
        <v>1991</v>
      </c>
      <c r="K544" s="653">
        <v>32.799999999999997</v>
      </c>
      <c r="L544" s="698" t="s">
        <v>1991</v>
      </c>
      <c r="M544" s="673" t="s">
        <v>1588</v>
      </c>
      <c r="N544" s="653" t="s">
        <v>1588</v>
      </c>
      <c r="O544" s="669" t="s">
        <v>1367</v>
      </c>
      <c r="P544" s="463" t="s">
        <v>1991</v>
      </c>
      <c r="Q544" s="672" t="s">
        <v>1991</v>
      </c>
      <c r="R544" s="672" t="s">
        <v>1991</v>
      </c>
      <c r="S544" s="672" t="s">
        <v>1991</v>
      </c>
      <c r="T544" s="672" t="s">
        <v>1991</v>
      </c>
      <c r="U544" s="463" t="s">
        <v>7465</v>
      </c>
      <c r="V544" s="463" t="s">
        <v>1372</v>
      </c>
      <c r="W544" s="653">
        <v>336</v>
      </c>
      <c r="X544" s="463" t="s">
        <v>2243</v>
      </c>
      <c r="Y544" s="463" t="s">
        <v>1273</v>
      </c>
      <c r="Z544" s="463" t="s">
        <v>1369</v>
      </c>
      <c r="AA544" s="463" t="s">
        <v>1615</v>
      </c>
      <c r="AB544" s="459" t="s">
        <v>1534</v>
      </c>
    </row>
    <row r="545" spans="1:28" ht="24" customHeight="1">
      <c r="A545" s="584"/>
      <c r="B545" s="521" t="s">
        <v>675</v>
      </c>
      <c r="C545" s="522" t="s">
        <v>1373</v>
      </c>
      <c r="D545" s="524" t="s">
        <v>1374</v>
      </c>
      <c r="E545" s="653">
        <f t="shared" si="44"/>
        <v>50</v>
      </c>
      <c r="F545" s="653" t="s">
        <v>1991</v>
      </c>
      <c r="G545" s="653">
        <v>50</v>
      </c>
      <c r="H545" s="653" t="s">
        <v>1991</v>
      </c>
      <c r="I545" s="653">
        <f>SUM(J545:L545)</f>
        <v>107.8</v>
      </c>
      <c r="J545" s="653" t="s">
        <v>1991</v>
      </c>
      <c r="K545" s="653">
        <v>107.8</v>
      </c>
      <c r="L545" s="698" t="s">
        <v>1991</v>
      </c>
      <c r="M545" s="673">
        <f>I545/E545*100</f>
        <v>215.60000000000002</v>
      </c>
      <c r="N545" s="653">
        <v>2612</v>
      </c>
      <c r="O545" s="669" t="s">
        <v>1375</v>
      </c>
      <c r="P545" s="463" t="s">
        <v>1991</v>
      </c>
      <c r="Q545" s="672" t="s">
        <v>1991</v>
      </c>
      <c r="R545" s="672" t="s">
        <v>1991</v>
      </c>
      <c r="S545" s="672" t="s">
        <v>1991</v>
      </c>
      <c r="T545" s="672" t="s">
        <v>1991</v>
      </c>
      <c r="U545" s="463" t="s">
        <v>7465</v>
      </c>
      <c r="V545" s="463" t="s">
        <v>1364</v>
      </c>
      <c r="W545" s="653">
        <v>292</v>
      </c>
      <c r="X545" s="463" t="s">
        <v>2243</v>
      </c>
      <c r="Y545" s="463" t="s">
        <v>1376</v>
      </c>
      <c r="Z545" s="463" t="s">
        <v>1377</v>
      </c>
      <c r="AA545" s="463" t="s">
        <v>1341</v>
      </c>
      <c r="AB545" s="459" t="s">
        <v>1358</v>
      </c>
    </row>
    <row r="546" spans="1:28" ht="24" customHeight="1">
      <c r="A546" s="584"/>
      <c r="B546" s="521" t="s">
        <v>675</v>
      </c>
      <c r="C546" s="522" t="s">
        <v>1378</v>
      </c>
      <c r="D546" s="524" t="s">
        <v>1379</v>
      </c>
      <c r="E546" s="653">
        <f t="shared" si="44"/>
        <v>25</v>
      </c>
      <c r="F546" s="653" t="s">
        <v>1991</v>
      </c>
      <c r="G546" s="653">
        <v>25</v>
      </c>
      <c r="H546" s="653" t="s">
        <v>1991</v>
      </c>
      <c r="I546" s="653">
        <v>22.7</v>
      </c>
      <c r="J546" s="653" t="s">
        <v>1991</v>
      </c>
      <c r="K546" s="653">
        <v>22.7</v>
      </c>
      <c r="L546" s="698" t="s">
        <v>1991</v>
      </c>
      <c r="M546" s="673" t="s">
        <v>1588</v>
      </c>
      <c r="N546" s="653" t="s">
        <v>1588</v>
      </c>
      <c r="O546" s="669" t="s">
        <v>1375</v>
      </c>
      <c r="P546" s="463" t="s">
        <v>1991</v>
      </c>
      <c r="Q546" s="672" t="s">
        <v>1991</v>
      </c>
      <c r="R546" s="672" t="s">
        <v>1991</v>
      </c>
      <c r="S546" s="672" t="s">
        <v>1991</v>
      </c>
      <c r="T546" s="672" t="s">
        <v>1991</v>
      </c>
      <c r="U546" s="463" t="s">
        <v>7465</v>
      </c>
      <c r="V546" s="463" t="s">
        <v>1364</v>
      </c>
      <c r="W546" s="653">
        <v>146</v>
      </c>
      <c r="X546" s="463" t="s">
        <v>2243</v>
      </c>
      <c r="Y546" s="463" t="s">
        <v>1273</v>
      </c>
      <c r="Z546" s="463" t="s">
        <v>1377</v>
      </c>
      <c r="AA546" s="463" t="s">
        <v>1380</v>
      </c>
      <c r="AB546" s="459" t="s">
        <v>1358</v>
      </c>
    </row>
    <row r="547" spans="1:28" ht="24" customHeight="1">
      <c r="A547" s="584"/>
      <c r="B547" s="521" t="s">
        <v>675</v>
      </c>
      <c r="C547" s="522" t="s">
        <v>1381</v>
      </c>
      <c r="D547" s="524" t="s">
        <v>1382</v>
      </c>
      <c r="E547" s="653">
        <f t="shared" si="44"/>
        <v>220</v>
      </c>
      <c r="F547" s="653" t="s">
        <v>1991</v>
      </c>
      <c r="G547" s="653">
        <v>220</v>
      </c>
      <c r="H547" s="653" t="s">
        <v>1991</v>
      </c>
      <c r="I547" s="653">
        <v>183.8</v>
      </c>
      <c r="J547" s="653" t="s">
        <v>1991</v>
      </c>
      <c r="K547" s="653">
        <v>183.8</v>
      </c>
      <c r="L547" s="698" t="s">
        <v>1991</v>
      </c>
      <c r="M547" s="673" t="s">
        <v>1588</v>
      </c>
      <c r="N547" s="653" t="s">
        <v>1588</v>
      </c>
      <c r="O547" s="669" t="s">
        <v>1375</v>
      </c>
      <c r="P547" s="463" t="s">
        <v>1991</v>
      </c>
      <c r="Q547" s="672" t="s">
        <v>1991</v>
      </c>
      <c r="R547" s="672" t="s">
        <v>1991</v>
      </c>
      <c r="S547" s="672" t="s">
        <v>1991</v>
      </c>
      <c r="T547" s="672" t="s">
        <v>1991</v>
      </c>
      <c r="U547" s="463" t="s">
        <v>7465</v>
      </c>
      <c r="V547" s="463" t="s">
        <v>1383</v>
      </c>
      <c r="W547" s="653">
        <v>400</v>
      </c>
      <c r="X547" s="463" t="s">
        <v>2243</v>
      </c>
      <c r="Y547" s="463" t="s">
        <v>1273</v>
      </c>
      <c r="Z547" s="463" t="s">
        <v>1377</v>
      </c>
      <c r="AA547" s="463" t="s">
        <v>1341</v>
      </c>
      <c r="AB547" s="459" t="s">
        <v>1358</v>
      </c>
    </row>
    <row r="548" spans="1:28" ht="24" customHeight="1">
      <c r="A548" s="584"/>
      <c r="B548" s="521" t="s">
        <v>675</v>
      </c>
      <c r="C548" s="522" t="s">
        <v>1384</v>
      </c>
      <c r="D548" s="524" t="s">
        <v>1385</v>
      </c>
      <c r="E548" s="653">
        <v>20</v>
      </c>
      <c r="F548" s="653" t="s">
        <v>1991</v>
      </c>
      <c r="G548" s="653">
        <v>20</v>
      </c>
      <c r="H548" s="653" t="s">
        <v>1991</v>
      </c>
      <c r="I548" s="653">
        <v>16.3</v>
      </c>
      <c r="J548" s="653" t="s">
        <v>1991</v>
      </c>
      <c r="K548" s="653">
        <v>16.3</v>
      </c>
      <c r="L548" s="698" t="s">
        <v>1991</v>
      </c>
      <c r="M548" s="673" t="s">
        <v>1588</v>
      </c>
      <c r="N548" s="653" t="s">
        <v>1386</v>
      </c>
      <c r="O548" s="669" t="s">
        <v>1375</v>
      </c>
      <c r="P548" s="463" t="s">
        <v>1991</v>
      </c>
      <c r="Q548" s="672" t="s">
        <v>1991</v>
      </c>
      <c r="R548" s="672" t="s">
        <v>1991</v>
      </c>
      <c r="S548" s="672" t="s">
        <v>1991</v>
      </c>
      <c r="T548" s="672" t="s">
        <v>1991</v>
      </c>
      <c r="U548" s="463" t="s">
        <v>7465</v>
      </c>
      <c r="V548" s="463" t="s">
        <v>1387</v>
      </c>
      <c r="W548" s="653">
        <v>90</v>
      </c>
      <c r="X548" s="463" t="s">
        <v>2243</v>
      </c>
      <c r="Y548" s="463" t="s">
        <v>1376</v>
      </c>
      <c r="Z548" s="463" t="s">
        <v>1377</v>
      </c>
      <c r="AA548" s="463" t="s">
        <v>1341</v>
      </c>
      <c r="AB548" s="459" t="s">
        <v>1358</v>
      </c>
    </row>
    <row r="549" spans="1:28" ht="24" customHeight="1">
      <c r="A549" s="584"/>
      <c r="B549" s="521" t="s">
        <v>675</v>
      </c>
      <c r="C549" s="522" t="s">
        <v>1388</v>
      </c>
      <c r="D549" s="524" t="s">
        <v>1389</v>
      </c>
      <c r="E549" s="653">
        <f t="shared" ref="E549:E556" si="45">SUM(F549:H549)</f>
        <v>30</v>
      </c>
      <c r="F549" s="653" t="s">
        <v>1991</v>
      </c>
      <c r="G549" s="653">
        <v>30</v>
      </c>
      <c r="H549" s="653" t="s">
        <v>1991</v>
      </c>
      <c r="I549" s="653">
        <v>18.2</v>
      </c>
      <c r="J549" s="653" t="s">
        <v>1991</v>
      </c>
      <c r="K549" s="653">
        <v>18.2</v>
      </c>
      <c r="L549" s="698" t="s">
        <v>1991</v>
      </c>
      <c r="M549" s="673" t="s">
        <v>1588</v>
      </c>
      <c r="N549" s="653" t="s">
        <v>1588</v>
      </c>
      <c r="O549" s="669" t="s">
        <v>1367</v>
      </c>
      <c r="P549" s="463" t="s">
        <v>1991</v>
      </c>
      <c r="Q549" s="672" t="s">
        <v>1991</v>
      </c>
      <c r="R549" s="672" t="s">
        <v>1991</v>
      </c>
      <c r="S549" s="672" t="s">
        <v>1991</v>
      </c>
      <c r="T549" s="672" t="s">
        <v>1991</v>
      </c>
      <c r="U549" s="463" t="s">
        <v>7465</v>
      </c>
      <c r="V549" s="463" t="s">
        <v>1390</v>
      </c>
      <c r="W549" s="653">
        <v>180</v>
      </c>
      <c r="X549" s="463" t="s">
        <v>2243</v>
      </c>
      <c r="Y549" s="463" t="s">
        <v>1273</v>
      </c>
      <c r="Z549" s="463" t="s">
        <v>1613</v>
      </c>
      <c r="AA549" s="463" t="s">
        <v>1534</v>
      </c>
      <c r="AB549" s="459" t="s">
        <v>1534</v>
      </c>
    </row>
    <row r="550" spans="1:28" ht="24" customHeight="1">
      <c r="A550" s="584"/>
      <c r="B550" s="521" t="s">
        <v>675</v>
      </c>
      <c r="C550" s="522" t="s">
        <v>1391</v>
      </c>
      <c r="D550" s="524" t="s">
        <v>1392</v>
      </c>
      <c r="E550" s="653">
        <f t="shared" si="45"/>
        <v>15</v>
      </c>
      <c r="F550" s="653" t="s">
        <v>1991</v>
      </c>
      <c r="G550" s="653">
        <v>15</v>
      </c>
      <c r="H550" s="653" t="s">
        <v>1991</v>
      </c>
      <c r="I550" s="653">
        <v>12</v>
      </c>
      <c r="J550" s="653" t="s">
        <v>1991</v>
      </c>
      <c r="K550" s="653">
        <v>12</v>
      </c>
      <c r="L550" s="698" t="s">
        <v>1991</v>
      </c>
      <c r="M550" s="673" t="s">
        <v>1588</v>
      </c>
      <c r="N550" s="653" t="s">
        <v>1588</v>
      </c>
      <c r="O550" s="669" t="s">
        <v>1367</v>
      </c>
      <c r="P550" s="463" t="s">
        <v>1991</v>
      </c>
      <c r="Q550" s="672" t="s">
        <v>1991</v>
      </c>
      <c r="R550" s="672" t="s">
        <v>1991</v>
      </c>
      <c r="S550" s="672" t="s">
        <v>1991</v>
      </c>
      <c r="T550" s="672" t="s">
        <v>1991</v>
      </c>
      <c r="U550" s="463" t="s">
        <v>7465</v>
      </c>
      <c r="V550" s="463" t="s">
        <v>1393</v>
      </c>
      <c r="W550" s="653">
        <v>76</v>
      </c>
      <c r="X550" s="463" t="s">
        <v>2243</v>
      </c>
      <c r="Y550" s="463" t="s">
        <v>1273</v>
      </c>
      <c r="Z550" s="463" t="s">
        <v>1369</v>
      </c>
      <c r="AA550" s="463" t="s">
        <v>1534</v>
      </c>
      <c r="AB550" s="459" t="s">
        <v>1534</v>
      </c>
    </row>
    <row r="551" spans="1:28" ht="24" customHeight="1">
      <c r="A551" s="584"/>
      <c r="B551" s="521" t="s">
        <v>675</v>
      </c>
      <c r="C551" s="522" t="s">
        <v>1394</v>
      </c>
      <c r="D551" s="524" t="s">
        <v>1395</v>
      </c>
      <c r="E551" s="653">
        <f t="shared" si="45"/>
        <v>10</v>
      </c>
      <c r="F551" s="653" t="s">
        <v>1991</v>
      </c>
      <c r="G551" s="653">
        <v>10</v>
      </c>
      <c r="H551" s="653" t="s">
        <v>1991</v>
      </c>
      <c r="I551" s="653">
        <v>7</v>
      </c>
      <c r="J551" s="653" t="s">
        <v>1991</v>
      </c>
      <c r="K551" s="653">
        <v>7</v>
      </c>
      <c r="L551" s="698" t="s">
        <v>1991</v>
      </c>
      <c r="M551" s="673" t="s">
        <v>1588</v>
      </c>
      <c r="N551" s="653" t="s">
        <v>1588</v>
      </c>
      <c r="O551" s="669" t="s">
        <v>1367</v>
      </c>
      <c r="P551" s="463" t="s">
        <v>1991</v>
      </c>
      <c r="Q551" s="672" t="s">
        <v>1991</v>
      </c>
      <c r="R551" s="672" t="s">
        <v>1991</v>
      </c>
      <c r="S551" s="672" t="s">
        <v>1991</v>
      </c>
      <c r="T551" s="672" t="s">
        <v>1991</v>
      </c>
      <c r="U551" s="463" t="s">
        <v>7465</v>
      </c>
      <c r="V551" s="463" t="s">
        <v>1393</v>
      </c>
      <c r="W551" s="653">
        <v>104</v>
      </c>
      <c r="X551" s="463" t="s">
        <v>2243</v>
      </c>
      <c r="Y551" s="463" t="s">
        <v>1396</v>
      </c>
      <c r="Z551" s="463" t="s">
        <v>1369</v>
      </c>
      <c r="AA551" s="463" t="s">
        <v>1534</v>
      </c>
      <c r="AB551" s="459" t="s">
        <v>1534</v>
      </c>
    </row>
    <row r="552" spans="1:28" ht="24" customHeight="1">
      <c r="A552" s="584"/>
      <c r="B552" s="521" t="s">
        <v>675</v>
      </c>
      <c r="C552" s="522" t="s">
        <v>1397</v>
      </c>
      <c r="D552" s="524" t="s">
        <v>1398</v>
      </c>
      <c r="E552" s="653">
        <f t="shared" si="45"/>
        <v>35</v>
      </c>
      <c r="F552" s="653" t="s">
        <v>1991</v>
      </c>
      <c r="G552" s="653" t="s">
        <v>1588</v>
      </c>
      <c r="H552" s="653">
        <v>35</v>
      </c>
      <c r="I552" s="653">
        <v>26.6</v>
      </c>
      <c r="J552" s="653" t="s">
        <v>1991</v>
      </c>
      <c r="K552" s="653" t="s">
        <v>1991</v>
      </c>
      <c r="L552" s="698">
        <v>26.6</v>
      </c>
      <c r="M552" s="673" t="s">
        <v>1588</v>
      </c>
      <c r="N552" s="653" t="s">
        <v>1386</v>
      </c>
      <c r="O552" s="669" t="s">
        <v>1375</v>
      </c>
      <c r="P552" s="463" t="s">
        <v>1991</v>
      </c>
      <c r="Q552" s="672" t="s">
        <v>1991</v>
      </c>
      <c r="R552" s="672" t="s">
        <v>1991</v>
      </c>
      <c r="S552" s="672" t="s">
        <v>1991</v>
      </c>
      <c r="T552" s="672" t="s">
        <v>1991</v>
      </c>
      <c r="U552" s="463" t="s">
        <v>7465</v>
      </c>
      <c r="V552" s="463" t="s">
        <v>1368</v>
      </c>
      <c r="W552" s="653">
        <v>202</v>
      </c>
      <c r="X552" s="463" t="s">
        <v>2243</v>
      </c>
      <c r="Y552" s="463" t="s">
        <v>1376</v>
      </c>
      <c r="Z552" s="463" t="s">
        <v>1377</v>
      </c>
      <c r="AA552" s="463" t="s">
        <v>1592</v>
      </c>
      <c r="AB552" s="459" t="s">
        <v>1358</v>
      </c>
    </row>
    <row r="553" spans="1:28" ht="24" customHeight="1">
      <c r="A553" s="584"/>
      <c r="B553" s="521" t="s">
        <v>675</v>
      </c>
      <c r="C553" s="522" t="s">
        <v>1399</v>
      </c>
      <c r="D553" s="524" t="s">
        <v>1400</v>
      </c>
      <c r="E553" s="653">
        <f t="shared" si="45"/>
        <v>34</v>
      </c>
      <c r="F553" s="653" t="s">
        <v>1991</v>
      </c>
      <c r="G553" s="653">
        <v>34</v>
      </c>
      <c r="H553" s="653" t="s">
        <v>1991</v>
      </c>
      <c r="I553" s="653">
        <f>SUM(J553:L553)</f>
        <v>31.5</v>
      </c>
      <c r="J553" s="653" t="s">
        <v>1991</v>
      </c>
      <c r="K553" s="653">
        <v>31.5</v>
      </c>
      <c r="L553" s="698" t="s">
        <v>1991</v>
      </c>
      <c r="M553" s="673">
        <f>I553/E553*100</f>
        <v>92.64705882352942</v>
      </c>
      <c r="N553" s="653">
        <v>352</v>
      </c>
      <c r="O553" s="669" t="s">
        <v>1375</v>
      </c>
      <c r="P553" s="463" t="s">
        <v>1991</v>
      </c>
      <c r="Q553" s="672" t="s">
        <v>1991</v>
      </c>
      <c r="R553" s="672" t="s">
        <v>1991</v>
      </c>
      <c r="S553" s="672" t="s">
        <v>1991</v>
      </c>
      <c r="T553" s="672" t="s">
        <v>1991</v>
      </c>
      <c r="U553" s="463" t="s">
        <v>7465</v>
      </c>
      <c r="V553" s="463" t="s">
        <v>1368</v>
      </c>
      <c r="W553" s="653">
        <v>127</v>
      </c>
      <c r="X553" s="463" t="s">
        <v>2243</v>
      </c>
      <c r="Y553" s="463" t="s">
        <v>1376</v>
      </c>
      <c r="Z553" s="463" t="s">
        <v>1377</v>
      </c>
      <c r="AA553" s="463" t="s">
        <v>1592</v>
      </c>
      <c r="AB553" s="459" t="s">
        <v>1358</v>
      </c>
    </row>
    <row r="554" spans="1:28" ht="24" customHeight="1">
      <c r="A554" s="584"/>
      <c r="B554" s="521" t="s">
        <v>675</v>
      </c>
      <c r="C554" s="522" t="s">
        <v>1401</v>
      </c>
      <c r="D554" s="524" t="s">
        <v>1402</v>
      </c>
      <c r="E554" s="653">
        <f t="shared" si="45"/>
        <v>40</v>
      </c>
      <c r="F554" s="653" t="s">
        <v>1991</v>
      </c>
      <c r="G554" s="653">
        <v>40</v>
      </c>
      <c r="H554" s="653" t="s">
        <v>1991</v>
      </c>
      <c r="I554" s="653">
        <v>29.7</v>
      </c>
      <c r="J554" s="653" t="s">
        <v>1991</v>
      </c>
      <c r="K554" s="653">
        <v>29.7</v>
      </c>
      <c r="L554" s="698" t="s">
        <v>1991</v>
      </c>
      <c r="M554" s="673" t="s">
        <v>1588</v>
      </c>
      <c r="N554" s="653" t="s">
        <v>1386</v>
      </c>
      <c r="O554" s="669" t="s">
        <v>1375</v>
      </c>
      <c r="P554" s="463" t="s">
        <v>1991</v>
      </c>
      <c r="Q554" s="672" t="s">
        <v>1991</v>
      </c>
      <c r="R554" s="672" t="s">
        <v>1991</v>
      </c>
      <c r="S554" s="672" t="s">
        <v>1991</v>
      </c>
      <c r="T554" s="672" t="s">
        <v>1991</v>
      </c>
      <c r="U554" s="463" t="s">
        <v>7465</v>
      </c>
      <c r="V554" s="463" t="s">
        <v>4824</v>
      </c>
      <c r="W554" s="653">
        <v>177</v>
      </c>
      <c r="X554" s="463" t="s">
        <v>2243</v>
      </c>
      <c r="Y554" s="463" t="s">
        <v>1273</v>
      </c>
      <c r="Z554" s="463" t="s">
        <v>1377</v>
      </c>
      <c r="AA554" s="463" t="s">
        <v>1592</v>
      </c>
      <c r="AB554" s="459" t="s">
        <v>1358</v>
      </c>
    </row>
    <row r="555" spans="1:28" ht="24" customHeight="1">
      <c r="A555" s="584"/>
      <c r="B555" s="521" t="s">
        <v>675</v>
      </c>
      <c r="C555" s="522" t="s">
        <v>4825</v>
      </c>
      <c r="D555" s="524" t="s">
        <v>4826</v>
      </c>
      <c r="E555" s="653">
        <f t="shared" si="45"/>
        <v>40</v>
      </c>
      <c r="F555" s="653" t="s">
        <v>1991</v>
      </c>
      <c r="G555" s="653">
        <v>40</v>
      </c>
      <c r="H555" s="653" t="s">
        <v>1991</v>
      </c>
      <c r="I555" s="653">
        <v>31.3</v>
      </c>
      <c r="J555" s="653" t="s">
        <v>1991</v>
      </c>
      <c r="K555" s="653">
        <v>31.3</v>
      </c>
      <c r="L555" s="698" t="s">
        <v>1991</v>
      </c>
      <c r="M555" s="673" t="s">
        <v>1588</v>
      </c>
      <c r="N555" s="653" t="s">
        <v>1386</v>
      </c>
      <c r="O555" s="669" t="s">
        <v>1375</v>
      </c>
      <c r="P555" s="463" t="s">
        <v>1991</v>
      </c>
      <c r="Q555" s="672" t="s">
        <v>1991</v>
      </c>
      <c r="R555" s="672" t="s">
        <v>1991</v>
      </c>
      <c r="S555" s="672" t="s">
        <v>1991</v>
      </c>
      <c r="T555" s="672" t="s">
        <v>1991</v>
      </c>
      <c r="U555" s="463" t="s">
        <v>7465</v>
      </c>
      <c r="V555" s="463" t="s">
        <v>4827</v>
      </c>
      <c r="W555" s="653">
        <v>169</v>
      </c>
      <c r="X555" s="463" t="s">
        <v>2243</v>
      </c>
      <c r="Y555" s="463" t="s">
        <v>1273</v>
      </c>
      <c r="Z555" s="463" t="s">
        <v>1377</v>
      </c>
      <c r="AA555" s="463" t="s">
        <v>1592</v>
      </c>
      <c r="AB555" s="459" t="s">
        <v>1358</v>
      </c>
    </row>
    <row r="556" spans="1:28" ht="24" customHeight="1">
      <c r="A556" s="584"/>
      <c r="B556" s="521" t="s">
        <v>675</v>
      </c>
      <c r="C556" s="522" t="s">
        <v>4828</v>
      </c>
      <c r="D556" s="524" t="s">
        <v>4829</v>
      </c>
      <c r="E556" s="653">
        <f t="shared" si="45"/>
        <v>30</v>
      </c>
      <c r="F556" s="653" t="s">
        <v>1991</v>
      </c>
      <c r="G556" s="653">
        <v>30</v>
      </c>
      <c r="H556" s="653" t="s">
        <v>1991</v>
      </c>
      <c r="I556" s="653">
        <v>19.8</v>
      </c>
      <c r="J556" s="653" t="s">
        <v>1991</v>
      </c>
      <c r="K556" s="653">
        <v>19.8</v>
      </c>
      <c r="L556" s="698" t="s">
        <v>1991</v>
      </c>
      <c r="M556" s="673" t="s">
        <v>1588</v>
      </c>
      <c r="N556" s="653" t="s">
        <v>1386</v>
      </c>
      <c r="O556" s="669" t="s">
        <v>1375</v>
      </c>
      <c r="P556" s="463" t="s">
        <v>1991</v>
      </c>
      <c r="Q556" s="672" t="s">
        <v>1991</v>
      </c>
      <c r="R556" s="672" t="s">
        <v>1991</v>
      </c>
      <c r="S556" s="672" t="s">
        <v>1991</v>
      </c>
      <c r="T556" s="672" t="s">
        <v>1991</v>
      </c>
      <c r="U556" s="463" t="s">
        <v>7465</v>
      </c>
      <c r="V556" s="463" t="s">
        <v>4827</v>
      </c>
      <c r="W556" s="653">
        <v>127</v>
      </c>
      <c r="X556" s="463" t="s">
        <v>2243</v>
      </c>
      <c r="Y556" s="463" t="s">
        <v>1273</v>
      </c>
      <c r="Z556" s="463" t="s">
        <v>1377</v>
      </c>
      <c r="AA556" s="463" t="s">
        <v>1592</v>
      </c>
      <c r="AB556" s="459" t="s">
        <v>1358</v>
      </c>
    </row>
    <row r="557" spans="1:28" ht="24" customHeight="1">
      <c r="A557" s="584"/>
      <c r="B557" s="521" t="s">
        <v>675</v>
      </c>
      <c r="C557" s="522" t="s">
        <v>4830</v>
      </c>
      <c r="D557" s="524" t="s">
        <v>4831</v>
      </c>
      <c r="E557" s="653">
        <v>20</v>
      </c>
      <c r="F557" s="653" t="s">
        <v>1991</v>
      </c>
      <c r="G557" s="653">
        <v>20</v>
      </c>
      <c r="H557" s="653" t="s">
        <v>1991</v>
      </c>
      <c r="I557" s="653">
        <v>15.9</v>
      </c>
      <c r="J557" s="653" t="s">
        <v>1991</v>
      </c>
      <c r="K557" s="653">
        <v>15.9</v>
      </c>
      <c r="L557" s="698" t="s">
        <v>1991</v>
      </c>
      <c r="M557" s="673" t="s">
        <v>1588</v>
      </c>
      <c r="N557" s="653" t="s">
        <v>1386</v>
      </c>
      <c r="O557" s="669" t="s">
        <v>1375</v>
      </c>
      <c r="P557" s="463" t="s">
        <v>1991</v>
      </c>
      <c r="Q557" s="672" t="s">
        <v>1991</v>
      </c>
      <c r="R557" s="672" t="s">
        <v>1991</v>
      </c>
      <c r="S557" s="672" t="s">
        <v>1991</v>
      </c>
      <c r="T557" s="672" t="s">
        <v>1991</v>
      </c>
      <c r="U557" s="463" t="s">
        <v>7465</v>
      </c>
      <c r="V557" s="463" t="s">
        <v>1387</v>
      </c>
      <c r="W557" s="653">
        <v>124</v>
      </c>
      <c r="X557" s="463" t="s">
        <v>2243</v>
      </c>
      <c r="Y557" s="463" t="s">
        <v>1376</v>
      </c>
      <c r="Z557" s="463" t="s">
        <v>1377</v>
      </c>
      <c r="AA557" s="463" t="s">
        <v>1592</v>
      </c>
      <c r="AB557" s="459" t="s">
        <v>1358</v>
      </c>
    </row>
    <row r="558" spans="1:28" ht="24" customHeight="1">
      <c r="A558" s="584"/>
      <c r="B558" s="521" t="s">
        <v>675</v>
      </c>
      <c r="C558" s="522" t="s">
        <v>4832</v>
      </c>
      <c r="D558" s="524" t="s">
        <v>4833</v>
      </c>
      <c r="E558" s="653">
        <v>20</v>
      </c>
      <c r="F558" s="653" t="s">
        <v>1991</v>
      </c>
      <c r="G558" s="653">
        <v>20</v>
      </c>
      <c r="H558" s="653" t="s">
        <v>1991</v>
      </c>
      <c r="I558" s="653">
        <v>16</v>
      </c>
      <c r="J558" s="653" t="s">
        <v>1991</v>
      </c>
      <c r="K558" s="653">
        <v>16</v>
      </c>
      <c r="L558" s="698" t="s">
        <v>1991</v>
      </c>
      <c r="M558" s="673" t="s">
        <v>1588</v>
      </c>
      <c r="N558" s="653" t="s">
        <v>1386</v>
      </c>
      <c r="O558" s="669" t="s">
        <v>1375</v>
      </c>
      <c r="P558" s="463" t="s">
        <v>1991</v>
      </c>
      <c r="Q558" s="672" t="s">
        <v>1991</v>
      </c>
      <c r="R558" s="672" t="s">
        <v>1991</v>
      </c>
      <c r="S558" s="672" t="s">
        <v>1991</v>
      </c>
      <c r="T558" s="672" t="s">
        <v>1991</v>
      </c>
      <c r="U558" s="463" t="s">
        <v>7465</v>
      </c>
      <c r="V558" s="463" t="s">
        <v>4834</v>
      </c>
      <c r="W558" s="653">
        <v>128</v>
      </c>
      <c r="X558" s="463" t="s">
        <v>2243</v>
      </c>
      <c r="Y558" s="463" t="s">
        <v>1273</v>
      </c>
      <c r="Z558" s="463" t="s">
        <v>1377</v>
      </c>
      <c r="AA558" s="463" t="s">
        <v>1592</v>
      </c>
      <c r="AB558" s="459" t="s">
        <v>1358</v>
      </c>
    </row>
    <row r="559" spans="1:28" ht="24" customHeight="1">
      <c r="A559" s="596" t="s">
        <v>1619</v>
      </c>
      <c r="B559" s="523" t="s">
        <v>2201</v>
      </c>
      <c r="C559" s="724" t="s">
        <v>2396</v>
      </c>
      <c r="D559" s="523" t="s">
        <v>4835</v>
      </c>
      <c r="E559" s="656">
        <f t="shared" ref="E559:E564" si="46">SUM(F559:H559)</f>
        <v>6000</v>
      </c>
      <c r="F559" s="656">
        <v>0</v>
      </c>
      <c r="G559" s="656">
        <v>0</v>
      </c>
      <c r="H559" s="656">
        <v>6000</v>
      </c>
      <c r="I559" s="656">
        <f>SUM(J559:L559)</f>
        <v>7426</v>
      </c>
      <c r="J559" s="653">
        <v>0</v>
      </c>
      <c r="K559" s="653">
        <v>0</v>
      </c>
      <c r="L559" s="698">
        <v>7426</v>
      </c>
      <c r="M559" s="673">
        <v>97</v>
      </c>
      <c r="N559" s="653">
        <f>M559*I559*(1/1000)*73.4</f>
        <v>52871.634800000007</v>
      </c>
      <c r="O559" s="726" t="s">
        <v>2197</v>
      </c>
      <c r="P559" s="498" t="s">
        <v>1588</v>
      </c>
      <c r="Q559" s="690">
        <v>0</v>
      </c>
      <c r="R559" s="672">
        <v>11</v>
      </c>
      <c r="S559" s="690">
        <v>0</v>
      </c>
      <c r="T559" s="672">
        <v>0</v>
      </c>
      <c r="U559" s="506" t="s">
        <v>2268</v>
      </c>
      <c r="V559" s="494" t="s">
        <v>4836</v>
      </c>
      <c r="W559" s="656">
        <v>5692</v>
      </c>
      <c r="X559" s="132" t="s">
        <v>2199</v>
      </c>
      <c r="Y559" s="132" t="s">
        <v>3161</v>
      </c>
      <c r="Z559" s="132" t="s">
        <v>1620</v>
      </c>
      <c r="AA559" s="132" t="s">
        <v>4837</v>
      </c>
      <c r="AB559" s="133" t="s">
        <v>1592</v>
      </c>
    </row>
    <row r="560" spans="1:28" ht="24" customHeight="1">
      <c r="A560" s="597"/>
      <c r="B560" s="523" t="s">
        <v>2201</v>
      </c>
      <c r="C560" s="724" t="s">
        <v>4838</v>
      </c>
      <c r="D560" s="523" t="s">
        <v>4839</v>
      </c>
      <c r="E560" s="656">
        <f>SUM(F560:H560)</f>
        <v>4000</v>
      </c>
      <c r="F560" s="656">
        <v>0</v>
      </c>
      <c r="G560" s="656">
        <v>0</v>
      </c>
      <c r="H560" s="656">
        <v>4000</v>
      </c>
      <c r="I560" s="656">
        <f>SUM(J560:L560)</f>
        <v>1330</v>
      </c>
      <c r="J560" s="653">
        <v>0</v>
      </c>
      <c r="K560" s="653">
        <v>0</v>
      </c>
      <c r="L560" s="698">
        <v>1330</v>
      </c>
      <c r="M560" s="673">
        <v>96</v>
      </c>
      <c r="N560" s="653">
        <f>M560*I560*(1/1000)*94.3</f>
        <v>12040.224</v>
      </c>
      <c r="O560" s="726" t="s">
        <v>3347</v>
      </c>
      <c r="P560" s="664" t="s">
        <v>3538</v>
      </c>
      <c r="Q560" s="690">
        <v>0</v>
      </c>
      <c r="R560" s="690">
        <v>0</v>
      </c>
      <c r="S560" s="690">
        <v>0</v>
      </c>
      <c r="T560" s="672">
        <v>0</v>
      </c>
      <c r="U560" s="506" t="s">
        <v>4840</v>
      </c>
      <c r="V560" s="494" t="s">
        <v>4841</v>
      </c>
      <c r="W560" s="656">
        <v>11400</v>
      </c>
      <c r="X560" s="132" t="s">
        <v>2199</v>
      </c>
      <c r="Y560" s="132" t="s">
        <v>3161</v>
      </c>
      <c r="Z560" s="132" t="s">
        <v>1613</v>
      </c>
      <c r="AA560" s="132" t="s">
        <v>4842</v>
      </c>
      <c r="AB560" s="133" t="s">
        <v>1534</v>
      </c>
    </row>
    <row r="561" spans="1:28" ht="24" customHeight="1">
      <c r="A561" s="597"/>
      <c r="B561" s="523" t="s">
        <v>2201</v>
      </c>
      <c r="C561" s="724" t="s">
        <v>4843</v>
      </c>
      <c r="D561" s="523" t="s">
        <v>4844</v>
      </c>
      <c r="E561" s="656">
        <v>500</v>
      </c>
      <c r="F561" s="656">
        <v>0</v>
      </c>
      <c r="G561" s="656">
        <v>0</v>
      </c>
      <c r="H561" s="656">
        <v>500</v>
      </c>
      <c r="I561" s="656">
        <f t="shared" ref="I561:I571" si="47">SUM(J561:L561)</f>
        <v>382</v>
      </c>
      <c r="J561" s="653">
        <v>0</v>
      </c>
      <c r="K561" s="653">
        <v>0</v>
      </c>
      <c r="L561" s="698">
        <v>382</v>
      </c>
      <c r="M561" s="673">
        <v>98</v>
      </c>
      <c r="N561" s="653">
        <f>M561*I561*(1/1000)*70.9</f>
        <v>2654.2124000000003</v>
      </c>
      <c r="O561" s="726" t="s">
        <v>3347</v>
      </c>
      <c r="P561" s="664" t="s">
        <v>3538</v>
      </c>
      <c r="Q561" s="690">
        <v>0</v>
      </c>
      <c r="R561" s="690">
        <v>0</v>
      </c>
      <c r="S561" s="690">
        <v>0</v>
      </c>
      <c r="T561" s="672">
        <v>0</v>
      </c>
      <c r="U561" s="506" t="s">
        <v>2268</v>
      </c>
      <c r="V561" s="494" t="s">
        <v>4845</v>
      </c>
      <c r="W561" s="656">
        <v>9065</v>
      </c>
      <c r="X561" s="132" t="s">
        <v>2199</v>
      </c>
      <c r="Y561" s="132" t="s">
        <v>3161</v>
      </c>
      <c r="Z561" s="132" t="s">
        <v>1621</v>
      </c>
      <c r="AA561" s="132" t="s">
        <v>4842</v>
      </c>
      <c r="AB561" s="133" t="s">
        <v>1592</v>
      </c>
    </row>
    <row r="562" spans="1:28" ht="24" customHeight="1">
      <c r="A562" s="597"/>
      <c r="B562" s="523" t="s">
        <v>2201</v>
      </c>
      <c r="C562" s="724" t="s">
        <v>4846</v>
      </c>
      <c r="D562" s="523" t="s">
        <v>4847</v>
      </c>
      <c r="E562" s="656">
        <f t="shared" si="46"/>
        <v>400</v>
      </c>
      <c r="F562" s="656">
        <v>0</v>
      </c>
      <c r="G562" s="656">
        <v>400</v>
      </c>
      <c r="H562" s="656">
        <v>0</v>
      </c>
      <c r="I562" s="656">
        <f t="shared" si="47"/>
        <v>255</v>
      </c>
      <c r="J562" s="653">
        <v>0</v>
      </c>
      <c r="K562" s="653">
        <v>255</v>
      </c>
      <c r="L562" s="698">
        <v>0</v>
      </c>
      <c r="M562" s="673">
        <v>97</v>
      </c>
      <c r="N562" s="653">
        <f>M562*I562*(1/1000)*73.5</f>
        <v>1818.0225</v>
      </c>
      <c r="O562" s="726" t="s">
        <v>3221</v>
      </c>
      <c r="P562" s="664">
        <v>0</v>
      </c>
      <c r="Q562" s="690">
        <v>0</v>
      </c>
      <c r="R562" s="690">
        <v>0</v>
      </c>
      <c r="S562" s="690">
        <v>0</v>
      </c>
      <c r="T562" s="672">
        <v>0</v>
      </c>
      <c r="U562" s="506" t="s">
        <v>2268</v>
      </c>
      <c r="V562" s="494" t="s">
        <v>4848</v>
      </c>
      <c r="W562" s="656">
        <v>447</v>
      </c>
      <c r="X562" s="132" t="s">
        <v>2199</v>
      </c>
      <c r="Y562" s="132" t="s">
        <v>3161</v>
      </c>
      <c r="Z562" s="132" t="s">
        <v>1622</v>
      </c>
      <c r="AA562" s="132" t="s">
        <v>4837</v>
      </c>
      <c r="AB562" s="133" t="s">
        <v>1592</v>
      </c>
    </row>
    <row r="563" spans="1:28" ht="24" customHeight="1">
      <c r="A563" s="597"/>
      <c r="B563" s="523" t="s">
        <v>2201</v>
      </c>
      <c r="C563" s="724" t="s">
        <v>4849</v>
      </c>
      <c r="D563" s="523" t="s">
        <v>4850</v>
      </c>
      <c r="E563" s="653">
        <f t="shared" si="46"/>
        <v>330</v>
      </c>
      <c r="F563" s="656">
        <v>0</v>
      </c>
      <c r="G563" s="656">
        <v>330</v>
      </c>
      <c r="H563" s="656">
        <v>0</v>
      </c>
      <c r="I563" s="656">
        <f t="shared" si="47"/>
        <v>175</v>
      </c>
      <c r="J563" s="653">
        <v>0</v>
      </c>
      <c r="K563" s="653">
        <v>0</v>
      </c>
      <c r="L563" s="698">
        <v>175</v>
      </c>
      <c r="M563" s="673">
        <v>98</v>
      </c>
      <c r="N563" s="653">
        <f>M563*I563*(1/1000)*82.8</f>
        <v>1420.0200000000002</v>
      </c>
      <c r="O563" s="726" t="s">
        <v>2197</v>
      </c>
      <c r="P563" s="498" t="s">
        <v>1588</v>
      </c>
      <c r="Q563" s="690">
        <v>0</v>
      </c>
      <c r="R563" s="690">
        <v>0</v>
      </c>
      <c r="S563" s="690">
        <v>0</v>
      </c>
      <c r="T563" s="672">
        <v>0</v>
      </c>
      <c r="U563" s="506" t="s">
        <v>4851</v>
      </c>
      <c r="V563" s="494" t="s">
        <v>4848</v>
      </c>
      <c r="W563" s="656">
        <v>495</v>
      </c>
      <c r="X563" s="132" t="s">
        <v>2199</v>
      </c>
      <c r="Y563" s="132" t="s">
        <v>3161</v>
      </c>
      <c r="Z563" s="132" t="s">
        <v>1623</v>
      </c>
      <c r="AA563" s="132" t="s">
        <v>4837</v>
      </c>
      <c r="AB563" s="133" t="s">
        <v>1592</v>
      </c>
    </row>
    <row r="564" spans="1:28" ht="24" customHeight="1">
      <c r="A564" s="597"/>
      <c r="B564" s="523" t="s">
        <v>675</v>
      </c>
      <c r="C564" s="724" t="s">
        <v>4852</v>
      </c>
      <c r="D564" s="523" t="s">
        <v>4853</v>
      </c>
      <c r="E564" s="656">
        <f t="shared" si="46"/>
        <v>70</v>
      </c>
      <c r="F564" s="656">
        <v>0</v>
      </c>
      <c r="G564" s="656">
        <v>70</v>
      </c>
      <c r="H564" s="656">
        <v>0</v>
      </c>
      <c r="I564" s="656">
        <f t="shared" si="47"/>
        <v>37</v>
      </c>
      <c r="J564" s="653">
        <v>0</v>
      </c>
      <c r="K564" s="653">
        <v>37</v>
      </c>
      <c r="L564" s="698">
        <v>0</v>
      </c>
      <c r="M564" s="673">
        <v>98</v>
      </c>
      <c r="N564" s="653">
        <f>M564*I564*(1/1000)*105</f>
        <v>380.72999999999996</v>
      </c>
      <c r="O564" s="726" t="s">
        <v>4854</v>
      </c>
      <c r="P564" s="664">
        <v>0</v>
      </c>
      <c r="Q564" s="690">
        <v>0</v>
      </c>
      <c r="R564" s="690">
        <v>0</v>
      </c>
      <c r="S564" s="690">
        <v>0</v>
      </c>
      <c r="T564" s="672">
        <v>0</v>
      </c>
      <c r="U564" s="506" t="s">
        <v>2268</v>
      </c>
      <c r="V564" s="494" t="s">
        <v>4855</v>
      </c>
      <c r="W564" s="656">
        <v>397</v>
      </c>
      <c r="X564" s="132" t="s">
        <v>2199</v>
      </c>
      <c r="Y564" s="132" t="s">
        <v>3161</v>
      </c>
      <c r="Z564" s="132" t="s">
        <v>1623</v>
      </c>
      <c r="AA564" s="132" t="s">
        <v>4837</v>
      </c>
      <c r="AB564" s="133" t="s">
        <v>1592</v>
      </c>
    </row>
    <row r="565" spans="1:28" ht="24" customHeight="1">
      <c r="A565" s="597"/>
      <c r="B565" s="523" t="s">
        <v>675</v>
      </c>
      <c r="C565" s="724" t="s">
        <v>4856</v>
      </c>
      <c r="D565" s="523" t="s">
        <v>4857</v>
      </c>
      <c r="E565" s="656">
        <f>SUM(F565:H565)</f>
        <v>100</v>
      </c>
      <c r="F565" s="656">
        <v>0</v>
      </c>
      <c r="G565" s="656">
        <v>100</v>
      </c>
      <c r="H565" s="656">
        <v>0</v>
      </c>
      <c r="I565" s="656">
        <f t="shared" si="47"/>
        <v>23</v>
      </c>
      <c r="J565" s="653">
        <v>0</v>
      </c>
      <c r="K565" s="653">
        <v>23</v>
      </c>
      <c r="L565" s="698">
        <v>0</v>
      </c>
      <c r="M565" s="673">
        <v>94</v>
      </c>
      <c r="N565" s="653">
        <f>M565*I565*(1/1000)*72</f>
        <v>155.66399999999999</v>
      </c>
      <c r="O565" s="726" t="s">
        <v>3221</v>
      </c>
      <c r="P565" s="664">
        <v>0</v>
      </c>
      <c r="Q565" s="690">
        <v>0</v>
      </c>
      <c r="R565" s="690">
        <v>0</v>
      </c>
      <c r="S565" s="690">
        <v>0</v>
      </c>
      <c r="T565" s="672">
        <v>0</v>
      </c>
      <c r="U565" s="506" t="s">
        <v>2268</v>
      </c>
      <c r="V565" s="494" t="s">
        <v>4858</v>
      </c>
      <c r="W565" s="656">
        <v>316</v>
      </c>
      <c r="X565" s="132" t="s">
        <v>2199</v>
      </c>
      <c r="Y565" s="132" t="s">
        <v>3161</v>
      </c>
      <c r="Z565" s="132" t="s">
        <v>1613</v>
      </c>
      <c r="AA565" s="132" t="s">
        <v>4842</v>
      </c>
      <c r="AB565" s="133" t="s">
        <v>1534</v>
      </c>
    </row>
    <row r="566" spans="1:28" ht="24" customHeight="1">
      <c r="A566" s="597"/>
      <c r="B566" s="523" t="s">
        <v>675</v>
      </c>
      <c r="C566" s="724" t="s">
        <v>2087</v>
      </c>
      <c r="D566" s="523" t="s">
        <v>4859</v>
      </c>
      <c r="E566" s="656">
        <v>150</v>
      </c>
      <c r="F566" s="656">
        <v>0</v>
      </c>
      <c r="G566" s="656">
        <v>0</v>
      </c>
      <c r="H566" s="656">
        <v>150</v>
      </c>
      <c r="I566" s="656">
        <f t="shared" si="47"/>
        <v>118</v>
      </c>
      <c r="J566" s="653">
        <v>0</v>
      </c>
      <c r="K566" s="653">
        <v>0</v>
      </c>
      <c r="L566" s="698">
        <v>118</v>
      </c>
      <c r="M566" s="673">
        <v>94.7</v>
      </c>
      <c r="N566" s="653">
        <f>M566*I566*(1/1000)*161.2</f>
        <v>1801.3455199999999</v>
      </c>
      <c r="O566" s="726" t="s">
        <v>3347</v>
      </c>
      <c r="P566" s="664" t="s">
        <v>4860</v>
      </c>
      <c r="Q566" s="690">
        <v>0</v>
      </c>
      <c r="R566" s="690">
        <v>0</v>
      </c>
      <c r="S566" s="690">
        <v>0</v>
      </c>
      <c r="T566" s="672">
        <v>0</v>
      </c>
      <c r="U566" s="506" t="s">
        <v>2268</v>
      </c>
      <c r="V566" s="506" t="s">
        <v>4861</v>
      </c>
      <c r="W566" s="656">
        <v>2404</v>
      </c>
      <c r="X566" s="132" t="s">
        <v>2199</v>
      </c>
      <c r="Y566" s="132" t="s">
        <v>3161</v>
      </c>
      <c r="Z566" s="132" t="s">
        <v>1613</v>
      </c>
      <c r="AA566" s="132" t="s">
        <v>4842</v>
      </c>
      <c r="AB566" s="133" t="s">
        <v>1534</v>
      </c>
    </row>
    <row r="567" spans="1:28" ht="24" customHeight="1">
      <c r="A567" s="597"/>
      <c r="B567" s="523" t="s">
        <v>675</v>
      </c>
      <c r="C567" s="724" t="s">
        <v>4862</v>
      </c>
      <c r="D567" s="523" t="s">
        <v>4863</v>
      </c>
      <c r="E567" s="656">
        <v>70</v>
      </c>
      <c r="F567" s="656">
        <v>0</v>
      </c>
      <c r="G567" s="656">
        <v>0</v>
      </c>
      <c r="H567" s="656">
        <v>70</v>
      </c>
      <c r="I567" s="656">
        <f t="shared" si="47"/>
        <v>53</v>
      </c>
      <c r="J567" s="653">
        <v>0</v>
      </c>
      <c r="K567" s="653">
        <v>0</v>
      </c>
      <c r="L567" s="698">
        <v>53</v>
      </c>
      <c r="M567" s="673">
        <v>94.5</v>
      </c>
      <c r="N567" s="653">
        <f>M567*I567*(1/1000)*153.9</f>
        <v>770.80814999999996</v>
      </c>
      <c r="O567" s="726" t="s">
        <v>3347</v>
      </c>
      <c r="P567" s="664" t="s">
        <v>4860</v>
      </c>
      <c r="Q567" s="690">
        <v>0</v>
      </c>
      <c r="R567" s="690">
        <v>0</v>
      </c>
      <c r="S567" s="690">
        <v>0</v>
      </c>
      <c r="T567" s="672">
        <v>0</v>
      </c>
      <c r="U567" s="506" t="s">
        <v>2268</v>
      </c>
      <c r="V567" s="506" t="s">
        <v>4861</v>
      </c>
      <c r="W567" s="656">
        <v>3099</v>
      </c>
      <c r="X567" s="132" t="s">
        <v>2199</v>
      </c>
      <c r="Y567" s="132" t="s">
        <v>3161</v>
      </c>
      <c r="Z567" s="132" t="s">
        <v>1613</v>
      </c>
      <c r="AA567" s="132" t="s">
        <v>4842</v>
      </c>
      <c r="AB567" s="133" t="s">
        <v>1534</v>
      </c>
    </row>
    <row r="568" spans="1:28" ht="24" customHeight="1">
      <c r="A568" s="582" t="s">
        <v>1624</v>
      </c>
      <c r="B568" s="521" t="s">
        <v>2201</v>
      </c>
      <c r="C568" s="522" t="s">
        <v>2397</v>
      </c>
      <c r="D568" s="524" t="s">
        <v>4864</v>
      </c>
      <c r="E568" s="653">
        <v>18000</v>
      </c>
      <c r="F568" s="653">
        <v>0</v>
      </c>
      <c r="G568" s="653">
        <v>18000</v>
      </c>
      <c r="H568" s="653">
        <v>0</v>
      </c>
      <c r="I568" s="653">
        <f t="shared" si="47"/>
        <v>17800</v>
      </c>
      <c r="J568" s="653">
        <v>0</v>
      </c>
      <c r="K568" s="653">
        <v>17800</v>
      </c>
      <c r="L568" s="698">
        <v>0</v>
      </c>
      <c r="M568" s="673">
        <f>(1-(8/160))*100</f>
        <v>95</v>
      </c>
      <c r="N568" s="653">
        <f>(55.6*K568*M568)/100/1000</f>
        <v>940.19600000000003</v>
      </c>
      <c r="O568" s="669" t="s">
        <v>4865</v>
      </c>
      <c r="P568" s="463" t="s">
        <v>1588</v>
      </c>
      <c r="Q568" s="673">
        <v>117</v>
      </c>
      <c r="R568" s="672">
        <v>0</v>
      </c>
      <c r="S568" s="673">
        <v>45</v>
      </c>
      <c r="T568" s="672">
        <v>0</v>
      </c>
      <c r="U568" s="463" t="s">
        <v>4866</v>
      </c>
      <c r="V568" s="463" t="s">
        <v>4867</v>
      </c>
      <c r="W568" s="653">
        <v>18142</v>
      </c>
      <c r="X568" s="463" t="s">
        <v>2199</v>
      </c>
      <c r="Y568" s="463" t="s">
        <v>1273</v>
      </c>
      <c r="Z568" s="463" t="s">
        <v>4868</v>
      </c>
      <c r="AA568" s="463" t="s">
        <v>1592</v>
      </c>
      <c r="AB568" s="459" t="s">
        <v>1592</v>
      </c>
    </row>
    <row r="569" spans="1:28" ht="24" customHeight="1">
      <c r="A569" s="584"/>
      <c r="B569" s="521" t="s">
        <v>2201</v>
      </c>
      <c r="C569" s="522" t="s">
        <v>2180</v>
      </c>
      <c r="D569" s="524" t="s">
        <v>4869</v>
      </c>
      <c r="E569" s="653">
        <v>210</v>
      </c>
      <c r="F569" s="653">
        <v>0</v>
      </c>
      <c r="G569" s="653">
        <v>210</v>
      </c>
      <c r="H569" s="653">
        <v>0</v>
      </c>
      <c r="I569" s="653">
        <f t="shared" si="47"/>
        <v>114</v>
      </c>
      <c r="J569" s="653">
        <v>0</v>
      </c>
      <c r="K569" s="653">
        <v>114</v>
      </c>
      <c r="L569" s="698">
        <v>0</v>
      </c>
      <c r="M569" s="673">
        <f>(1-(30/200))*100</f>
        <v>85</v>
      </c>
      <c r="N569" s="653">
        <f>(35*K569*M569)/100/1000</f>
        <v>3.3915000000000002</v>
      </c>
      <c r="O569" s="669" t="s">
        <v>4870</v>
      </c>
      <c r="P569" s="463" t="s">
        <v>1588</v>
      </c>
      <c r="Q569" s="672">
        <v>0</v>
      </c>
      <c r="R569" s="672">
        <v>0</v>
      </c>
      <c r="S569" s="672">
        <v>0</v>
      </c>
      <c r="T569" s="672">
        <v>0</v>
      </c>
      <c r="U569" s="463" t="s">
        <v>4866</v>
      </c>
      <c r="V569" s="463" t="s">
        <v>4871</v>
      </c>
      <c r="W569" s="653">
        <v>351</v>
      </c>
      <c r="X569" s="463" t="s">
        <v>2199</v>
      </c>
      <c r="Y569" s="463" t="s">
        <v>1273</v>
      </c>
      <c r="Z569" s="463" t="s">
        <v>1625</v>
      </c>
      <c r="AA569" s="463" t="s">
        <v>1592</v>
      </c>
      <c r="AB569" s="459" t="s">
        <v>1592</v>
      </c>
    </row>
    <row r="570" spans="1:28" ht="24" customHeight="1">
      <c r="A570" s="584"/>
      <c r="B570" s="521" t="s">
        <v>2201</v>
      </c>
      <c r="C570" s="522" t="s">
        <v>4872</v>
      </c>
      <c r="D570" s="524" t="s">
        <v>4873</v>
      </c>
      <c r="E570" s="653">
        <v>160</v>
      </c>
      <c r="F570" s="653">
        <v>0</v>
      </c>
      <c r="G570" s="653">
        <v>160</v>
      </c>
      <c r="H570" s="653">
        <v>0</v>
      </c>
      <c r="I570" s="653">
        <f t="shared" si="47"/>
        <v>106</v>
      </c>
      <c r="J570" s="653">
        <v>0</v>
      </c>
      <c r="K570" s="653">
        <v>106</v>
      </c>
      <c r="L570" s="698">
        <v>0</v>
      </c>
      <c r="M570" s="673">
        <f>(1-(30/200))*100</f>
        <v>85</v>
      </c>
      <c r="N570" s="653">
        <f>(51.1*K570*M570)/100/1000</f>
        <v>4.6041100000000004</v>
      </c>
      <c r="O570" s="669" t="s">
        <v>4870</v>
      </c>
      <c r="P570" s="463" t="s">
        <v>1588</v>
      </c>
      <c r="Q570" s="672">
        <v>0</v>
      </c>
      <c r="R570" s="672">
        <v>0</v>
      </c>
      <c r="S570" s="672">
        <v>0</v>
      </c>
      <c r="T570" s="672">
        <v>0</v>
      </c>
      <c r="U570" s="463" t="s">
        <v>4866</v>
      </c>
      <c r="V570" s="463" t="s">
        <v>4871</v>
      </c>
      <c r="W570" s="653">
        <v>333</v>
      </c>
      <c r="X570" s="463" t="s">
        <v>2199</v>
      </c>
      <c r="Y570" s="463" t="s">
        <v>1273</v>
      </c>
      <c r="Z570" s="463" t="s">
        <v>1626</v>
      </c>
      <c r="AA570" s="463" t="s">
        <v>1592</v>
      </c>
      <c r="AB570" s="459" t="s">
        <v>1592</v>
      </c>
    </row>
    <row r="571" spans="1:28" ht="24" customHeight="1">
      <c r="A571" s="584"/>
      <c r="B571" s="521" t="s">
        <v>2201</v>
      </c>
      <c r="C571" s="522" t="s">
        <v>4874</v>
      </c>
      <c r="D571" s="524" t="s">
        <v>4875</v>
      </c>
      <c r="E571" s="653">
        <v>180</v>
      </c>
      <c r="F571" s="653">
        <v>0</v>
      </c>
      <c r="G571" s="653">
        <v>180</v>
      </c>
      <c r="H571" s="653">
        <v>0</v>
      </c>
      <c r="I571" s="653">
        <f t="shared" si="47"/>
        <v>108</v>
      </c>
      <c r="J571" s="653">
        <v>0</v>
      </c>
      <c r="K571" s="653">
        <v>108</v>
      </c>
      <c r="L571" s="698">
        <v>0</v>
      </c>
      <c r="M571" s="673">
        <f>(1-(30/200))*100</f>
        <v>85</v>
      </c>
      <c r="N571" s="653">
        <f>(38*K571*M571)/100/1000</f>
        <v>3.4883999999999999</v>
      </c>
      <c r="O571" s="669" t="s">
        <v>4870</v>
      </c>
      <c r="P571" s="463" t="s">
        <v>1588</v>
      </c>
      <c r="Q571" s="672">
        <v>0</v>
      </c>
      <c r="R571" s="672">
        <v>0</v>
      </c>
      <c r="S571" s="672">
        <v>0</v>
      </c>
      <c r="T571" s="672">
        <v>0</v>
      </c>
      <c r="U571" s="463" t="s">
        <v>4866</v>
      </c>
      <c r="V571" s="463" t="s">
        <v>4871</v>
      </c>
      <c r="W571" s="653">
        <v>375</v>
      </c>
      <c r="X571" s="463" t="s">
        <v>2199</v>
      </c>
      <c r="Y571" s="463" t="s">
        <v>1273</v>
      </c>
      <c r="Z571" s="463" t="s">
        <v>1627</v>
      </c>
      <c r="AA571" s="463" t="s">
        <v>1592</v>
      </c>
      <c r="AB571" s="459" t="s">
        <v>1592</v>
      </c>
    </row>
    <row r="572" spans="1:28" ht="24" customHeight="1">
      <c r="A572" s="584"/>
      <c r="B572" s="521" t="s">
        <v>2201</v>
      </c>
      <c r="C572" s="522" t="s">
        <v>4876</v>
      </c>
      <c r="D572" s="524" t="s">
        <v>4877</v>
      </c>
      <c r="E572" s="653">
        <v>900</v>
      </c>
      <c r="F572" s="653">
        <v>0</v>
      </c>
      <c r="G572" s="653">
        <v>900</v>
      </c>
      <c r="H572" s="653">
        <v>0</v>
      </c>
      <c r="I572" s="653">
        <f>SUM(J572:L572)</f>
        <v>579</v>
      </c>
      <c r="J572" s="653">
        <v>0</v>
      </c>
      <c r="K572" s="653">
        <v>579</v>
      </c>
      <c r="L572" s="698">
        <v>0</v>
      </c>
      <c r="M572" s="673">
        <f>(1-(8/145))*100</f>
        <v>94.482758620689651</v>
      </c>
      <c r="N572" s="653">
        <f>(136.6*K572*M572)/100/1000</f>
        <v>74.727736551724121</v>
      </c>
      <c r="O572" s="669" t="s">
        <v>4878</v>
      </c>
      <c r="P572" s="463" t="s">
        <v>1588</v>
      </c>
      <c r="Q572" s="672">
        <v>0</v>
      </c>
      <c r="R572" s="672">
        <v>0</v>
      </c>
      <c r="S572" s="672">
        <v>0</v>
      </c>
      <c r="T572" s="672">
        <v>0</v>
      </c>
      <c r="U572" s="463" t="s">
        <v>4866</v>
      </c>
      <c r="V572" s="463" t="s">
        <v>4879</v>
      </c>
      <c r="W572" s="653">
        <v>5889</v>
      </c>
      <c r="X572" s="463" t="s">
        <v>2199</v>
      </c>
      <c r="Y572" s="463" t="s">
        <v>3161</v>
      </c>
      <c r="Z572" s="463" t="s">
        <v>1628</v>
      </c>
      <c r="AA572" s="463" t="s">
        <v>1592</v>
      </c>
      <c r="AB572" s="459" t="s">
        <v>1592</v>
      </c>
    </row>
    <row r="573" spans="1:28" ht="24" customHeight="1">
      <c r="A573" s="584"/>
      <c r="B573" s="521" t="s">
        <v>675</v>
      </c>
      <c r="C573" s="522" t="s">
        <v>4880</v>
      </c>
      <c r="D573" s="524" t="s">
        <v>4881</v>
      </c>
      <c r="E573" s="653">
        <v>100</v>
      </c>
      <c r="F573" s="653">
        <v>0</v>
      </c>
      <c r="G573" s="653">
        <v>100</v>
      </c>
      <c r="H573" s="653">
        <v>0</v>
      </c>
      <c r="I573" s="653">
        <f>SUM(J573:L573)</f>
        <v>32.700000000000003</v>
      </c>
      <c r="J573" s="653">
        <v>0</v>
      </c>
      <c r="K573" s="653">
        <v>32.700000000000003</v>
      </c>
      <c r="L573" s="698">
        <v>0</v>
      </c>
      <c r="M573" s="673">
        <f>(1-(10/170))*100</f>
        <v>94.117647058823522</v>
      </c>
      <c r="N573" s="653">
        <f>(50.7*K573*M573)/100/1000</f>
        <v>1.5603670588235294</v>
      </c>
      <c r="O573" s="669" t="s">
        <v>4882</v>
      </c>
      <c r="P573" s="463" t="s">
        <v>1588</v>
      </c>
      <c r="Q573" s="672">
        <v>0</v>
      </c>
      <c r="R573" s="672">
        <v>0</v>
      </c>
      <c r="S573" s="672">
        <v>0</v>
      </c>
      <c r="T573" s="672">
        <v>0</v>
      </c>
      <c r="U573" s="463" t="s">
        <v>4866</v>
      </c>
      <c r="V573" s="463" t="s">
        <v>4883</v>
      </c>
      <c r="W573" s="653">
        <v>304</v>
      </c>
      <c r="X573" s="463" t="s">
        <v>2199</v>
      </c>
      <c r="Y573" s="463" t="s">
        <v>3161</v>
      </c>
      <c r="Z573" s="463" t="s">
        <v>1699</v>
      </c>
      <c r="AA573" s="463" t="s">
        <v>1592</v>
      </c>
      <c r="AB573" s="459" t="s">
        <v>1592</v>
      </c>
    </row>
    <row r="574" spans="1:28" ht="24" customHeight="1">
      <c r="A574" s="584"/>
      <c r="B574" s="521" t="s">
        <v>675</v>
      </c>
      <c r="C574" s="522" t="s">
        <v>4884</v>
      </c>
      <c r="D574" s="524" t="s">
        <v>4885</v>
      </c>
      <c r="E574" s="653">
        <v>30</v>
      </c>
      <c r="F574" s="653">
        <v>0</v>
      </c>
      <c r="G574" s="653">
        <v>30</v>
      </c>
      <c r="H574" s="653">
        <v>0</v>
      </c>
      <c r="I574" s="653">
        <f t="shared" ref="I574:I585" si="48">SUM(J574:L574)</f>
        <v>36</v>
      </c>
      <c r="J574" s="653">
        <v>0</v>
      </c>
      <c r="K574" s="653">
        <v>36</v>
      </c>
      <c r="L574" s="698">
        <v>0</v>
      </c>
      <c r="M574" s="673">
        <f>(1-(10/200))*100</f>
        <v>95</v>
      </c>
      <c r="N574" s="653">
        <f>(55.1*K574*M574)/100/1000</f>
        <v>1.88442</v>
      </c>
      <c r="O574" s="669" t="s">
        <v>4882</v>
      </c>
      <c r="P574" s="463" t="s">
        <v>1588</v>
      </c>
      <c r="Q574" s="672">
        <v>0</v>
      </c>
      <c r="R574" s="672">
        <v>0</v>
      </c>
      <c r="S574" s="672">
        <v>0</v>
      </c>
      <c r="T574" s="672">
        <v>0</v>
      </c>
      <c r="U574" s="463" t="s">
        <v>4866</v>
      </c>
      <c r="V574" s="463" t="s">
        <v>4886</v>
      </c>
      <c r="W574" s="653">
        <v>413</v>
      </c>
      <c r="X574" s="463" t="s">
        <v>2199</v>
      </c>
      <c r="Y574" s="463" t="s">
        <v>3161</v>
      </c>
      <c r="Z574" s="463" t="s">
        <v>4887</v>
      </c>
      <c r="AA574" s="463" t="s">
        <v>1592</v>
      </c>
      <c r="AB574" s="459" t="s">
        <v>1592</v>
      </c>
    </row>
    <row r="575" spans="1:28" ht="24" customHeight="1">
      <c r="A575" s="584"/>
      <c r="B575" s="521" t="s">
        <v>675</v>
      </c>
      <c r="C575" s="522" t="s">
        <v>907</v>
      </c>
      <c r="D575" s="524" t="s">
        <v>4888</v>
      </c>
      <c r="E575" s="653">
        <v>100</v>
      </c>
      <c r="F575" s="653">
        <v>0</v>
      </c>
      <c r="G575" s="653">
        <v>100</v>
      </c>
      <c r="H575" s="653">
        <v>0</v>
      </c>
      <c r="I575" s="653">
        <f t="shared" si="48"/>
        <v>45</v>
      </c>
      <c r="J575" s="653">
        <v>0</v>
      </c>
      <c r="K575" s="653">
        <v>45</v>
      </c>
      <c r="L575" s="698">
        <v>0</v>
      </c>
      <c r="M575" s="673">
        <f>(1-(20/200))*100</f>
        <v>90</v>
      </c>
      <c r="N575" s="653">
        <f>(267.5*K575*M575)/100/1000</f>
        <v>10.83375</v>
      </c>
      <c r="O575" s="669" t="s">
        <v>4889</v>
      </c>
      <c r="P575" s="463" t="s">
        <v>1588</v>
      </c>
      <c r="Q575" s="672">
        <v>0</v>
      </c>
      <c r="R575" s="672">
        <v>0</v>
      </c>
      <c r="S575" s="672">
        <v>0</v>
      </c>
      <c r="T575" s="672">
        <v>0</v>
      </c>
      <c r="U575" s="463" t="s">
        <v>4866</v>
      </c>
      <c r="V575" s="463" t="s">
        <v>4890</v>
      </c>
      <c r="W575" s="653">
        <v>400</v>
      </c>
      <c r="X575" s="463" t="s">
        <v>2199</v>
      </c>
      <c r="Y575" s="463" t="s">
        <v>3161</v>
      </c>
      <c r="Z575" s="463" t="s">
        <v>4891</v>
      </c>
      <c r="AA575" s="463" t="s">
        <v>1592</v>
      </c>
      <c r="AB575" s="459" t="s">
        <v>1592</v>
      </c>
    </row>
    <row r="576" spans="1:28" ht="24" customHeight="1">
      <c r="A576" s="584"/>
      <c r="B576" s="521" t="s">
        <v>675</v>
      </c>
      <c r="C576" s="522" t="s">
        <v>2409</v>
      </c>
      <c r="D576" s="524" t="s">
        <v>4892</v>
      </c>
      <c r="E576" s="653">
        <v>100</v>
      </c>
      <c r="F576" s="653">
        <v>0</v>
      </c>
      <c r="G576" s="653">
        <v>100</v>
      </c>
      <c r="H576" s="653">
        <v>0</v>
      </c>
      <c r="I576" s="653">
        <f t="shared" si="48"/>
        <v>89</v>
      </c>
      <c r="J576" s="653">
        <v>0</v>
      </c>
      <c r="K576" s="653">
        <v>89</v>
      </c>
      <c r="L576" s="698">
        <v>0</v>
      </c>
      <c r="M576" s="673">
        <f>(1-(10/168))*100</f>
        <v>94.047619047619051</v>
      </c>
      <c r="N576" s="653">
        <f>(301.3*K576*M576)/100/1000</f>
        <v>25.219527380952382</v>
      </c>
      <c r="O576" s="669" t="s">
        <v>4893</v>
      </c>
      <c r="P576" s="463" t="s">
        <v>1588</v>
      </c>
      <c r="Q576" s="672">
        <v>0</v>
      </c>
      <c r="R576" s="672">
        <v>0</v>
      </c>
      <c r="S576" s="672">
        <v>0</v>
      </c>
      <c r="T576" s="672">
        <v>0</v>
      </c>
      <c r="U576" s="463" t="s">
        <v>4866</v>
      </c>
      <c r="V576" s="463" t="s">
        <v>4894</v>
      </c>
      <c r="W576" s="653">
        <v>664</v>
      </c>
      <c r="X576" s="463" t="s">
        <v>2199</v>
      </c>
      <c r="Y576" s="463" t="s">
        <v>3161</v>
      </c>
      <c r="Z576" s="463" t="s">
        <v>1629</v>
      </c>
      <c r="AA576" s="463" t="s">
        <v>1592</v>
      </c>
      <c r="AB576" s="459" t="s">
        <v>1592</v>
      </c>
    </row>
    <row r="577" spans="1:28" ht="24" customHeight="1">
      <c r="A577" s="584"/>
      <c r="B577" s="521" t="s">
        <v>675</v>
      </c>
      <c r="C577" s="522" t="s">
        <v>4895</v>
      </c>
      <c r="D577" s="524" t="s">
        <v>4896</v>
      </c>
      <c r="E577" s="653">
        <v>60</v>
      </c>
      <c r="F577" s="653">
        <v>0</v>
      </c>
      <c r="G577" s="653">
        <v>60</v>
      </c>
      <c r="H577" s="653">
        <v>0</v>
      </c>
      <c r="I577" s="653">
        <f t="shared" si="48"/>
        <v>55</v>
      </c>
      <c r="J577" s="653">
        <v>0</v>
      </c>
      <c r="K577" s="653">
        <v>55</v>
      </c>
      <c r="L577" s="698">
        <v>0</v>
      </c>
      <c r="M577" s="673">
        <f>(1-(10/135))*100</f>
        <v>92.592592592592595</v>
      </c>
      <c r="N577" s="653">
        <f>(270.5*K577*M577)/100/1000</f>
        <v>13.775462962962964</v>
      </c>
      <c r="O577" s="669" t="s">
        <v>4889</v>
      </c>
      <c r="P577" s="463" t="s">
        <v>1588</v>
      </c>
      <c r="Q577" s="672">
        <v>0</v>
      </c>
      <c r="R577" s="672">
        <v>0</v>
      </c>
      <c r="S577" s="672">
        <v>0</v>
      </c>
      <c r="T577" s="672">
        <v>0</v>
      </c>
      <c r="U577" s="463" t="s">
        <v>4866</v>
      </c>
      <c r="V577" s="463" t="s">
        <v>4879</v>
      </c>
      <c r="W577" s="653">
        <v>379</v>
      </c>
      <c r="X577" s="463" t="s">
        <v>2199</v>
      </c>
      <c r="Y577" s="463" t="s">
        <v>3161</v>
      </c>
      <c r="Z577" s="463" t="s">
        <v>1697</v>
      </c>
      <c r="AA577" s="463" t="s">
        <v>1592</v>
      </c>
      <c r="AB577" s="459" t="s">
        <v>1592</v>
      </c>
    </row>
    <row r="578" spans="1:28" ht="24" customHeight="1">
      <c r="A578" s="584"/>
      <c r="B578" s="521" t="s">
        <v>675</v>
      </c>
      <c r="C578" s="522" t="s">
        <v>4897</v>
      </c>
      <c r="D578" s="524" t="s">
        <v>4898</v>
      </c>
      <c r="E578" s="653">
        <v>60</v>
      </c>
      <c r="F578" s="653">
        <v>0</v>
      </c>
      <c r="G578" s="653">
        <v>60</v>
      </c>
      <c r="H578" s="653">
        <v>0</v>
      </c>
      <c r="I578" s="653">
        <f t="shared" si="48"/>
        <v>38</v>
      </c>
      <c r="J578" s="653">
        <v>0</v>
      </c>
      <c r="K578" s="653">
        <v>38</v>
      </c>
      <c r="L578" s="698">
        <v>0</v>
      </c>
      <c r="M578" s="673">
        <f>(1-(10/135))*100</f>
        <v>92.592592592592595</v>
      </c>
      <c r="N578" s="653">
        <f>(53*K578*M578)/100/1000</f>
        <v>1.8648148148148147</v>
      </c>
      <c r="O578" s="669" t="s">
        <v>4899</v>
      </c>
      <c r="P578" s="463" t="s">
        <v>1588</v>
      </c>
      <c r="Q578" s="672">
        <v>0</v>
      </c>
      <c r="R578" s="672">
        <v>0</v>
      </c>
      <c r="S578" s="672">
        <v>0</v>
      </c>
      <c r="T578" s="672">
        <v>0</v>
      </c>
      <c r="U578" s="463" t="s">
        <v>4866</v>
      </c>
      <c r="V578" s="463" t="s">
        <v>4900</v>
      </c>
      <c r="W578" s="653">
        <v>324</v>
      </c>
      <c r="X578" s="463" t="s">
        <v>2199</v>
      </c>
      <c r="Y578" s="463" t="s">
        <v>3161</v>
      </c>
      <c r="Z578" s="463" t="s">
        <v>4901</v>
      </c>
      <c r="AA578" s="463" t="s">
        <v>1592</v>
      </c>
      <c r="AB578" s="459" t="s">
        <v>1592</v>
      </c>
    </row>
    <row r="579" spans="1:28" ht="24" customHeight="1">
      <c r="A579" s="584"/>
      <c r="B579" s="521" t="s">
        <v>675</v>
      </c>
      <c r="C579" s="522" t="s">
        <v>2046</v>
      </c>
      <c r="D579" s="524" t="s">
        <v>4902</v>
      </c>
      <c r="E579" s="653">
        <v>50</v>
      </c>
      <c r="F579" s="653">
        <v>0</v>
      </c>
      <c r="G579" s="653">
        <v>50</v>
      </c>
      <c r="H579" s="653">
        <v>0</v>
      </c>
      <c r="I579" s="653">
        <f t="shared" si="48"/>
        <v>45</v>
      </c>
      <c r="J579" s="653">
        <v>0</v>
      </c>
      <c r="K579" s="653">
        <v>45</v>
      </c>
      <c r="L579" s="698">
        <v>0</v>
      </c>
      <c r="M579" s="673">
        <f>(1-(10/135))*100</f>
        <v>92.592592592592595</v>
      </c>
      <c r="N579" s="653">
        <f>(384.4*K579*M579)/100/1000</f>
        <v>16.016666666666669</v>
      </c>
      <c r="O579" s="669" t="s">
        <v>4889</v>
      </c>
      <c r="P579" s="463" t="s">
        <v>1588</v>
      </c>
      <c r="Q579" s="672">
        <v>0</v>
      </c>
      <c r="R579" s="672">
        <v>0</v>
      </c>
      <c r="S579" s="672">
        <v>0</v>
      </c>
      <c r="T579" s="672">
        <v>0</v>
      </c>
      <c r="U579" s="463" t="s">
        <v>4866</v>
      </c>
      <c r="V579" s="463" t="s">
        <v>4903</v>
      </c>
      <c r="W579" s="653">
        <v>706</v>
      </c>
      <c r="X579" s="463" t="s">
        <v>2199</v>
      </c>
      <c r="Y579" s="463" t="s">
        <v>3161</v>
      </c>
      <c r="Z579" s="463" t="s">
        <v>4904</v>
      </c>
      <c r="AA579" s="463" t="s">
        <v>1592</v>
      </c>
      <c r="AB579" s="459" t="s">
        <v>1592</v>
      </c>
    </row>
    <row r="580" spans="1:28" ht="24" customHeight="1">
      <c r="A580" s="584"/>
      <c r="B580" s="521" t="s">
        <v>675</v>
      </c>
      <c r="C580" s="522" t="s">
        <v>4905</v>
      </c>
      <c r="D580" s="524" t="s">
        <v>4906</v>
      </c>
      <c r="E580" s="653">
        <v>50</v>
      </c>
      <c r="F580" s="653">
        <v>0</v>
      </c>
      <c r="G580" s="653">
        <v>50</v>
      </c>
      <c r="H580" s="653">
        <v>0</v>
      </c>
      <c r="I580" s="653">
        <f t="shared" si="48"/>
        <v>45</v>
      </c>
      <c r="J580" s="653">
        <v>0</v>
      </c>
      <c r="K580" s="653">
        <v>45</v>
      </c>
      <c r="L580" s="698">
        <v>0</v>
      </c>
      <c r="M580" s="673">
        <f>(1-(10/135))*100</f>
        <v>92.592592592592595</v>
      </c>
      <c r="N580" s="653">
        <f>(369.2*K580*M580)/100/1000</f>
        <v>15.383333333333336</v>
      </c>
      <c r="O580" s="669" t="s">
        <v>4889</v>
      </c>
      <c r="P580" s="463" t="s">
        <v>1588</v>
      </c>
      <c r="Q580" s="672">
        <v>0</v>
      </c>
      <c r="R580" s="672">
        <v>0</v>
      </c>
      <c r="S580" s="672">
        <v>0</v>
      </c>
      <c r="T580" s="672">
        <v>0</v>
      </c>
      <c r="U580" s="463" t="s">
        <v>4866</v>
      </c>
      <c r="V580" s="463" t="s">
        <v>4907</v>
      </c>
      <c r="W580" s="653">
        <v>980</v>
      </c>
      <c r="X580" s="463" t="s">
        <v>2199</v>
      </c>
      <c r="Y580" s="463" t="s">
        <v>3161</v>
      </c>
      <c r="Z580" s="463" t="s">
        <v>4908</v>
      </c>
      <c r="AA580" s="463" t="s">
        <v>1592</v>
      </c>
      <c r="AB580" s="459" t="s">
        <v>1592</v>
      </c>
    </row>
    <row r="581" spans="1:28" ht="24" customHeight="1">
      <c r="A581" s="584"/>
      <c r="B581" s="521" t="s">
        <v>675</v>
      </c>
      <c r="C581" s="522" t="s">
        <v>4909</v>
      </c>
      <c r="D581" s="524" t="s">
        <v>4910</v>
      </c>
      <c r="E581" s="653">
        <v>50</v>
      </c>
      <c r="F581" s="653">
        <v>0</v>
      </c>
      <c r="G581" s="653">
        <v>50</v>
      </c>
      <c r="H581" s="653">
        <v>0</v>
      </c>
      <c r="I581" s="653">
        <f t="shared" si="48"/>
        <v>46</v>
      </c>
      <c r="J581" s="653">
        <v>0</v>
      </c>
      <c r="K581" s="653">
        <v>46</v>
      </c>
      <c r="L581" s="698">
        <v>0</v>
      </c>
      <c r="M581" s="673">
        <f>(1-(10/200))*100</f>
        <v>95</v>
      </c>
      <c r="N581" s="653">
        <f>(440.1*K581*M581)/100/1000</f>
        <v>19.232370000000003</v>
      </c>
      <c r="O581" s="669" t="s">
        <v>4889</v>
      </c>
      <c r="P581" s="463" t="s">
        <v>1588</v>
      </c>
      <c r="Q581" s="672">
        <v>0</v>
      </c>
      <c r="R581" s="672">
        <v>0</v>
      </c>
      <c r="S581" s="672">
        <v>0</v>
      </c>
      <c r="T581" s="672">
        <v>0</v>
      </c>
      <c r="U581" s="463" t="s">
        <v>4866</v>
      </c>
      <c r="V581" s="463" t="s">
        <v>4911</v>
      </c>
      <c r="W581" s="653">
        <v>1000</v>
      </c>
      <c r="X581" s="463" t="s">
        <v>2199</v>
      </c>
      <c r="Y581" s="463" t="s">
        <v>3161</v>
      </c>
      <c r="Z581" s="463" t="s">
        <v>4912</v>
      </c>
      <c r="AA581" s="463" t="s">
        <v>1592</v>
      </c>
      <c r="AB581" s="459" t="s">
        <v>1592</v>
      </c>
    </row>
    <row r="582" spans="1:28" ht="24" customHeight="1">
      <c r="A582" s="584"/>
      <c r="B582" s="521" t="s">
        <v>675</v>
      </c>
      <c r="C582" s="522" t="s">
        <v>4913</v>
      </c>
      <c r="D582" s="524" t="s">
        <v>4914</v>
      </c>
      <c r="E582" s="653">
        <v>60</v>
      </c>
      <c r="F582" s="653">
        <v>0</v>
      </c>
      <c r="G582" s="653">
        <v>60</v>
      </c>
      <c r="H582" s="653">
        <v>0</v>
      </c>
      <c r="I582" s="653">
        <f t="shared" si="48"/>
        <v>55</v>
      </c>
      <c r="J582" s="653">
        <v>0</v>
      </c>
      <c r="K582" s="653">
        <v>55</v>
      </c>
      <c r="L582" s="698">
        <v>0</v>
      </c>
      <c r="M582" s="673">
        <f>(1-(10/200))*100</f>
        <v>95</v>
      </c>
      <c r="N582" s="653">
        <f>(205.3*K582*M582)/100/1000</f>
        <v>10.726925</v>
      </c>
      <c r="O582" s="669" t="s">
        <v>4889</v>
      </c>
      <c r="P582" s="463" t="s">
        <v>1588</v>
      </c>
      <c r="Q582" s="672">
        <v>0</v>
      </c>
      <c r="R582" s="672">
        <v>0</v>
      </c>
      <c r="S582" s="672">
        <v>0</v>
      </c>
      <c r="T582" s="672">
        <v>0</v>
      </c>
      <c r="U582" s="463" t="s">
        <v>4866</v>
      </c>
      <c r="V582" s="463" t="s">
        <v>4915</v>
      </c>
      <c r="W582" s="653">
        <v>1000</v>
      </c>
      <c r="X582" s="463" t="s">
        <v>2199</v>
      </c>
      <c r="Y582" s="463" t="s">
        <v>3161</v>
      </c>
      <c r="Z582" s="463" t="s">
        <v>4916</v>
      </c>
      <c r="AA582" s="463" t="s">
        <v>1592</v>
      </c>
      <c r="AB582" s="459" t="s">
        <v>1592</v>
      </c>
    </row>
    <row r="583" spans="1:28" ht="24" customHeight="1">
      <c r="A583" s="584"/>
      <c r="B583" s="521" t="s">
        <v>675</v>
      </c>
      <c r="C583" s="522" t="s">
        <v>4917</v>
      </c>
      <c r="D583" s="524" t="s">
        <v>4918</v>
      </c>
      <c r="E583" s="653">
        <v>50</v>
      </c>
      <c r="F583" s="653">
        <v>0</v>
      </c>
      <c r="G583" s="653">
        <v>50</v>
      </c>
      <c r="H583" s="653">
        <v>0</v>
      </c>
      <c r="I583" s="653">
        <f t="shared" si="48"/>
        <v>55</v>
      </c>
      <c r="J583" s="653">
        <v>0</v>
      </c>
      <c r="K583" s="653">
        <v>55</v>
      </c>
      <c r="L583" s="698">
        <v>0</v>
      </c>
      <c r="M583" s="673">
        <f>(1-(10/200))*100</f>
        <v>95</v>
      </c>
      <c r="N583" s="653">
        <f>(87.6*K583*M583)/100/1000</f>
        <v>4.5771000000000006</v>
      </c>
      <c r="O583" s="669" t="s">
        <v>4919</v>
      </c>
      <c r="P583" s="463" t="s">
        <v>1588</v>
      </c>
      <c r="Q583" s="672">
        <v>0</v>
      </c>
      <c r="R583" s="672">
        <v>0</v>
      </c>
      <c r="S583" s="672">
        <v>0</v>
      </c>
      <c r="T583" s="672">
        <v>0</v>
      </c>
      <c r="U583" s="463" t="s">
        <v>4866</v>
      </c>
      <c r="V583" s="463" t="s">
        <v>4915</v>
      </c>
      <c r="W583" s="653">
        <v>1000</v>
      </c>
      <c r="X583" s="463" t="s">
        <v>2199</v>
      </c>
      <c r="Y583" s="463" t="s">
        <v>3161</v>
      </c>
      <c r="Z583" s="463" t="s">
        <v>4920</v>
      </c>
      <c r="AA583" s="463" t="s">
        <v>1592</v>
      </c>
      <c r="AB583" s="459" t="s">
        <v>1592</v>
      </c>
    </row>
    <row r="584" spans="1:28" ht="24" customHeight="1">
      <c r="A584" s="582" t="s">
        <v>1630</v>
      </c>
      <c r="B584" s="521" t="s">
        <v>2239</v>
      </c>
      <c r="C584" s="522" t="s">
        <v>2398</v>
      </c>
      <c r="D584" s="524" t="s">
        <v>4921</v>
      </c>
      <c r="E584" s="653">
        <v>10000</v>
      </c>
      <c r="F584" s="653">
        <v>0</v>
      </c>
      <c r="G584" s="653">
        <v>0</v>
      </c>
      <c r="H584" s="653">
        <v>10000</v>
      </c>
      <c r="I584" s="653">
        <f t="shared" si="48"/>
        <v>8506</v>
      </c>
      <c r="J584" s="653">
        <v>0</v>
      </c>
      <c r="K584" s="653">
        <v>0</v>
      </c>
      <c r="L584" s="698">
        <v>8506</v>
      </c>
      <c r="M584" s="673">
        <f>(I584/H584)*100</f>
        <v>85.06</v>
      </c>
      <c r="N584" s="653">
        <v>0</v>
      </c>
      <c r="O584" s="669" t="s">
        <v>4922</v>
      </c>
      <c r="P584" s="463" t="s">
        <v>4922</v>
      </c>
      <c r="Q584" s="672">
        <v>61.4</v>
      </c>
      <c r="R584" s="672">
        <v>0</v>
      </c>
      <c r="S584" s="672">
        <v>40</v>
      </c>
      <c r="T584" s="672">
        <v>0</v>
      </c>
      <c r="U584" s="463" t="s">
        <v>4923</v>
      </c>
      <c r="V584" s="463" t="s">
        <v>1334</v>
      </c>
      <c r="W584" s="653">
        <v>33561</v>
      </c>
      <c r="X584" s="463" t="s">
        <v>2244</v>
      </c>
      <c r="Y584" s="463" t="s">
        <v>631</v>
      </c>
      <c r="Z584" s="463" t="s">
        <v>4924</v>
      </c>
      <c r="AA584" s="463" t="s">
        <v>1358</v>
      </c>
      <c r="AB584" s="459" t="s">
        <v>1358</v>
      </c>
    </row>
    <row r="585" spans="1:28" ht="24" customHeight="1">
      <c r="A585" s="584"/>
      <c r="B585" s="521" t="s">
        <v>3837</v>
      </c>
      <c r="C585" s="522" t="s">
        <v>4925</v>
      </c>
      <c r="D585" s="524" t="s">
        <v>4926</v>
      </c>
      <c r="E585" s="653">
        <v>200</v>
      </c>
      <c r="F585" s="653">
        <v>0</v>
      </c>
      <c r="G585" s="653">
        <v>200</v>
      </c>
      <c r="H585" s="653">
        <v>0</v>
      </c>
      <c r="I585" s="653">
        <f t="shared" si="48"/>
        <v>84</v>
      </c>
      <c r="J585" s="653">
        <v>0</v>
      </c>
      <c r="K585" s="653">
        <v>84</v>
      </c>
      <c r="L585" s="698">
        <v>0</v>
      </c>
      <c r="M585" s="673">
        <f>(I585/G585)*100</f>
        <v>42</v>
      </c>
      <c r="N585" s="653">
        <v>0</v>
      </c>
      <c r="O585" s="669" t="s">
        <v>4927</v>
      </c>
      <c r="P585" s="463" t="s">
        <v>1588</v>
      </c>
      <c r="Q585" s="672">
        <v>0</v>
      </c>
      <c r="R585" s="672">
        <v>0</v>
      </c>
      <c r="S585" s="672">
        <v>0</v>
      </c>
      <c r="T585" s="672">
        <v>0</v>
      </c>
      <c r="U585" s="463" t="s">
        <v>4923</v>
      </c>
      <c r="V585" s="463" t="s">
        <v>4928</v>
      </c>
      <c r="W585" s="653">
        <v>219</v>
      </c>
      <c r="X585" s="465" t="s">
        <v>2244</v>
      </c>
      <c r="Y585" s="463"/>
      <c r="Z585" s="463" t="s">
        <v>4924</v>
      </c>
      <c r="AA585" s="463" t="s">
        <v>1358</v>
      </c>
      <c r="AB585" s="459" t="s">
        <v>1358</v>
      </c>
    </row>
    <row r="586" spans="1:28" ht="24" customHeight="1">
      <c r="A586" s="584"/>
      <c r="B586" s="521" t="s">
        <v>3837</v>
      </c>
      <c r="C586" s="522" t="s">
        <v>4929</v>
      </c>
      <c r="D586" s="524" t="s">
        <v>4930</v>
      </c>
      <c r="E586" s="653">
        <v>160</v>
      </c>
      <c r="F586" s="653">
        <v>0</v>
      </c>
      <c r="G586" s="653">
        <v>160</v>
      </c>
      <c r="H586" s="653">
        <v>0</v>
      </c>
      <c r="I586" s="653">
        <f t="shared" ref="I586:I598" si="49">SUM(J586:L586)</f>
        <v>160</v>
      </c>
      <c r="J586" s="653">
        <v>0</v>
      </c>
      <c r="K586" s="653">
        <v>160</v>
      </c>
      <c r="L586" s="698">
        <v>0</v>
      </c>
      <c r="M586" s="673">
        <v>100</v>
      </c>
      <c r="N586" s="653">
        <v>0</v>
      </c>
      <c r="O586" s="669" t="s">
        <v>4073</v>
      </c>
      <c r="P586" s="463" t="s">
        <v>1588</v>
      </c>
      <c r="Q586" s="672">
        <v>0</v>
      </c>
      <c r="R586" s="672">
        <v>0</v>
      </c>
      <c r="S586" s="672">
        <v>0</v>
      </c>
      <c r="T586" s="672">
        <v>0</v>
      </c>
      <c r="U586" s="463" t="s">
        <v>4923</v>
      </c>
      <c r="V586" s="463" t="s">
        <v>4931</v>
      </c>
      <c r="W586" s="653">
        <v>426</v>
      </c>
      <c r="X586" s="463" t="s">
        <v>2244</v>
      </c>
      <c r="Y586" s="463"/>
      <c r="Z586" s="463" t="s">
        <v>4932</v>
      </c>
      <c r="AA586" s="463" t="s">
        <v>1358</v>
      </c>
      <c r="AB586" s="459" t="s">
        <v>1358</v>
      </c>
    </row>
    <row r="587" spans="1:28" ht="24" customHeight="1">
      <c r="A587" s="584"/>
      <c r="B587" s="521" t="s">
        <v>3837</v>
      </c>
      <c r="C587" s="522" t="s">
        <v>4933</v>
      </c>
      <c r="D587" s="524" t="s">
        <v>4934</v>
      </c>
      <c r="E587" s="653">
        <v>80</v>
      </c>
      <c r="F587" s="653">
        <v>0</v>
      </c>
      <c r="G587" s="653">
        <v>0</v>
      </c>
      <c r="H587" s="653">
        <v>80</v>
      </c>
      <c r="I587" s="653">
        <f t="shared" si="49"/>
        <v>80</v>
      </c>
      <c r="J587" s="653">
        <v>0</v>
      </c>
      <c r="K587" s="653">
        <v>0</v>
      </c>
      <c r="L587" s="698">
        <v>80</v>
      </c>
      <c r="M587" s="673">
        <v>100</v>
      </c>
      <c r="N587" s="653">
        <v>0</v>
      </c>
      <c r="O587" s="669" t="s">
        <v>4935</v>
      </c>
      <c r="P587" s="463" t="s">
        <v>1588</v>
      </c>
      <c r="Q587" s="672">
        <v>0</v>
      </c>
      <c r="R587" s="672">
        <v>0</v>
      </c>
      <c r="S587" s="672">
        <v>0</v>
      </c>
      <c r="T587" s="672">
        <v>0</v>
      </c>
      <c r="U587" s="463" t="s">
        <v>4923</v>
      </c>
      <c r="V587" s="463" t="s">
        <v>4936</v>
      </c>
      <c r="W587" s="653">
        <v>430</v>
      </c>
      <c r="X587" s="463" t="s">
        <v>2244</v>
      </c>
      <c r="Y587" s="463"/>
      <c r="Z587" s="463" t="s">
        <v>4937</v>
      </c>
      <c r="AA587" s="463" t="s">
        <v>1358</v>
      </c>
      <c r="AB587" s="459" t="s">
        <v>1358</v>
      </c>
    </row>
    <row r="588" spans="1:28" ht="24" customHeight="1">
      <c r="A588" s="584"/>
      <c r="B588" s="521" t="s">
        <v>3837</v>
      </c>
      <c r="C588" s="522" t="s">
        <v>4938</v>
      </c>
      <c r="D588" s="524" t="s">
        <v>4939</v>
      </c>
      <c r="E588" s="653">
        <v>50</v>
      </c>
      <c r="F588" s="653">
        <v>0</v>
      </c>
      <c r="G588" s="653">
        <v>0</v>
      </c>
      <c r="H588" s="653">
        <v>50</v>
      </c>
      <c r="I588" s="653">
        <f t="shared" si="49"/>
        <v>50</v>
      </c>
      <c r="J588" s="653">
        <v>0</v>
      </c>
      <c r="K588" s="653">
        <v>0</v>
      </c>
      <c r="L588" s="698">
        <v>50</v>
      </c>
      <c r="M588" s="673">
        <v>100</v>
      </c>
      <c r="N588" s="653">
        <v>0</v>
      </c>
      <c r="O588" s="669" t="s">
        <v>4940</v>
      </c>
      <c r="P588" s="463" t="s">
        <v>1588</v>
      </c>
      <c r="Q588" s="672">
        <v>0</v>
      </c>
      <c r="R588" s="672">
        <v>0</v>
      </c>
      <c r="S588" s="672">
        <v>0</v>
      </c>
      <c r="T588" s="672">
        <v>0</v>
      </c>
      <c r="U588" s="463" t="s">
        <v>4923</v>
      </c>
      <c r="V588" s="463" t="s">
        <v>4941</v>
      </c>
      <c r="W588" s="653">
        <v>131</v>
      </c>
      <c r="X588" s="463" t="s">
        <v>2244</v>
      </c>
      <c r="Y588" s="463"/>
      <c r="Z588" s="463" t="s">
        <v>4942</v>
      </c>
      <c r="AA588" s="463" t="s">
        <v>1358</v>
      </c>
      <c r="AB588" s="459" t="s">
        <v>1358</v>
      </c>
    </row>
    <row r="589" spans="1:28" ht="24" customHeight="1">
      <c r="A589" s="584"/>
      <c r="B589" s="521" t="s">
        <v>3837</v>
      </c>
      <c r="C589" s="522" t="s">
        <v>4943</v>
      </c>
      <c r="D589" s="524" t="s">
        <v>4944</v>
      </c>
      <c r="E589" s="653">
        <v>50</v>
      </c>
      <c r="F589" s="653">
        <v>0</v>
      </c>
      <c r="G589" s="653">
        <v>0</v>
      </c>
      <c r="H589" s="653">
        <v>50</v>
      </c>
      <c r="I589" s="653">
        <f t="shared" si="49"/>
        <v>39.700000000000003</v>
      </c>
      <c r="J589" s="653">
        <v>0</v>
      </c>
      <c r="K589" s="653">
        <v>0</v>
      </c>
      <c r="L589" s="698">
        <v>39.700000000000003</v>
      </c>
      <c r="M589" s="673">
        <f>I589/E589*100</f>
        <v>79.400000000000006</v>
      </c>
      <c r="N589" s="653">
        <v>0</v>
      </c>
      <c r="O589" s="669" t="s">
        <v>4945</v>
      </c>
      <c r="P589" s="463" t="s">
        <v>1588</v>
      </c>
      <c r="Q589" s="672">
        <v>0</v>
      </c>
      <c r="R589" s="672">
        <v>0</v>
      </c>
      <c r="S589" s="672">
        <v>0</v>
      </c>
      <c r="T589" s="672">
        <v>0</v>
      </c>
      <c r="U589" s="463" t="s">
        <v>4923</v>
      </c>
      <c r="V589" s="463" t="s">
        <v>4946</v>
      </c>
      <c r="W589" s="653">
        <v>520</v>
      </c>
      <c r="X589" s="463" t="s">
        <v>2244</v>
      </c>
      <c r="Y589" s="463"/>
      <c r="Z589" s="463" t="s">
        <v>4937</v>
      </c>
      <c r="AA589" s="463" t="s">
        <v>1358</v>
      </c>
      <c r="AB589" s="459" t="s">
        <v>1358</v>
      </c>
    </row>
    <row r="590" spans="1:28" ht="24" customHeight="1">
      <c r="A590" s="582" t="s">
        <v>4947</v>
      </c>
      <c r="B590" s="521" t="s">
        <v>2201</v>
      </c>
      <c r="C590" s="522" t="s">
        <v>2399</v>
      </c>
      <c r="D590" s="524" t="s">
        <v>4948</v>
      </c>
      <c r="E590" s="653">
        <v>17000</v>
      </c>
      <c r="F590" s="653">
        <v>0</v>
      </c>
      <c r="G590" s="653">
        <v>0</v>
      </c>
      <c r="H590" s="653">
        <v>17000</v>
      </c>
      <c r="I590" s="653">
        <f t="shared" si="49"/>
        <v>15886</v>
      </c>
      <c r="J590" s="653">
        <v>0</v>
      </c>
      <c r="K590" s="653">
        <v>0</v>
      </c>
      <c r="L590" s="698">
        <v>15886</v>
      </c>
      <c r="M590" s="673">
        <v>95</v>
      </c>
      <c r="N590" s="653">
        <v>1844</v>
      </c>
      <c r="O590" s="669" t="s">
        <v>4949</v>
      </c>
      <c r="P590" s="463" t="s">
        <v>1588</v>
      </c>
      <c r="Q590" s="672">
        <v>20.5</v>
      </c>
      <c r="R590" s="672">
        <v>33</v>
      </c>
      <c r="S590" s="672">
        <v>15</v>
      </c>
      <c r="T590" s="672">
        <v>0</v>
      </c>
      <c r="U590" s="463" t="s">
        <v>2271</v>
      </c>
      <c r="V590" s="466" t="s">
        <v>4950</v>
      </c>
      <c r="W590" s="653">
        <v>45962</v>
      </c>
      <c r="X590" s="463" t="s">
        <v>2276</v>
      </c>
      <c r="Y590" s="463"/>
      <c r="Z590" s="463" t="s">
        <v>1632</v>
      </c>
      <c r="AA590" s="463" t="s">
        <v>1592</v>
      </c>
      <c r="AB590" s="459" t="s">
        <v>1592</v>
      </c>
    </row>
    <row r="591" spans="1:28" ht="24" customHeight="1">
      <c r="A591" s="584"/>
      <c r="B591" s="521" t="s">
        <v>675</v>
      </c>
      <c r="C591" s="522" t="s">
        <v>903</v>
      </c>
      <c r="D591" s="524" t="s">
        <v>4951</v>
      </c>
      <c r="E591" s="653">
        <v>60</v>
      </c>
      <c r="F591" s="653">
        <v>0</v>
      </c>
      <c r="G591" s="653">
        <v>0</v>
      </c>
      <c r="H591" s="653">
        <v>60</v>
      </c>
      <c r="I591" s="653">
        <f t="shared" si="49"/>
        <v>938</v>
      </c>
      <c r="J591" s="653">
        <v>0</v>
      </c>
      <c r="K591" s="653">
        <v>0</v>
      </c>
      <c r="L591" s="698">
        <v>938</v>
      </c>
      <c r="M591" s="673">
        <v>73.5</v>
      </c>
      <c r="N591" s="653">
        <v>1117.9000000000001</v>
      </c>
      <c r="O591" s="669" t="s">
        <v>4952</v>
      </c>
      <c r="P591" s="463" t="s">
        <v>1588</v>
      </c>
      <c r="Q591" s="672">
        <v>0</v>
      </c>
      <c r="R591" s="672">
        <v>0</v>
      </c>
      <c r="S591" s="672">
        <v>0</v>
      </c>
      <c r="T591" s="672">
        <v>0</v>
      </c>
      <c r="U591" s="463" t="s">
        <v>4953</v>
      </c>
      <c r="V591" s="466" t="s">
        <v>4954</v>
      </c>
      <c r="W591" s="653">
        <v>542</v>
      </c>
      <c r="X591" s="463" t="s">
        <v>2193</v>
      </c>
      <c r="Y591" s="463"/>
      <c r="Z591" s="463" t="s">
        <v>1632</v>
      </c>
      <c r="AA591" s="463" t="s">
        <v>1592</v>
      </c>
      <c r="AB591" s="459" t="s">
        <v>1592</v>
      </c>
    </row>
    <row r="592" spans="1:28" ht="24" customHeight="1">
      <c r="A592" s="582" t="s">
        <v>1633</v>
      </c>
      <c r="B592" s="521" t="s">
        <v>2201</v>
      </c>
      <c r="C592" s="522" t="s">
        <v>2400</v>
      </c>
      <c r="D592" s="524" t="s">
        <v>4955</v>
      </c>
      <c r="E592" s="653">
        <f t="shared" ref="E592:E603" si="50">F592+G592+H592</f>
        <v>8000</v>
      </c>
      <c r="F592" s="653">
        <v>0</v>
      </c>
      <c r="G592" s="653">
        <v>0</v>
      </c>
      <c r="H592" s="653">
        <v>8000</v>
      </c>
      <c r="I592" s="653">
        <f t="shared" si="49"/>
        <v>10253</v>
      </c>
      <c r="J592" s="653">
        <v>0</v>
      </c>
      <c r="K592" s="653">
        <v>0</v>
      </c>
      <c r="L592" s="698">
        <v>10253</v>
      </c>
      <c r="M592" s="673">
        <v>94.78</v>
      </c>
      <c r="N592" s="653">
        <v>1029.0999999999999</v>
      </c>
      <c r="O592" s="669" t="s">
        <v>1070</v>
      </c>
      <c r="P592" s="463" t="s">
        <v>1588</v>
      </c>
      <c r="Q592" s="672">
        <v>60.1</v>
      </c>
      <c r="R592" s="672">
        <v>80.3</v>
      </c>
      <c r="S592" s="672">
        <v>79.900000000000006</v>
      </c>
      <c r="T592" s="672">
        <v>0</v>
      </c>
      <c r="U592" s="463" t="s">
        <v>2272</v>
      </c>
      <c r="V592" s="463" t="s">
        <v>4956</v>
      </c>
      <c r="W592" s="653">
        <v>26719</v>
      </c>
      <c r="X592" s="463" t="s">
        <v>2276</v>
      </c>
      <c r="Y592" s="463"/>
      <c r="Z592" s="463" t="s">
        <v>1618</v>
      </c>
      <c r="AA592" s="463" t="s">
        <v>1592</v>
      </c>
      <c r="AB592" s="459" t="s">
        <v>1592</v>
      </c>
    </row>
    <row r="593" spans="1:28" ht="24" customHeight="1">
      <c r="A593" s="584"/>
      <c r="B593" s="521" t="s">
        <v>2201</v>
      </c>
      <c r="C593" s="522" t="s">
        <v>4957</v>
      </c>
      <c r="D593" s="524" t="s">
        <v>4958</v>
      </c>
      <c r="E593" s="653">
        <f t="shared" si="50"/>
        <v>600</v>
      </c>
      <c r="F593" s="653">
        <v>0</v>
      </c>
      <c r="G593" s="653">
        <v>0</v>
      </c>
      <c r="H593" s="653">
        <v>600</v>
      </c>
      <c r="I593" s="653">
        <f t="shared" si="49"/>
        <v>526</v>
      </c>
      <c r="J593" s="653">
        <v>0</v>
      </c>
      <c r="K593" s="653">
        <v>0</v>
      </c>
      <c r="L593" s="698">
        <v>526</v>
      </c>
      <c r="M593" s="673">
        <v>94.25</v>
      </c>
      <c r="N593" s="653">
        <v>53.4</v>
      </c>
      <c r="O593" s="669" t="s">
        <v>4959</v>
      </c>
      <c r="P593" s="463" t="s">
        <v>1588</v>
      </c>
      <c r="Q593" s="672">
        <v>0</v>
      </c>
      <c r="R593" s="672">
        <v>0</v>
      </c>
      <c r="S593" s="672">
        <v>0</v>
      </c>
      <c r="T593" s="672">
        <v>0</v>
      </c>
      <c r="U593" s="463" t="s">
        <v>4960</v>
      </c>
      <c r="V593" s="463" t="s">
        <v>4961</v>
      </c>
      <c r="W593" s="653">
        <v>11523</v>
      </c>
      <c r="X593" s="463" t="s">
        <v>2276</v>
      </c>
      <c r="Y593" s="463" t="s">
        <v>3161</v>
      </c>
      <c r="Z593" s="463" t="s">
        <v>1618</v>
      </c>
      <c r="AA593" s="463" t="s">
        <v>1592</v>
      </c>
      <c r="AB593" s="459" t="s">
        <v>1592</v>
      </c>
    </row>
    <row r="594" spans="1:28" ht="24" customHeight="1">
      <c r="A594" s="584"/>
      <c r="B594" s="521" t="s">
        <v>2201</v>
      </c>
      <c r="C594" s="522" t="s">
        <v>4962</v>
      </c>
      <c r="D594" s="524" t="s">
        <v>4963</v>
      </c>
      <c r="E594" s="653">
        <f t="shared" si="50"/>
        <v>1100</v>
      </c>
      <c r="F594" s="653">
        <v>0</v>
      </c>
      <c r="G594" s="653">
        <v>0</v>
      </c>
      <c r="H594" s="653">
        <v>1100</v>
      </c>
      <c r="I594" s="653">
        <f t="shared" si="49"/>
        <v>619</v>
      </c>
      <c r="J594" s="653">
        <v>0</v>
      </c>
      <c r="K594" s="653">
        <v>0</v>
      </c>
      <c r="L594" s="698">
        <v>619</v>
      </c>
      <c r="M594" s="673">
        <v>94.47</v>
      </c>
      <c r="N594" s="653">
        <v>34.700000000000003</v>
      </c>
      <c r="O594" s="669" t="s">
        <v>4959</v>
      </c>
      <c r="P594" s="463" t="s">
        <v>1588</v>
      </c>
      <c r="Q594" s="672">
        <v>0</v>
      </c>
      <c r="R594" s="672">
        <v>0</v>
      </c>
      <c r="S594" s="672">
        <v>0</v>
      </c>
      <c r="T594" s="672">
        <v>0</v>
      </c>
      <c r="U594" s="463" t="s">
        <v>4960</v>
      </c>
      <c r="V594" s="463" t="s">
        <v>4961</v>
      </c>
      <c r="W594" s="653">
        <v>10841</v>
      </c>
      <c r="X594" s="463" t="s">
        <v>2276</v>
      </c>
      <c r="Y594" s="463" t="s">
        <v>3161</v>
      </c>
      <c r="Z594" s="463" t="s">
        <v>1618</v>
      </c>
      <c r="AA594" s="463" t="s">
        <v>1592</v>
      </c>
      <c r="AB594" s="459" t="s">
        <v>1592</v>
      </c>
    </row>
    <row r="595" spans="1:28" ht="24" customHeight="1">
      <c r="A595" s="584"/>
      <c r="B595" s="521" t="s">
        <v>675</v>
      </c>
      <c r="C595" s="522" t="s">
        <v>907</v>
      </c>
      <c r="D595" s="524" t="s">
        <v>4964</v>
      </c>
      <c r="E595" s="653">
        <f t="shared" si="50"/>
        <v>190</v>
      </c>
      <c r="F595" s="653">
        <v>0</v>
      </c>
      <c r="G595" s="653">
        <v>190</v>
      </c>
      <c r="H595" s="653">
        <v>0</v>
      </c>
      <c r="I595" s="653">
        <f t="shared" si="49"/>
        <v>100</v>
      </c>
      <c r="J595" s="653">
        <v>0</v>
      </c>
      <c r="K595" s="653">
        <v>100</v>
      </c>
      <c r="L595" s="698">
        <v>0</v>
      </c>
      <c r="M595" s="673">
        <v>0</v>
      </c>
      <c r="N595" s="653">
        <v>15.4</v>
      </c>
      <c r="O595" s="669" t="s">
        <v>4965</v>
      </c>
      <c r="P595" s="463" t="s">
        <v>1588</v>
      </c>
      <c r="Q595" s="672">
        <v>0</v>
      </c>
      <c r="R595" s="672">
        <v>0</v>
      </c>
      <c r="S595" s="672">
        <v>0</v>
      </c>
      <c r="T595" s="672">
        <v>0</v>
      </c>
      <c r="U595" s="463" t="s">
        <v>4966</v>
      </c>
      <c r="V595" s="463" t="s">
        <v>4967</v>
      </c>
      <c r="W595" s="653">
        <v>400</v>
      </c>
      <c r="X595" s="463" t="s">
        <v>2361</v>
      </c>
      <c r="Y595" s="463" t="s">
        <v>1533</v>
      </c>
      <c r="Z595" s="463" t="s">
        <v>1618</v>
      </c>
      <c r="AA595" s="463" t="s">
        <v>1592</v>
      </c>
      <c r="AB595" s="459" t="s">
        <v>1592</v>
      </c>
    </row>
    <row r="596" spans="1:28" ht="24" customHeight="1">
      <c r="A596" s="584"/>
      <c r="B596" s="521" t="s">
        <v>675</v>
      </c>
      <c r="C596" s="522" t="s">
        <v>4968</v>
      </c>
      <c r="D596" s="524" t="s">
        <v>4969</v>
      </c>
      <c r="E596" s="653">
        <f t="shared" si="50"/>
        <v>80</v>
      </c>
      <c r="F596" s="653">
        <v>0</v>
      </c>
      <c r="G596" s="653">
        <v>80</v>
      </c>
      <c r="H596" s="653">
        <v>0</v>
      </c>
      <c r="I596" s="653">
        <f t="shared" si="49"/>
        <v>64.8</v>
      </c>
      <c r="J596" s="653">
        <v>0</v>
      </c>
      <c r="K596" s="653">
        <v>64.8</v>
      </c>
      <c r="L596" s="698">
        <v>0</v>
      </c>
      <c r="M596" s="673">
        <v>93</v>
      </c>
      <c r="N596" s="653">
        <v>6.26</v>
      </c>
      <c r="O596" s="669" t="s">
        <v>4970</v>
      </c>
      <c r="P596" s="463" t="s">
        <v>1588</v>
      </c>
      <c r="Q596" s="672">
        <v>0</v>
      </c>
      <c r="R596" s="672">
        <v>0</v>
      </c>
      <c r="S596" s="672">
        <v>0</v>
      </c>
      <c r="T596" s="672">
        <v>0</v>
      </c>
      <c r="U596" s="463" t="s">
        <v>4971</v>
      </c>
      <c r="V596" s="463" t="s">
        <v>4972</v>
      </c>
      <c r="W596" s="653">
        <v>389</v>
      </c>
      <c r="X596" s="463" t="s">
        <v>2361</v>
      </c>
      <c r="Y596" s="463" t="s">
        <v>1533</v>
      </c>
      <c r="Z596" s="463" t="s">
        <v>1618</v>
      </c>
      <c r="AA596" s="463" t="s">
        <v>1592</v>
      </c>
      <c r="AB596" s="459" t="s">
        <v>1592</v>
      </c>
    </row>
    <row r="597" spans="1:28" ht="24" customHeight="1">
      <c r="A597" s="584"/>
      <c r="B597" s="521" t="s">
        <v>675</v>
      </c>
      <c r="C597" s="522" t="s">
        <v>3681</v>
      </c>
      <c r="D597" s="524" t="s">
        <v>4973</v>
      </c>
      <c r="E597" s="653">
        <f t="shared" si="50"/>
        <v>100</v>
      </c>
      <c r="F597" s="653">
        <v>0</v>
      </c>
      <c r="G597" s="653">
        <v>100</v>
      </c>
      <c r="H597" s="653">
        <v>0</v>
      </c>
      <c r="I597" s="653">
        <f t="shared" si="49"/>
        <v>85.2</v>
      </c>
      <c r="J597" s="653">
        <v>0</v>
      </c>
      <c r="K597" s="653">
        <v>85.2</v>
      </c>
      <c r="L597" s="698">
        <v>0</v>
      </c>
      <c r="M597" s="673">
        <v>95</v>
      </c>
      <c r="N597" s="653">
        <v>11.06</v>
      </c>
      <c r="O597" s="669" t="s">
        <v>4974</v>
      </c>
      <c r="P597" s="463" t="s">
        <v>1588</v>
      </c>
      <c r="Q597" s="672">
        <v>0</v>
      </c>
      <c r="R597" s="672">
        <v>0</v>
      </c>
      <c r="S597" s="672">
        <v>0</v>
      </c>
      <c r="T597" s="672">
        <v>0</v>
      </c>
      <c r="U597" s="463" t="s">
        <v>4975</v>
      </c>
      <c r="V597" s="463" t="s">
        <v>4976</v>
      </c>
      <c r="W597" s="653">
        <v>531</v>
      </c>
      <c r="X597" s="463" t="s">
        <v>2361</v>
      </c>
      <c r="Y597" s="463" t="s">
        <v>1533</v>
      </c>
      <c r="Z597" s="463" t="s">
        <v>1618</v>
      </c>
      <c r="AA597" s="463" t="s">
        <v>1592</v>
      </c>
      <c r="AB597" s="459" t="s">
        <v>1592</v>
      </c>
    </row>
    <row r="598" spans="1:28" ht="24" customHeight="1">
      <c r="A598" s="584"/>
      <c r="B598" s="521" t="s">
        <v>675</v>
      </c>
      <c r="C598" s="522" t="s">
        <v>4977</v>
      </c>
      <c r="D598" s="524" t="s">
        <v>4978</v>
      </c>
      <c r="E598" s="653">
        <f t="shared" si="50"/>
        <v>60</v>
      </c>
      <c r="F598" s="653">
        <v>0</v>
      </c>
      <c r="G598" s="653">
        <v>0</v>
      </c>
      <c r="H598" s="653">
        <v>60</v>
      </c>
      <c r="I598" s="653">
        <f t="shared" si="49"/>
        <v>52</v>
      </c>
      <c r="J598" s="653">
        <v>0</v>
      </c>
      <c r="K598" s="653">
        <v>0</v>
      </c>
      <c r="L598" s="698">
        <v>52</v>
      </c>
      <c r="M598" s="673">
        <v>93.5</v>
      </c>
      <c r="N598" s="653">
        <v>25.18</v>
      </c>
      <c r="O598" s="669" t="s">
        <v>4979</v>
      </c>
      <c r="P598" s="463" t="s">
        <v>1588</v>
      </c>
      <c r="Q598" s="672">
        <v>0</v>
      </c>
      <c r="R598" s="672">
        <v>0</v>
      </c>
      <c r="S598" s="672">
        <v>0</v>
      </c>
      <c r="T598" s="672">
        <v>0</v>
      </c>
      <c r="U598" s="463" t="s">
        <v>4980</v>
      </c>
      <c r="V598" s="463" t="s">
        <v>4981</v>
      </c>
      <c r="W598" s="653">
        <v>281</v>
      </c>
      <c r="X598" s="463" t="s">
        <v>2361</v>
      </c>
      <c r="Y598" s="463" t="s">
        <v>1533</v>
      </c>
      <c r="Z598" s="463" t="s">
        <v>1618</v>
      </c>
      <c r="AA598" s="463" t="s">
        <v>1592</v>
      </c>
      <c r="AB598" s="459" t="s">
        <v>1592</v>
      </c>
    </row>
    <row r="599" spans="1:28" ht="24" customHeight="1">
      <c r="A599" s="584"/>
      <c r="B599" s="521" t="s">
        <v>675</v>
      </c>
      <c r="C599" s="522" t="s">
        <v>4982</v>
      </c>
      <c r="D599" s="524" t="s">
        <v>4983</v>
      </c>
      <c r="E599" s="653">
        <f t="shared" si="50"/>
        <v>30</v>
      </c>
      <c r="F599" s="653">
        <v>0</v>
      </c>
      <c r="G599" s="653">
        <v>0</v>
      </c>
      <c r="H599" s="653">
        <v>30</v>
      </c>
      <c r="I599" s="653">
        <f t="shared" ref="I599:I633" si="51">SUM(J599:L599)</f>
        <v>23</v>
      </c>
      <c r="J599" s="653">
        <v>0</v>
      </c>
      <c r="K599" s="653">
        <v>0</v>
      </c>
      <c r="L599" s="698">
        <v>23</v>
      </c>
      <c r="M599" s="673">
        <v>95</v>
      </c>
      <c r="N599" s="653">
        <v>3.6</v>
      </c>
      <c r="O599" s="669" t="s">
        <v>4984</v>
      </c>
      <c r="P599" s="463" t="s">
        <v>1588</v>
      </c>
      <c r="Q599" s="672">
        <v>0</v>
      </c>
      <c r="R599" s="672">
        <v>0</v>
      </c>
      <c r="S599" s="672">
        <v>0</v>
      </c>
      <c r="T599" s="672">
        <v>0</v>
      </c>
      <c r="U599" s="463" t="s">
        <v>4985</v>
      </c>
      <c r="V599" s="463" t="s">
        <v>4986</v>
      </c>
      <c r="W599" s="653">
        <v>80</v>
      </c>
      <c r="X599" s="463" t="s">
        <v>2361</v>
      </c>
      <c r="Y599" s="463" t="s">
        <v>1533</v>
      </c>
      <c r="Z599" s="463" t="s">
        <v>1618</v>
      </c>
      <c r="AA599" s="463" t="s">
        <v>1592</v>
      </c>
      <c r="AB599" s="459" t="s">
        <v>1592</v>
      </c>
    </row>
    <row r="600" spans="1:28" ht="24" customHeight="1">
      <c r="A600" s="584"/>
      <c r="B600" s="521" t="s">
        <v>675</v>
      </c>
      <c r="C600" s="522" t="s">
        <v>4987</v>
      </c>
      <c r="D600" s="524" t="s">
        <v>4988</v>
      </c>
      <c r="E600" s="653">
        <f t="shared" si="50"/>
        <v>48</v>
      </c>
      <c r="F600" s="653">
        <v>0</v>
      </c>
      <c r="G600" s="653">
        <v>0</v>
      </c>
      <c r="H600" s="653">
        <v>48</v>
      </c>
      <c r="I600" s="653">
        <f t="shared" si="51"/>
        <v>40</v>
      </c>
      <c r="J600" s="653">
        <v>0</v>
      </c>
      <c r="K600" s="653">
        <v>0</v>
      </c>
      <c r="L600" s="698">
        <v>40</v>
      </c>
      <c r="M600" s="673">
        <v>92.4</v>
      </c>
      <c r="N600" s="653">
        <v>3.84</v>
      </c>
      <c r="O600" s="669" t="s">
        <v>4989</v>
      </c>
      <c r="P600" s="463" t="s">
        <v>1588</v>
      </c>
      <c r="Q600" s="672">
        <v>0</v>
      </c>
      <c r="R600" s="672">
        <v>0</v>
      </c>
      <c r="S600" s="672">
        <v>0</v>
      </c>
      <c r="T600" s="672">
        <v>0</v>
      </c>
      <c r="U600" s="463" t="s">
        <v>4990</v>
      </c>
      <c r="V600" s="463" t="s">
        <v>4991</v>
      </c>
      <c r="W600" s="653">
        <v>484</v>
      </c>
      <c r="X600" s="463" t="s">
        <v>2361</v>
      </c>
      <c r="Y600" s="463" t="s">
        <v>1533</v>
      </c>
      <c r="Z600" s="463" t="s">
        <v>1618</v>
      </c>
      <c r="AA600" s="463" t="s">
        <v>1592</v>
      </c>
      <c r="AB600" s="459" t="s">
        <v>1592</v>
      </c>
    </row>
    <row r="601" spans="1:28" ht="24" customHeight="1">
      <c r="A601" s="584"/>
      <c r="B601" s="521" t="s">
        <v>675</v>
      </c>
      <c r="C601" s="522" t="s">
        <v>4992</v>
      </c>
      <c r="D601" s="524" t="s">
        <v>4993</v>
      </c>
      <c r="E601" s="653">
        <f t="shared" si="50"/>
        <v>40</v>
      </c>
      <c r="F601" s="653">
        <v>0</v>
      </c>
      <c r="G601" s="653">
        <v>0</v>
      </c>
      <c r="H601" s="653">
        <v>40</v>
      </c>
      <c r="I601" s="653">
        <f t="shared" si="51"/>
        <v>40</v>
      </c>
      <c r="J601" s="653">
        <v>0</v>
      </c>
      <c r="K601" s="653">
        <v>0</v>
      </c>
      <c r="L601" s="698">
        <v>40</v>
      </c>
      <c r="M601" s="673">
        <v>93.6</v>
      </c>
      <c r="N601" s="653">
        <v>2.91</v>
      </c>
      <c r="O601" s="669" t="s">
        <v>4989</v>
      </c>
      <c r="P601" s="463" t="s">
        <v>1588</v>
      </c>
      <c r="Q601" s="672">
        <v>0</v>
      </c>
      <c r="R601" s="672">
        <v>0</v>
      </c>
      <c r="S601" s="672">
        <v>0</v>
      </c>
      <c r="T601" s="672">
        <v>0</v>
      </c>
      <c r="U601" s="463" t="s">
        <v>4994</v>
      </c>
      <c r="V601" s="463" t="s">
        <v>4995</v>
      </c>
      <c r="W601" s="653">
        <v>636</v>
      </c>
      <c r="X601" s="463" t="s">
        <v>2361</v>
      </c>
      <c r="Y601" s="463" t="s">
        <v>4034</v>
      </c>
      <c r="Z601" s="463" t="s">
        <v>1618</v>
      </c>
      <c r="AA601" s="463" t="s">
        <v>1592</v>
      </c>
      <c r="AB601" s="459" t="s">
        <v>1592</v>
      </c>
    </row>
    <row r="602" spans="1:28" ht="24" customHeight="1">
      <c r="A602" s="584"/>
      <c r="B602" s="521" t="s">
        <v>675</v>
      </c>
      <c r="C602" s="522" t="s">
        <v>4996</v>
      </c>
      <c r="D602" s="524" t="s">
        <v>4997</v>
      </c>
      <c r="E602" s="653">
        <f t="shared" si="50"/>
        <v>60</v>
      </c>
      <c r="F602" s="653">
        <v>0</v>
      </c>
      <c r="G602" s="653">
        <v>0</v>
      </c>
      <c r="H602" s="653">
        <v>60</v>
      </c>
      <c r="I602" s="653">
        <f t="shared" si="51"/>
        <v>60</v>
      </c>
      <c r="J602" s="653">
        <v>0</v>
      </c>
      <c r="K602" s="653">
        <v>0</v>
      </c>
      <c r="L602" s="698">
        <v>60</v>
      </c>
      <c r="M602" s="673">
        <v>94</v>
      </c>
      <c r="N602" s="653">
        <v>18.489999999999998</v>
      </c>
      <c r="O602" s="669" t="s">
        <v>4998</v>
      </c>
      <c r="P602" s="463" t="s">
        <v>1588</v>
      </c>
      <c r="Q602" s="672">
        <v>0</v>
      </c>
      <c r="R602" s="672">
        <v>0</v>
      </c>
      <c r="S602" s="672">
        <v>0</v>
      </c>
      <c r="T602" s="672">
        <v>0</v>
      </c>
      <c r="U602" s="463" t="s">
        <v>4999</v>
      </c>
      <c r="V602" s="463" t="s">
        <v>5000</v>
      </c>
      <c r="W602" s="653">
        <v>686</v>
      </c>
      <c r="X602" s="463" t="s">
        <v>2361</v>
      </c>
      <c r="Y602" s="463" t="s">
        <v>1533</v>
      </c>
      <c r="Z602" s="463" t="s">
        <v>1618</v>
      </c>
      <c r="AA602" s="463" t="s">
        <v>1592</v>
      </c>
      <c r="AB602" s="459" t="s">
        <v>1592</v>
      </c>
    </row>
    <row r="603" spans="1:28" ht="24" customHeight="1">
      <c r="A603" s="584"/>
      <c r="B603" s="521" t="s">
        <v>675</v>
      </c>
      <c r="C603" s="522" t="s">
        <v>5001</v>
      </c>
      <c r="D603" s="524" t="s">
        <v>5002</v>
      </c>
      <c r="E603" s="653">
        <f t="shared" si="50"/>
        <v>45</v>
      </c>
      <c r="F603" s="653">
        <v>0</v>
      </c>
      <c r="G603" s="653">
        <v>0</v>
      </c>
      <c r="H603" s="653">
        <v>45</v>
      </c>
      <c r="I603" s="653">
        <f t="shared" si="51"/>
        <v>40</v>
      </c>
      <c r="J603" s="653">
        <v>0</v>
      </c>
      <c r="K603" s="653">
        <v>0</v>
      </c>
      <c r="L603" s="698">
        <v>40</v>
      </c>
      <c r="M603" s="673">
        <v>95</v>
      </c>
      <c r="N603" s="653">
        <v>1.6</v>
      </c>
      <c r="O603" s="669" t="s">
        <v>4998</v>
      </c>
      <c r="P603" s="463" t="s">
        <v>1588</v>
      </c>
      <c r="Q603" s="672">
        <v>0</v>
      </c>
      <c r="R603" s="672">
        <v>0</v>
      </c>
      <c r="S603" s="672">
        <v>0</v>
      </c>
      <c r="T603" s="672">
        <v>0</v>
      </c>
      <c r="U603" s="463" t="s">
        <v>5003</v>
      </c>
      <c r="V603" s="463" t="s">
        <v>5004</v>
      </c>
      <c r="W603" s="653">
        <v>2100</v>
      </c>
      <c r="X603" s="463" t="s">
        <v>2361</v>
      </c>
      <c r="Y603" s="463" t="s">
        <v>4034</v>
      </c>
      <c r="Z603" s="463" t="s">
        <v>1618</v>
      </c>
      <c r="AA603" s="463" t="s">
        <v>1592</v>
      </c>
      <c r="AB603" s="459" t="s">
        <v>1592</v>
      </c>
    </row>
    <row r="604" spans="1:28" ht="24" customHeight="1">
      <c r="A604" s="590" t="s">
        <v>1634</v>
      </c>
      <c r="B604" s="524" t="s">
        <v>2201</v>
      </c>
      <c r="C604" s="522" t="s">
        <v>2401</v>
      </c>
      <c r="D604" s="524" t="s">
        <v>2273</v>
      </c>
      <c r="E604" s="653">
        <f>G604</f>
        <v>4000</v>
      </c>
      <c r="F604" s="653">
        <v>0</v>
      </c>
      <c r="G604" s="653">
        <v>4000</v>
      </c>
      <c r="H604" s="653">
        <v>0</v>
      </c>
      <c r="I604" s="653">
        <f t="shared" si="51"/>
        <v>3141.8</v>
      </c>
      <c r="J604" s="653">
        <v>0</v>
      </c>
      <c r="K604" s="653">
        <v>3141.8</v>
      </c>
      <c r="L604" s="698">
        <v>0</v>
      </c>
      <c r="M604" s="673">
        <v>87</v>
      </c>
      <c r="N604" s="653">
        <v>266.5</v>
      </c>
      <c r="O604" s="727" t="s">
        <v>3714</v>
      </c>
      <c r="P604" s="482" t="s">
        <v>1588</v>
      </c>
      <c r="Q604" s="672">
        <v>64.3</v>
      </c>
      <c r="R604" s="672">
        <v>0</v>
      </c>
      <c r="S604" s="672">
        <v>55.8</v>
      </c>
      <c r="T604" s="672">
        <v>380.7</v>
      </c>
      <c r="U604" s="464" t="s">
        <v>2275</v>
      </c>
      <c r="V604" s="464" t="s">
        <v>5005</v>
      </c>
      <c r="W604" s="653">
        <v>16225</v>
      </c>
      <c r="X604" s="525" t="s">
        <v>2276</v>
      </c>
      <c r="Y604" s="463" t="s">
        <v>5006</v>
      </c>
      <c r="Z604" s="525" t="s">
        <v>1613</v>
      </c>
      <c r="AA604" s="514" t="s">
        <v>1615</v>
      </c>
      <c r="AB604" s="526" t="s">
        <v>1534</v>
      </c>
    </row>
    <row r="605" spans="1:28" ht="24" customHeight="1">
      <c r="A605" s="591"/>
      <c r="B605" s="524" t="s">
        <v>675</v>
      </c>
      <c r="C605" s="522" t="s">
        <v>5007</v>
      </c>
      <c r="D605" s="524" t="s">
        <v>5008</v>
      </c>
      <c r="E605" s="653">
        <f>G605</f>
        <v>10</v>
      </c>
      <c r="F605" s="653">
        <v>0</v>
      </c>
      <c r="G605" s="653">
        <v>10</v>
      </c>
      <c r="H605" s="653">
        <v>0</v>
      </c>
      <c r="I605" s="653">
        <f t="shared" si="51"/>
        <v>6.6</v>
      </c>
      <c r="J605" s="653">
        <v>0</v>
      </c>
      <c r="K605" s="653">
        <v>6.6</v>
      </c>
      <c r="L605" s="698">
        <v>0</v>
      </c>
      <c r="M605" s="673">
        <v>96</v>
      </c>
      <c r="N605" s="653">
        <v>0.55000000000000004</v>
      </c>
      <c r="O605" s="725" t="s">
        <v>5009</v>
      </c>
      <c r="P605" s="498" t="s">
        <v>1588</v>
      </c>
      <c r="Q605" s="672">
        <v>0</v>
      </c>
      <c r="R605" s="672">
        <v>0</v>
      </c>
      <c r="S605" s="672">
        <v>0</v>
      </c>
      <c r="T605" s="672">
        <v>0</v>
      </c>
      <c r="U605" s="464" t="s">
        <v>2275</v>
      </c>
      <c r="V605" s="520" t="s">
        <v>5010</v>
      </c>
      <c r="W605" s="653">
        <v>140</v>
      </c>
      <c r="X605" s="463" t="s">
        <v>2276</v>
      </c>
      <c r="Y605" s="463" t="s">
        <v>5006</v>
      </c>
      <c r="Z605" s="480" t="s">
        <v>1613</v>
      </c>
      <c r="AA605" s="503" t="s">
        <v>1615</v>
      </c>
      <c r="AB605" s="481" t="s">
        <v>1534</v>
      </c>
    </row>
    <row r="606" spans="1:28" ht="24" customHeight="1">
      <c r="A606" s="591"/>
      <c r="B606" s="524" t="s">
        <v>675</v>
      </c>
      <c r="C606" s="522" t="s">
        <v>5011</v>
      </c>
      <c r="D606" s="524" t="s">
        <v>5012</v>
      </c>
      <c r="E606" s="653">
        <v>20</v>
      </c>
      <c r="F606" s="653">
        <v>0</v>
      </c>
      <c r="G606" s="653">
        <v>20</v>
      </c>
      <c r="H606" s="653">
        <v>0</v>
      </c>
      <c r="I606" s="653">
        <f t="shared" si="51"/>
        <v>8.8000000000000007</v>
      </c>
      <c r="J606" s="653">
        <v>0</v>
      </c>
      <c r="K606" s="653">
        <v>8.8000000000000007</v>
      </c>
      <c r="L606" s="698">
        <v>0</v>
      </c>
      <c r="M606" s="673">
        <v>96</v>
      </c>
      <c r="N606" s="653">
        <v>1.28</v>
      </c>
      <c r="O606" s="725" t="s">
        <v>5009</v>
      </c>
      <c r="P606" s="498" t="s">
        <v>1588</v>
      </c>
      <c r="Q606" s="672">
        <v>0</v>
      </c>
      <c r="R606" s="672">
        <v>0</v>
      </c>
      <c r="S606" s="672">
        <v>0</v>
      </c>
      <c r="T606" s="672">
        <v>0</v>
      </c>
      <c r="U606" s="464" t="s">
        <v>2275</v>
      </c>
      <c r="V606" s="520" t="s">
        <v>5013</v>
      </c>
      <c r="W606" s="653">
        <v>200</v>
      </c>
      <c r="X606" s="463" t="s">
        <v>2276</v>
      </c>
      <c r="Y606" s="463" t="s">
        <v>5006</v>
      </c>
      <c r="Z606" s="480" t="s">
        <v>1613</v>
      </c>
      <c r="AA606" s="503" t="s">
        <v>1615</v>
      </c>
      <c r="AB606" s="481" t="s">
        <v>1534</v>
      </c>
    </row>
    <row r="607" spans="1:28" ht="24" customHeight="1">
      <c r="A607" s="591"/>
      <c r="B607" s="524" t="s">
        <v>675</v>
      </c>
      <c r="C607" s="522" t="s">
        <v>5014</v>
      </c>
      <c r="D607" s="524" t="s">
        <v>5015</v>
      </c>
      <c r="E607" s="653">
        <f t="shared" ref="E607:E614" si="52">G607</f>
        <v>10</v>
      </c>
      <c r="F607" s="653">
        <v>0</v>
      </c>
      <c r="G607" s="653">
        <v>10</v>
      </c>
      <c r="H607" s="653">
        <v>0</v>
      </c>
      <c r="I607" s="653">
        <f t="shared" si="51"/>
        <v>5.8</v>
      </c>
      <c r="J607" s="653">
        <v>0</v>
      </c>
      <c r="K607" s="653">
        <v>5.8</v>
      </c>
      <c r="L607" s="698">
        <v>0</v>
      </c>
      <c r="M607" s="673">
        <v>96</v>
      </c>
      <c r="N607" s="653">
        <v>0.45</v>
      </c>
      <c r="O607" s="725" t="s">
        <v>3742</v>
      </c>
      <c r="P607" s="498" t="s">
        <v>1588</v>
      </c>
      <c r="Q607" s="672">
        <v>0</v>
      </c>
      <c r="R607" s="672">
        <v>0</v>
      </c>
      <c r="S607" s="672">
        <v>0</v>
      </c>
      <c r="T607" s="672">
        <v>0</v>
      </c>
      <c r="U607" s="464" t="s">
        <v>2275</v>
      </c>
      <c r="V607" s="520" t="s">
        <v>5016</v>
      </c>
      <c r="W607" s="653">
        <v>300</v>
      </c>
      <c r="X607" s="463" t="s">
        <v>2276</v>
      </c>
      <c r="Y607" s="463" t="s">
        <v>5006</v>
      </c>
      <c r="Z607" s="480" t="s">
        <v>1613</v>
      </c>
      <c r="AA607" s="503" t="s">
        <v>1615</v>
      </c>
      <c r="AB607" s="481" t="s">
        <v>1534</v>
      </c>
    </row>
    <row r="608" spans="1:28" ht="24" customHeight="1">
      <c r="A608" s="591"/>
      <c r="B608" s="524" t="s">
        <v>675</v>
      </c>
      <c r="C608" s="522" t="s">
        <v>5017</v>
      </c>
      <c r="D608" s="524" t="s">
        <v>5018</v>
      </c>
      <c r="E608" s="653">
        <f t="shared" si="52"/>
        <v>23</v>
      </c>
      <c r="F608" s="653">
        <v>0</v>
      </c>
      <c r="G608" s="653">
        <v>23</v>
      </c>
      <c r="H608" s="653">
        <v>0</v>
      </c>
      <c r="I608" s="653">
        <f t="shared" si="51"/>
        <v>8.1999999999999993</v>
      </c>
      <c r="J608" s="653">
        <v>0</v>
      </c>
      <c r="K608" s="653">
        <v>8.1999999999999993</v>
      </c>
      <c r="L608" s="698">
        <v>0</v>
      </c>
      <c r="M608" s="673">
        <v>95</v>
      </c>
      <c r="N608" s="653">
        <v>0.76</v>
      </c>
      <c r="O608" s="725" t="s">
        <v>3742</v>
      </c>
      <c r="P608" s="498" t="s">
        <v>1588</v>
      </c>
      <c r="Q608" s="672">
        <v>0</v>
      </c>
      <c r="R608" s="672">
        <v>0</v>
      </c>
      <c r="S608" s="672">
        <v>0</v>
      </c>
      <c r="T608" s="672">
        <v>0</v>
      </c>
      <c r="U608" s="464" t="s">
        <v>2275</v>
      </c>
      <c r="V608" s="520" t="s">
        <v>5019</v>
      </c>
      <c r="W608" s="653">
        <v>200</v>
      </c>
      <c r="X608" s="463" t="s">
        <v>2276</v>
      </c>
      <c r="Y608" s="463" t="s">
        <v>3336</v>
      </c>
      <c r="Z608" s="480" t="s">
        <v>1613</v>
      </c>
      <c r="AA608" s="503" t="s">
        <v>1615</v>
      </c>
      <c r="AB608" s="481" t="s">
        <v>1534</v>
      </c>
    </row>
    <row r="609" spans="1:28" ht="24" customHeight="1">
      <c r="A609" s="591"/>
      <c r="B609" s="524" t="s">
        <v>675</v>
      </c>
      <c r="C609" s="522" t="s">
        <v>5020</v>
      </c>
      <c r="D609" s="524" t="s">
        <v>5021</v>
      </c>
      <c r="E609" s="653">
        <f t="shared" si="52"/>
        <v>25</v>
      </c>
      <c r="F609" s="653">
        <v>0</v>
      </c>
      <c r="G609" s="653">
        <v>25</v>
      </c>
      <c r="H609" s="653">
        <v>0</v>
      </c>
      <c r="I609" s="653">
        <f t="shared" si="51"/>
        <v>16.3</v>
      </c>
      <c r="J609" s="653">
        <v>0</v>
      </c>
      <c r="K609" s="653">
        <v>16.3</v>
      </c>
      <c r="L609" s="698">
        <v>0</v>
      </c>
      <c r="M609" s="673">
        <v>96</v>
      </c>
      <c r="N609" s="653">
        <v>1.3</v>
      </c>
      <c r="O609" s="725" t="s">
        <v>3742</v>
      </c>
      <c r="P609" s="498" t="s">
        <v>1588</v>
      </c>
      <c r="Q609" s="672">
        <v>0</v>
      </c>
      <c r="R609" s="672">
        <v>0</v>
      </c>
      <c r="S609" s="672">
        <v>0</v>
      </c>
      <c r="T609" s="672">
        <v>0</v>
      </c>
      <c r="U609" s="464" t="s">
        <v>2275</v>
      </c>
      <c r="V609" s="520" t="s">
        <v>5022</v>
      </c>
      <c r="W609" s="653">
        <v>100</v>
      </c>
      <c r="X609" s="463" t="s">
        <v>2276</v>
      </c>
      <c r="Y609" s="463" t="s">
        <v>3336</v>
      </c>
      <c r="Z609" s="480" t="s">
        <v>1613</v>
      </c>
      <c r="AA609" s="503" t="s">
        <v>1615</v>
      </c>
      <c r="AB609" s="481" t="s">
        <v>1534</v>
      </c>
    </row>
    <row r="610" spans="1:28" ht="24" customHeight="1">
      <c r="A610" s="591"/>
      <c r="B610" s="524" t="s">
        <v>675</v>
      </c>
      <c r="C610" s="522" t="s">
        <v>5023</v>
      </c>
      <c r="D610" s="524" t="s">
        <v>5024</v>
      </c>
      <c r="E610" s="653">
        <f t="shared" si="52"/>
        <v>40</v>
      </c>
      <c r="F610" s="653">
        <v>0</v>
      </c>
      <c r="G610" s="653">
        <v>40</v>
      </c>
      <c r="H610" s="653">
        <v>0</v>
      </c>
      <c r="I610" s="653">
        <f t="shared" si="51"/>
        <v>22.6</v>
      </c>
      <c r="J610" s="653">
        <v>0</v>
      </c>
      <c r="K610" s="653">
        <v>22.6</v>
      </c>
      <c r="L610" s="698">
        <v>0</v>
      </c>
      <c r="M610" s="673">
        <v>95</v>
      </c>
      <c r="N610" s="653">
        <v>1.7</v>
      </c>
      <c r="O610" s="725" t="s">
        <v>3742</v>
      </c>
      <c r="P610" s="498" t="s">
        <v>1588</v>
      </c>
      <c r="Q610" s="672">
        <v>0</v>
      </c>
      <c r="R610" s="672">
        <v>0</v>
      </c>
      <c r="S610" s="672">
        <v>0</v>
      </c>
      <c r="T610" s="672">
        <v>0</v>
      </c>
      <c r="U610" s="464" t="s">
        <v>2275</v>
      </c>
      <c r="V610" s="520" t="s">
        <v>5025</v>
      </c>
      <c r="W610" s="653">
        <v>218</v>
      </c>
      <c r="X610" s="463" t="s">
        <v>2276</v>
      </c>
      <c r="Y610" s="463" t="s">
        <v>5006</v>
      </c>
      <c r="Z610" s="480" t="s">
        <v>1613</v>
      </c>
      <c r="AA610" s="503" t="s">
        <v>1615</v>
      </c>
      <c r="AB610" s="481" t="s">
        <v>1534</v>
      </c>
    </row>
    <row r="611" spans="1:28" ht="24" customHeight="1">
      <c r="A611" s="591"/>
      <c r="B611" s="524" t="s">
        <v>675</v>
      </c>
      <c r="C611" s="522" t="s">
        <v>5026</v>
      </c>
      <c r="D611" s="524" t="s">
        <v>5027</v>
      </c>
      <c r="E611" s="653">
        <f t="shared" si="52"/>
        <v>50</v>
      </c>
      <c r="F611" s="653">
        <v>0</v>
      </c>
      <c r="G611" s="653">
        <v>50</v>
      </c>
      <c r="H611" s="653">
        <v>0</v>
      </c>
      <c r="I611" s="653">
        <f t="shared" si="51"/>
        <v>24.5</v>
      </c>
      <c r="J611" s="653">
        <v>0</v>
      </c>
      <c r="K611" s="653">
        <v>24.5</v>
      </c>
      <c r="L611" s="698">
        <v>0</v>
      </c>
      <c r="M611" s="673">
        <v>95</v>
      </c>
      <c r="N611" s="653">
        <v>1.88</v>
      </c>
      <c r="O611" s="725" t="s">
        <v>3742</v>
      </c>
      <c r="P611" s="498" t="s">
        <v>1588</v>
      </c>
      <c r="Q611" s="672">
        <v>0</v>
      </c>
      <c r="R611" s="672">
        <v>0</v>
      </c>
      <c r="S611" s="672">
        <v>0</v>
      </c>
      <c r="T611" s="672">
        <v>0</v>
      </c>
      <c r="U611" s="464" t="s">
        <v>2275</v>
      </c>
      <c r="V611" s="520" t="s">
        <v>5028</v>
      </c>
      <c r="W611" s="653">
        <v>351</v>
      </c>
      <c r="X611" s="463" t="s">
        <v>2276</v>
      </c>
      <c r="Y611" s="463" t="s">
        <v>3336</v>
      </c>
      <c r="Z611" s="480" t="s">
        <v>1613</v>
      </c>
      <c r="AA611" s="503" t="s">
        <v>1615</v>
      </c>
      <c r="AB611" s="481" t="s">
        <v>1534</v>
      </c>
    </row>
    <row r="612" spans="1:28" ht="24" customHeight="1">
      <c r="A612" s="591"/>
      <c r="B612" s="524" t="s">
        <v>675</v>
      </c>
      <c r="C612" s="522" t="s">
        <v>5029</v>
      </c>
      <c r="D612" s="524" t="s">
        <v>5030</v>
      </c>
      <c r="E612" s="653">
        <f t="shared" si="52"/>
        <v>50</v>
      </c>
      <c r="F612" s="653">
        <v>0</v>
      </c>
      <c r="G612" s="653">
        <v>50</v>
      </c>
      <c r="H612" s="653">
        <v>0</v>
      </c>
      <c r="I612" s="653">
        <f t="shared" si="51"/>
        <v>28.4</v>
      </c>
      <c r="J612" s="653">
        <v>0</v>
      </c>
      <c r="K612" s="653">
        <v>28.4</v>
      </c>
      <c r="L612" s="698">
        <v>0</v>
      </c>
      <c r="M612" s="673">
        <v>96</v>
      </c>
      <c r="N612" s="653">
        <v>2.21</v>
      </c>
      <c r="O612" s="725" t="s">
        <v>3742</v>
      </c>
      <c r="P612" s="498" t="s">
        <v>1588</v>
      </c>
      <c r="Q612" s="672">
        <v>0</v>
      </c>
      <c r="R612" s="672">
        <v>0</v>
      </c>
      <c r="S612" s="672">
        <v>0</v>
      </c>
      <c r="T612" s="672">
        <v>0</v>
      </c>
      <c r="U612" s="464" t="s">
        <v>2275</v>
      </c>
      <c r="V612" s="520" t="s">
        <v>5028</v>
      </c>
      <c r="W612" s="653">
        <v>350</v>
      </c>
      <c r="X612" s="463" t="s">
        <v>2276</v>
      </c>
      <c r="Y612" s="463" t="s">
        <v>3336</v>
      </c>
      <c r="Z612" s="480" t="s">
        <v>1613</v>
      </c>
      <c r="AA612" s="503" t="s">
        <v>1615</v>
      </c>
      <c r="AB612" s="481" t="s">
        <v>1534</v>
      </c>
    </row>
    <row r="613" spans="1:28" ht="24" customHeight="1">
      <c r="A613" s="591"/>
      <c r="B613" s="524" t="s">
        <v>675</v>
      </c>
      <c r="C613" s="522" t="s">
        <v>5031</v>
      </c>
      <c r="D613" s="524" t="s">
        <v>5032</v>
      </c>
      <c r="E613" s="653">
        <f t="shared" si="52"/>
        <v>310</v>
      </c>
      <c r="F613" s="653">
        <v>0</v>
      </c>
      <c r="G613" s="653">
        <v>310</v>
      </c>
      <c r="H613" s="653">
        <v>0</v>
      </c>
      <c r="I613" s="653">
        <f t="shared" si="51"/>
        <v>200.1</v>
      </c>
      <c r="J613" s="653">
        <v>0</v>
      </c>
      <c r="K613" s="653">
        <v>200.1</v>
      </c>
      <c r="L613" s="698">
        <v>0</v>
      </c>
      <c r="M613" s="673">
        <v>96</v>
      </c>
      <c r="N613" s="653">
        <v>17.850000000000001</v>
      </c>
      <c r="O613" s="725" t="s">
        <v>5033</v>
      </c>
      <c r="P613" s="498" t="s">
        <v>1588</v>
      </c>
      <c r="Q613" s="672">
        <v>0</v>
      </c>
      <c r="R613" s="672">
        <v>0</v>
      </c>
      <c r="S613" s="672">
        <v>0</v>
      </c>
      <c r="T613" s="672">
        <v>0</v>
      </c>
      <c r="U613" s="464" t="s">
        <v>2275</v>
      </c>
      <c r="V613" s="520" t="s">
        <v>5034</v>
      </c>
      <c r="W613" s="653">
        <v>400</v>
      </c>
      <c r="X613" s="463" t="s">
        <v>2276</v>
      </c>
      <c r="Y613" s="463" t="s">
        <v>5006</v>
      </c>
      <c r="Z613" s="480" t="s">
        <v>1632</v>
      </c>
      <c r="AA613" s="480" t="s">
        <v>1592</v>
      </c>
      <c r="AB613" s="481" t="s">
        <v>1592</v>
      </c>
    </row>
    <row r="614" spans="1:28" ht="24" customHeight="1">
      <c r="A614" s="591"/>
      <c r="B614" s="524" t="s">
        <v>675</v>
      </c>
      <c r="C614" s="522" t="s">
        <v>5035</v>
      </c>
      <c r="D614" s="524" t="s">
        <v>5036</v>
      </c>
      <c r="E614" s="653">
        <f t="shared" si="52"/>
        <v>30</v>
      </c>
      <c r="F614" s="653">
        <v>0</v>
      </c>
      <c r="G614" s="653">
        <v>30</v>
      </c>
      <c r="H614" s="653">
        <v>0</v>
      </c>
      <c r="I614" s="653">
        <f t="shared" si="51"/>
        <v>95</v>
      </c>
      <c r="J614" s="653">
        <v>0</v>
      </c>
      <c r="K614" s="653">
        <f>M614</f>
        <v>95</v>
      </c>
      <c r="L614" s="698">
        <v>0</v>
      </c>
      <c r="M614" s="673">
        <v>95</v>
      </c>
      <c r="N614" s="653">
        <v>1.32</v>
      </c>
      <c r="O614" s="725" t="s">
        <v>3742</v>
      </c>
      <c r="P614" s="498" t="s">
        <v>1588</v>
      </c>
      <c r="Q614" s="672">
        <v>0</v>
      </c>
      <c r="R614" s="672">
        <v>0</v>
      </c>
      <c r="S614" s="672">
        <v>0</v>
      </c>
      <c r="T614" s="672">
        <v>0</v>
      </c>
      <c r="U614" s="464" t="s">
        <v>2275</v>
      </c>
      <c r="V614" s="520" t="s">
        <v>5037</v>
      </c>
      <c r="W614" s="653">
        <v>275</v>
      </c>
      <c r="X614" s="463" t="s">
        <v>2276</v>
      </c>
      <c r="Y614" s="463" t="s">
        <v>5006</v>
      </c>
      <c r="Z614" s="480" t="s">
        <v>1632</v>
      </c>
      <c r="AA614" s="480" t="s">
        <v>1592</v>
      </c>
      <c r="AB614" s="481" t="s">
        <v>1592</v>
      </c>
    </row>
    <row r="615" spans="1:28" ht="24" customHeight="1">
      <c r="A615" s="591"/>
      <c r="B615" s="524" t="s">
        <v>675</v>
      </c>
      <c r="C615" s="522" t="s">
        <v>877</v>
      </c>
      <c r="D615" s="524" t="s">
        <v>5038</v>
      </c>
      <c r="E615" s="653">
        <v>100</v>
      </c>
      <c r="F615" s="653">
        <v>0</v>
      </c>
      <c r="G615" s="653">
        <v>100</v>
      </c>
      <c r="H615" s="653">
        <v>0</v>
      </c>
      <c r="I615" s="653">
        <f t="shared" si="51"/>
        <v>56.6</v>
      </c>
      <c r="J615" s="653">
        <v>0</v>
      </c>
      <c r="K615" s="653">
        <v>56.6</v>
      </c>
      <c r="L615" s="698">
        <v>0</v>
      </c>
      <c r="M615" s="673">
        <v>96</v>
      </c>
      <c r="N615" s="653">
        <v>4.1900000000000004</v>
      </c>
      <c r="O615" s="725" t="s">
        <v>3742</v>
      </c>
      <c r="P615" s="498" t="s">
        <v>1588</v>
      </c>
      <c r="Q615" s="672">
        <v>0</v>
      </c>
      <c r="R615" s="672">
        <v>0</v>
      </c>
      <c r="S615" s="672">
        <v>0</v>
      </c>
      <c r="T615" s="672">
        <v>0</v>
      </c>
      <c r="U615" s="464" t="s">
        <v>2275</v>
      </c>
      <c r="V615" s="520" t="s">
        <v>5039</v>
      </c>
      <c r="W615" s="653">
        <v>527</v>
      </c>
      <c r="X615" s="463" t="s">
        <v>2276</v>
      </c>
      <c r="Y615" s="463" t="s">
        <v>3336</v>
      </c>
      <c r="Z615" s="480" t="s">
        <v>1613</v>
      </c>
      <c r="AA615" s="503" t="s">
        <v>1615</v>
      </c>
      <c r="AB615" s="481" t="s">
        <v>1534</v>
      </c>
    </row>
    <row r="616" spans="1:28" ht="24" customHeight="1">
      <c r="A616" s="591"/>
      <c r="B616" s="524" t="s">
        <v>675</v>
      </c>
      <c r="C616" s="522" t="s">
        <v>5040</v>
      </c>
      <c r="D616" s="524" t="s">
        <v>5041</v>
      </c>
      <c r="E616" s="653">
        <v>50</v>
      </c>
      <c r="F616" s="653">
        <v>0</v>
      </c>
      <c r="G616" s="653">
        <v>50</v>
      </c>
      <c r="H616" s="653">
        <v>0</v>
      </c>
      <c r="I616" s="653">
        <f t="shared" si="51"/>
        <v>28.8</v>
      </c>
      <c r="J616" s="653">
        <v>0</v>
      </c>
      <c r="K616" s="653">
        <v>28.8</v>
      </c>
      <c r="L616" s="698">
        <v>0</v>
      </c>
      <c r="M616" s="673">
        <v>96</v>
      </c>
      <c r="N616" s="653">
        <v>2.23</v>
      </c>
      <c r="O616" s="725" t="s">
        <v>3742</v>
      </c>
      <c r="P616" s="498" t="s">
        <v>1588</v>
      </c>
      <c r="Q616" s="672">
        <v>0</v>
      </c>
      <c r="R616" s="672">
        <v>0</v>
      </c>
      <c r="S616" s="672">
        <v>0</v>
      </c>
      <c r="T616" s="672">
        <v>0</v>
      </c>
      <c r="U616" s="464" t="s">
        <v>2275</v>
      </c>
      <c r="V616" s="520" t="s">
        <v>5039</v>
      </c>
      <c r="W616" s="653">
        <v>679</v>
      </c>
      <c r="X616" s="463" t="s">
        <v>2276</v>
      </c>
      <c r="Y616" s="463" t="s">
        <v>3336</v>
      </c>
      <c r="Z616" s="480" t="s">
        <v>1613</v>
      </c>
      <c r="AA616" s="503" t="s">
        <v>1615</v>
      </c>
      <c r="AB616" s="481" t="s">
        <v>1534</v>
      </c>
    </row>
    <row r="617" spans="1:28" ht="24" customHeight="1">
      <c r="A617" s="591"/>
      <c r="B617" s="524" t="s">
        <v>675</v>
      </c>
      <c r="C617" s="522" t="s">
        <v>5042</v>
      </c>
      <c r="D617" s="524" t="s">
        <v>5043</v>
      </c>
      <c r="E617" s="653">
        <v>200</v>
      </c>
      <c r="F617" s="653">
        <v>0</v>
      </c>
      <c r="G617" s="653">
        <v>200</v>
      </c>
      <c r="H617" s="653">
        <v>0</v>
      </c>
      <c r="I617" s="653">
        <f t="shared" si="51"/>
        <v>71</v>
      </c>
      <c r="J617" s="653">
        <v>0</v>
      </c>
      <c r="K617" s="653">
        <v>71</v>
      </c>
      <c r="L617" s="698">
        <v>0</v>
      </c>
      <c r="M617" s="673">
        <v>97</v>
      </c>
      <c r="N617" s="653">
        <v>5.36</v>
      </c>
      <c r="O617" s="725" t="s">
        <v>3742</v>
      </c>
      <c r="P617" s="498" t="s">
        <v>1588</v>
      </c>
      <c r="Q617" s="672">
        <v>0</v>
      </c>
      <c r="R617" s="672">
        <v>0</v>
      </c>
      <c r="S617" s="672">
        <v>0</v>
      </c>
      <c r="T617" s="672">
        <v>0</v>
      </c>
      <c r="U617" s="464" t="s">
        <v>2275</v>
      </c>
      <c r="V617" s="520" t="s">
        <v>5044</v>
      </c>
      <c r="W617" s="653">
        <v>1854</v>
      </c>
      <c r="X617" s="463" t="s">
        <v>2276</v>
      </c>
      <c r="Y617" s="463" t="s">
        <v>5006</v>
      </c>
      <c r="Z617" s="480" t="s">
        <v>1613</v>
      </c>
      <c r="AA617" s="503" t="s">
        <v>1615</v>
      </c>
      <c r="AB617" s="481" t="s">
        <v>1534</v>
      </c>
    </row>
    <row r="618" spans="1:28" ht="24" customHeight="1">
      <c r="A618" s="591"/>
      <c r="B618" s="524" t="s">
        <v>675</v>
      </c>
      <c r="C618" s="522" t="s">
        <v>5045</v>
      </c>
      <c r="D618" s="524" t="s">
        <v>5046</v>
      </c>
      <c r="E618" s="653">
        <v>350</v>
      </c>
      <c r="F618" s="653">
        <v>0</v>
      </c>
      <c r="G618" s="653">
        <v>350</v>
      </c>
      <c r="H618" s="653">
        <v>0</v>
      </c>
      <c r="I618" s="653">
        <f t="shared" si="51"/>
        <v>231.6</v>
      </c>
      <c r="J618" s="653">
        <v>0</v>
      </c>
      <c r="K618" s="653">
        <v>231.6</v>
      </c>
      <c r="L618" s="698">
        <v>0</v>
      </c>
      <c r="M618" s="673">
        <v>95</v>
      </c>
      <c r="N618" s="653">
        <v>13.11</v>
      </c>
      <c r="O618" s="725" t="s">
        <v>3347</v>
      </c>
      <c r="P618" s="498" t="s">
        <v>1588</v>
      </c>
      <c r="Q618" s="672">
        <v>0</v>
      </c>
      <c r="R618" s="672">
        <v>0</v>
      </c>
      <c r="S618" s="672">
        <v>0</v>
      </c>
      <c r="T618" s="672">
        <v>0</v>
      </c>
      <c r="U618" s="464" t="s">
        <v>2275</v>
      </c>
      <c r="V618" s="520" t="s">
        <v>5044</v>
      </c>
      <c r="W618" s="653">
        <v>3639</v>
      </c>
      <c r="X618" s="463" t="s">
        <v>2276</v>
      </c>
      <c r="Y618" s="463" t="s">
        <v>5006</v>
      </c>
      <c r="Z618" s="480" t="s">
        <v>1632</v>
      </c>
      <c r="AA618" s="480" t="s">
        <v>1592</v>
      </c>
      <c r="AB618" s="481" t="s">
        <v>1592</v>
      </c>
    </row>
    <row r="619" spans="1:28" ht="24" customHeight="1">
      <c r="A619" s="591"/>
      <c r="B619" s="524" t="s">
        <v>675</v>
      </c>
      <c r="C619" s="522" t="s">
        <v>5047</v>
      </c>
      <c r="D619" s="524" t="s">
        <v>5048</v>
      </c>
      <c r="E619" s="653">
        <v>300</v>
      </c>
      <c r="F619" s="653">
        <v>0</v>
      </c>
      <c r="G619" s="653">
        <v>300</v>
      </c>
      <c r="H619" s="653">
        <v>0</v>
      </c>
      <c r="I619" s="653">
        <f t="shared" si="51"/>
        <v>166.5</v>
      </c>
      <c r="J619" s="653">
        <v>0</v>
      </c>
      <c r="K619" s="653">
        <v>166.5</v>
      </c>
      <c r="L619" s="698">
        <v>0</v>
      </c>
      <c r="M619" s="673">
        <v>95</v>
      </c>
      <c r="N619" s="653">
        <v>11.47</v>
      </c>
      <c r="O619" s="725" t="s">
        <v>3347</v>
      </c>
      <c r="P619" s="498" t="s">
        <v>1588</v>
      </c>
      <c r="Q619" s="672">
        <v>0</v>
      </c>
      <c r="R619" s="672">
        <v>0</v>
      </c>
      <c r="S619" s="672">
        <v>0</v>
      </c>
      <c r="T619" s="672">
        <v>0</v>
      </c>
      <c r="U619" s="464" t="s">
        <v>2275</v>
      </c>
      <c r="V619" s="520" t="s">
        <v>5044</v>
      </c>
      <c r="W619" s="653">
        <v>3437</v>
      </c>
      <c r="X619" s="463" t="s">
        <v>2276</v>
      </c>
      <c r="Y619" s="463" t="s">
        <v>3336</v>
      </c>
      <c r="Z619" s="480" t="s">
        <v>1613</v>
      </c>
      <c r="AA619" s="480" t="s">
        <v>1615</v>
      </c>
      <c r="AB619" s="481" t="s">
        <v>1534</v>
      </c>
    </row>
    <row r="620" spans="1:28" ht="24" customHeight="1">
      <c r="A620" s="590" t="s">
        <v>1635</v>
      </c>
      <c r="B620" s="524" t="s">
        <v>2201</v>
      </c>
      <c r="C620" s="522" t="s">
        <v>2402</v>
      </c>
      <c r="D620" s="524" t="s">
        <v>5049</v>
      </c>
      <c r="E620" s="653">
        <v>7000</v>
      </c>
      <c r="F620" s="653">
        <v>0</v>
      </c>
      <c r="G620" s="653">
        <v>0</v>
      </c>
      <c r="H620" s="653">
        <v>7000</v>
      </c>
      <c r="I620" s="653">
        <f t="shared" si="51"/>
        <v>9021</v>
      </c>
      <c r="J620" s="653">
        <v>2021</v>
      </c>
      <c r="K620" s="653">
        <v>0</v>
      </c>
      <c r="L620" s="698">
        <v>7000</v>
      </c>
      <c r="M620" s="673">
        <v>95</v>
      </c>
      <c r="N620" s="653">
        <v>583</v>
      </c>
      <c r="O620" s="725" t="s">
        <v>3274</v>
      </c>
      <c r="P620" s="498" t="s">
        <v>1588</v>
      </c>
      <c r="Q620" s="672">
        <v>38</v>
      </c>
      <c r="R620" s="672">
        <v>0</v>
      </c>
      <c r="S620" s="672">
        <v>0</v>
      </c>
      <c r="T620" s="672">
        <v>0</v>
      </c>
      <c r="U620" s="465" t="s">
        <v>2277</v>
      </c>
      <c r="V620" s="465" t="s">
        <v>5050</v>
      </c>
      <c r="W620" s="653">
        <v>19981</v>
      </c>
      <c r="X620" s="463" t="s">
        <v>2276</v>
      </c>
      <c r="Y620" s="463" t="s">
        <v>3161</v>
      </c>
      <c r="Z620" s="463" t="s">
        <v>1613</v>
      </c>
      <c r="AA620" s="463" t="s">
        <v>1615</v>
      </c>
      <c r="AB620" s="459" t="s">
        <v>1534</v>
      </c>
    </row>
    <row r="621" spans="1:28" ht="24" customHeight="1">
      <c r="A621" s="591"/>
      <c r="B621" s="524" t="s">
        <v>2201</v>
      </c>
      <c r="C621" s="522" t="s">
        <v>2403</v>
      </c>
      <c r="D621" s="524" t="s">
        <v>5051</v>
      </c>
      <c r="E621" s="653">
        <v>6000</v>
      </c>
      <c r="F621" s="653">
        <v>0</v>
      </c>
      <c r="G621" s="653">
        <v>0</v>
      </c>
      <c r="H621" s="653">
        <v>6000</v>
      </c>
      <c r="I621" s="653">
        <f t="shared" si="51"/>
        <v>6460</v>
      </c>
      <c r="J621" s="653">
        <v>460</v>
      </c>
      <c r="K621" s="653">
        <v>0</v>
      </c>
      <c r="L621" s="698">
        <v>6000</v>
      </c>
      <c r="M621" s="673">
        <v>96</v>
      </c>
      <c r="N621" s="653">
        <v>433</v>
      </c>
      <c r="O621" s="725" t="s">
        <v>5052</v>
      </c>
      <c r="P621" s="498" t="s">
        <v>1588</v>
      </c>
      <c r="Q621" s="672">
        <v>34.200000000000003</v>
      </c>
      <c r="R621" s="672">
        <v>0</v>
      </c>
      <c r="S621" s="672">
        <v>0</v>
      </c>
      <c r="T621" s="672">
        <v>0</v>
      </c>
      <c r="U621" s="506" t="s">
        <v>2278</v>
      </c>
      <c r="V621" s="506" t="s">
        <v>5053</v>
      </c>
      <c r="W621" s="656">
        <v>16023</v>
      </c>
      <c r="X621" s="132" t="s">
        <v>2276</v>
      </c>
      <c r="Y621" s="132" t="s">
        <v>1588</v>
      </c>
      <c r="Z621" s="463" t="s">
        <v>1598</v>
      </c>
      <c r="AA621" s="463" t="s">
        <v>1615</v>
      </c>
      <c r="AB621" s="459" t="s">
        <v>1534</v>
      </c>
    </row>
    <row r="622" spans="1:28" ht="24" customHeight="1">
      <c r="A622" s="591"/>
      <c r="B622" s="524" t="s">
        <v>675</v>
      </c>
      <c r="C622" s="522" t="s">
        <v>5054</v>
      </c>
      <c r="D622" s="524" t="s">
        <v>5055</v>
      </c>
      <c r="E622" s="653">
        <v>140</v>
      </c>
      <c r="F622" s="653">
        <v>0</v>
      </c>
      <c r="G622" s="653">
        <v>140</v>
      </c>
      <c r="H622" s="653">
        <v>0</v>
      </c>
      <c r="I622" s="653">
        <f t="shared" si="51"/>
        <v>141.6</v>
      </c>
      <c r="J622" s="653">
        <v>0</v>
      </c>
      <c r="K622" s="653">
        <v>141.6</v>
      </c>
      <c r="L622" s="698">
        <v>0</v>
      </c>
      <c r="M622" s="673">
        <v>69</v>
      </c>
      <c r="N622" s="653">
        <v>6</v>
      </c>
      <c r="O622" s="725" t="s">
        <v>3742</v>
      </c>
      <c r="P622" s="498" t="s">
        <v>1588</v>
      </c>
      <c r="Q622" s="672">
        <v>0</v>
      </c>
      <c r="R622" s="672">
        <v>0</v>
      </c>
      <c r="S622" s="672">
        <v>0</v>
      </c>
      <c r="T622" s="672">
        <v>0</v>
      </c>
      <c r="U622" s="506" t="s">
        <v>5056</v>
      </c>
      <c r="V622" s="506" t="s">
        <v>5057</v>
      </c>
      <c r="W622" s="656">
        <v>450</v>
      </c>
      <c r="X622" s="132" t="s">
        <v>2276</v>
      </c>
      <c r="Y622" s="132" t="s">
        <v>1588</v>
      </c>
      <c r="Z622" s="463" t="s">
        <v>1618</v>
      </c>
      <c r="AA622" s="463" t="s">
        <v>1618</v>
      </c>
      <c r="AB622" s="459" t="s">
        <v>1592</v>
      </c>
    </row>
    <row r="623" spans="1:28" ht="24" customHeight="1">
      <c r="A623" s="591"/>
      <c r="B623" s="524" t="s">
        <v>675</v>
      </c>
      <c r="C623" s="522" t="s">
        <v>5058</v>
      </c>
      <c r="D623" s="524" t="s">
        <v>5059</v>
      </c>
      <c r="E623" s="653">
        <v>60</v>
      </c>
      <c r="F623" s="653">
        <v>0</v>
      </c>
      <c r="G623" s="653">
        <v>60</v>
      </c>
      <c r="H623" s="653">
        <v>0</v>
      </c>
      <c r="I623" s="653">
        <f t="shared" si="51"/>
        <v>20</v>
      </c>
      <c r="J623" s="653">
        <v>0</v>
      </c>
      <c r="K623" s="653">
        <v>20</v>
      </c>
      <c r="L623" s="698">
        <v>0</v>
      </c>
      <c r="M623" s="673">
        <v>82</v>
      </c>
      <c r="N623" s="653">
        <v>0.8</v>
      </c>
      <c r="O623" s="725" t="s">
        <v>5060</v>
      </c>
      <c r="P623" s="498" t="s">
        <v>1588</v>
      </c>
      <c r="Q623" s="672">
        <v>0</v>
      </c>
      <c r="R623" s="672">
        <v>0</v>
      </c>
      <c r="S623" s="672">
        <v>0</v>
      </c>
      <c r="T623" s="672">
        <v>0</v>
      </c>
      <c r="U623" s="506" t="s">
        <v>2278</v>
      </c>
      <c r="V623" s="506" t="s">
        <v>5061</v>
      </c>
      <c r="W623" s="656">
        <v>300</v>
      </c>
      <c r="X623" s="132" t="s">
        <v>2276</v>
      </c>
      <c r="Y623" s="132" t="s">
        <v>1588</v>
      </c>
      <c r="Z623" s="463" t="s">
        <v>1618</v>
      </c>
      <c r="AA623" s="463" t="s">
        <v>1618</v>
      </c>
      <c r="AB623" s="459" t="s">
        <v>1592</v>
      </c>
    </row>
    <row r="624" spans="1:28" ht="24" customHeight="1">
      <c r="A624" s="591"/>
      <c r="B624" s="524" t="s">
        <v>675</v>
      </c>
      <c r="C624" s="522" t="s">
        <v>5062</v>
      </c>
      <c r="D624" s="524" t="s">
        <v>5063</v>
      </c>
      <c r="E624" s="653">
        <v>100</v>
      </c>
      <c r="F624" s="653">
        <v>0</v>
      </c>
      <c r="G624" s="653">
        <v>0</v>
      </c>
      <c r="H624" s="653">
        <v>100</v>
      </c>
      <c r="I624" s="653">
        <f t="shared" si="51"/>
        <v>74.3</v>
      </c>
      <c r="J624" s="653">
        <v>0</v>
      </c>
      <c r="K624" s="653">
        <v>0</v>
      </c>
      <c r="L624" s="698">
        <v>74.3</v>
      </c>
      <c r="M624" s="673">
        <v>94</v>
      </c>
      <c r="N624" s="653">
        <v>7</v>
      </c>
      <c r="O624" s="725" t="s">
        <v>5064</v>
      </c>
      <c r="P624" s="498" t="s">
        <v>1588</v>
      </c>
      <c r="Q624" s="672">
        <v>0</v>
      </c>
      <c r="R624" s="672">
        <v>0</v>
      </c>
      <c r="S624" s="672">
        <v>0</v>
      </c>
      <c r="T624" s="672">
        <v>0</v>
      </c>
      <c r="U624" s="506" t="s">
        <v>2278</v>
      </c>
      <c r="V624" s="506" t="s">
        <v>5065</v>
      </c>
      <c r="W624" s="656">
        <v>479</v>
      </c>
      <c r="X624" s="132" t="s">
        <v>2276</v>
      </c>
      <c r="Y624" s="132" t="s">
        <v>3161</v>
      </c>
      <c r="Z624" s="463" t="s">
        <v>1618</v>
      </c>
      <c r="AA624" s="463" t="s">
        <v>1618</v>
      </c>
      <c r="AB624" s="459" t="s">
        <v>1592</v>
      </c>
    </row>
    <row r="625" spans="1:28" ht="24" customHeight="1">
      <c r="A625" s="591"/>
      <c r="B625" s="524" t="s">
        <v>675</v>
      </c>
      <c r="C625" s="522" t="s">
        <v>5066</v>
      </c>
      <c r="D625" s="524" t="s">
        <v>5067</v>
      </c>
      <c r="E625" s="653">
        <v>50</v>
      </c>
      <c r="F625" s="653">
        <v>0</v>
      </c>
      <c r="G625" s="653">
        <v>0</v>
      </c>
      <c r="H625" s="653">
        <v>50</v>
      </c>
      <c r="I625" s="653">
        <f t="shared" si="51"/>
        <v>26.1</v>
      </c>
      <c r="J625" s="653">
        <v>0</v>
      </c>
      <c r="K625" s="653">
        <v>0</v>
      </c>
      <c r="L625" s="698">
        <v>26.1</v>
      </c>
      <c r="M625" s="673">
        <v>94</v>
      </c>
      <c r="N625" s="653">
        <v>2</v>
      </c>
      <c r="O625" s="725" t="s">
        <v>3592</v>
      </c>
      <c r="P625" s="498" t="s">
        <v>1588</v>
      </c>
      <c r="Q625" s="672">
        <v>0</v>
      </c>
      <c r="R625" s="672">
        <v>0</v>
      </c>
      <c r="S625" s="672">
        <v>0</v>
      </c>
      <c r="T625" s="672">
        <v>0</v>
      </c>
      <c r="U625" s="506" t="s">
        <v>2278</v>
      </c>
      <c r="V625" s="494" t="s">
        <v>5068</v>
      </c>
      <c r="W625" s="656">
        <v>867</v>
      </c>
      <c r="X625" s="132" t="s">
        <v>2276</v>
      </c>
      <c r="Y625" s="132" t="s">
        <v>3161</v>
      </c>
      <c r="Z625" s="463" t="s">
        <v>1618</v>
      </c>
      <c r="AA625" s="463" t="s">
        <v>1618</v>
      </c>
      <c r="AB625" s="459" t="s">
        <v>1592</v>
      </c>
    </row>
    <row r="626" spans="1:28" ht="24" customHeight="1">
      <c r="A626" s="591"/>
      <c r="B626" s="524" t="s">
        <v>675</v>
      </c>
      <c r="C626" s="522" t="s">
        <v>5069</v>
      </c>
      <c r="D626" s="524" t="s">
        <v>5070</v>
      </c>
      <c r="E626" s="653">
        <v>100</v>
      </c>
      <c r="F626" s="653">
        <v>0</v>
      </c>
      <c r="G626" s="653">
        <v>100</v>
      </c>
      <c r="H626" s="653">
        <v>0</v>
      </c>
      <c r="I626" s="653">
        <f t="shared" si="51"/>
        <v>75</v>
      </c>
      <c r="J626" s="653">
        <v>0</v>
      </c>
      <c r="K626" s="653">
        <v>75</v>
      </c>
      <c r="L626" s="698">
        <v>0</v>
      </c>
      <c r="M626" s="673">
        <v>96</v>
      </c>
      <c r="N626" s="653">
        <v>8</v>
      </c>
      <c r="O626" s="725" t="s">
        <v>5071</v>
      </c>
      <c r="P626" s="498" t="s">
        <v>1588</v>
      </c>
      <c r="Q626" s="672">
        <v>0</v>
      </c>
      <c r="R626" s="672">
        <v>0</v>
      </c>
      <c r="S626" s="672">
        <v>0</v>
      </c>
      <c r="T626" s="672">
        <v>0</v>
      </c>
      <c r="U626" s="506" t="s">
        <v>5072</v>
      </c>
      <c r="V626" s="506" t="s">
        <v>5073</v>
      </c>
      <c r="W626" s="656">
        <v>382</v>
      </c>
      <c r="X626" s="132" t="s">
        <v>1532</v>
      </c>
      <c r="Y626" s="132" t="s">
        <v>720</v>
      </c>
      <c r="Z626" s="463" t="s">
        <v>1618</v>
      </c>
      <c r="AA626" s="463" t="s">
        <v>1618</v>
      </c>
      <c r="AB626" s="459" t="s">
        <v>1592</v>
      </c>
    </row>
    <row r="627" spans="1:28" ht="24" customHeight="1">
      <c r="A627" s="591"/>
      <c r="B627" s="524" t="s">
        <v>675</v>
      </c>
      <c r="C627" s="522" t="s">
        <v>2181</v>
      </c>
      <c r="D627" s="524" t="s">
        <v>5074</v>
      </c>
      <c r="E627" s="653">
        <v>450</v>
      </c>
      <c r="F627" s="653">
        <v>0</v>
      </c>
      <c r="G627" s="653">
        <v>0</v>
      </c>
      <c r="H627" s="653">
        <v>450</v>
      </c>
      <c r="I627" s="653">
        <f t="shared" si="51"/>
        <v>211.3</v>
      </c>
      <c r="J627" s="653">
        <v>0</v>
      </c>
      <c r="K627" s="653">
        <v>0</v>
      </c>
      <c r="L627" s="698">
        <v>211.3</v>
      </c>
      <c r="M627" s="673">
        <v>95</v>
      </c>
      <c r="N627" s="653">
        <v>14</v>
      </c>
      <c r="O627" s="725" t="s">
        <v>5075</v>
      </c>
      <c r="P627" s="498" t="s">
        <v>1588</v>
      </c>
      <c r="Q627" s="672">
        <v>0</v>
      </c>
      <c r="R627" s="672">
        <v>0</v>
      </c>
      <c r="S627" s="672">
        <v>0</v>
      </c>
      <c r="T627" s="672">
        <v>0</v>
      </c>
      <c r="U627" s="506" t="s">
        <v>2278</v>
      </c>
      <c r="V627" s="494" t="s">
        <v>5076</v>
      </c>
      <c r="W627" s="656">
        <v>5130</v>
      </c>
      <c r="X627" s="132" t="s">
        <v>2276</v>
      </c>
      <c r="Y627" s="132"/>
      <c r="Z627" s="463" t="s">
        <v>1598</v>
      </c>
      <c r="AA627" s="463" t="s">
        <v>1615</v>
      </c>
      <c r="AB627" s="459" t="s">
        <v>1534</v>
      </c>
    </row>
    <row r="628" spans="1:28" ht="24" customHeight="1">
      <c r="A628" s="591"/>
      <c r="B628" s="524" t="s">
        <v>675</v>
      </c>
      <c r="C628" s="522" t="s">
        <v>5077</v>
      </c>
      <c r="D628" s="524" t="s">
        <v>5078</v>
      </c>
      <c r="E628" s="653">
        <v>125</v>
      </c>
      <c r="F628" s="653">
        <v>0</v>
      </c>
      <c r="G628" s="653">
        <v>125</v>
      </c>
      <c r="H628" s="653">
        <v>0</v>
      </c>
      <c r="I628" s="653">
        <f t="shared" si="51"/>
        <v>77.5</v>
      </c>
      <c r="J628" s="653">
        <v>0</v>
      </c>
      <c r="K628" s="653">
        <v>77.5</v>
      </c>
      <c r="L628" s="698">
        <v>0</v>
      </c>
      <c r="M628" s="673">
        <v>89</v>
      </c>
      <c r="N628" s="653">
        <v>2</v>
      </c>
      <c r="O628" s="725" t="s">
        <v>1092</v>
      </c>
      <c r="P628" s="498" t="s">
        <v>1588</v>
      </c>
      <c r="Q628" s="672">
        <v>0</v>
      </c>
      <c r="R628" s="672">
        <v>0</v>
      </c>
      <c r="S628" s="672">
        <v>0</v>
      </c>
      <c r="T628" s="672">
        <v>0</v>
      </c>
      <c r="U628" s="506" t="s">
        <v>5072</v>
      </c>
      <c r="V628" s="506" t="s">
        <v>5079</v>
      </c>
      <c r="W628" s="656">
        <v>400</v>
      </c>
      <c r="X628" s="132" t="s">
        <v>1532</v>
      </c>
      <c r="Y628" s="132" t="s">
        <v>720</v>
      </c>
      <c r="Z628" s="463" t="s">
        <v>1598</v>
      </c>
      <c r="AA628" s="463" t="s">
        <v>1615</v>
      </c>
      <c r="AB628" s="459" t="s">
        <v>1534</v>
      </c>
    </row>
    <row r="629" spans="1:28" ht="24" customHeight="1">
      <c r="A629" s="590" t="s">
        <v>1636</v>
      </c>
      <c r="B629" s="524" t="s">
        <v>2201</v>
      </c>
      <c r="C629" s="522" t="s">
        <v>2404</v>
      </c>
      <c r="D629" s="524" t="s">
        <v>5080</v>
      </c>
      <c r="E629" s="653">
        <f>SUM(F629:H629)</f>
        <v>5000</v>
      </c>
      <c r="F629" s="728">
        <v>0</v>
      </c>
      <c r="G629" s="653">
        <v>5000</v>
      </c>
      <c r="H629" s="653">
        <v>0</v>
      </c>
      <c r="I629" s="653">
        <f t="shared" si="51"/>
        <v>3315</v>
      </c>
      <c r="J629" s="653">
        <v>0</v>
      </c>
      <c r="K629" s="653">
        <v>3315</v>
      </c>
      <c r="L629" s="698">
        <v>0</v>
      </c>
      <c r="M629" s="673">
        <v>96.4</v>
      </c>
      <c r="N629" s="653">
        <v>319.2</v>
      </c>
      <c r="O629" s="725" t="s">
        <v>3434</v>
      </c>
      <c r="P629" s="498" t="s">
        <v>1588</v>
      </c>
      <c r="Q629" s="672">
        <v>0</v>
      </c>
      <c r="R629" s="672">
        <v>0</v>
      </c>
      <c r="S629" s="672">
        <v>0</v>
      </c>
      <c r="T629" s="672">
        <v>0</v>
      </c>
      <c r="U629" s="465" t="s">
        <v>5081</v>
      </c>
      <c r="V629" s="506" t="s">
        <v>5082</v>
      </c>
      <c r="W629" s="656">
        <v>3990</v>
      </c>
      <c r="X629" s="132" t="s">
        <v>2193</v>
      </c>
      <c r="Y629" s="132" t="s">
        <v>3232</v>
      </c>
      <c r="Z629" s="463"/>
      <c r="AA629" s="463" t="s">
        <v>1534</v>
      </c>
      <c r="AB629" s="459" t="s">
        <v>1534</v>
      </c>
    </row>
    <row r="630" spans="1:28" ht="24" customHeight="1">
      <c r="A630" s="591"/>
      <c r="B630" s="524" t="s">
        <v>2201</v>
      </c>
      <c r="C630" s="522" t="s">
        <v>2279</v>
      </c>
      <c r="D630" s="524" t="s">
        <v>5083</v>
      </c>
      <c r="E630" s="653">
        <f>SUM(F630:H630)</f>
        <v>4000</v>
      </c>
      <c r="F630" s="728">
        <v>0</v>
      </c>
      <c r="G630" s="653">
        <v>0</v>
      </c>
      <c r="H630" s="653">
        <v>4000</v>
      </c>
      <c r="I630" s="653">
        <f t="shared" si="51"/>
        <v>1107</v>
      </c>
      <c r="J630" s="653">
        <v>0</v>
      </c>
      <c r="K630" s="653">
        <v>0</v>
      </c>
      <c r="L630" s="698">
        <v>1107</v>
      </c>
      <c r="M630" s="673">
        <v>96</v>
      </c>
      <c r="N630" s="653">
        <v>99.6</v>
      </c>
      <c r="O630" s="725" t="s">
        <v>5084</v>
      </c>
      <c r="P630" s="498" t="s">
        <v>1588</v>
      </c>
      <c r="Q630" s="672">
        <v>0</v>
      </c>
      <c r="R630" s="672">
        <v>0</v>
      </c>
      <c r="S630" s="672">
        <v>26.4</v>
      </c>
      <c r="T630" s="672">
        <v>0</v>
      </c>
      <c r="U630" s="465" t="s">
        <v>5085</v>
      </c>
      <c r="V630" s="465" t="s">
        <v>5086</v>
      </c>
      <c r="W630" s="653">
        <v>16602</v>
      </c>
      <c r="X630" s="463" t="s">
        <v>2193</v>
      </c>
      <c r="Y630" s="463" t="s">
        <v>3161</v>
      </c>
      <c r="Z630" s="463"/>
      <c r="AA630" s="463" t="s">
        <v>1534</v>
      </c>
      <c r="AB630" s="459" t="s">
        <v>1534</v>
      </c>
    </row>
    <row r="631" spans="1:28" ht="24" customHeight="1">
      <c r="A631" s="591"/>
      <c r="B631" s="524" t="s">
        <v>675</v>
      </c>
      <c r="C631" s="522" t="s">
        <v>5087</v>
      </c>
      <c r="D631" s="524" t="s">
        <v>5088</v>
      </c>
      <c r="E631" s="653">
        <v>92</v>
      </c>
      <c r="F631" s="653">
        <v>0</v>
      </c>
      <c r="G631" s="653">
        <v>92</v>
      </c>
      <c r="H631" s="653">
        <v>0</v>
      </c>
      <c r="I631" s="653">
        <f t="shared" si="51"/>
        <v>92</v>
      </c>
      <c r="J631" s="653">
        <v>0</v>
      </c>
      <c r="K631" s="653">
        <v>92</v>
      </c>
      <c r="L631" s="698">
        <v>0</v>
      </c>
      <c r="M631" s="673">
        <v>94.3</v>
      </c>
      <c r="N631" s="653">
        <v>5.32</v>
      </c>
      <c r="O631" s="725" t="s">
        <v>5089</v>
      </c>
      <c r="P631" s="498" t="s">
        <v>1588</v>
      </c>
      <c r="Q631" s="672">
        <v>0</v>
      </c>
      <c r="R631" s="672">
        <v>0</v>
      </c>
      <c r="S631" s="672">
        <v>0</v>
      </c>
      <c r="T631" s="672">
        <v>0</v>
      </c>
      <c r="U631" s="465" t="s">
        <v>5090</v>
      </c>
      <c r="V631" s="465" t="s">
        <v>5091</v>
      </c>
      <c r="W631" s="653">
        <v>360</v>
      </c>
      <c r="X631" s="463" t="s">
        <v>2193</v>
      </c>
      <c r="Y631" s="463" t="s">
        <v>3232</v>
      </c>
      <c r="Z631" s="463"/>
      <c r="AA631" s="463" t="s">
        <v>1534</v>
      </c>
      <c r="AB631" s="459" t="s">
        <v>1534</v>
      </c>
    </row>
    <row r="632" spans="1:28" ht="24" customHeight="1">
      <c r="A632" s="591"/>
      <c r="B632" s="524" t="s">
        <v>675</v>
      </c>
      <c r="C632" s="522" t="s">
        <v>5092</v>
      </c>
      <c r="D632" s="524" t="s">
        <v>5093</v>
      </c>
      <c r="E632" s="653">
        <f>SUM(F632:H632)</f>
        <v>150</v>
      </c>
      <c r="F632" s="653">
        <v>0</v>
      </c>
      <c r="G632" s="653">
        <v>150</v>
      </c>
      <c r="H632" s="653">
        <v>0</v>
      </c>
      <c r="I632" s="653">
        <f t="shared" si="51"/>
        <v>150</v>
      </c>
      <c r="J632" s="653">
        <v>0</v>
      </c>
      <c r="K632" s="653">
        <v>150</v>
      </c>
      <c r="L632" s="698">
        <v>0</v>
      </c>
      <c r="M632" s="673">
        <v>93.4</v>
      </c>
      <c r="N632" s="653">
        <v>5.95</v>
      </c>
      <c r="O632" s="725" t="s">
        <v>5094</v>
      </c>
      <c r="P632" s="498" t="s">
        <v>1588</v>
      </c>
      <c r="Q632" s="672">
        <v>0</v>
      </c>
      <c r="R632" s="672">
        <v>0</v>
      </c>
      <c r="S632" s="672">
        <v>0</v>
      </c>
      <c r="T632" s="672">
        <v>0</v>
      </c>
      <c r="U632" s="465" t="s">
        <v>5095</v>
      </c>
      <c r="V632" s="465" t="s">
        <v>5096</v>
      </c>
      <c r="W632" s="653">
        <v>330</v>
      </c>
      <c r="X632" s="463" t="s">
        <v>2193</v>
      </c>
      <c r="Y632" s="466" t="s">
        <v>1588</v>
      </c>
      <c r="Z632" s="463"/>
      <c r="AA632" s="463" t="s">
        <v>1534</v>
      </c>
      <c r="AB632" s="459" t="s">
        <v>1534</v>
      </c>
    </row>
    <row r="633" spans="1:28" ht="24" customHeight="1">
      <c r="A633" s="588"/>
      <c r="B633" s="524" t="s">
        <v>675</v>
      </c>
      <c r="C633" s="522" t="s">
        <v>5097</v>
      </c>
      <c r="D633" s="524" t="s">
        <v>5098</v>
      </c>
      <c r="E633" s="653">
        <f>SUM(F633:H633)</f>
        <v>46</v>
      </c>
      <c r="F633" s="653">
        <v>0</v>
      </c>
      <c r="G633" s="653">
        <v>46</v>
      </c>
      <c r="H633" s="653">
        <v>0</v>
      </c>
      <c r="I633" s="653">
        <f t="shared" si="51"/>
        <v>46</v>
      </c>
      <c r="J633" s="653">
        <v>0</v>
      </c>
      <c r="K633" s="653">
        <v>46</v>
      </c>
      <c r="L633" s="698">
        <v>0</v>
      </c>
      <c r="M633" s="673">
        <v>95</v>
      </c>
      <c r="N633" s="653">
        <v>4.5</v>
      </c>
      <c r="O633" s="725" t="s">
        <v>5089</v>
      </c>
      <c r="P633" s="498" t="s">
        <v>1588</v>
      </c>
      <c r="Q633" s="672">
        <v>0</v>
      </c>
      <c r="R633" s="672">
        <v>0</v>
      </c>
      <c r="S633" s="672">
        <v>0</v>
      </c>
      <c r="T633" s="672">
        <v>0</v>
      </c>
      <c r="U633" s="465" t="s">
        <v>5095</v>
      </c>
      <c r="V633" s="465" t="s">
        <v>5099</v>
      </c>
      <c r="W633" s="653">
        <v>200</v>
      </c>
      <c r="X633" s="463" t="s">
        <v>2193</v>
      </c>
      <c r="Y633" s="466" t="s">
        <v>1588</v>
      </c>
      <c r="Z633" s="463" t="s">
        <v>1534</v>
      </c>
      <c r="AA633" s="463" t="s">
        <v>1534</v>
      </c>
      <c r="AB633" s="459" t="s">
        <v>1534</v>
      </c>
    </row>
    <row r="634" spans="1:28" ht="24" customHeight="1">
      <c r="A634" s="583" t="s">
        <v>1637</v>
      </c>
      <c r="B634" s="458" t="s">
        <v>6040</v>
      </c>
      <c r="C634" s="458"/>
      <c r="D634" s="510"/>
      <c r="E634" s="498" t="s">
        <v>7320</v>
      </c>
      <c r="F634" s="498">
        <v>0</v>
      </c>
      <c r="G634" s="498" t="s">
        <v>7321</v>
      </c>
      <c r="H634" s="498" t="s">
        <v>7322</v>
      </c>
      <c r="I634" s="498" t="s">
        <v>7323</v>
      </c>
      <c r="J634" s="498">
        <v>0</v>
      </c>
      <c r="K634" s="498" t="s">
        <v>7324</v>
      </c>
      <c r="L634" s="668" t="s">
        <v>7325</v>
      </c>
      <c r="M634" s="672">
        <v>0</v>
      </c>
      <c r="N634" s="498" t="s">
        <v>7326</v>
      </c>
      <c r="O634" s="669" t="s">
        <v>1588</v>
      </c>
      <c r="P634" s="463" t="s">
        <v>1588</v>
      </c>
      <c r="Q634" s="672" t="s">
        <v>7328</v>
      </c>
      <c r="R634" s="672" t="s">
        <v>7329</v>
      </c>
      <c r="S634" s="672" t="s">
        <v>7330</v>
      </c>
      <c r="T634" s="672" t="s">
        <v>6194</v>
      </c>
      <c r="U634" s="463"/>
      <c r="V634" s="463"/>
      <c r="W634" s="498">
        <f>W635+W697</f>
        <v>873399</v>
      </c>
      <c r="X634" s="463"/>
      <c r="Y634" s="463"/>
      <c r="Z634" s="463"/>
      <c r="AA634" s="463"/>
      <c r="AB634" s="459"/>
    </row>
    <row r="635" spans="1:28" ht="24" customHeight="1">
      <c r="A635" s="582" t="s">
        <v>1674</v>
      </c>
      <c r="B635" s="458" t="s">
        <v>6039</v>
      </c>
      <c r="C635" s="579"/>
      <c r="D635" s="579"/>
      <c r="E635" s="498" t="s">
        <v>6185</v>
      </c>
      <c r="F635" s="498">
        <v>0</v>
      </c>
      <c r="G635" s="498" t="s">
        <v>6186</v>
      </c>
      <c r="H635" s="498" t="s">
        <v>6187</v>
      </c>
      <c r="I635" s="498" t="s">
        <v>6188</v>
      </c>
      <c r="J635" s="498">
        <v>0</v>
      </c>
      <c r="K635" s="498" t="s">
        <v>6189</v>
      </c>
      <c r="L635" s="668" t="s">
        <v>6190</v>
      </c>
      <c r="M635" s="672">
        <v>0</v>
      </c>
      <c r="N635" s="498" t="s">
        <v>6191</v>
      </c>
      <c r="O635" s="669" t="s">
        <v>1588</v>
      </c>
      <c r="P635" s="463" t="s">
        <v>1588</v>
      </c>
      <c r="Q635" s="672" t="s">
        <v>7327</v>
      </c>
      <c r="R635" s="672" t="s">
        <v>6192</v>
      </c>
      <c r="S635" s="672" t="s">
        <v>6193</v>
      </c>
      <c r="T635" s="672" t="s">
        <v>6194</v>
      </c>
      <c r="U635" s="463"/>
      <c r="V635" s="463"/>
      <c r="W635" s="498">
        <f>SUM(W636:W696)</f>
        <v>449249</v>
      </c>
      <c r="X635" s="463"/>
      <c r="Y635" s="463"/>
      <c r="Z635" s="463"/>
      <c r="AA635" s="463"/>
      <c r="AB635" s="459"/>
    </row>
    <row r="636" spans="1:28" ht="24" customHeight="1">
      <c r="A636" s="582" t="s">
        <v>1638</v>
      </c>
      <c r="B636" s="460" t="s">
        <v>2201</v>
      </c>
      <c r="C636" s="458" t="s">
        <v>2280</v>
      </c>
      <c r="D636" s="510" t="s">
        <v>5100</v>
      </c>
      <c r="E636" s="498">
        <v>150000</v>
      </c>
      <c r="F636" s="498">
        <v>0</v>
      </c>
      <c r="G636" s="498">
        <v>0</v>
      </c>
      <c r="H636" s="653">
        <v>150000</v>
      </c>
      <c r="I636" s="498">
        <v>141580</v>
      </c>
      <c r="J636" s="498">
        <v>0</v>
      </c>
      <c r="K636" s="498">
        <v>0</v>
      </c>
      <c r="L636" s="698">
        <v>141580</v>
      </c>
      <c r="M636" s="672">
        <v>94.5</v>
      </c>
      <c r="N636" s="653">
        <v>19563</v>
      </c>
      <c r="O636" s="669" t="s">
        <v>5973</v>
      </c>
      <c r="P636" s="463" t="s">
        <v>1588</v>
      </c>
      <c r="Q636" s="672">
        <v>346</v>
      </c>
      <c r="R636" s="672">
        <v>0</v>
      </c>
      <c r="S636" s="672">
        <v>123</v>
      </c>
      <c r="T636" s="672">
        <v>0</v>
      </c>
      <c r="U636" s="463" t="s">
        <v>5101</v>
      </c>
      <c r="V636" s="466" t="s">
        <v>5102</v>
      </c>
      <c r="W636" s="498">
        <v>119245</v>
      </c>
      <c r="X636" s="463" t="s">
        <v>1532</v>
      </c>
      <c r="Y636" s="463" t="s">
        <v>1533</v>
      </c>
      <c r="Z636" s="463" t="s">
        <v>5103</v>
      </c>
      <c r="AA636" s="463" t="s">
        <v>1646</v>
      </c>
      <c r="AB636" s="459" t="s">
        <v>2294</v>
      </c>
    </row>
    <row r="637" spans="1:28" ht="24" customHeight="1">
      <c r="A637" s="584"/>
      <c r="B637" s="460" t="s">
        <v>2201</v>
      </c>
      <c r="C637" s="458" t="s">
        <v>216</v>
      </c>
      <c r="D637" s="510" t="s">
        <v>5104</v>
      </c>
      <c r="E637" s="653">
        <v>24000</v>
      </c>
      <c r="F637" s="498">
        <v>0</v>
      </c>
      <c r="G637" s="498">
        <v>0</v>
      </c>
      <c r="H637" s="653">
        <v>24000</v>
      </c>
      <c r="I637" s="653">
        <v>15460</v>
      </c>
      <c r="J637" s="498">
        <v>0</v>
      </c>
      <c r="K637" s="498">
        <v>0</v>
      </c>
      <c r="L637" s="698">
        <v>15460</v>
      </c>
      <c r="M637" s="672">
        <v>69.599999999999994</v>
      </c>
      <c r="N637" s="653">
        <v>386</v>
      </c>
      <c r="O637" s="669" t="s">
        <v>5973</v>
      </c>
      <c r="P637" s="463" t="s">
        <v>1588</v>
      </c>
      <c r="Q637" s="672">
        <v>0</v>
      </c>
      <c r="R637" s="672">
        <v>0</v>
      </c>
      <c r="S637" s="672">
        <v>0</v>
      </c>
      <c r="T637" s="672">
        <v>0</v>
      </c>
      <c r="U637" s="463" t="s">
        <v>5105</v>
      </c>
      <c r="V637" s="466" t="s">
        <v>5106</v>
      </c>
      <c r="W637" s="653">
        <v>70800</v>
      </c>
      <c r="X637" s="463" t="s">
        <v>2276</v>
      </c>
      <c r="Y637" s="463"/>
      <c r="Z637" s="463"/>
      <c r="AA637" s="463" t="s">
        <v>5107</v>
      </c>
      <c r="AB637" s="459" t="s">
        <v>2294</v>
      </c>
    </row>
    <row r="638" spans="1:28" ht="24" customHeight="1">
      <c r="A638" s="584"/>
      <c r="B638" s="460" t="s">
        <v>675</v>
      </c>
      <c r="C638" s="458" t="s">
        <v>5944</v>
      </c>
      <c r="D638" s="510" t="s">
        <v>5959</v>
      </c>
      <c r="E638" s="653">
        <f t="shared" ref="E638:E653" si="53">F638+G638+H638</f>
        <v>30</v>
      </c>
      <c r="F638" s="684">
        <v>0</v>
      </c>
      <c r="G638" s="653">
        <v>30</v>
      </c>
      <c r="H638" s="653">
        <v>0</v>
      </c>
      <c r="I638" s="498">
        <f>J638+K638+L638</f>
        <v>25</v>
      </c>
      <c r="J638" s="498">
        <v>0</v>
      </c>
      <c r="K638" s="498">
        <v>25</v>
      </c>
      <c r="L638" s="698">
        <v>0</v>
      </c>
      <c r="M638" s="672">
        <v>83.3</v>
      </c>
      <c r="N638" s="498">
        <v>0.25</v>
      </c>
      <c r="O638" s="669" t="s">
        <v>5152</v>
      </c>
      <c r="P638" s="463" t="s">
        <v>1588</v>
      </c>
      <c r="Q638" s="672">
        <v>0</v>
      </c>
      <c r="R638" s="672">
        <v>0</v>
      </c>
      <c r="S638" s="672">
        <v>0</v>
      </c>
      <c r="T638" s="672">
        <v>0</v>
      </c>
      <c r="U638" s="463" t="s">
        <v>5101</v>
      </c>
      <c r="V638" s="466" t="s">
        <v>5977</v>
      </c>
      <c r="W638" s="653">
        <v>180</v>
      </c>
      <c r="X638" s="463" t="s">
        <v>626</v>
      </c>
      <c r="Y638" s="463" t="s">
        <v>636</v>
      </c>
      <c r="Z638" s="463"/>
      <c r="AA638" s="463" t="s">
        <v>5986</v>
      </c>
      <c r="AB638" s="459" t="s">
        <v>1358</v>
      </c>
    </row>
    <row r="639" spans="1:28" ht="24" customHeight="1">
      <c r="A639" s="584"/>
      <c r="B639" s="460" t="s">
        <v>675</v>
      </c>
      <c r="C639" s="458" t="s">
        <v>5945</v>
      </c>
      <c r="D639" s="510" t="s">
        <v>5960</v>
      </c>
      <c r="E639" s="653">
        <f t="shared" si="53"/>
        <v>35</v>
      </c>
      <c r="F639" s="684">
        <v>0</v>
      </c>
      <c r="G639" s="653">
        <v>35</v>
      </c>
      <c r="H639" s="653">
        <v>0</v>
      </c>
      <c r="I639" s="498">
        <f t="shared" ref="I639:I653" si="54">J639+K639+L639</f>
        <v>28</v>
      </c>
      <c r="J639" s="498">
        <v>0</v>
      </c>
      <c r="K639" s="498">
        <v>28</v>
      </c>
      <c r="L639" s="698">
        <v>0</v>
      </c>
      <c r="M639" s="672">
        <v>80</v>
      </c>
      <c r="N639" s="498">
        <v>0.28000000000000003</v>
      </c>
      <c r="O639" s="669" t="s">
        <v>5152</v>
      </c>
      <c r="P639" s="463" t="s">
        <v>1588</v>
      </c>
      <c r="Q639" s="672">
        <v>0</v>
      </c>
      <c r="R639" s="672">
        <v>0</v>
      </c>
      <c r="S639" s="672">
        <v>0</v>
      </c>
      <c r="T639" s="672">
        <v>0</v>
      </c>
      <c r="U639" s="463" t="s">
        <v>5101</v>
      </c>
      <c r="V639" s="466" t="s">
        <v>5978</v>
      </c>
      <c r="W639" s="653">
        <v>184</v>
      </c>
      <c r="X639" s="463" t="s">
        <v>626</v>
      </c>
      <c r="Y639" s="463" t="s">
        <v>636</v>
      </c>
      <c r="Z639" s="463"/>
      <c r="AA639" s="463" t="s">
        <v>5986</v>
      </c>
      <c r="AB639" s="459" t="s">
        <v>1358</v>
      </c>
    </row>
    <row r="640" spans="1:28" ht="24" customHeight="1">
      <c r="A640" s="584"/>
      <c r="B640" s="460" t="s">
        <v>675</v>
      </c>
      <c r="C640" s="458" t="s">
        <v>5946</v>
      </c>
      <c r="D640" s="510" t="s">
        <v>5961</v>
      </c>
      <c r="E640" s="653">
        <f t="shared" si="53"/>
        <v>20</v>
      </c>
      <c r="F640" s="684">
        <v>0</v>
      </c>
      <c r="G640" s="653">
        <v>20</v>
      </c>
      <c r="H640" s="653">
        <v>0</v>
      </c>
      <c r="I640" s="498">
        <f t="shared" si="54"/>
        <v>20</v>
      </c>
      <c r="J640" s="498">
        <v>0</v>
      </c>
      <c r="K640" s="498">
        <v>20</v>
      </c>
      <c r="L640" s="698">
        <v>0</v>
      </c>
      <c r="M640" s="672">
        <v>100</v>
      </c>
      <c r="N640" s="498">
        <v>0.2</v>
      </c>
      <c r="O640" s="669" t="s">
        <v>3742</v>
      </c>
      <c r="P640" s="463" t="s">
        <v>1588</v>
      </c>
      <c r="Q640" s="672">
        <v>0</v>
      </c>
      <c r="R640" s="672">
        <v>0</v>
      </c>
      <c r="S640" s="672">
        <v>0</v>
      </c>
      <c r="T640" s="672">
        <v>0</v>
      </c>
      <c r="U640" s="463" t="s">
        <v>5101</v>
      </c>
      <c r="V640" s="466" t="s">
        <v>5979</v>
      </c>
      <c r="W640" s="653">
        <v>186</v>
      </c>
      <c r="X640" s="463" t="s">
        <v>626</v>
      </c>
      <c r="Y640" s="463" t="s">
        <v>636</v>
      </c>
      <c r="Z640" s="463"/>
      <c r="AA640" s="463" t="s">
        <v>5986</v>
      </c>
      <c r="AB640" s="459" t="s">
        <v>1358</v>
      </c>
    </row>
    <row r="641" spans="1:28" ht="24" customHeight="1">
      <c r="A641" s="584"/>
      <c r="B641" s="460" t="s">
        <v>675</v>
      </c>
      <c r="C641" s="458" t="s">
        <v>5947</v>
      </c>
      <c r="D641" s="510" t="s">
        <v>5962</v>
      </c>
      <c r="E641" s="653">
        <f t="shared" si="53"/>
        <v>38</v>
      </c>
      <c r="F641" s="684">
        <v>0</v>
      </c>
      <c r="G641" s="653">
        <v>38</v>
      </c>
      <c r="H641" s="653">
        <v>0</v>
      </c>
      <c r="I641" s="498">
        <f t="shared" si="54"/>
        <v>33</v>
      </c>
      <c r="J641" s="498">
        <v>0</v>
      </c>
      <c r="K641" s="498">
        <v>33</v>
      </c>
      <c r="L641" s="698">
        <v>0</v>
      </c>
      <c r="M641" s="672">
        <v>86.8</v>
      </c>
      <c r="N641" s="498">
        <v>0.33</v>
      </c>
      <c r="O641" s="669" t="s">
        <v>3742</v>
      </c>
      <c r="P641" s="463" t="s">
        <v>1588</v>
      </c>
      <c r="Q641" s="672">
        <v>0</v>
      </c>
      <c r="R641" s="672">
        <v>0</v>
      </c>
      <c r="S641" s="672">
        <v>0</v>
      </c>
      <c r="T641" s="672">
        <v>0</v>
      </c>
      <c r="U641" s="463" t="s">
        <v>5101</v>
      </c>
      <c r="V641" s="466" t="s">
        <v>5979</v>
      </c>
      <c r="W641" s="653">
        <v>258</v>
      </c>
      <c r="X641" s="463" t="s">
        <v>626</v>
      </c>
      <c r="Y641" s="463" t="s">
        <v>636</v>
      </c>
      <c r="Z641" s="463"/>
      <c r="AA641" s="463" t="s">
        <v>5986</v>
      </c>
      <c r="AB641" s="459" t="s">
        <v>1358</v>
      </c>
    </row>
    <row r="642" spans="1:28" ht="24" customHeight="1">
      <c r="A642" s="584"/>
      <c r="B642" s="460" t="s">
        <v>675</v>
      </c>
      <c r="C642" s="458" t="s">
        <v>5948</v>
      </c>
      <c r="D642" s="510" t="s">
        <v>5963</v>
      </c>
      <c r="E642" s="653">
        <f t="shared" si="53"/>
        <v>16</v>
      </c>
      <c r="F642" s="684">
        <v>0</v>
      </c>
      <c r="G642" s="653">
        <v>16</v>
      </c>
      <c r="H642" s="653">
        <v>0</v>
      </c>
      <c r="I642" s="498">
        <f t="shared" si="54"/>
        <v>16</v>
      </c>
      <c r="J642" s="498">
        <v>0</v>
      </c>
      <c r="K642" s="498">
        <v>16</v>
      </c>
      <c r="L642" s="698">
        <v>0</v>
      </c>
      <c r="M642" s="672">
        <v>100</v>
      </c>
      <c r="N642" s="498">
        <v>0.12</v>
      </c>
      <c r="O642" s="669" t="s">
        <v>5152</v>
      </c>
      <c r="P642" s="463" t="s">
        <v>1588</v>
      </c>
      <c r="Q642" s="672">
        <v>0</v>
      </c>
      <c r="R642" s="672">
        <v>0</v>
      </c>
      <c r="S642" s="672">
        <v>0</v>
      </c>
      <c r="T642" s="672">
        <v>0</v>
      </c>
      <c r="U642" s="463" t="s">
        <v>5101</v>
      </c>
      <c r="V642" s="466" t="s">
        <v>5978</v>
      </c>
      <c r="W642" s="653">
        <v>80</v>
      </c>
      <c r="X642" s="463" t="s">
        <v>626</v>
      </c>
      <c r="Y642" s="463" t="s">
        <v>636</v>
      </c>
      <c r="Z642" s="463"/>
      <c r="AA642" s="463" t="s">
        <v>5986</v>
      </c>
      <c r="AB642" s="459" t="s">
        <v>1358</v>
      </c>
    </row>
    <row r="643" spans="1:28" ht="24" customHeight="1">
      <c r="A643" s="584"/>
      <c r="B643" s="460" t="s">
        <v>675</v>
      </c>
      <c r="C643" s="458" t="s">
        <v>5949</v>
      </c>
      <c r="D643" s="510" t="s">
        <v>5964</v>
      </c>
      <c r="E643" s="653">
        <f t="shared" si="53"/>
        <v>13</v>
      </c>
      <c r="F643" s="684">
        <v>0</v>
      </c>
      <c r="G643" s="653">
        <v>13</v>
      </c>
      <c r="H643" s="653">
        <v>0</v>
      </c>
      <c r="I643" s="498">
        <f t="shared" si="54"/>
        <v>13</v>
      </c>
      <c r="J643" s="498">
        <v>0</v>
      </c>
      <c r="K643" s="498">
        <v>13</v>
      </c>
      <c r="L643" s="698">
        <v>0</v>
      </c>
      <c r="M643" s="672">
        <v>100</v>
      </c>
      <c r="N643" s="498">
        <v>0.13</v>
      </c>
      <c r="O643" s="669" t="s">
        <v>3742</v>
      </c>
      <c r="P643" s="463" t="s">
        <v>1588</v>
      </c>
      <c r="Q643" s="672">
        <v>0</v>
      </c>
      <c r="R643" s="672">
        <v>0</v>
      </c>
      <c r="S643" s="672">
        <v>0</v>
      </c>
      <c r="T643" s="672">
        <v>0</v>
      </c>
      <c r="U643" s="463" t="s">
        <v>5101</v>
      </c>
      <c r="V643" s="466" t="s">
        <v>5980</v>
      </c>
      <c r="W643" s="653">
        <v>318</v>
      </c>
      <c r="X643" s="463" t="s">
        <v>626</v>
      </c>
      <c r="Y643" s="463" t="s">
        <v>636</v>
      </c>
      <c r="Z643" s="463"/>
      <c r="AA643" s="463" t="s">
        <v>5987</v>
      </c>
      <c r="AB643" s="459" t="s">
        <v>5988</v>
      </c>
    </row>
    <row r="644" spans="1:28" ht="24" customHeight="1">
      <c r="A644" s="584"/>
      <c r="B644" s="460" t="s">
        <v>675</v>
      </c>
      <c r="C644" s="458" t="s">
        <v>5950</v>
      </c>
      <c r="D644" s="510" t="s">
        <v>5965</v>
      </c>
      <c r="E644" s="653">
        <f t="shared" si="53"/>
        <v>30</v>
      </c>
      <c r="F644" s="684">
        <v>0</v>
      </c>
      <c r="G644" s="653">
        <v>30</v>
      </c>
      <c r="H644" s="653">
        <v>0</v>
      </c>
      <c r="I644" s="498">
        <f t="shared" si="54"/>
        <v>25</v>
      </c>
      <c r="J644" s="498">
        <v>0</v>
      </c>
      <c r="K644" s="498">
        <v>25</v>
      </c>
      <c r="L644" s="698">
        <v>0</v>
      </c>
      <c r="M644" s="672">
        <v>83.3</v>
      </c>
      <c r="N644" s="498">
        <v>0.25</v>
      </c>
      <c r="O644" s="669" t="s">
        <v>3742</v>
      </c>
      <c r="P644" s="463" t="s">
        <v>1588</v>
      </c>
      <c r="Q644" s="672">
        <v>0</v>
      </c>
      <c r="R644" s="672">
        <v>0</v>
      </c>
      <c r="S644" s="672">
        <v>0</v>
      </c>
      <c r="T644" s="672">
        <v>0</v>
      </c>
      <c r="U644" s="463" t="s">
        <v>5101</v>
      </c>
      <c r="V644" s="466" t="s">
        <v>5980</v>
      </c>
      <c r="W644" s="653">
        <v>134</v>
      </c>
      <c r="X644" s="463" t="s">
        <v>626</v>
      </c>
      <c r="Y644" s="463" t="s">
        <v>636</v>
      </c>
      <c r="Z644" s="463"/>
      <c r="AA644" s="463" t="s">
        <v>5987</v>
      </c>
      <c r="AB644" s="459" t="s">
        <v>5988</v>
      </c>
    </row>
    <row r="645" spans="1:28" ht="24" customHeight="1">
      <c r="A645" s="584"/>
      <c r="B645" s="460" t="s">
        <v>675</v>
      </c>
      <c r="C645" s="458" t="s">
        <v>5951</v>
      </c>
      <c r="D645" s="510" t="s">
        <v>5964</v>
      </c>
      <c r="E645" s="653">
        <f t="shared" si="53"/>
        <v>6</v>
      </c>
      <c r="F645" s="684">
        <v>0</v>
      </c>
      <c r="G645" s="653">
        <v>6</v>
      </c>
      <c r="H645" s="653">
        <v>0</v>
      </c>
      <c r="I645" s="498">
        <f t="shared" si="54"/>
        <v>6</v>
      </c>
      <c r="J645" s="498">
        <v>0</v>
      </c>
      <c r="K645" s="498">
        <v>6</v>
      </c>
      <c r="L645" s="698">
        <v>0</v>
      </c>
      <c r="M645" s="672">
        <v>100</v>
      </c>
      <c r="N645" s="498">
        <v>0.06</v>
      </c>
      <c r="O645" s="669" t="s">
        <v>3742</v>
      </c>
      <c r="P645" s="463" t="s">
        <v>1588</v>
      </c>
      <c r="Q645" s="672">
        <v>0</v>
      </c>
      <c r="R645" s="672">
        <v>0</v>
      </c>
      <c r="S645" s="672">
        <v>0</v>
      </c>
      <c r="T645" s="672">
        <v>0</v>
      </c>
      <c r="U645" s="463" t="s">
        <v>5101</v>
      </c>
      <c r="V645" s="466" t="s">
        <v>5980</v>
      </c>
      <c r="W645" s="653">
        <v>64</v>
      </c>
      <c r="X645" s="463" t="s">
        <v>626</v>
      </c>
      <c r="Y645" s="463" t="s">
        <v>636</v>
      </c>
      <c r="Z645" s="463"/>
      <c r="AA645" s="463" t="s">
        <v>5987</v>
      </c>
      <c r="AB645" s="459" t="s">
        <v>5988</v>
      </c>
    </row>
    <row r="646" spans="1:28" ht="24" customHeight="1">
      <c r="A646" s="584"/>
      <c r="B646" s="460" t="s">
        <v>675</v>
      </c>
      <c r="C646" s="458" t="s">
        <v>5952</v>
      </c>
      <c r="D646" s="510" t="s">
        <v>5966</v>
      </c>
      <c r="E646" s="653">
        <f t="shared" si="53"/>
        <v>40</v>
      </c>
      <c r="F646" s="684">
        <v>0</v>
      </c>
      <c r="G646" s="653">
        <v>40</v>
      </c>
      <c r="H646" s="653">
        <v>0</v>
      </c>
      <c r="I646" s="498">
        <f t="shared" si="54"/>
        <v>35</v>
      </c>
      <c r="J646" s="498">
        <v>0</v>
      </c>
      <c r="K646" s="498">
        <v>0</v>
      </c>
      <c r="L646" s="698">
        <v>35</v>
      </c>
      <c r="M646" s="672">
        <v>87.5</v>
      </c>
      <c r="N646" s="498">
        <v>0.35</v>
      </c>
      <c r="O646" s="669" t="s">
        <v>5974</v>
      </c>
      <c r="P646" s="463" t="s">
        <v>1588</v>
      </c>
      <c r="Q646" s="672">
        <v>0</v>
      </c>
      <c r="R646" s="672">
        <v>0</v>
      </c>
      <c r="S646" s="672">
        <v>0</v>
      </c>
      <c r="T646" s="672">
        <v>0</v>
      </c>
      <c r="U646" s="463" t="s">
        <v>5101</v>
      </c>
      <c r="V646" s="466" t="s">
        <v>5981</v>
      </c>
      <c r="W646" s="653">
        <v>629</v>
      </c>
      <c r="X646" s="463" t="s">
        <v>626</v>
      </c>
      <c r="Y646" s="463" t="s">
        <v>636</v>
      </c>
      <c r="Z646" s="463"/>
      <c r="AA646" s="463" t="s">
        <v>5987</v>
      </c>
      <c r="AB646" s="459" t="s">
        <v>5988</v>
      </c>
    </row>
    <row r="647" spans="1:28" ht="24" customHeight="1">
      <c r="A647" s="584"/>
      <c r="B647" s="460" t="s">
        <v>675</v>
      </c>
      <c r="C647" s="458" t="s">
        <v>5953</v>
      </c>
      <c r="D647" s="510" t="s">
        <v>5967</v>
      </c>
      <c r="E647" s="653">
        <f t="shared" si="53"/>
        <v>70</v>
      </c>
      <c r="F647" s="684">
        <v>0</v>
      </c>
      <c r="G647" s="653">
        <v>70</v>
      </c>
      <c r="H647" s="653">
        <v>0</v>
      </c>
      <c r="I647" s="498">
        <f t="shared" si="54"/>
        <v>50</v>
      </c>
      <c r="J647" s="498">
        <v>0</v>
      </c>
      <c r="K647" s="498">
        <v>0</v>
      </c>
      <c r="L647" s="698">
        <v>50</v>
      </c>
      <c r="M647" s="672">
        <v>71.400000000000006</v>
      </c>
      <c r="N647" s="498">
        <v>0.5</v>
      </c>
      <c r="O647" s="669" t="s">
        <v>5975</v>
      </c>
      <c r="P647" s="463" t="s">
        <v>1588</v>
      </c>
      <c r="Q647" s="672">
        <v>0</v>
      </c>
      <c r="R647" s="672">
        <v>0</v>
      </c>
      <c r="S647" s="672">
        <v>0</v>
      </c>
      <c r="T647" s="672">
        <v>0</v>
      </c>
      <c r="U647" s="463" t="s">
        <v>5101</v>
      </c>
      <c r="V647" s="466" t="s">
        <v>5982</v>
      </c>
      <c r="W647" s="653">
        <v>760</v>
      </c>
      <c r="X647" s="463" t="s">
        <v>626</v>
      </c>
      <c r="Y647" s="463" t="s">
        <v>5989</v>
      </c>
      <c r="Z647" s="463"/>
      <c r="AA647" s="463" t="s">
        <v>5987</v>
      </c>
      <c r="AB647" s="459" t="s">
        <v>5988</v>
      </c>
    </row>
    <row r="648" spans="1:28" ht="24" customHeight="1">
      <c r="A648" s="584"/>
      <c r="B648" s="460" t="s">
        <v>675</v>
      </c>
      <c r="C648" s="458" t="s">
        <v>5954</v>
      </c>
      <c r="D648" s="510" t="s">
        <v>5968</v>
      </c>
      <c r="E648" s="653">
        <f t="shared" si="53"/>
        <v>48</v>
      </c>
      <c r="F648" s="684">
        <v>0</v>
      </c>
      <c r="G648" s="653">
        <v>48</v>
      </c>
      <c r="H648" s="653">
        <v>0</v>
      </c>
      <c r="I648" s="498">
        <f t="shared" si="54"/>
        <v>48</v>
      </c>
      <c r="J648" s="498">
        <v>0</v>
      </c>
      <c r="K648" s="498">
        <v>48</v>
      </c>
      <c r="L648" s="698">
        <v>0</v>
      </c>
      <c r="M648" s="672">
        <v>100</v>
      </c>
      <c r="N648" s="498">
        <v>0.48</v>
      </c>
      <c r="O648" s="669" t="s">
        <v>3742</v>
      </c>
      <c r="P648" s="463" t="s">
        <v>1588</v>
      </c>
      <c r="Q648" s="672">
        <v>0</v>
      </c>
      <c r="R648" s="672">
        <v>0</v>
      </c>
      <c r="S648" s="672">
        <v>0</v>
      </c>
      <c r="T648" s="672">
        <v>0</v>
      </c>
      <c r="U648" s="463" t="s">
        <v>5101</v>
      </c>
      <c r="V648" s="466" t="s">
        <v>5980</v>
      </c>
      <c r="W648" s="653">
        <v>234</v>
      </c>
      <c r="X648" s="463" t="s">
        <v>626</v>
      </c>
      <c r="Y648" s="463" t="s">
        <v>636</v>
      </c>
      <c r="Z648" s="463"/>
      <c r="AA648" s="463" t="s">
        <v>5987</v>
      </c>
      <c r="AB648" s="459" t="s">
        <v>5988</v>
      </c>
    </row>
    <row r="649" spans="1:28" ht="24" customHeight="1">
      <c r="A649" s="584"/>
      <c r="B649" s="460" t="s">
        <v>675</v>
      </c>
      <c r="C649" s="458" t="s">
        <v>5955</v>
      </c>
      <c r="D649" s="510" t="s">
        <v>5969</v>
      </c>
      <c r="E649" s="653">
        <f t="shared" si="53"/>
        <v>140</v>
      </c>
      <c r="F649" s="684">
        <v>0</v>
      </c>
      <c r="G649" s="653">
        <v>140</v>
      </c>
      <c r="H649" s="653">
        <v>0</v>
      </c>
      <c r="I649" s="498">
        <f t="shared" si="54"/>
        <v>140</v>
      </c>
      <c r="J649" s="498">
        <v>0</v>
      </c>
      <c r="K649" s="498">
        <v>0</v>
      </c>
      <c r="L649" s="698">
        <v>140</v>
      </c>
      <c r="M649" s="672">
        <v>100</v>
      </c>
      <c r="N649" s="498">
        <v>1.4</v>
      </c>
      <c r="O649" s="669" t="s">
        <v>5976</v>
      </c>
      <c r="P649" s="463" t="s">
        <v>1588</v>
      </c>
      <c r="Q649" s="672">
        <v>0</v>
      </c>
      <c r="R649" s="672">
        <v>0</v>
      </c>
      <c r="S649" s="672">
        <v>0</v>
      </c>
      <c r="T649" s="672">
        <v>0</v>
      </c>
      <c r="U649" s="463" t="s">
        <v>5101</v>
      </c>
      <c r="V649" s="466" t="s">
        <v>5982</v>
      </c>
      <c r="W649" s="653">
        <v>1154</v>
      </c>
      <c r="X649" s="463" t="s">
        <v>626</v>
      </c>
      <c r="Y649" s="463" t="s">
        <v>636</v>
      </c>
      <c r="Z649" s="463"/>
      <c r="AA649" s="463" t="s">
        <v>5990</v>
      </c>
      <c r="AB649" s="459" t="s">
        <v>5988</v>
      </c>
    </row>
    <row r="650" spans="1:28" ht="24" customHeight="1">
      <c r="A650" s="584"/>
      <c r="B650" s="460" t="s">
        <v>675</v>
      </c>
      <c r="C650" s="458" t="s">
        <v>5956</v>
      </c>
      <c r="D650" s="510" t="s">
        <v>5970</v>
      </c>
      <c r="E650" s="653">
        <f t="shared" si="53"/>
        <v>100</v>
      </c>
      <c r="F650" s="684">
        <v>0</v>
      </c>
      <c r="G650" s="653">
        <v>100</v>
      </c>
      <c r="H650" s="653">
        <v>0</v>
      </c>
      <c r="I650" s="498">
        <f t="shared" si="54"/>
        <v>60</v>
      </c>
      <c r="J650" s="498">
        <v>0</v>
      </c>
      <c r="K650" s="498">
        <v>60</v>
      </c>
      <c r="L650" s="698">
        <v>0</v>
      </c>
      <c r="M650" s="672">
        <v>60</v>
      </c>
      <c r="N650" s="498">
        <v>0.6</v>
      </c>
      <c r="O650" s="669" t="s">
        <v>5122</v>
      </c>
      <c r="P650" s="463" t="s">
        <v>1588</v>
      </c>
      <c r="Q650" s="672">
        <v>0</v>
      </c>
      <c r="R650" s="672">
        <v>0</v>
      </c>
      <c r="S650" s="672">
        <v>0</v>
      </c>
      <c r="T650" s="672">
        <v>0</v>
      </c>
      <c r="U650" s="463" t="s">
        <v>5101</v>
      </c>
      <c r="V650" s="466" t="s">
        <v>5983</v>
      </c>
      <c r="W650" s="653">
        <v>400</v>
      </c>
      <c r="X650" s="463" t="s">
        <v>626</v>
      </c>
      <c r="Y650" s="463" t="s">
        <v>636</v>
      </c>
      <c r="Z650" s="463"/>
      <c r="AA650" s="463" t="s">
        <v>5986</v>
      </c>
      <c r="AB650" s="459" t="s">
        <v>1358</v>
      </c>
    </row>
    <row r="651" spans="1:28" ht="24" customHeight="1">
      <c r="A651" s="584"/>
      <c r="B651" s="460" t="s">
        <v>675</v>
      </c>
      <c r="C651" s="458" t="s">
        <v>5957</v>
      </c>
      <c r="D651" s="510" t="s">
        <v>5971</v>
      </c>
      <c r="E651" s="653">
        <f t="shared" si="53"/>
        <v>35</v>
      </c>
      <c r="F651" s="684">
        <v>0</v>
      </c>
      <c r="G651" s="653">
        <v>35</v>
      </c>
      <c r="H651" s="653">
        <v>0</v>
      </c>
      <c r="I651" s="498">
        <f t="shared" si="54"/>
        <v>30</v>
      </c>
      <c r="J651" s="498">
        <v>0</v>
      </c>
      <c r="K651" s="498">
        <v>30</v>
      </c>
      <c r="L651" s="698">
        <v>0</v>
      </c>
      <c r="M651" s="672">
        <v>85.7</v>
      </c>
      <c r="N651" s="498">
        <v>0.3</v>
      </c>
      <c r="O651" s="669" t="s">
        <v>1408</v>
      </c>
      <c r="P651" s="463" t="s">
        <v>1588</v>
      </c>
      <c r="Q651" s="672">
        <v>0</v>
      </c>
      <c r="R651" s="672">
        <v>0</v>
      </c>
      <c r="S651" s="672">
        <v>0</v>
      </c>
      <c r="T651" s="672">
        <v>0</v>
      </c>
      <c r="U651" s="463" t="s">
        <v>5101</v>
      </c>
      <c r="V651" s="466" t="s">
        <v>5984</v>
      </c>
      <c r="W651" s="653">
        <v>99</v>
      </c>
      <c r="X651" s="463" t="s">
        <v>626</v>
      </c>
      <c r="Y651" s="463" t="s">
        <v>636</v>
      </c>
      <c r="Z651" s="463"/>
      <c r="AA651" s="463" t="s">
        <v>5986</v>
      </c>
      <c r="AB651" s="459" t="s">
        <v>1358</v>
      </c>
    </row>
    <row r="652" spans="1:28" ht="24" customHeight="1">
      <c r="A652" s="584"/>
      <c r="B652" s="460" t="s">
        <v>675</v>
      </c>
      <c r="C652" s="458" t="s">
        <v>5958</v>
      </c>
      <c r="D652" s="510" t="s">
        <v>5972</v>
      </c>
      <c r="E652" s="653">
        <f t="shared" si="53"/>
        <v>48</v>
      </c>
      <c r="F652" s="684">
        <v>0</v>
      </c>
      <c r="G652" s="653">
        <v>48</v>
      </c>
      <c r="H652" s="653">
        <v>0</v>
      </c>
      <c r="I652" s="498">
        <f t="shared" si="54"/>
        <v>40</v>
      </c>
      <c r="J652" s="498">
        <v>0</v>
      </c>
      <c r="K652" s="498">
        <v>0</v>
      </c>
      <c r="L652" s="698">
        <v>40</v>
      </c>
      <c r="M652" s="672">
        <v>83.3</v>
      </c>
      <c r="N652" s="498">
        <v>0.4</v>
      </c>
      <c r="O652" s="669" t="s">
        <v>5974</v>
      </c>
      <c r="P652" s="463" t="s">
        <v>1588</v>
      </c>
      <c r="Q652" s="672">
        <v>0</v>
      </c>
      <c r="R652" s="672">
        <v>0</v>
      </c>
      <c r="S652" s="672">
        <v>0</v>
      </c>
      <c r="T652" s="672">
        <v>0</v>
      </c>
      <c r="U652" s="463" t="s">
        <v>5101</v>
      </c>
      <c r="V652" s="466" t="s">
        <v>5985</v>
      </c>
      <c r="W652" s="653">
        <v>634</v>
      </c>
      <c r="X652" s="463" t="s">
        <v>626</v>
      </c>
      <c r="Y652" s="463" t="s">
        <v>636</v>
      </c>
      <c r="Z652" s="463"/>
      <c r="AA652" s="463" t="s">
        <v>5991</v>
      </c>
      <c r="AB652" s="459" t="s">
        <v>5988</v>
      </c>
    </row>
    <row r="653" spans="1:28" ht="24" customHeight="1">
      <c r="A653" s="582" t="s">
        <v>1639</v>
      </c>
      <c r="B653" s="460" t="s">
        <v>2201</v>
      </c>
      <c r="C653" s="458" t="s">
        <v>2405</v>
      </c>
      <c r="D653" s="510" t="s">
        <v>2282</v>
      </c>
      <c r="E653" s="653">
        <f t="shared" si="53"/>
        <v>35000</v>
      </c>
      <c r="F653" s="653">
        <v>0</v>
      </c>
      <c r="G653" s="653">
        <v>0</v>
      </c>
      <c r="H653" s="653">
        <v>35000</v>
      </c>
      <c r="I653" s="653">
        <f t="shared" si="54"/>
        <v>31869</v>
      </c>
      <c r="J653" s="653">
        <v>0</v>
      </c>
      <c r="K653" s="653">
        <v>0</v>
      </c>
      <c r="L653" s="698">
        <v>31869</v>
      </c>
      <c r="M653" s="673">
        <v>95.6</v>
      </c>
      <c r="N653" s="653">
        <v>293</v>
      </c>
      <c r="O653" s="669" t="s">
        <v>5108</v>
      </c>
      <c r="P653" s="463" t="s">
        <v>1588</v>
      </c>
      <c r="Q653" s="672">
        <v>78.06</v>
      </c>
      <c r="R653" s="672">
        <v>0</v>
      </c>
      <c r="S653" s="672">
        <v>50.8</v>
      </c>
      <c r="T653" s="672">
        <v>0</v>
      </c>
      <c r="U653" s="463" t="s">
        <v>5109</v>
      </c>
      <c r="V653" s="463" t="s">
        <v>5110</v>
      </c>
      <c r="W653" s="653">
        <v>49207</v>
      </c>
      <c r="X653" s="463" t="s">
        <v>2276</v>
      </c>
      <c r="Y653" s="463" t="s">
        <v>5111</v>
      </c>
      <c r="Z653" s="463"/>
      <c r="AA653" s="463" t="s">
        <v>1592</v>
      </c>
      <c r="AB653" s="459" t="s">
        <v>1592</v>
      </c>
    </row>
    <row r="654" spans="1:28" ht="24" customHeight="1">
      <c r="A654" s="584"/>
      <c r="B654" s="460" t="s">
        <v>2201</v>
      </c>
      <c r="C654" s="458" t="s">
        <v>5112</v>
      </c>
      <c r="D654" s="510" t="s">
        <v>5113</v>
      </c>
      <c r="E654" s="653">
        <v>3400</v>
      </c>
      <c r="F654" s="653">
        <v>0</v>
      </c>
      <c r="G654" s="653">
        <v>0</v>
      </c>
      <c r="H654" s="653">
        <v>3400</v>
      </c>
      <c r="I654" s="653">
        <v>2617</v>
      </c>
      <c r="J654" s="653">
        <v>0</v>
      </c>
      <c r="K654" s="653">
        <v>0</v>
      </c>
      <c r="L654" s="698">
        <v>2617</v>
      </c>
      <c r="M654" s="673">
        <v>91.1</v>
      </c>
      <c r="N654" s="653">
        <v>115.1</v>
      </c>
      <c r="O654" s="669" t="s">
        <v>3282</v>
      </c>
      <c r="P654" s="463" t="s">
        <v>1588</v>
      </c>
      <c r="Q654" s="672">
        <v>0</v>
      </c>
      <c r="R654" s="672">
        <v>0</v>
      </c>
      <c r="S654" s="672">
        <v>0</v>
      </c>
      <c r="T654" s="672">
        <v>0</v>
      </c>
      <c r="U654" s="463" t="s">
        <v>5114</v>
      </c>
      <c r="V654" s="466" t="s">
        <v>2053</v>
      </c>
      <c r="W654" s="653">
        <v>13551</v>
      </c>
      <c r="X654" s="463" t="s">
        <v>2276</v>
      </c>
      <c r="Y654" s="463" t="s">
        <v>3161</v>
      </c>
      <c r="Z654" s="463" t="s">
        <v>1640</v>
      </c>
      <c r="AA654" s="463" t="s">
        <v>1592</v>
      </c>
      <c r="AB654" s="459" t="s">
        <v>1592</v>
      </c>
    </row>
    <row r="655" spans="1:28" ht="24" customHeight="1">
      <c r="A655" s="584"/>
      <c r="B655" s="460" t="s">
        <v>2201</v>
      </c>
      <c r="C655" s="458" t="s">
        <v>5115</v>
      </c>
      <c r="D655" s="510" t="s">
        <v>5116</v>
      </c>
      <c r="E655" s="653">
        <v>1800</v>
      </c>
      <c r="F655" s="653">
        <v>0</v>
      </c>
      <c r="G655" s="653">
        <v>0</v>
      </c>
      <c r="H655" s="653">
        <v>1800</v>
      </c>
      <c r="I655" s="653">
        <v>606</v>
      </c>
      <c r="J655" s="653">
        <v>0</v>
      </c>
      <c r="K655" s="653">
        <v>0</v>
      </c>
      <c r="L655" s="698">
        <v>606</v>
      </c>
      <c r="M655" s="673">
        <v>92.5</v>
      </c>
      <c r="N655" s="653">
        <v>29.7</v>
      </c>
      <c r="O655" s="669" t="s">
        <v>3282</v>
      </c>
      <c r="P655" s="463" t="s">
        <v>1588</v>
      </c>
      <c r="Q655" s="672">
        <v>0</v>
      </c>
      <c r="R655" s="672">
        <v>0</v>
      </c>
      <c r="S655" s="672">
        <v>0</v>
      </c>
      <c r="T655" s="672">
        <v>0</v>
      </c>
      <c r="U655" s="463" t="s">
        <v>5114</v>
      </c>
      <c r="V655" s="466" t="s">
        <v>2053</v>
      </c>
      <c r="W655" s="653">
        <v>10136</v>
      </c>
      <c r="X655" s="463" t="s">
        <v>2276</v>
      </c>
      <c r="Y655" s="463" t="s">
        <v>3161</v>
      </c>
      <c r="Z655" s="463" t="s">
        <v>5117</v>
      </c>
      <c r="AA655" s="463" t="s">
        <v>1592</v>
      </c>
      <c r="AB655" s="459" t="s">
        <v>1592</v>
      </c>
    </row>
    <row r="656" spans="1:28" ht="24" customHeight="1">
      <c r="A656" s="584"/>
      <c r="B656" s="460" t="s">
        <v>2201</v>
      </c>
      <c r="C656" s="458" t="s">
        <v>5118</v>
      </c>
      <c r="D656" s="510" t="s">
        <v>5119</v>
      </c>
      <c r="E656" s="653">
        <v>1800</v>
      </c>
      <c r="F656" s="653">
        <v>0</v>
      </c>
      <c r="G656" s="653">
        <v>0</v>
      </c>
      <c r="H656" s="653">
        <v>1800</v>
      </c>
      <c r="I656" s="653">
        <v>544</v>
      </c>
      <c r="J656" s="653">
        <v>0</v>
      </c>
      <c r="K656" s="653">
        <v>0</v>
      </c>
      <c r="L656" s="698">
        <v>544</v>
      </c>
      <c r="M656" s="673">
        <v>81.2</v>
      </c>
      <c r="N656" s="653">
        <v>9.9</v>
      </c>
      <c r="O656" s="669" t="s">
        <v>3282</v>
      </c>
      <c r="P656" s="463" t="s">
        <v>1588</v>
      </c>
      <c r="Q656" s="672">
        <v>0</v>
      </c>
      <c r="R656" s="672">
        <v>0</v>
      </c>
      <c r="S656" s="672">
        <v>0</v>
      </c>
      <c r="T656" s="672">
        <v>0</v>
      </c>
      <c r="U656" s="463" t="s">
        <v>5114</v>
      </c>
      <c r="V656" s="466" t="s">
        <v>2053</v>
      </c>
      <c r="W656" s="653">
        <v>8576</v>
      </c>
      <c r="X656" s="463" t="s">
        <v>2276</v>
      </c>
      <c r="Y656" s="463" t="s">
        <v>3161</v>
      </c>
      <c r="Z656" s="463" t="s">
        <v>5117</v>
      </c>
      <c r="AA656" s="463" t="s">
        <v>1592</v>
      </c>
      <c r="AB656" s="459" t="s">
        <v>1592</v>
      </c>
    </row>
    <row r="657" spans="1:28" ht="24" customHeight="1">
      <c r="A657" s="584"/>
      <c r="B657" s="460" t="s">
        <v>675</v>
      </c>
      <c r="C657" s="458" t="s">
        <v>5120</v>
      </c>
      <c r="D657" s="510" t="s">
        <v>5121</v>
      </c>
      <c r="E657" s="653">
        <f>F657+G657+H657</f>
        <v>130</v>
      </c>
      <c r="F657" s="653">
        <v>0</v>
      </c>
      <c r="G657" s="653">
        <v>130</v>
      </c>
      <c r="H657" s="653">
        <v>0</v>
      </c>
      <c r="I657" s="653">
        <f>J657+K657+L657</f>
        <v>120.8</v>
      </c>
      <c r="J657" s="653">
        <v>0</v>
      </c>
      <c r="K657" s="653">
        <v>120.8</v>
      </c>
      <c r="L657" s="698">
        <v>0</v>
      </c>
      <c r="M657" s="673">
        <v>89.2</v>
      </c>
      <c r="N657" s="653">
        <v>7.7</v>
      </c>
      <c r="O657" s="669" t="s">
        <v>5122</v>
      </c>
      <c r="P657" s="463" t="s">
        <v>1588</v>
      </c>
      <c r="Q657" s="672">
        <v>0</v>
      </c>
      <c r="R657" s="672">
        <v>0</v>
      </c>
      <c r="S657" s="672">
        <v>0</v>
      </c>
      <c r="T657" s="672">
        <v>0</v>
      </c>
      <c r="U657" s="463" t="s">
        <v>5109</v>
      </c>
      <c r="V657" s="463" t="s">
        <v>5123</v>
      </c>
      <c r="W657" s="653">
        <v>315</v>
      </c>
      <c r="X657" s="463" t="s">
        <v>2276</v>
      </c>
      <c r="Y657" s="463" t="s">
        <v>5111</v>
      </c>
      <c r="Z657" s="463" t="s">
        <v>5124</v>
      </c>
      <c r="AA657" s="463" t="s">
        <v>1592</v>
      </c>
      <c r="AB657" s="459" t="s">
        <v>1592</v>
      </c>
    </row>
    <row r="658" spans="1:28" ht="24" customHeight="1">
      <c r="A658" s="584"/>
      <c r="B658" s="460" t="s">
        <v>675</v>
      </c>
      <c r="C658" s="458" t="s">
        <v>5125</v>
      </c>
      <c r="D658" s="510" t="s">
        <v>5126</v>
      </c>
      <c r="E658" s="653">
        <f>F658+G658+H658</f>
        <v>150</v>
      </c>
      <c r="F658" s="653">
        <v>0</v>
      </c>
      <c r="G658" s="653">
        <v>150</v>
      </c>
      <c r="H658" s="653">
        <v>0</v>
      </c>
      <c r="I658" s="653">
        <f>J658+K658+L658</f>
        <v>133.19999999999999</v>
      </c>
      <c r="J658" s="653">
        <v>0</v>
      </c>
      <c r="K658" s="653">
        <v>133.19999999999999</v>
      </c>
      <c r="L658" s="698">
        <v>0</v>
      </c>
      <c r="M658" s="673">
        <v>94.7</v>
      </c>
      <c r="N658" s="653">
        <v>6.5</v>
      </c>
      <c r="O658" s="669" t="s">
        <v>5122</v>
      </c>
      <c r="P658" s="463" t="s">
        <v>1588</v>
      </c>
      <c r="Q658" s="672">
        <v>0</v>
      </c>
      <c r="R658" s="672">
        <v>0</v>
      </c>
      <c r="S658" s="672">
        <v>0</v>
      </c>
      <c r="T658" s="672">
        <v>0</v>
      </c>
      <c r="U658" s="463" t="s">
        <v>5109</v>
      </c>
      <c r="V658" s="463" t="s">
        <v>5127</v>
      </c>
      <c r="W658" s="498">
        <v>400</v>
      </c>
      <c r="X658" s="463" t="s">
        <v>2276</v>
      </c>
      <c r="Y658" s="463" t="s">
        <v>5111</v>
      </c>
      <c r="Z658" s="463" t="s">
        <v>5128</v>
      </c>
      <c r="AA658" s="463" t="s">
        <v>1592</v>
      </c>
      <c r="AB658" s="459" t="s">
        <v>1592</v>
      </c>
    </row>
    <row r="659" spans="1:28" ht="24" customHeight="1">
      <c r="A659" s="584"/>
      <c r="B659" s="460" t="s">
        <v>675</v>
      </c>
      <c r="C659" s="458" t="s">
        <v>5129</v>
      </c>
      <c r="D659" s="510" t="s">
        <v>5130</v>
      </c>
      <c r="E659" s="653">
        <f>F659+G659+H659</f>
        <v>102</v>
      </c>
      <c r="F659" s="653">
        <v>0</v>
      </c>
      <c r="G659" s="653">
        <v>102</v>
      </c>
      <c r="H659" s="653">
        <v>0</v>
      </c>
      <c r="I659" s="653">
        <f>J659+K659+L659</f>
        <v>43.6</v>
      </c>
      <c r="J659" s="653">
        <v>0</v>
      </c>
      <c r="K659" s="653">
        <v>43.6</v>
      </c>
      <c r="L659" s="698">
        <v>0</v>
      </c>
      <c r="M659" s="673">
        <v>90.7</v>
      </c>
      <c r="N659" s="653">
        <v>3.1</v>
      </c>
      <c r="O659" s="669" t="s">
        <v>5089</v>
      </c>
      <c r="P659" s="463" t="s">
        <v>1588</v>
      </c>
      <c r="Q659" s="672">
        <v>0</v>
      </c>
      <c r="R659" s="672">
        <v>0</v>
      </c>
      <c r="S659" s="672">
        <v>0</v>
      </c>
      <c r="T659" s="672">
        <v>0</v>
      </c>
      <c r="U659" s="463" t="s">
        <v>5109</v>
      </c>
      <c r="V659" s="463" t="s">
        <v>5131</v>
      </c>
      <c r="W659" s="498">
        <v>400</v>
      </c>
      <c r="X659" s="463" t="s">
        <v>2276</v>
      </c>
      <c r="Y659" s="463" t="s">
        <v>5111</v>
      </c>
      <c r="Z659" s="463" t="s">
        <v>1640</v>
      </c>
      <c r="AA659" s="463" t="s">
        <v>1592</v>
      </c>
      <c r="AB659" s="459" t="s">
        <v>1592</v>
      </c>
    </row>
    <row r="660" spans="1:28" ht="24" customHeight="1">
      <c r="A660" s="584"/>
      <c r="B660" s="460" t="s">
        <v>675</v>
      </c>
      <c r="C660" s="458" t="s">
        <v>5132</v>
      </c>
      <c r="D660" s="510" t="s">
        <v>5133</v>
      </c>
      <c r="E660" s="653">
        <f>F660+G660+H660</f>
        <v>40</v>
      </c>
      <c r="F660" s="653">
        <v>0</v>
      </c>
      <c r="G660" s="653">
        <v>40</v>
      </c>
      <c r="H660" s="653">
        <v>0</v>
      </c>
      <c r="I660" s="653">
        <f>J660+K660+L660</f>
        <v>158.9</v>
      </c>
      <c r="J660" s="653">
        <v>0</v>
      </c>
      <c r="K660" s="653">
        <v>158.9</v>
      </c>
      <c r="L660" s="698">
        <v>0</v>
      </c>
      <c r="M660" s="673">
        <v>95.4</v>
      </c>
      <c r="N660" s="653">
        <v>17.600000000000001</v>
      </c>
      <c r="O660" s="669" t="s">
        <v>5089</v>
      </c>
      <c r="P660" s="463" t="s">
        <v>1588</v>
      </c>
      <c r="Q660" s="672">
        <v>0</v>
      </c>
      <c r="R660" s="672">
        <v>0</v>
      </c>
      <c r="S660" s="672">
        <v>0</v>
      </c>
      <c r="T660" s="672">
        <v>0</v>
      </c>
      <c r="U660" s="463" t="s">
        <v>5109</v>
      </c>
      <c r="V660" s="463" t="s">
        <v>5131</v>
      </c>
      <c r="W660" s="498">
        <v>151</v>
      </c>
      <c r="X660" s="463" t="s">
        <v>2276</v>
      </c>
      <c r="Y660" s="463" t="s">
        <v>5111</v>
      </c>
      <c r="Z660" s="463" t="s">
        <v>5134</v>
      </c>
      <c r="AA660" s="463" t="s">
        <v>1592</v>
      </c>
      <c r="AB660" s="459" t="s">
        <v>1592</v>
      </c>
    </row>
    <row r="661" spans="1:28" ht="24" customHeight="1">
      <c r="A661" s="584"/>
      <c r="B661" s="460" t="s">
        <v>675</v>
      </c>
      <c r="C661" s="458" t="s">
        <v>5135</v>
      </c>
      <c r="D661" s="510" t="s">
        <v>5136</v>
      </c>
      <c r="E661" s="653">
        <f>F661+G661+H661</f>
        <v>36</v>
      </c>
      <c r="F661" s="653">
        <v>0</v>
      </c>
      <c r="G661" s="653">
        <v>36</v>
      </c>
      <c r="H661" s="653">
        <v>0</v>
      </c>
      <c r="I661" s="653">
        <f>J661+K661+L661</f>
        <v>56.6</v>
      </c>
      <c r="J661" s="653">
        <v>0</v>
      </c>
      <c r="K661" s="653">
        <v>56.6</v>
      </c>
      <c r="L661" s="698">
        <v>0</v>
      </c>
      <c r="M661" s="673">
        <v>75.599999999999994</v>
      </c>
      <c r="N661" s="653">
        <v>1.3</v>
      </c>
      <c r="O661" s="669" t="s">
        <v>5089</v>
      </c>
      <c r="P661" s="463" t="s">
        <v>1588</v>
      </c>
      <c r="Q661" s="672">
        <v>0</v>
      </c>
      <c r="R661" s="672">
        <v>0</v>
      </c>
      <c r="S661" s="672">
        <v>0</v>
      </c>
      <c r="T661" s="672">
        <v>0</v>
      </c>
      <c r="U661" s="463" t="s">
        <v>5109</v>
      </c>
      <c r="V661" s="463" t="s">
        <v>5137</v>
      </c>
      <c r="W661" s="498">
        <v>131</v>
      </c>
      <c r="X661" s="463" t="s">
        <v>2276</v>
      </c>
      <c r="Y661" s="463" t="s">
        <v>5111</v>
      </c>
      <c r="Z661" s="463" t="s">
        <v>1640</v>
      </c>
      <c r="AA661" s="463" t="s">
        <v>1592</v>
      </c>
      <c r="AB661" s="459" t="s">
        <v>1592</v>
      </c>
    </row>
    <row r="662" spans="1:28" ht="24" customHeight="1">
      <c r="A662" s="593" t="s">
        <v>1641</v>
      </c>
      <c r="B662" s="521" t="s">
        <v>2201</v>
      </c>
      <c r="C662" s="522" t="s">
        <v>2406</v>
      </c>
      <c r="D662" s="524" t="s">
        <v>5138</v>
      </c>
      <c r="E662" s="653">
        <v>30000</v>
      </c>
      <c r="F662" s="498">
        <v>0</v>
      </c>
      <c r="G662" s="498">
        <v>30000</v>
      </c>
      <c r="H662" s="498">
        <v>0</v>
      </c>
      <c r="I662" s="498">
        <v>25000</v>
      </c>
      <c r="J662" s="498">
        <v>0</v>
      </c>
      <c r="K662" s="498">
        <v>25000</v>
      </c>
      <c r="L662" s="668">
        <v>0</v>
      </c>
      <c r="M662" s="672">
        <v>90</v>
      </c>
      <c r="N662" s="498">
        <v>1224</v>
      </c>
      <c r="O662" s="699" t="s">
        <v>1535</v>
      </c>
      <c r="P662" s="463" t="s">
        <v>1588</v>
      </c>
      <c r="Q662" s="672">
        <v>100</v>
      </c>
      <c r="R662" s="672">
        <v>0</v>
      </c>
      <c r="S662" s="672">
        <v>69</v>
      </c>
      <c r="T662" s="672">
        <v>0</v>
      </c>
      <c r="U662" s="462" t="s">
        <v>7466</v>
      </c>
      <c r="V662" s="462" t="s">
        <v>5139</v>
      </c>
      <c r="W662" s="653">
        <v>52</v>
      </c>
      <c r="X662" s="462" t="s">
        <v>2199</v>
      </c>
      <c r="Y662" s="462" t="s">
        <v>5140</v>
      </c>
      <c r="Z662" s="462"/>
      <c r="AA662" s="462"/>
      <c r="AB662" s="467" t="s">
        <v>1596</v>
      </c>
    </row>
    <row r="663" spans="1:28" ht="24" customHeight="1">
      <c r="A663" s="594"/>
      <c r="B663" s="521" t="s">
        <v>2201</v>
      </c>
      <c r="C663" s="522" t="s">
        <v>220</v>
      </c>
      <c r="D663" s="524" t="s">
        <v>5141</v>
      </c>
      <c r="E663" s="653">
        <v>15000</v>
      </c>
      <c r="F663" s="498">
        <v>0</v>
      </c>
      <c r="G663" s="498">
        <v>15000</v>
      </c>
      <c r="H663" s="498">
        <v>0</v>
      </c>
      <c r="I663" s="498">
        <v>1888</v>
      </c>
      <c r="J663" s="498">
        <v>0</v>
      </c>
      <c r="K663" s="498">
        <v>1888</v>
      </c>
      <c r="L663" s="668">
        <v>0</v>
      </c>
      <c r="M663" s="672">
        <v>93</v>
      </c>
      <c r="N663" s="498">
        <v>191</v>
      </c>
      <c r="O663" s="699" t="s">
        <v>5142</v>
      </c>
      <c r="P663" s="463" t="s">
        <v>1588</v>
      </c>
      <c r="Q663" s="672">
        <v>0</v>
      </c>
      <c r="R663" s="672">
        <v>0</v>
      </c>
      <c r="S663" s="672">
        <v>0</v>
      </c>
      <c r="T663" s="672">
        <v>0</v>
      </c>
      <c r="U663" s="462" t="s">
        <v>7467</v>
      </c>
      <c r="V663" s="462" t="s">
        <v>5143</v>
      </c>
      <c r="W663" s="653">
        <v>162</v>
      </c>
      <c r="X663" s="462" t="s">
        <v>5144</v>
      </c>
      <c r="Y663" s="462" t="s">
        <v>5145</v>
      </c>
      <c r="Z663" s="462"/>
      <c r="AA663" s="462"/>
      <c r="AB663" s="467" t="s">
        <v>1596</v>
      </c>
    </row>
    <row r="664" spans="1:28" ht="24" customHeight="1">
      <c r="A664" s="594"/>
      <c r="B664" s="521" t="s">
        <v>675</v>
      </c>
      <c r="C664" s="522" t="s">
        <v>5146</v>
      </c>
      <c r="D664" s="524" t="s">
        <v>5147</v>
      </c>
      <c r="E664" s="653">
        <v>380</v>
      </c>
      <c r="F664" s="498">
        <v>0</v>
      </c>
      <c r="G664" s="653">
        <v>380</v>
      </c>
      <c r="H664" s="498">
        <v>0</v>
      </c>
      <c r="I664" s="498">
        <v>301</v>
      </c>
      <c r="J664" s="498">
        <v>0</v>
      </c>
      <c r="K664" s="498">
        <v>301</v>
      </c>
      <c r="L664" s="668">
        <v>0</v>
      </c>
      <c r="M664" s="673">
        <v>93</v>
      </c>
      <c r="N664" s="498">
        <v>2</v>
      </c>
      <c r="O664" s="699" t="s">
        <v>5148</v>
      </c>
      <c r="P664" s="463" t="s">
        <v>1588</v>
      </c>
      <c r="Q664" s="672">
        <v>0</v>
      </c>
      <c r="R664" s="672">
        <v>0</v>
      </c>
      <c r="S664" s="672">
        <v>0</v>
      </c>
      <c r="T664" s="672">
        <v>0</v>
      </c>
      <c r="U664" s="462" t="s">
        <v>7468</v>
      </c>
      <c r="V664" s="527" t="s">
        <v>5149</v>
      </c>
      <c r="W664" s="653">
        <v>935</v>
      </c>
      <c r="X664" s="462" t="s">
        <v>2193</v>
      </c>
      <c r="Y664" s="462"/>
      <c r="Z664" s="462"/>
      <c r="AA664" s="462"/>
      <c r="AB664" s="467" t="s">
        <v>1596</v>
      </c>
    </row>
    <row r="665" spans="1:28" ht="24" customHeight="1">
      <c r="A665" s="584"/>
      <c r="B665" s="460" t="s">
        <v>3837</v>
      </c>
      <c r="C665" s="458" t="s">
        <v>5150</v>
      </c>
      <c r="D665" s="510" t="s">
        <v>5151</v>
      </c>
      <c r="E665" s="498">
        <v>74</v>
      </c>
      <c r="F665" s="498">
        <v>0</v>
      </c>
      <c r="G665" s="498">
        <v>74</v>
      </c>
      <c r="H665" s="498">
        <v>0</v>
      </c>
      <c r="I665" s="498">
        <v>65.45</v>
      </c>
      <c r="J665" s="498">
        <v>0</v>
      </c>
      <c r="K665" s="498">
        <v>65.45</v>
      </c>
      <c r="L665" s="668">
        <v>0</v>
      </c>
      <c r="M665" s="672">
        <v>87</v>
      </c>
      <c r="N665" s="498">
        <v>3</v>
      </c>
      <c r="O665" s="669" t="s">
        <v>5152</v>
      </c>
      <c r="P665" s="463" t="s">
        <v>1588</v>
      </c>
      <c r="Q665" s="672">
        <v>0</v>
      </c>
      <c r="R665" s="672">
        <v>0</v>
      </c>
      <c r="S665" s="672">
        <v>0</v>
      </c>
      <c r="T665" s="672">
        <v>0</v>
      </c>
      <c r="U665" s="463" t="s">
        <v>7469</v>
      </c>
      <c r="V665" s="463" t="s">
        <v>5153</v>
      </c>
      <c r="W665" s="498">
        <v>544</v>
      </c>
      <c r="X665" s="463" t="s">
        <v>2247</v>
      </c>
      <c r="Y665" s="463" t="s">
        <v>5154</v>
      </c>
      <c r="Z665" s="463" t="s">
        <v>5155</v>
      </c>
      <c r="AA665" s="463" t="s">
        <v>680</v>
      </c>
      <c r="AB665" s="467" t="s">
        <v>1596</v>
      </c>
    </row>
    <row r="666" spans="1:28" ht="24" customHeight="1">
      <c r="A666" s="584"/>
      <c r="B666" s="460" t="s">
        <v>3837</v>
      </c>
      <c r="C666" s="458" t="s">
        <v>5156</v>
      </c>
      <c r="D666" s="510" t="s">
        <v>5151</v>
      </c>
      <c r="E666" s="498">
        <v>23</v>
      </c>
      <c r="F666" s="498">
        <v>0</v>
      </c>
      <c r="G666" s="498">
        <v>23</v>
      </c>
      <c r="H666" s="498">
        <v>0</v>
      </c>
      <c r="I666" s="498">
        <v>21.45</v>
      </c>
      <c r="J666" s="498">
        <v>0</v>
      </c>
      <c r="K666" s="498">
        <v>21.45</v>
      </c>
      <c r="L666" s="668">
        <v>0</v>
      </c>
      <c r="M666" s="672">
        <v>87</v>
      </c>
      <c r="N666" s="498">
        <v>3</v>
      </c>
      <c r="O666" s="669" t="s">
        <v>5152</v>
      </c>
      <c r="P666" s="463" t="s">
        <v>1588</v>
      </c>
      <c r="Q666" s="672">
        <v>0</v>
      </c>
      <c r="R666" s="672">
        <v>0</v>
      </c>
      <c r="S666" s="672">
        <v>0</v>
      </c>
      <c r="T666" s="672">
        <v>0</v>
      </c>
      <c r="U666" s="463" t="s">
        <v>7469</v>
      </c>
      <c r="V666" s="463" t="s">
        <v>5157</v>
      </c>
      <c r="W666" s="498">
        <v>133</v>
      </c>
      <c r="X666" s="463" t="s">
        <v>2247</v>
      </c>
      <c r="Y666" s="463" t="s">
        <v>5154</v>
      </c>
      <c r="Z666" s="463" t="s">
        <v>5155</v>
      </c>
      <c r="AA666" s="463" t="s">
        <v>680</v>
      </c>
      <c r="AB666" s="467" t="s">
        <v>1596</v>
      </c>
    </row>
    <row r="667" spans="1:28" ht="24" customHeight="1">
      <c r="A667" s="584"/>
      <c r="B667" s="460" t="s">
        <v>3837</v>
      </c>
      <c r="C667" s="458" t="s">
        <v>5158</v>
      </c>
      <c r="D667" s="510" t="s">
        <v>5159</v>
      </c>
      <c r="E667" s="498">
        <v>30</v>
      </c>
      <c r="F667" s="498">
        <v>0</v>
      </c>
      <c r="G667" s="498">
        <v>30</v>
      </c>
      <c r="H667" s="498">
        <v>0</v>
      </c>
      <c r="I667" s="498">
        <v>28.45</v>
      </c>
      <c r="J667" s="498">
        <v>0</v>
      </c>
      <c r="K667" s="498">
        <v>28.45</v>
      </c>
      <c r="L667" s="668">
        <v>0</v>
      </c>
      <c r="M667" s="672">
        <v>91</v>
      </c>
      <c r="N667" s="498">
        <v>2</v>
      </c>
      <c r="O667" s="669" t="s">
        <v>5152</v>
      </c>
      <c r="P667" s="463" t="s">
        <v>1588</v>
      </c>
      <c r="Q667" s="672">
        <v>0</v>
      </c>
      <c r="R667" s="672">
        <v>0</v>
      </c>
      <c r="S667" s="672">
        <v>0</v>
      </c>
      <c r="T667" s="672">
        <v>0</v>
      </c>
      <c r="U667" s="463" t="s">
        <v>7469</v>
      </c>
      <c r="V667" s="463" t="s">
        <v>5157</v>
      </c>
      <c r="W667" s="498">
        <v>123</v>
      </c>
      <c r="X667" s="463" t="s">
        <v>2247</v>
      </c>
      <c r="Y667" s="463" t="s">
        <v>5154</v>
      </c>
      <c r="Z667" s="463"/>
      <c r="AA667" s="463" t="s">
        <v>5160</v>
      </c>
      <c r="AB667" s="467" t="s">
        <v>1596</v>
      </c>
    </row>
    <row r="668" spans="1:28" ht="24" customHeight="1">
      <c r="A668" s="584"/>
      <c r="B668" s="460" t="s">
        <v>3837</v>
      </c>
      <c r="C668" s="458" t="s">
        <v>5161</v>
      </c>
      <c r="D668" s="510" t="s">
        <v>5162</v>
      </c>
      <c r="E668" s="498">
        <v>30</v>
      </c>
      <c r="F668" s="498">
        <v>0</v>
      </c>
      <c r="G668" s="498">
        <v>30</v>
      </c>
      <c r="H668" s="498">
        <v>0</v>
      </c>
      <c r="I668" s="498">
        <v>24.45</v>
      </c>
      <c r="J668" s="498">
        <v>0</v>
      </c>
      <c r="K668" s="498">
        <v>24.45</v>
      </c>
      <c r="L668" s="668">
        <v>0</v>
      </c>
      <c r="M668" s="672">
        <v>91</v>
      </c>
      <c r="N668" s="498">
        <v>3</v>
      </c>
      <c r="O668" s="669" t="s">
        <v>5152</v>
      </c>
      <c r="P668" s="463" t="s">
        <v>1588</v>
      </c>
      <c r="Q668" s="672">
        <v>0</v>
      </c>
      <c r="R668" s="672">
        <v>0</v>
      </c>
      <c r="S668" s="672">
        <v>0</v>
      </c>
      <c r="T668" s="672">
        <v>0</v>
      </c>
      <c r="U668" s="463" t="s">
        <v>7469</v>
      </c>
      <c r="V668" s="463" t="s">
        <v>5163</v>
      </c>
      <c r="W668" s="498">
        <v>144</v>
      </c>
      <c r="X668" s="463" t="s">
        <v>2247</v>
      </c>
      <c r="Y668" s="463" t="s">
        <v>5154</v>
      </c>
      <c r="Z668" s="463"/>
      <c r="AA668" s="463" t="s">
        <v>5164</v>
      </c>
      <c r="AB668" s="467" t="s">
        <v>1596</v>
      </c>
    </row>
    <row r="669" spans="1:28" ht="24" customHeight="1">
      <c r="A669" s="584"/>
      <c r="B669" s="460" t="s">
        <v>3837</v>
      </c>
      <c r="C669" s="458" t="s">
        <v>5165</v>
      </c>
      <c r="D669" s="510" t="s">
        <v>5166</v>
      </c>
      <c r="E669" s="498">
        <v>34</v>
      </c>
      <c r="F669" s="498">
        <v>0</v>
      </c>
      <c r="G669" s="498">
        <v>34</v>
      </c>
      <c r="H669" s="498">
        <v>0</v>
      </c>
      <c r="I669" s="498">
        <v>30.25</v>
      </c>
      <c r="J669" s="498">
        <v>0</v>
      </c>
      <c r="K669" s="498">
        <v>30.25</v>
      </c>
      <c r="L669" s="668">
        <v>0</v>
      </c>
      <c r="M669" s="672">
        <v>93</v>
      </c>
      <c r="N669" s="498">
        <v>2</v>
      </c>
      <c r="O669" s="669" t="s">
        <v>5152</v>
      </c>
      <c r="P669" s="463" t="s">
        <v>1588</v>
      </c>
      <c r="Q669" s="672">
        <v>0</v>
      </c>
      <c r="R669" s="672">
        <v>0</v>
      </c>
      <c r="S669" s="672">
        <v>0</v>
      </c>
      <c r="T669" s="672">
        <v>0</v>
      </c>
      <c r="U669" s="463" t="s">
        <v>7469</v>
      </c>
      <c r="V669" s="463" t="s">
        <v>5157</v>
      </c>
      <c r="W669" s="498">
        <v>138</v>
      </c>
      <c r="X669" s="463" t="s">
        <v>2247</v>
      </c>
      <c r="Y669" s="463" t="s">
        <v>5154</v>
      </c>
      <c r="Z669" s="463"/>
      <c r="AA669" s="463" t="s">
        <v>5167</v>
      </c>
      <c r="AB669" s="467" t="s">
        <v>1596</v>
      </c>
    </row>
    <row r="670" spans="1:28" ht="24" customHeight="1">
      <c r="A670" s="584"/>
      <c r="B670" s="460" t="s">
        <v>3837</v>
      </c>
      <c r="C670" s="458" t="s">
        <v>5168</v>
      </c>
      <c r="D670" s="510" t="s">
        <v>5169</v>
      </c>
      <c r="E670" s="498">
        <v>28</v>
      </c>
      <c r="F670" s="498">
        <v>0</v>
      </c>
      <c r="G670" s="498">
        <v>28</v>
      </c>
      <c r="H670" s="498">
        <v>0</v>
      </c>
      <c r="I670" s="498">
        <v>25.3</v>
      </c>
      <c r="J670" s="498">
        <v>0</v>
      </c>
      <c r="K670" s="498">
        <v>25.3</v>
      </c>
      <c r="L670" s="668">
        <v>0</v>
      </c>
      <c r="M670" s="672">
        <v>90</v>
      </c>
      <c r="N670" s="498">
        <v>2</v>
      </c>
      <c r="O670" s="669" t="s">
        <v>5152</v>
      </c>
      <c r="P670" s="463" t="s">
        <v>1588</v>
      </c>
      <c r="Q670" s="672">
        <v>0</v>
      </c>
      <c r="R670" s="672">
        <v>0</v>
      </c>
      <c r="S670" s="672">
        <v>0</v>
      </c>
      <c r="T670" s="672">
        <v>0</v>
      </c>
      <c r="U670" s="463" t="s">
        <v>7469</v>
      </c>
      <c r="V670" s="463" t="s">
        <v>5157</v>
      </c>
      <c r="W670" s="498">
        <v>156</v>
      </c>
      <c r="X670" s="463" t="s">
        <v>2247</v>
      </c>
      <c r="Y670" s="463" t="s">
        <v>5154</v>
      </c>
      <c r="Z670" s="463"/>
      <c r="AA670" s="463" t="s">
        <v>5164</v>
      </c>
      <c r="AB670" s="467" t="s">
        <v>1596</v>
      </c>
    </row>
    <row r="671" spans="1:28" ht="24" customHeight="1">
      <c r="A671" s="584"/>
      <c r="B671" s="460" t="s">
        <v>3837</v>
      </c>
      <c r="C671" s="458" t="s">
        <v>5170</v>
      </c>
      <c r="D671" s="510" t="s">
        <v>5171</v>
      </c>
      <c r="E671" s="498">
        <v>150</v>
      </c>
      <c r="F671" s="498">
        <v>0</v>
      </c>
      <c r="G671" s="498">
        <v>150</v>
      </c>
      <c r="H671" s="498">
        <v>0</v>
      </c>
      <c r="I671" s="498">
        <v>100</v>
      </c>
      <c r="J671" s="498">
        <v>0</v>
      </c>
      <c r="K671" s="498">
        <v>100</v>
      </c>
      <c r="L671" s="668">
        <v>0</v>
      </c>
      <c r="M671" s="672">
        <v>90</v>
      </c>
      <c r="N671" s="498">
        <v>2</v>
      </c>
      <c r="O671" s="669" t="s">
        <v>3412</v>
      </c>
      <c r="P671" s="463" t="s">
        <v>1588</v>
      </c>
      <c r="Q671" s="672">
        <v>0</v>
      </c>
      <c r="R671" s="672">
        <v>0</v>
      </c>
      <c r="S671" s="672">
        <v>0</v>
      </c>
      <c r="T671" s="672">
        <v>0</v>
      </c>
      <c r="U671" s="463" t="s">
        <v>7469</v>
      </c>
      <c r="V671" s="463" t="s">
        <v>2178</v>
      </c>
      <c r="W671" s="498">
        <v>1000</v>
      </c>
      <c r="X671" s="463" t="s">
        <v>2247</v>
      </c>
      <c r="Y671" s="463" t="s">
        <v>3161</v>
      </c>
      <c r="Z671" s="463"/>
      <c r="AA671" s="463"/>
      <c r="AB671" s="467" t="s">
        <v>1596</v>
      </c>
    </row>
    <row r="672" spans="1:28" ht="24" customHeight="1">
      <c r="A672" s="584"/>
      <c r="B672" s="460" t="s">
        <v>675</v>
      </c>
      <c r="C672" s="458" t="s">
        <v>5172</v>
      </c>
      <c r="D672" s="510" t="s">
        <v>5173</v>
      </c>
      <c r="E672" s="498">
        <v>100</v>
      </c>
      <c r="F672" s="498">
        <v>0</v>
      </c>
      <c r="G672" s="498">
        <v>100</v>
      </c>
      <c r="H672" s="498">
        <v>0</v>
      </c>
      <c r="I672" s="498">
        <v>63.8</v>
      </c>
      <c r="J672" s="498">
        <v>0</v>
      </c>
      <c r="K672" s="498">
        <v>63.8</v>
      </c>
      <c r="L672" s="668">
        <v>0</v>
      </c>
      <c r="M672" s="672">
        <v>93</v>
      </c>
      <c r="N672" s="498">
        <v>2</v>
      </c>
      <c r="O672" s="669" t="s">
        <v>5174</v>
      </c>
      <c r="P672" s="462" t="s">
        <v>1588</v>
      </c>
      <c r="Q672" s="673">
        <v>0</v>
      </c>
      <c r="R672" s="673">
        <v>0</v>
      </c>
      <c r="S672" s="673">
        <v>0</v>
      </c>
      <c r="T672" s="673">
        <v>0</v>
      </c>
      <c r="U672" s="462" t="s">
        <v>7470</v>
      </c>
      <c r="V672" s="462" t="s">
        <v>5175</v>
      </c>
      <c r="W672" s="653">
        <v>400</v>
      </c>
      <c r="X672" s="462" t="s">
        <v>2193</v>
      </c>
      <c r="Y672" s="462" t="s">
        <v>4034</v>
      </c>
      <c r="Z672" s="462" t="s">
        <v>1644</v>
      </c>
      <c r="AA672" s="462" t="s">
        <v>1643</v>
      </c>
      <c r="AB672" s="467" t="s">
        <v>1596</v>
      </c>
    </row>
    <row r="673" spans="1:28" ht="24" customHeight="1">
      <c r="A673" s="594"/>
      <c r="B673" s="521" t="s">
        <v>675</v>
      </c>
      <c r="C673" s="522" t="s">
        <v>2342</v>
      </c>
      <c r="D673" s="524" t="s">
        <v>5176</v>
      </c>
      <c r="E673" s="653">
        <v>700</v>
      </c>
      <c r="F673" s="498">
        <v>0</v>
      </c>
      <c r="G673" s="653">
        <v>700</v>
      </c>
      <c r="H673" s="498">
        <v>0</v>
      </c>
      <c r="I673" s="498">
        <v>680</v>
      </c>
      <c r="J673" s="498">
        <v>0</v>
      </c>
      <c r="K673" s="498">
        <v>680</v>
      </c>
      <c r="L673" s="668">
        <v>0</v>
      </c>
      <c r="M673" s="673">
        <v>90</v>
      </c>
      <c r="N673" s="498">
        <v>17</v>
      </c>
      <c r="O673" s="699" t="s">
        <v>5177</v>
      </c>
      <c r="P673" s="463" t="s">
        <v>1588</v>
      </c>
      <c r="Q673" s="672">
        <v>0</v>
      </c>
      <c r="R673" s="672">
        <v>0</v>
      </c>
      <c r="S673" s="672">
        <v>0</v>
      </c>
      <c r="T673" s="672">
        <v>0</v>
      </c>
      <c r="U673" s="462" t="s">
        <v>7466</v>
      </c>
      <c r="V673" s="462" t="s">
        <v>5178</v>
      </c>
      <c r="W673" s="653">
        <v>3000</v>
      </c>
      <c r="X673" s="462" t="s">
        <v>2276</v>
      </c>
      <c r="Y673" s="462" t="s">
        <v>5006</v>
      </c>
      <c r="Z673" s="462"/>
      <c r="AA673" s="462" t="s">
        <v>5179</v>
      </c>
      <c r="AB673" s="467" t="s">
        <v>1596</v>
      </c>
    </row>
    <row r="674" spans="1:28" ht="24" customHeight="1">
      <c r="A674" s="584"/>
      <c r="B674" s="460" t="s">
        <v>675</v>
      </c>
      <c r="C674" s="458" t="s">
        <v>5180</v>
      </c>
      <c r="D674" s="510" t="s">
        <v>5181</v>
      </c>
      <c r="E674" s="498">
        <v>102</v>
      </c>
      <c r="F674" s="498">
        <v>0</v>
      </c>
      <c r="G674" s="498">
        <v>102</v>
      </c>
      <c r="H674" s="498">
        <v>0</v>
      </c>
      <c r="I674" s="498">
        <v>52</v>
      </c>
      <c r="J674" s="498">
        <v>0</v>
      </c>
      <c r="K674" s="498">
        <v>52</v>
      </c>
      <c r="L674" s="668">
        <v>0</v>
      </c>
      <c r="M674" s="672">
        <v>90</v>
      </c>
      <c r="N674" s="498">
        <v>2</v>
      </c>
      <c r="O674" s="669" t="s">
        <v>5182</v>
      </c>
      <c r="P674" s="463" t="s">
        <v>1588</v>
      </c>
      <c r="Q674" s="672">
        <v>0</v>
      </c>
      <c r="R674" s="672">
        <v>0</v>
      </c>
      <c r="S674" s="672">
        <v>0</v>
      </c>
      <c r="T674" s="672">
        <v>0</v>
      </c>
      <c r="U674" s="463" t="s">
        <v>7470</v>
      </c>
      <c r="V674" s="463">
        <v>2002.08</v>
      </c>
      <c r="W674" s="498">
        <v>400</v>
      </c>
      <c r="X674" s="463" t="s">
        <v>2193</v>
      </c>
      <c r="Y674" s="463" t="s">
        <v>4034</v>
      </c>
      <c r="Z674" s="463" t="s">
        <v>5183</v>
      </c>
      <c r="AA674" s="462" t="s">
        <v>5183</v>
      </c>
      <c r="AB674" s="467" t="s">
        <v>1596</v>
      </c>
    </row>
    <row r="675" spans="1:28" ht="24" customHeight="1">
      <c r="A675" s="582" t="s">
        <v>1645</v>
      </c>
      <c r="B675" s="460" t="s">
        <v>2201</v>
      </c>
      <c r="C675" s="458" t="s">
        <v>2407</v>
      </c>
      <c r="D675" s="510" t="s">
        <v>5184</v>
      </c>
      <c r="E675" s="498">
        <f>F675+G675+H675</f>
        <v>36000</v>
      </c>
      <c r="F675" s="498">
        <v>0</v>
      </c>
      <c r="G675" s="653">
        <v>36000</v>
      </c>
      <c r="H675" s="498">
        <v>0</v>
      </c>
      <c r="I675" s="498">
        <f>J675+K675+L675</f>
        <v>36788</v>
      </c>
      <c r="J675" s="498">
        <v>0</v>
      </c>
      <c r="K675" s="653">
        <v>36788</v>
      </c>
      <c r="L675" s="668">
        <v>0</v>
      </c>
      <c r="M675" s="672">
        <f>I675/E675*100</f>
        <v>102.18888888888888</v>
      </c>
      <c r="N675" s="653">
        <v>557700</v>
      </c>
      <c r="O675" s="669" t="s">
        <v>1535</v>
      </c>
      <c r="P675" s="463" t="s">
        <v>1588</v>
      </c>
      <c r="Q675" s="672">
        <v>364</v>
      </c>
      <c r="R675" s="672">
        <v>156</v>
      </c>
      <c r="S675" s="672">
        <v>106</v>
      </c>
      <c r="T675" s="672">
        <v>50</v>
      </c>
      <c r="U675" s="463" t="s">
        <v>7471</v>
      </c>
      <c r="V675" s="622" t="s">
        <v>5185</v>
      </c>
      <c r="W675" s="498">
        <v>29216</v>
      </c>
      <c r="X675" s="463" t="s">
        <v>2199</v>
      </c>
      <c r="Y675" s="463" t="s">
        <v>4034</v>
      </c>
      <c r="Z675" s="463" t="s">
        <v>1646</v>
      </c>
      <c r="AA675" s="463" t="s">
        <v>1646</v>
      </c>
      <c r="AB675" s="459" t="s">
        <v>1596</v>
      </c>
    </row>
    <row r="676" spans="1:28" ht="24" customHeight="1">
      <c r="A676" s="584"/>
      <c r="B676" s="460" t="s">
        <v>675</v>
      </c>
      <c r="C676" s="458" t="s">
        <v>5186</v>
      </c>
      <c r="D676" s="510" t="s">
        <v>5187</v>
      </c>
      <c r="E676" s="498">
        <v>50</v>
      </c>
      <c r="F676" s="498">
        <v>0</v>
      </c>
      <c r="G676" s="653">
        <v>50</v>
      </c>
      <c r="H676" s="498">
        <v>0</v>
      </c>
      <c r="I676" s="498">
        <v>45</v>
      </c>
      <c r="J676" s="498">
        <v>0</v>
      </c>
      <c r="K676" s="653">
        <v>45</v>
      </c>
      <c r="L676" s="668">
        <v>0</v>
      </c>
      <c r="M676" s="672">
        <f t="shared" ref="M676:M681" si="55">TRUNC(I676/E676*100,1)</f>
        <v>90</v>
      </c>
      <c r="N676" s="498">
        <v>16</v>
      </c>
      <c r="O676" s="669" t="s">
        <v>3298</v>
      </c>
      <c r="P676" s="463" t="s">
        <v>1588</v>
      </c>
      <c r="Q676" s="672">
        <v>0</v>
      </c>
      <c r="R676" s="672">
        <v>0</v>
      </c>
      <c r="S676" s="672">
        <v>0</v>
      </c>
      <c r="T676" s="672">
        <v>0</v>
      </c>
      <c r="U676" s="463"/>
      <c r="V676" s="458" t="s">
        <v>5188</v>
      </c>
      <c r="W676" s="498">
        <v>219</v>
      </c>
      <c r="X676" s="463" t="s">
        <v>2199</v>
      </c>
      <c r="Y676" s="463"/>
      <c r="Z676" s="463" t="s">
        <v>5189</v>
      </c>
      <c r="AA676" s="463" t="s">
        <v>1669</v>
      </c>
      <c r="AB676" s="459" t="s">
        <v>1596</v>
      </c>
    </row>
    <row r="677" spans="1:28" ht="24" customHeight="1">
      <c r="A677" s="584"/>
      <c r="B677" s="460" t="s">
        <v>675</v>
      </c>
      <c r="C677" s="458" t="s">
        <v>5190</v>
      </c>
      <c r="D677" s="510" t="s">
        <v>5191</v>
      </c>
      <c r="E677" s="498">
        <v>23</v>
      </c>
      <c r="F677" s="498">
        <v>0</v>
      </c>
      <c r="G677" s="653">
        <v>23</v>
      </c>
      <c r="H677" s="498">
        <v>0</v>
      </c>
      <c r="I677" s="498">
        <v>20</v>
      </c>
      <c r="J677" s="498">
        <v>0</v>
      </c>
      <c r="K677" s="653">
        <v>20</v>
      </c>
      <c r="L677" s="668">
        <v>0</v>
      </c>
      <c r="M677" s="672">
        <f t="shared" si="55"/>
        <v>86.9</v>
      </c>
      <c r="N677" s="498">
        <v>4</v>
      </c>
      <c r="O677" s="669" t="s">
        <v>3298</v>
      </c>
      <c r="P677" s="463" t="s">
        <v>1588</v>
      </c>
      <c r="Q677" s="672">
        <v>0</v>
      </c>
      <c r="R677" s="672">
        <v>0</v>
      </c>
      <c r="S677" s="672">
        <v>0</v>
      </c>
      <c r="T677" s="672">
        <v>0</v>
      </c>
      <c r="U677" s="463"/>
      <c r="V677" s="458" t="s">
        <v>2025</v>
      </c>
      <c r="W677" s="498">
        <v>177</v>
      </c>
      <c r="X677" s="463" t="s">
        <v>2199</v>
      </c>
      <c r="Y677" s="463" t="s">
        <v>3161</v>
      </c>
      <c r="Z677" s="463" t="s">
        <v>5192</v>
      </c>
      <c r="AA677" s="463" t="s">
        <v>1669</v>
      </c>
      <c r="AB677" s="459" t="s">
        <v>1596</v>
      </c>
    </row>
    <row r="678" spans="1:28" ht="24" customHeight="1">
      <c r="A678" s="584"/>
      <c r="B678" s="460" t="s">
        <v>675</v>
      </c>
      <c r="C678" s="458" t="s">
        <v>5193</v>
      </c>
      <c r="D678" s="510" t="s">
        <v>5194</v>
      </c>
      <c r="E678" s="498">
        <v>80</v>
      </c>
      <c r="F678" s="498">
        <v>0</v>
      </c>
      <c r="G678" s="653">
        <v>80</v>
      </c>
      <c r="H678" s="498">
        <v>0</v>
      </c>
      <c r="I678" s="498">
        <v>70</v>
      </c>
      <c r="J678" s="498">
        <v>0</v>
      </c>
      <c r="K678" s="653">
        <v>70</v>
      </c>
      <c r="L678" s="668">
        <v>0</v>
      </c>
      <c r="M678" s="672">
        <f t="shared" si="55"/>
        <v>87.5</v>
      </c>
      <c r="N678" s="498">
        <v>39</v>
      </c>
      <c r="O678" s="669" t="s">
        <v>3298</v>
      </c>
      <c r="P678" s="463" t="s">
        <v>1588</v>
      </c>
      <c r="Q678" s="672">
        <v>0</v>
      </c>
      <c r="R678" s="672">
        <v>0</v>
      </c>
      <c r="S678" s="672">
        <v>0</v>
      </c>
      <c r="T678" s="672">
        <v>0</v>
      </c>
      <c r="U678" s="463"/>
      <c r="V678" s="458" t="s">
        <v>2028</v>
      </c>
      <c r="W678" s="498">
        <v>400</v>
      </c>
      <c r="X678" s="463" t="s">
        <v>2199</v>
      </c>
      <c r="Y678" s="463" t="s">
        <v>3161</v>
      </c>
      <c r="Z678" s="463" t="s">
        <v>1647</v>
      </c>
      <c r="AA678" s="463" t="s">
        <v>1820</v>
      </c>
      <c r="AB678" s="459" t="s">
        <v>1596</v>
      </c>
    </row>
    <row r="679" spans="1:28" ht="24" customHeight="1">
      <c r="A679" s="584"/>
      <c r="B679" s="460" t="s">
        <v>675</v>
      </c>
      <c r="C679" s="458" t="s">
        <v>5195</v>
      </c>
      <c r="D679" s="510" t="s">
        <v>5196</v>
      </c>
      <c r="E679" s="498">
        <v>60</v>
      </c>
      <c r="F679" s="498">
        <v>0</v>
      </c>
      <c r="G679" s="498">
        <v>0</v>
      </c>
      <c r="H679" s="498">
        <v>60</v>
      </c>
      <c r="I679" s="498">
        <v>50</v>
      </c>
      <c r="J679" s="498">
        <v>0</v>
      </c>
      <c r="K679" s="498">
        <v>0</v>
      </c>
      <c r="L679" s="668">
        <v>50</v>
      </c>
      <c r="M679" s="672">
        <f t="shared" si="55"/>
        <v>83.3</v>
      </c>
      <c r="N679" s="498">
        <v>24</v>
      </c>
      <c r="O679" s="669" t="s">
        <v>2285</v>
      </c>
      <c r="P679" s="463" t="s">
        <v>1588</v>
      </c>
      <c r="Q679" s="672">
        <v>0</v>
      </c>
      <c r="R679" s="672">
        <v>0</v>
      </c>
      <c r="S679" s="672">
        <v>0</v>
      </c>
      <c r="T679" s="672">
        <v>0</v>
      </c>
      <c r="U679" s="463"/>
      <c r="V679" s="458" t="s">
        <v>5197</v>
      </c>
      <c r="W679" s="498">
        <v>600</v>
      </c>
      <c r="X679" s="463" t="s">
        <v>2199</v>
      </c>
      <c r="Y679" s="463"/>
      <c r="Z679" s="463" t="s">
        <v>1647</v>
      </c>
      <c r="AA679" s="463" t="s">
        <v>1820</v>
      </c>
      <c r="AB679" s="459" t="s">
        <v>1596</v>
      </c>
    </row>
    <row r="680" spans="1:28" ht="24" customHeight="1">
      <c r="A680" s="584"/>
      <c r="B680" s="460" t="s">
        <v>675</v>
      </c>
      <c r="C680" s="458" t="s">
        <v>5198</v>
      </c>
      <c r="D680" s="510" t="s">
        <v>5199</v>
      </c>
      <c r="E680" s="498">
        <v>90</v>
      </c>
      <c r="F680" s="498">
        <v>0</v>
      </c>
      <c r="G680" s="498">
        <v>0</v>
      </c>
      <c r="H680" s="498">
        <v>90</v>
      </c>
      <c r="I680" s="498">
        <v>75</v>
      </c>
      <c r="J680" s="498">
        <v>0</v>
      </c>
      <c r="K680" s="498">
        <v>0</v>
      </c>
      <c r="L680" s="668">
        <v>75</v>
      </c>
      <c r="M680" s="672">
        <f t="shared" si="55"/>
        <v>83.3</v>
      </c>
      <c r="N680" s="498">
        <v>48</v>
      </c>
      <c r="O680" s="669" t="s">
        <v>2285</v>
      </c>
      <c r="P680" s="463" t="s">
        <v>1588</v>
      </c>
      <c r="Q680" s="672">
        <v>0</v>
      </c>
      <c r="R680" s="672">
        <v>0</v>
      </c>
      <c r="S680" s="672">
        <v>0</v>
      </c>
      <c r="T680" s="672">
        <v>0</v>
      </c>
      <c r="U680" s="463"/>
      <c r="V680" s="458" t="s">
        <v>5200</v>
      </c>
      <c r="W680" s="498">
        <v>852</v>
      </c>
      <c r="X680" s="463" t="s">
        <v>2199</v>
      </c>
      <c r="Y680" s="463" t="s">
        <v>3161</v>
      </c>
      <c r="Z680" s="463" t="s">
        <v>1648</v>
      </c>
      <c r="AA680" s="463" t="s">
        <v>1669</v>
      </c>
      <c r="AB680" s="459" t="s">
        <v>1596</v>
      </c>
    </row>
    <row r="681" spans="1:28" ht="24" customHeight="1">
      <c r="A681" s="584"/>
      <c r="B681" s="460" t="s">
        <v>675</v>
      </c>
      <c r="C681" s="458" t="s">
        <v>5201</v>
      </c>
      <c r="D681" s="510" t="s">
        <v>5202</v>
      </c>
      <c r="E681" s="498">
        <v>50</v>
      </c>
      <c r="F681" s="498">
        <v>0</v>
      </c>
      <c r="G681" s="498">
        <v>0</v>
      </c>
      <c r="H681" s="498">
        <v>50</v>
      </c>
      <c r="I681" s="498">
        <v>40</v>
      </c>
      <c r="J681" s="498">
        <v>0</v>
      </c>
      <c r="K681" s="498">
        <v>0</v>
      </c>
      <c r="L681" s="668">
        <v>40</v>
      </c>
      <c r="M681" s="672">
        <f t="shared" si="55"/>
        <v>80</v>
      </c>
      <c r="N681" s="498">
        <v>13</v>
      </c>
      <c r="O681" s="669" t="s">
        <v>2285</v>
      </c>
      <c r="P681" s="463" t="s">
        <v>1588</v>
      </c>
      <c r="Q681" s="672">
        <v>0</v>
      </c>
      <c r="R681" s="672">
        <v>0</v>
      </c>
      <c r="S681" s="672">
        <v>0</v>
      </c>
      <c r="T681" s="672">
        <v>0</v>
      </c>
      <c r="U681" s="463"/>
      <c r="V681" s="458" t="s">
        <v>5200</v>
      </c>
      <c r="W681" s="498">
        <v>495</v>
      </c>
      <c r="X681" s="463" t="s">
        <v>2199</v>
      </c>
      <c r="Y681" s="463" t="s">
        <v>3161</v>
      </c>
      <c r="Z681" s="463" t="s">
        <v>1646</v>
      </c>
      <c r="AA681" s="463" t="s">
        <v>1669</v>
      </c>
      <c r="AB681" s="459" t="s">
        <v>1596</v>
      </c>
    </row>
    <row r="682" spans="1:28" ht="24" customHeight="1">
      <c r="A682" s="582" t="s">
        <v>1649</v>
      </c>
      <c r="B682" s="460" t="s">
        <v>2201</v>
      </c>
      <c r="C682" s="458" t="s">
        <v>2173</v>
      </c>
      <c r="D682" s="510" t="s">
        <v>5203</v>
      </c>
      <c r="E682" s="498">
        <f>SUM(F682:H682)</f>
        <v>30000</v>
      </c>
      <c r="F682" s="498">
        <v>0</v>
      </c>
      <c r="G682" s="498">
        <v>30000</v>
      </c>
      <c r="H682" s="498">
        <v>0</v>
      </c>
      <c r="I682" s="498">
        <f>SUM(J682:L682)</f>
        <v>37309</v>
      </c>
      <c r="J682" s="498">
        <v>0</v>
      </c>
      <c r="K682" s="498">
        <v>37309</v>
      </c>
      <c r="L682" s="668">
        <v>0</v>
      </c>
      <c r="M682" s="672">
        <v>0.92700000000000005</v>
      </c>
      <c r="N682" s="498">
        <f>124.1*I682*M682/1000</f>
        <v>4292.0534762999996</v>
      </c>
      <c r="O682" s="669" t="s">
        <v>1535</v>
      </c>
      <c r="P682" s="463" t="s">
        <v>1588</v>
      </c>
      <c r="Q682" s="672">
        <v>68.900000000000006</v>
      </c>
      <c r="R682" s="672">
        <v>0</v>
      </c>
      <c r="S682" s="672">
        <v>119.4</v>
      </c>
      <c r="T682" s="672">
        <v>18.600000000000001</v>
      </c>
      <c r="U682" s="463" t="s">
        <v>7472</v>
      </c>
      <c r="V682" s="463" t="s">
        <v>5204</v>
      </c>
      <c r="W682" s="498">
        <v>37452</v>
      </c>
      <c r="X682" s="463" t="s">
        <v>3205</v>
      </c>
      <c r="Y682" s="463"/>
      <c r="Z682" s="463"/>
      <c r="AA682" s="463"/>
      <c r="AB682" s="459"/>
    </row>
    <row r="683" spans="1:28" ht="24" customHeight="1">
      <c r="A683" s="584"/>
      <c r="B683" s="460" t="s">
        <v>2201</v>
      </c>
      <c r="C683" s="458" t="s">
        <v>5205</v>
      </c>
      <c r="D683" s="510" t="s">
        <v>5206</v>
      </c>
      <c r="E683" s="498">
        <f t="shared" ref="E683:E689" si="56">SUM(F683:H683)</f>
        <v>600</v>
      </c>
      <c r="F683" s="498">
        <v>0</v>
      </c>
      <c r="G683" s="498">
        <v>0</v>
      </c>
      <c r="H683" s="498">
        <v>600</v>
      </c>
      <c r="I683" s="498">
        <f t="shared" ref="I683:I689" si="57">SUM(J683:L683)</f>
        <v>190</v>
      </c>
      <c r="J683" s="498">
        <v>0</v>
      </c>
      <c r="K683" s="498">
        <v>0</v>
      </c>
      <c r="L683" s="668">
        <v>190</v>
      </c>
      <c r="M683" s="672">
        <v>0.97599999999999998</v>
      </c>
      <c r="N683" s="498">
        <f>210.1*I683*M683/1000</f>
        <v>38.960943999999998</v>
      </c>
      <c r="O683" s="669" t="s">
        <v>3274</v>
      </c>
      <c r="P683" s="463" t="s">
        <v>1588</v>
      </c>
      <c r="Q683" s="672">
        <v>0</v>
      </c>
      <c r="R683" s="672">
        <v>0</v>
      </c>
      <c r="S683" s="672">
        <v>0</v>
      </c>
      <c r="T683" s="672">
        <v>0</v>
      </c>
      <c r="U683" s="463" t="s">
        <v>7472</v>
      </c>
      <c r="V683" s="463" t="s">
        <v>5207</v>
      </c>
      <c r="W683" s="1803">
        <v>6308</v>
      </c>
      <c r="X683" s="463" t="s">
        <v>3205</v>
      </c>
      <c r="Y683" s="463"/>
      <c r="Z683" s="463"/>
      <c r="AA683" s="463"/>
      <c r="AB683" s="459"/>
    </row>
    <row r="684" spans="1:28" ht="24" customHeight="1">
      <c r="A684" s="584"/>
      <c r="B684" s="460" t="s">
        <v>2201</v>
      </c>
      <c r="C684" s="458" t="s">
        <v>5208</v>
      </c>
      <c r="D684" s="510" t="s">
        <v>5209</v>
      </c>
      <c r="E684" s="498">
        <f t="shared" si="56"/>
        <v>800</v>
      </c>
      <c r="F684" s="498">
        <v>0</v>
      </c>
      <c r="G684" s="498">
        <v>0</v>
      </c>
      <c r="H684" s="498">
        <v>800</v>
      </c>
      <c r="I684" s="498">
        <f t="shared" si="57"/>
        <v>378.3</v>
      </c>
      <c r="J684" s="498">
        <v>0</v>
      </c>
      <c r="K684" s="498">
        <v>0</v>
      </c>
      <c r="L684" s="668">
        <v>378.3</v>
      </c>
      <c r="M684" s="672">
        <v>0.97699999999999998</v>
      </c>
      <c r="N684" s="498">
        <f>228.6*I684*M684/1000</f>
        <v>84.490354260000004</v>
      </c>
      <c r="O684" s="669" t="s">
        <v>3274</v>
      </c>
      <c r="P684" s="463" t="s">
        <v>1588</v>
      </c>
      <c r="Q684" s="672">
        <v>0</v>
      </c>
      <c r="R684" s="672">
        <v>0</v>
      </c>
      <c r="S684" s="672">
        <v>0</v>
      </c>
      <c r="T684" s="672">
        <v>0</v>
      </c>
      <c r="U684" s="463" t="s">
        <v>7472</v>
      </c>
      <c r="V684" s="463" t="s">
        <v>5207</v>
      </c>
      <c r="W684" s="1803"/>
      <c r="X684" s="463" t="s">
        <v>3205</v>
      </c>
      <c r="Y684" s="463"/>
      <c r="Z684" s="463"/>
      <c r="AA684" s="463"/>
      <c r="AB684" s="459"/>
    </row>
    <row r="685" spans="1:28" ht="24" customHeight="1">
      <c r="A685" s="584"/>
      <c r="B685" s="460" t="s">
        <v>675</v>
      </c>
      <c r="C685" s="458" t="s">
        <v>5210</v>
      </c>
      <c r="D685" s="510" t="s">
        <v>5211</v>
      </c>
      <c r="E685" s="498">
        <f t="shared" si="56"/>
        <v>60</v>
      </c>
      <c r="F685" s="498">
        <v>0</v>
      </c>
      <c r="G685" s="498">
        <v>60</v>
      </c>
      <c r="H685" s="498">
        <v>0</v>
      </c>
      <c r="I685" s="498">
        <f t="shared" si="57"/>
        <v>0</v>
      </c>
      <c r="J685" s="498">
        <v>0</v>
      </c>
      <c r="K685" s="498">
        <v>0</v>
      </c>
      <c r="L685" s="668">
        <v>0</v>
      </c>
      <c r="M685" s="672">
        <v>0.92700000000000005</v>
      </c>
      <c r="N685" s="498">
        <f>I685*M685/1000</f>
        <v>0</v>
      </c>
      <c r="O685" s="669" t="s">
        <v>5212</v>
      </c>
      <c r="P685" s="463" t="s">
        <v>1588</v>
      </c>
      <c r="Q685" s="672">
        <v>0</v>
      </c>
      <c r="R685" s="672">
        <v>0</v>
      </c>
      <c r="S685" s="672">
        <v>0</v>
      </c>
      <c r="T685" s="672">
        <v>0</v>
      </c>
      <c r="U685" s="463" t="s">
        <v>7472</v>
      </c>
      <c r="V685" s="463" t="s">
        <v>5213</v>
      </c>
      <c r="W685" s="498">
        <v>93</v>
      </c>
      <c r="X685" s="463" t="s">
        <v>3205</v>
      </c>
      <c r="Y685" s="463"/>
      <c r="Z685" s="463"/>
      <c r="AA685" s="463"/>
      <c r="AB685" s="459"/>
    </row>
    <row r="686" spans="1:28" ht="24" customHeight="1">
      <c r="A686" s="584"/>
      <c r="B686" s="460" t="s">
        <v>675</v>
      </c>
      <c r="C686" s="458" t="s">
        <v>5214</v>
      </c>
      <c r="D686" s="510" t="s">
        <v>5215</v>
      </c>
      <c r="E686" s="498">
        <f t="shared" si="56"/>
        <v>45</v>
      </c>
      <c r="F686" s="498">
        <v>0</v>
      </c>
      <c r="G686" s="498">
        <v>0</v>
      </c>
      <c r="H686" s="498">
        <v>45</v>
      </c>
      <c r="I686" s="498">
        <f t="shared" si="57"/>
        <v>21.3</v>
      </c>
      <c r="J686" s="498">
        <v>0</v>
      </c>
      <c r="K686" s="498">
        <v>0</v>
      </c>
      <c r="L686" s="668">
        <v>21.3</v>
      </c>
      <c r="M686" s="672">
        <v>0.84299999999999997</v>
      </c>
      <c r="N686" s="498">
        <f>43.3*I686*M686/1000</f>
        <v>0.77749046999999993</v>
      </c>
      <c r="O686" s="669" t="s">
        <v>3412</v>
      </c>
      <c r="P686" s="463" t="s">
        <v>1588</v>
      </c>
      <c r="Q686" s="672">
        <v>0</v>
      </c>
      <c r="R686" s="672">
        <v>0</v>
      </c>
      <c r="S686" s="672">
        <v>0</v>
      </c>
      <c r="T686" s="672">
        <v>0</v>
      </c>
      <c r="U686" s="463" t="s">
        <v>7472</v>
      </c>
      <c r="V686" s="463" t="s">
        <v>5216</v>
      </c>
      <c r="W686" s="498">
        <v>244</v>
      </c>
      <c r="X686" s="463" t="s">
        <v>3205</v>
      </c>
      <c r="Y686" s="463"/>
      <c r="Z686" s="463"/>
      <c r="AA686" s="463"/>
      <c r="AB686" s="459"/>
    </row>
    <row r="687" spans="1:28" ht="24" customHeight="1">
      <c r="A687" s="584"/>
      <c r="B687" s="460" t="s">
        <v>675</v>
      </c>
      <c r="C687" s="458" t="s">
        <v>5217</v>
      </c>
      <c r="D687" s="510" t="s">
        <v>5218</v>
      </c>
      <c r="E687" s="498">
        <f t="shared" si="56"/>
        <v>40</v>
      </c>
      <c r="F687" s="498">
        <v>0</v>
      </c>
      <c r="G687" s="498">
        <v>0</v>
      </c>
      <c r="H687" s="498">
        <v>40</v>
      </c>
      <c r="I687" s="498">
        <f t="shared" si="57"/>
        <v>22.3</v>
      </c>
      <c r="J687" s="498">
        <v>0</v>
      </c>
      <c r="K687" s="498">
        <v>0</v>
      </c>
      <c r="L687" s="668">
        <v>22.3</v>
      </c>
      <c r="M687" s="672">
        <v>0.86</v>
      </c>
      <c r="N687" s="498">
        <f>44.4*I687*M687/1000</f>
        <v>0.85150320000000002</v>
      </c>
      <c r="O687" s="669" t="s">
        <v>3412</v>
      </c>
      <c r="P687" s="463" t="s">
        <v>1588</v>
      </c>
      <c r="Q687" s="672">
        <v>0</v>
      </c>
      <c r="R687" s="672">
        <v>0</v>
      </c>
      <c r="S687" s="672">
        <v>0</v>
      </c>
      <c r="T687" s="672">
        <v>0</v>
      </c>
      <c r="U687" s="463" t="s">
        <v>7472</v>
      </c>
      <c r="V687" s="463" t="s">
        <v>5216</v>
      </c>
      <c r="W687" s="498">
        <v>237</v>
      </c>
      <c r="X687" s="463" t="s">
        <v>3205</v>
      </c>
      <c r="Y687" s="463"/>
      <c r="Z687" s="463"/>
      <c r="AA687" s="463"/>
      <c r="AB687" s="459"/>
    </row>
    <row r="688" spans="1:28" ht="24" customHeight="1">
      <c r="A688" s="584"/>
      <c r="B688" s="460" t="s">
        <v>675</v>
      </c>
      <c r="C688" s="458" t="s">
        <v>5219</v>
      </c>
      <c r="D688" s="510" t="s">
        <v>5220</v>
      </c>
      <c r="E688" s="498">
        <f t="shared" si="56"/>
        <v>43</v>
      </c>
      <c r="F688" s="498">
        <v>0</v>
      </c>
      <c r="G688" s="498">
        <v>43</v>
      </c>
      <c r="H688" s="498">
        <v>0</v>
      </c>
      <c r="I688" s="498">
        <f t="shared" si="57"/>
        <v>0</v>
      </c>
      <c r="J688" s="498">
        <v>0</v>
      </c>
      <c r="K688" s="498">
        <v>0</v>
      </c>
      <c r="L688" s="668">
        <v>0</v>
      </c>
      <c r="M688" s="672">
        <v>0</v>
      </c>
      <c r="N688" s="498">
        <f>124.1*I688*M688/1000</f>
        <v>0</v>
      </c>
      <c r="O688" s="669" t="s">
        <v>3517</v>
      </c>
      <c r="P688" s="463" t="s">
        <v>1588</v>
      </c>
      <c r="Q688" s="672">
        <v>0</v>
      </c>
      <c r="R688" s="672">
        <v>0</v>
      </c>
      <c r="S688" s="672">
        <v>0</v>
      </c>
      <c r="T688" s="672">
        <v>0</v>
      </c>
      <c r="U688" s="463"/>
      <c r="V688" s="463" t="s">
        <v>5221</v>
      </c>
      <c r="W688" s="498">
        <v>85</v>
      </c>
      <c r="X688" s="463"/>
      <c r="Y688" s="463"/>
      <c r="Z688" s="463"/>
      <c r="AA688" s="463"/>
      <c r="AB688" s="459"/>
    </row>
    <row r="689" spans="1:28" ht="24" customHeight="1">
      <c r="A689" s="584"/>
      <c r="B689" s="460" t="s">
        <v>675</v>
      </c>
      <c r="C689" s="458" t="s">
        <v>5222</v>
      </c>
      <c r="D689" s="510" t="s">
        <v>5223</v>
      </c>
      <c r="E689" s="498">
        <f t="shared" si="56"/>
        <v>100</v>
      </c>
      <c r="F689" s="498">
        <v>0</v>
      </c>
      <c r="G689" s="498">
        <v>100</v>
      </c>
      <c r="H689" s="498">
        <v>0</v>
      </c>
      <c r="I689" s="498">
        <f t="shared" si="57"/>
        <v>0</v>
      </c>
      <c r="J689" s="498">
        <v>0</v>
      </c>
      <c r="K689" s="498">
        <v>0</v>
      </c>
      <c r="L689" s="668">
        <v>0</v>
      </c>
      <c r="M689" s="672">
        <v>0.79500000000000004</v>
      </c>
      <c r="N689" s="498">
        <f>124.1*I689*M689/1000</f>
        <v>0</v>
      </c>
      <c r="O689" s="669" t="s">
        <v>5224</v>
      </c>
      <c r="P689" s="463" t="s">
        <v>1588</v>
      </c>
      <c r="Q689" s="672">
        <v>0</v>
      </c>
      <c r="R689" s="672">
        <v>0</v>
      </c>
      <c r="S689" s="672">
        <v>0</v>
      </c>
      <c r="T689" s="672">
        <v>0</v>
      </c>
      <c r="U689" s="463" t="s">
        <v>7472</v>
      </c>
      <c r="V689" s="463" t="s">
        <v>5221</v>
      </c>
      <c r="W689" s="498">
        <v>196</v>
      </c>
      <c r="X689" s="463" t="s">
        <v>3205</v>
      </c>
      <c r="Y689" s="463"/>
      <c r="Z689" s="463"/>
      <c r="AA689" s="463"/>
      <c r="AB689" s="459"/>
    </row>
    <row r="690" spans="1:28" ht="24" customHeight="1">
      <c r="A690" s="582" t="s">
        <v>1651</v>
      </c>
      <c r="B690" s="460" t="s">
        <v>2201</v>
      </c>
      <c r="C690" s="458" t="s">
        <v>2408</v>
      </c>
      <c r="D690" s="510" t="s">
        <v>1530</v>
      </c>
      <c r="E690" s="498">
        <v>20000</v>
      </c>
      <c r="F690" s="498">
        <v>0</v>
      </c>
      <c r="G690" s="498">
        <v>20000</v>
      </c>
      <c r="H690" s="498">
        <v>0</v>
      </c>
      <c r="I690" s="498">
        <f t="shared" ref="I690:I695" si="58">J690+K690+L690</f>
        <v>13116</v>
      </c>
      <c r="J690" s="498">
        <v>0</v>
      </c>
      <c r="K690" s="498">
        <v>13116</v>
      </c>
      <c r="L690" s="668">
        <v>0</v>
      </c>
      <c r="M690" s="673">
        <v>97</v>
      </c>
      <c r="N690" s="498">
        <v>2400</v>
      </c>
      <c r="O690" s="669" t="s">
        <v>1535</v>
      </c>
      <c r="P690" s="463" t="s">
        <v>1588</v>
      </c>
      <c r="Q690" s="672">
        <v>0</v>
      </c>
      <c r="R690" s="672">
        <v>0</v>
      </c>
      <c r="S690" s="672">
        <v>12</v>
      </c>
      <c r="T690" s="672">
        <v>0</v>
      </c>
      <c r="U690" s="463" t="s">
        <v>5225</v>
      </c>
      <c r="V690" s="463" t="s">
        <v>5226</v>
      </c>
      <c r="W690" s="498">
        <v>54513</v>
      </c>
      <c r="X690" s="463" t="s">
        <v>1532</v>
      </c>
      <c r="Y690" s="463" t="s">
        <v>1533</v>
      </c>
      <c r="Z690" s="463" t="s">
        <v>1652</v>
      </c>
      <c r="AA690" s="463" t="s">
        <v>1592</v>
      </c>
      <c r="AB690" s="459" t="s">
        <v>2286</v>
      </c>
    </row>
    <row r="691" spans="1:28" ht="24" customHeight="1">
      <c r="A691" s="584"/>
      <c r="B691" s="460" t="s">
        <v>675</v>
      </c>
      <c r="C691" s="458" t="s">
        <v>5227</v>
      </c>
      <c r="D691" s="510" t="s">
        <v>5228</v>
      </c>
      <c r="E691" s="498">
        <v>60</v>
      </c>
      <c r="F691" s="498">
        <v>0</v>
      </c>
      <c r="G691" s="498">
        <v>60</v>
      </c>
      <c r="H691" s="498">
        <v>0</v>
      </c>
      <c r="I691" s="498">
        <f t="shared" si="58"/>
        <v>50.9</v>
      </c>
      <c r="J691" s="498">
        <v>0</v>
      </c>
      <c r="K691" s="498">
        <v>50.9</v>
      </c>
      <c r="L691" s="668">
        <v>0</v>
      </c>
      <c r="M691" s="673">
        <v>96.4</v>
      </c>
      <c r="N691" s="498">
        <v>11.3</v>
      </c>
      <c r="O691" s="669" t="s">
        <v>5229</v>
      </c>
      <c r="P691" s="463" t="s">
        <v>1588</v>
      </c>
      <c r="Q691" s="672">
        <v>0</v>
      </c>
      <c r="R691" s="672">
        <v>0</v>
      </c>
      <c r="S691" s="672">
        <v>0</v>
      </c>
      <c r="T691" s="672">
        <v>0</v>
      </c>
      <c r="U691" s="463" t="s">
        <v>5225</v>
      </c>
      <c r="V691" s="463" t="s">
        <v>5230</v>
      </c>
      <c r="W691" s="498">
        <v>326</v>
      </c>
      <c r="X691" s="463" t="s">
        <v>1532</v>
      </c>
      <c r="Y691" s="463" t="s">
        <v>1533</v>
      </c>
      <c r="Z691" s="463" t="s">
        <v>1652</v>
      </c>
      <c r="AA691" s="463" t="s">
        <v>1592</v>
      </c>
      <c r="AB691" s="459" t="s">
        <v>2286</v>
      </c>
    </row>
    <row r="692" spans="1:28" ht="24" customHeight="1">
      <c r="A692" s="584"/>
      <c r="B692" s="460" t="s">
        <v>675</v>
      </c>
      <c r="C692" s="458" t="s">
        <v>5231</v>
      </c>
      <c r="D692" s="510" t="s">
        <v>5232</v>
      </c>
      <c r="E692" s="498">
        <v>170</v>
      </c>
      <c r="F692" s="498">
        <v>0</v>
      </c>
      <c r="G692" s="498">
        <v>170</v>
      </c>
      <c r="H692" s="498">
        <v>0</v>
      </c>
      <c r="I692" s="498">
        <f t="shared" si="58"/>
        <v>163.1</v>
      </c>
      <c r="J692" s="498">
        <v>0</v>
      </c>
      <c r="K692" s="498">
        <v>163.1</v>
      </c>
      <c r="L692" s="668">
        <v>0</v>
      </c>
      <c r="M692" s="673">
        <v>94.4</v>
      </c>
      <c r="N692" s="498">
        <v>18.8</v>
      </c>
      <c r="O692" s="669" t="s">
        <v>5233</v>
      </c>
      <c r="P692" s="463" t="s">
        <v>1588</v>
      </c>
      <c r="Q692" s="672">
        <v>0</v>
      </c>
      <c r="R692" s="672">
        <v>0</v>
      </c>
      <c r="S692" s="672">
        <v>0</v>
      </c>
      <c r="T692" s="672">
        <v>0</v>
      </c>
      <c r="U692" s="463" t="s">
        <v>5225</v>
      </c>
      <c r="V692" s="463" t="s">
        <v>2260</v>
      </c>
      <c r="W692" s="498">
        <v>400</v>
      </c>
      <c r="X692" s="463" t="s">
        <v>1532</v>
      </c>
      <c r="Y692" s="463" t="s">
        <v>1533</v>
      </c>
      <c r="Z692" s="463" t="s">
        <v>1652</v>
      </c>
      <c r="AA692" s="463" t="s">
        <v>1592</v>
      </c>
      <c r="AB692" s="459" t="s">
        <v>2286</v>
      </c>
    </row>
    <row r="693" spans="1:28" ht="24" customHeight="1">
      <c r="A693" s="584"/>
      <c r="B693" s="460" t="s">
        <v>675</v>
      </c>
      <c r="C693" s="458" t="s">
        <v>3681</v>
      </c>
      <c r="D693" s="510" t="s">
        <v>5234</v>
      </c>
      <c r="E693" s="498">
        <v>70</v>
      </c>
      <c r="F693" s="498">
        <v>0</v>
      </c>
      <c r="G693" s="498">
        <v>70</v>
      </c>
      <c r="H693" s="498">
        <v>0</v>
      </c>
      <c r="I693" s="498">
        <f t="shared" si="58"/>
        <v>21.5</v>
      </c>
      <c r="J693" s="498">
        <v>0</v>
      </c>
      <c r="K693" s="498">
        <v>0</v>
      </c>
      <c r="L693" s="668">
        <v>21.5</v>
      </c>
      <c r="M693" s="673">
        <v>95</v>
      </c>
      <c r="N693" s="498">
        <v>1.5</v>
      </c>
      <c r="O693" s="669" t="s">
        <v>5235</v>
      </c>
      <c r="P693" s="463" t="s">
        <v>1588</v>
      </c>
      <c r="Q693" s="672">
        <v>0</v>
      </c>
      <c r="R693" s="672">
        <v>0</v>
      </c>
      <c r="S693" s="672">
        <v>0</v>
      </c>
      <c r="T693" s="672">
        <v>0</v>
      </c>
      <c r="U693" s="463" t="s">
        <v>5225</v>
      </c>
      <c r="V693" s="458" t="s">
        <v>5236</v>
      </c>
      <c r="W693" s="498">
        <v>957</v>
      </c>
      <c r="X693" s="463" t="s">
        <v>1532</v>
      </c>
      <c r="Y693" s="463" t="s">
        <v>3399</v>
      </c>
      <c r="Z693" s="463" t="s">
        <v>1652</v>
      </c>
      <c r="AA693" s="463" t="s">
        <v>1592</v>
      </c>
      <c r="AB693" s="459" t="s">
        <v>2286</v>
      </c>
    </row>
    <row r="694" spans="1:28" ht="24" customHeight="1">
      <c r="A694" s="584"/>
      <c r="B694" s="460" t="s">
        <v>675</v>
      </c>
      <c r="C694" s="458" t="s">
        <v>5237</v>
      </c>
      <c r="D694" s="510" t="s">
        <v>5238</v>
      </c>
      <c r="E694" s="498">
        <v>50</v>
      </c>
      <c r="F694" s="498">
        <v>0</v>
      </c>
      <c r="G694" s="498">
        <v>50</v>
      </c>
      <c r="H694" s="498">
        <v>0</v>
      </c>
      <c r="I694" s="498">
        <f t="shared" si="58"/>
        <v>44.7</v>
      </c>
      <c r="J694" s="498">
        <v>0</v>
      </c>
      <c r="K694" s="498">
        <v>0</v>
      </c>
      <c r="L694" s="668">
        <v>44.7</v>
      </c>
      <c r="M694" s="673">
        <v>93</v>
      </c>
      <c r="N694" s="498">
        <v>3.1</v>
      </c>
      <c r="O694" s="669" t="s">
        <v>5235</v>
      </c>
      <c r="P694" s="463" t="s">
        <v>1588</v>
      </c>
      <c r="Q694" s="672">
        <v>0</v>
      </c>
      <c r="R694" s="672">
        <v>0</v>
      </c>
      <c r="S694" s="672">
        <v>0</v>
      </c>
      <c r="T694" s="672">
        <v>0</v>
      </c>
      <c r="U694" s="463" t="s">
        <v>5225</v>
      </c>
      <c r="V694" s="458" t="s">
        <v>2118</v>
      </c>
      <c r="W694" s="1804">
        <v>806</v>
      </c>
      <c r="X694" s="463" t="s">
        <v>1532</v>
      </c>
      <c r="Y694" s="463" t="s">
        <v>3399</v>
      </c>
      <c r="Z694" s="463" t="s">
        <v>1652</v>
      </c>
      <c r="AA694" s="463" t="s">
        <v>1592</v>
      </c>
      <c r="AB694" s="459" t="s">
        <v>2286</v>
      </c>
    </row>
    <row r="695" spans="1:28" ht="24" customHeight="1">
      <c r="A695" s="583"/>
      <c r="B695" s="460" t="s">
        <v>675</v>
      </c>
      <c r="C695" s="458" t="s">
        <v>5237</v>
      </c>
      <c r="D695" s="510" t="s">
        <v>5239</v>
      </c>
      <c r="E695" s="498">
        <v>50</v>
      </c>
      <c r="F695" s="498">
        <v>0</v>
      </c>
      <c r="G695" s="498">
        <v>50</v>
      </c>
      <c r="H695" s="498">
        <v>0</v>
      </c>
      <c r="I695" s="498">
        <f t="shared" si="58"/>
        <v>41.4</v>
      </c>
      <c r="J695" s="498">
        <v>0</v>
      </c>
      <c r="K695" s="498">
        <v>0</v>
      </c>
      <c r="L695" s="668">
        <v>41.4</v>
      </c>
      <c r="M695" s="673">
        <v>93</v>
      </c>
      <c r="N695" s="498">
        <v>3.1</v>
      </c>
      <c r="O695" s="669" t="s">
        <v>5235</v>
      </c>
      <c r="P695" s="463" t="s">
        <v>1588</v>
      </c>
      <c r="Q695" s="672">
        <v>0</v>
      </c>
      <c r="R695" s="672">
        <v>0</v>
      </c>
      <c r="S695" s="672">
        <v>0</v>
      </c>
      <c r="T695" s="672">
        <v>0</v>
      </c>
      <c r="U695" s="463" t="s">
        <v>5225</v>
      </c>
      <c r="V695" s="458" t="s">
        <v>2118</v>
      </c>
      <c r="W695" s="1804"/>
      <c r="X695" s="463" t="s">
        <v>1532</v>
      </c>
      <c r="Y695" s="463" t="s">
        <v>3399</v>
      </c>
      <c r="Z695" s="463" t="s">
        <v>1652</v>
      </c>
      <c r="AA695" s="463" t="s">
        <v>1592</v>
      </c>
      <c r="AB695" s="459" t="s">
        <v>2286</v>
      </c>
    </row>
    <row r="696" spans="1:28" ht="24" customHeight="1">
      <c r="A696" s="583" t="s">
        <v>1653</v>
      </c>
      <c r="B696" s="460" t="s">
        <v>2201</v>
      </c>
      <c r="C696" s="458" t="s">
        <v>373</v>
      </c>
      <c r="D696" s="510" t="s">
        <v>5240</v>
      </c>
      <c r="E696" s="498">
        <v>27000</v>
      </c>
      <c r="F696" s="498">
        <v>0</v>
      </c>
      <c r="G696" s="498">
        <v>0</v>
      </c>
      <c r="H696" s="498">
        <v>27000</v>
      </c>
      <c r="I696" s="498">
        <f>J696+K696+L696</f>
        <v>12866</v>
      </c>
      <c r="J696" s="498">
        <v>0</v>
      </c>
      <c r="K696" s="498">
        <v>0</v>
      </c>
      <c r="L696" s="698">
        <v>12866</v>
      </c>
      <c r="M696" s="672">
        <v>97.4</v>
      </c>
      <c r="N696" s="498">
        <v>86</v>
      </c>
      <c r="O696" s="669" t="s">
        <v>5241</v>
      </c>
      <c r="P696" s="463" t="s">
        <v>1588</v>
      </c>
      <c r="Q696" s="672">
        <v>0</v>
      </c>
      <c r="R696" s="672">
        <v>0</v>
      </c>
      <c r="S696" s="672">
        <v>7</v>
      </c>
      <c r="T696" s="672">
        <v>0</v>
      </c>
      <c r="U696" s="463" t="s">
        <v>7473</v>
      </c>
      <c r="V696" s="463" t="s">
        <v>5242</v>
      </c>
      <c r="W696" s="498">
        <v>30260</v>
      </c>
      <c r="X696" s="463" t="s">
        <v>2199</v>
      </c>
      <c r="Y696" s="463" t="s">
        <v>3336</v>
      </c>
      <c r="Z696" s="463" t="s">
        <v>1654</v>
      </c>
      <c r="AA696" s="463" t="s">
        <v>1592</v>
      </c>
      <c r="AB696" s="459" t="s">
        <v>1596</v>
      </c>
    </row>
    <row r="697" spans="1:28" ht="24" customHeight="1">
      <c r="A697" s="582" t="s">
        <v>1616</v>
      </c>
      <c r="B697" s="458" t="s">
        <v>6041</v>
      </c>
      <c r="C697" s="579"/>
      <c r="D697" s="579"/>
      <c r="E697" s="498" t="s">
        <v>6195</v>
      </c>
      <c r="F697" s="498">
        <v>0</v>
      </c>
      <c r="G697" s="498" t="s">
        <v>6196</v>
      </c>
      <c r="H697" s="498" t="s">
        <v>6197</v>
      </c>
      <c r="I697" s="498" t="s">
        <v>6198</v>
      </c>
      <c r="J697" s="498">
        <v>0</v>
      </c>
      <c r="K697" s="498" t="s">
        <v>6199</v>
      </c>
      <c r="L697" s="668" t="s">
        <v>6200</v>
      </c>
      <c r="M697" s="672">
        <v>0</v>
      </c>
      <c r="N697" s="498" t="s">
        <v>6201</v>
      </c>
      <c r="O697" s="669" t="s">
        <v>1588</v>
      </c>
      <c r="P697" s="463" t="s">
        <v>1588</v>
      </c>
      <c r="Q697" s="672" t="s">
        <v>6202</v>
      </c>
      <c r="R697" s="672" t="s">
        <v>6203</v>
      </c>
      <c r="S697" s="672" t="s">
        <v>6204</v>
      </c>
      <c r="T697" s="672">
        <v>0</v>
      </c>
      <c r="U697" s="463"/>
      <c r="V697" s="463"/>
      <c r="W697" s="498">
        <f>SUM(W698:W786)</f>
        <v>424150</v>
      </c>
      <c r="X697" s="463"/>
      <c r="Y697" s="463"/>
      <c r="Z697" s="463"/>
      <c r="AA697" s="463"/>
      <c r="AB697" s="459"/>
    </row>
    <row r="698" spans="1:28" ht="24" customHeight="1">
      <c r="A698" s="582" t="s">
        <v>1655</v>
      </c>
      <c r="B698" s="460" t="s">
        <v>2201</v>
      </c>
      <c r="C698" s="458" t="s">
        <v>2409</v>
      </c>
      <c r="D698" s="510" t="s">
        <v>5243</v>
      </c>
      <c r="E698" s="498">
        <f t="shared" ref="E698:E745" si="59">F698+G698+H698</f>
        <v>10000</v>
      </c>
      <c r="F698" s="498">
        <v>0</v>
      </c>
      <c r="G698" s="498">
        <v>10000</v>
      </c>
      <c r="H698" s="498">
        <v>0</v>
      </c>
      <c r="I698" s="498">
        <f t="shared" ref="I698:I704" si="60">J698+K698+L698</f>
        <v>8341</v>
      </c>
      <c r="J698" s="498">
        <v>0</v>
      </c>
      <c r="K698" s="498">
        <v>8341</v>
      </c>
      <c r="L698" s="668">
        <v>0</v>
      </c>
      <c r="M698" s="672">
        <f>ROUND(I698/E698*100,1)</f>
        <v>83.4</v>
      </c>
      <c r="N698" s="498">
        <v>654</v>
      </c>
      <c r="O698" s="669" t="s">
        <v>1535</v>
      </c>
      <c r="P698" s="463" t="s">
        <v>1588</v>
      </c>
      <c r="Q698" s="672">
        <v>40</v>
      </c>
      <c r="R698" s="672">
        <v>0</v>
      </c>
      <c r="S698" s="672">
        <v>0</v>
      </c>
      <c r="T698" s="672">
        <v>0</v>
      </c>
      <c r="U698" s="463" t="s">
        <v>7474</v>
      </c>
      <c r="V698" s="463" t="s">
        <v>5244</v>
      </c>
      <c r="W698" s="498">
        <v>18686</v>
      </c>
      <c r="X698" s="463" t="s">
        <v>2193</v>
      </c>
      <c r="Y698" s="463"/>
      <c r="Z698" s="463" t="s">
        <v>1629</v>
      </c>
      <c r="AA698" s="463" t="s">
        <v>1592</v>
      </c>
      <c r="AB698" s="459" t="s">
        <v>1592</v>
      </c>
    </row>
    <row r="699" spans="1:28" ht="24" customHeight="1">
      <c r="A699" s="584"/>
      <c r="B699" s="460" t="s">
        <v>675</v>
      </c>
      <c r="C699" s="458" t="s">
        <v>5245</v>
      </c>
      <c r="D699" s="510" t="s">
        <v>5246</v>
      </c>
      <c r="E699" s="498">
        <f t="shared" si="59"/>
        <v>60</v>
      </c>
      <c r="F699" s="498">
        <v>0</v>
      </c>
      <c r="G699" s="498">
        <v>60</v>
      </c>
      <c r="H699" s="498">
        <v>0</v>
      </c>
      <c r="I699" s="498">
        <f t="shared" si="60"/>
        <v>34</v>
      </c>
      <c r="J699" s="498">
        <v>0</v>
      </c>
      <c r="K699" s="498">
        <v>34</v>
      </c>
      <c r="L699" s="668">
        <v>0</v>
      </c>
      <c r="M699" s="672">
        <f t="shared" ref="M699:M778" si="61">ROUND(I699/E699*100,1)</f>
        <v>56.7</v>
      </c>
      <c r="N699" s="498">
        <v>0</v>
      </c>
      <c r="O699" s="669" t="s">
        <v>5247</v>
      </c>
      <c r="P699" s="463" t="s">
        <v>1588</v>
      </c>
      <c r="Q699" s="672">
        <v>0</v>
      </c>
      <c r="R699" s="672">
        <v>0</v>
      </c>
      <c r="S699" s="672">
        <v>0</v>
      </c>
      <c r="T699" s="672">
        <v>0</v>
      </c>
      <c r="U699" s="463" t="s">
        <v>7475</v>
      </c>
      <c r="V699" s="466" t="s">
        <v>5248</v>
      </c>
      <c r="W699" s="498">
        <v>313</v>
      </c>
      <c r="X699" s="463" t="s">
        <v>2193</v>
      </c>
      <c r="Y699" s="463" t="s">
        <v>4034</v>
      </c>
      <c r="Z699" s="463" t="s">
        <v>1592</v>
      </c>
      <c r="AA699" s="463" t="s">
        <v>1592</v>
      </c>
      <c r="AB699" s="459" t="s">
        <v>1592</v>
      </c>
    </row>
    <row r="700" spans="1:28" ht="24" customHeight="1">
      <c r="A700" s="584"/>
      <c r="B700" s="460" t="s">
        <v>675</v>
      </c>
      <c r="C700" s="458" t="s">
        <v>5249</v>
      </c>
      <c r="D700" s="510" t="s">
        <v>5250</v>
      </c>
      <c r="E700" s="498">
        <f t="shared" si="59"/>
        <v>50</v>
      </c>
      <c r="F700" s="498">
        <v>0</v>
      </c>
      <c r="G700" s="498">
        <v>50</v>
      </c>
      <c r="H700" s="498">
        <v>0</v>
      </c>
      <c r="I700" s="498">
        <f t="shared" si="60"/>
        <v>40</v>
      </c>
      <c r="J700" s="498">
        <v>0</v>
      </c>
      <c r="K700" s="498">
        <v>40</v>
      </c>
      <c r="L700" s="668">
        <v>0</v>
      </c>
      <c r="M700" s="672">
        <f t="shared" si="61"/>
        <v>80</v>
      </c>
      <c r="N700" s="498">
        <v>0</v>
      </c>
      <c r="O700" s="669" t="s">
        <v>5251</v>
      </c>
      <c r="P700" s="463" t="s">
        <v>1588</v>
      </c>
      <c r="Q700" s="672">
        <v>0</v>
      </c>
      <c r="R700" s="672">
        <v>0</v>
      </c>
      <c r="S700" s="672">
        <v>0</v>
      </c>
      <c r="T700" s="672">
        <v>0</v>
      </c>
      <c r="U700" s="463" t="s">
        <v>7475</v>
      </c>
      <c r="V700" s="466" t="s">
        <v>5252</v>
      </c>
      <c r="W700" s="498">
        <v>360</v>
      </c>
      <c r="X700" s="463" t="s">
        <v>2193</v>
      </c>
      <c r="Y700" s="463"/>
      <c r="Z700" s="463" t="s">
        <v>1592</v>
      </c>
      <c r="AA700" s="463" t="s">
        <v>1592</v>
      </c>
      <c r="AB700" s="459" t="s">
        <v>1592</v>
      </c>
    </row>
    <row r="701" spans="1:28" ht="24" customHeight="1">
      <c r="A701" s="584"/>
      <c r="B701" s="460" t="s">
        <v>675</v>
      </c>
      <c r="C701" s="458" t="s">
        <v>5253</v>
      </c>
      <c r="D701" s="510" t="s">
        <v>5254</v>
      </c>
      <c r="E701" s="498">
        <f t="shared" si="59"/>
        <v>50</v>
      </c>
      <c r="F701" s="498">
        <v>0</v>
      </c>
      <c r="G701" s="498">
        <v>50</v>
      </c>
      <c r="H701" s="498">
        <v>0</v>
      </c>
      <c r="I701" s="498">
        <f t="shared" si="60"/>
        <v>36</v>
      </c>
      <c r="J701" s="498">
        <v>0</v>
      </c>
      <c r="K701" s="498">
        <v>36</v>
      </c>
      <c r="L701" s="668">
        <v>0</v>
      </c>
      <c r="M701" s="672">
        <f t="shared" si="61"/>
        <v>72</v>
      </c>
      <c r="N701" s="498">
        <v>0</v>
      </c>
      <c r="O701" s="669" t="s">
        <v>5255</v>
      </c>
      <c r="P701" s="463" t="s">
        <v>1588</v>
      </c>
      <c r="Q701" s="672">
        <v>0</v>
      </c>
      <c r="R701" s="672">
        <v>0</v>
      </c>
      <c r="S701" s="672">
        <v>0</v>
      </c>
      <c r="T701" s="672">
        <v>0</v>
      </c>
      <c r="U701" s="463" t="s">
        <v>7475</v>
      </c>
      <c r="V701" s="466" t="s">
        <v>5256</v>
      </c>
      <c r="W701" s="498">
        <v>261</v>
      </c>
      <c r="X701" s="463" t="s">
        <v>2193</v>
      </c>
      <c r="Y701" s="463"/>
      <c r="Z701" s="463" t="s">
        <v>1656</v>
      </c>
      <c r="AA701" s="463" t="s">
        <v>1592</v>
      </c>
      <c r="AB701" s="459" t="s">
        <v>1592</v>
      </c>
    </row>
    <row r="702" spans="1:28" ht="24" customHeight="1">
      <c r="A702" s="584"/>
      <c r="B702" s="460" t="s">
        <v>675</v>
      </c>
      <c r="C702" s="458" t="s">
        <v>5257</v>
      </c>
      <c r="D702" s="510" t="s">
        <v>5258</v>
      </c>
      <c r="E702" s="498">
        <f t="shared" si="59"/>
        <v>70</v>
      </c>
      <c r="F702" s="498">
        <v>0</v>
      </c>
      <c r="G702" s="498">
        <v>70</v>
      </c>
      <c r="H702" s="498">
        <v>0</v>
      </c>
      <c r="I702" s="498">
        <f t="shared" si="60"/>
        <v>62</v>
      </c>
      <c r="J702" s="498">
        <v>0</v>
      </c>
      <c r="K702" s="498">
        <v>62</v>
      </c>
      <c r="L702" s="668">
        <v>0</v>
      </c>
      <c r="M702" s="672">
        <f t="shared" si="61"/>
        <v>88.6</v>
      </c>
      <c r="N702" s="498">
        <v>0</v>
      </c>
      <c r="O702" s="669" t="s">
        <v>5259</v>
      </c>
      <c r="P702" s="463" t="s">
        <v>1588</v>
      </c>
      <c r="Q702" s="672">
        <v>0</v>
      </c>
      <c r="R702" s="672">
        <v>0</v>
      </c>
      <c r="S702" s="672">
        <v>0</v>
      </c>
      <c r="T702" s="672">
        <v>0</v>
      </c>
      <c r="U702" s="463" t="s">
        <v>7475</v>
      </c>
      <c r="V702" s="466" t="s">
        <v>5260</v>
      </c>
      <c r="W702" s="498">
        <v>415</v>
      </c>
      <c r="X702" s="463" t="s">
        <v>2193</v>
      </c>
      <c r="Y702" s="463"/>
      <c r="Z702" s="463" t="s">
        <v>1657</v>
      </c>
      <c r="AA702" s="463" t="s">
        <v>1592</v>
      </c>
      <c r="AB702" s="459" t="s">
        <v>1592</v>
      </c>
    </row>
    <row r="703" spans="1:28" ht="24" customHeight="1">
      <c r="A703" s="584"/>
      <c r="B703" s="460" t="s">
        <v>675</v>
      </c>
      <c r="C703" s="458" t="s">
        <v>5261</v>
      </c>
      <c r="D703" s="510" t="s">
        <v>5262</v>
      </c>
      <c r="E703" s="498">
        <f t="shared" si="59"/>
        <v>65</v>
      </c>
      <c r="F703" s="498">
        <v>0</v>
      </c>
      <c r="G703" s="498">
        <v>65</v>
      </c>
      <c r="H703" s="498">
        <v>0</v>
      </c>
      <c r="I703" s="498">
        <f t="shared" si="60"/>
        <v>56</v>
      </c>
      <c r="J703" s="498">
        <v>0</v>
      </c>
      <c r="K703" s="498">
        <v>56</v>
      </c>
      <c r="L703" s="668">
        <v>0</v>
      </c>
      <c r="M703" s="672">
        <f t="shared" si="61"/>
        <v>86.2</v>
      </c>
      <c r="N703" s="498">
        <v>0</v>
      </c>
      <c r="O703" s="669" t="s">
        <v>5255</v>
      </c>
      <c r="P703" s="463" t="s">
        <v>1588</v>
      </c>
      <c r="Q703" s="672">
        <v>0</v>
      </c>
      <c r="R703" s="672">
        <v>0</v>
      </c>
      <c r="S703" s="672">
        <v>0</v>
      </c>
      <c r="T703" s="672">
        <v>0</v>
      </c>
      <c r="U703" s="463" t="s">
        <v>7475</v>
      </c>
      <c r="V703" s="466" t="s">
        <v>5260</v>
      </c>
      <c r="W703" s="498">
        <v>445</v>
      </c>
      <c r="X703" s="463" t="s">
        <v>2193</v>
      </c>
      <c r="Y703" s="463"/>
      <c r="Z703" s="463" t="s">
        <v>1657</v>
      </c>
      <c r="AA703" s="463" t="s">
        <v>1592</v>
      </c>
      <c r="AB703" s="459" t="s">
        <v>1592</v>
      </c>
    </row>
    <row r="704" spans="1:28" ht="24" customHeight="1">
      <c r="A704" s="584"/>
      <c r="B704" s="460" t="s">
        <v>675</v>
      </c>
      <c r="C704" s="458" t="s">
        <v>907</v>
      </c>
      <c r="D704" s="510" t="s">
        <v>5263</v>
      </c>
      <c r="E704" s="498">
        <f t="shared" si="59"/>
        <v>60</v>
      </c>
      <c r="F704" s="498">
        <v>0</v>
      </c>
      <c r="G704" s="498">
        <v>60</v>
      </c>
      <c r="H704" s="498">
        <v>0</v>
      </c>
      <c r="I704" s="498">
        <f t="shared" si="60"/>
        <v>50</v>
      </c>
      <c r="J704" s="498">
        <v>0</v>
      </c>
      <c r="K704" s="498">
        <v>50</v>
      </c>
      <c r="L704" s="668">
        <v>0</v>
      </c>
      <c r="M704" s="672">
        <f t="shared" si="61"/>
        <v>83.3</v>
      </c>
      <c r="N704" s="498">
        <v>0</v>
      </c>
      <c r="O704" s="669" t="s">
        <v>3439</v>
      </c>
      <c r="P704" s="463" t="s">
        <v>1588</v>
      </c>
      <c r="Q704" s="672">
        <v>0</v>
      </c>
      <c r="R704" s="672">
        <v>0</v>
      </c>
      <c r="S704" s="672">
        <v>0</v>
      </c>
      <c r="T704" s="672">
        <v>0</v>
      </c>
      <c r="U704" s="463" t="s">
        <v>7475</v>
      </c>
      <c r="V704" s="466" t="s">
        <v>5260</v>
      </c>
      <c r="W704" s="498">
        <v>400</v>
      </c>
      <c r="X704" s="463" t="s">
        <v>2193</v>
      </c>
      <c r="Y704" s="463"/>
      <c r="Z704" s="463" t="s">
        <v>1657</v>
      </c>
      <c r="AA704" s="463" t="s">
        <v>1592</v>
      </c>
      <c r="AB704" s="459" t="s">
        <v>1592</v>
      </c>
    </row>
    <row r="705" spans="1:28" ht="24" customHeight="1">
      <c r="A705" s="582" t="s">
        <v>1658</v>
      </c>
      <c r="B705" s="460" t="s">
        <v>2201</v>
      </c>
      <c r="C705" s="458" t="s">
        <v>1659</v>
      </c>
      <c r="D705" s="510" t="s">
        <v>2287</v>
      </c>
      <c r="E705" s="653">
        <f t="shared" si="59"/>
        <v>20000</v>
      </c>
      <c r="F705" s="653">
        <v>0</v>
      </c>
      <c r="G705" s="653">
        <v>0</v>
      </c>
      <c r="H705" s="653">
        <v>20000</v>
      </c>
      <c r="I705" s="498">
        <f>J705+K705+L705</f>
        <v>22578</v>
      </c>
      <c r="J705" s="498">
        <v>0</v>
      </c>
      <c r="K705" s="498">
        <v>0</v>
      </c>
      <c r="L705" s="698">
        <v>22578</v>
      </c>
      <c r="M705" s="672">
        <f t="shared" si="61"/>
        <v>112.9</v>
      </c>
      <c r="N705" s="653">
        <v>170423</v>
      </c>
      <c r="O705" s="669" t="s">
        <v>5264</v>
      </c>
      <c r="P705" s="463" t="s">
        <v>1588</v>
      </c>
      <c r="Q705" s="672">
        <v>63</v>
      </c>
      <c r="R705" s="672">
        <v>0</v>
      </c>
      <c r="S705" s="672">
        <v>0</v>
      </c>
      <c r="T705" s="672">
        <v>0</v>
      </c>
      <c r="U705" s="463" t="s">
        <v>2447</v>
      </c>
      <c r="V705" s="463" t="s">
        <v>5265</v>
      </c>
      <c r="W705" s="498">
        <v>41643</v>
      </c>
      <c r="X705" s="463" t="s">
        <v>1532</v>
      </c>
      <c r="Y705" s="463"/>
      <c r="Z705" s="463" t="s">
        <v>1660</v>
      </c>
      <c r="AA705" s="463" t="s">
        <v>1592</v>
      </c>
      <c r="AB705" s="459" t="s">
        <v>1592</v>
      </c>
    </row>
    <row r="706" spans="1:28" ht="24" customHeight="1">
      <c r="A706" s="584"/>
      <c r="B706" s="460" t="s">
        <v>2201</v>
      </c>
      <c r="C706" s="458" t="s">
        <v>2410</v>
      </c>
      <c r="D706" s="510" t="s">
        <v>2288</v>
      </c>
      <c r="E706" s="653">
        <f t="shared" si="59"/>
        <v>2000</v>
      </c>
      <c r="F706" s="653">
        <v>0</v>
      </c>
      <c r="G706" s="653">
        <v>0</v>
      </c>
      <c r="H706" s="653">
        <v>2000</v>
      </c>
      <c r="I706" s="498">
        <f>J706+K706+L706</f>
        <v>1826</v>
      </c>
      <c r="J706" s="498">
        <v>0</v>
      </c>
      <c r="K706" s="498">
        <v>0</v>
      </c>
      <c r="L706" s="698">
        <v>1826</v>
      </c>
      <c r="M706" s="672">
        <f t="shared" si="61"/>
        <v>91.3</v>
      </c>
      <c r="N706" s="653">
        <v>15287</v>
      </c>
      <c r="O706" s="669" t="s">
        <v>3173</v>
      </c>
      <c r="P706" s="463" t="s">
        <v>1588</v>
      </c>
      <c r="Q706" s="672">
        <v>2</v>
      </c>
      <c r="R706" s="672">
        <v>0</v>
      </c>
      <c r="S706" s="672">
        <v>0</v>
      </c>
      <c r="T706" s="672">
        <v>0</v>
      </c>
      <c r="U706" s="463" t="s">
        <v>7476</v>
      </c>
      <c r="V706" s="463" t="s">
        <v>2289</v>
      </c>
      <c r="W706" s="653">
        <v>9687</v>
      </c>
      <c r="X706" s="463" t="s">
        <v>1532</v>
      </c>
      <c r="Y706" s="463" t="s">
        <v>3399</v>
      </c>
      <c r="Z706" s="463" t="s">
        <v>1660</v>
      </c>
      <c r="AA706" s="463" t="s">
        <v>1592</v>
      </c>
      <c r="AB706" s="459" t="s">
        <v>1592</v>
      </c>
    </row>
    <row r="707" spans="1:28" ht="24" customHeight="1">
      <c r="A707" s="584"/>
      <c r="B707" s="460" t="s">
        <v>675</v>
      </c>
      <c r="C707" s="458" t="s">
        <v>327</v>
      </c>
      <c r="D707" s="510" t="s">
        <v>5266</v>
      </c>
      <c r="E707" s="498">
        <f t="shared" si="59"/>
        <v>46</v>
      </c>
      <c r="F707" s="498">
        <v>0</v>
      </c>
      <c r="G707" s="498">
        <v>46</v>
      </c>
      <c r="H707" s="498">
        <v>0</v>
      </c>
      <c r="I707" s="498">
        <v>40</v>
      </c>
      <c r="J707" s="498">
        <v>0</v>
      </c>
      <c r="K707" s="498">
        <v>40</v>
      </c>
      <c r="L707" s="668">
        <v>0</v>
      </c>
      <c r="M707" s="672">
        <f t="shared" si="61"/>
        <v>87</v>
      </c>
      <c r="N707" s="498">
        <v>0</v>
      </c>
      <c r="O707" s="669" t="s">
        <v>1153</v>
      </c>
      <c r="P707" s="463" t="s">
        <v>1588</v>
      </c>
      <c r="Q707" s="672">
        <v>0</v>
      </c>
      <c r="R707" s="672">
        <v>0</v>
      </c>
      <c r="S707" s="672">
        <v>0</v>
      </c>
      <c r="T707" s="672">
        <v>0</v>
      </c>
      <c r="U707" s="463"/>
      <c r="V707" s="463" t="s">
        <v>5267</v>
      </c>
      <c r="W707" s="498">
        <v>224</v>
      </c>
      <c r="X707" s="463" t="s">
        <v>2193</v>
      </c>
      <c r="Y707" s="463"/>
      <c r="Z707" s="463" t="s">
        <v>1660</v>
      </c>
      <c r="AA707" s="463"/>
      <c r="AB707" s="459" t="s">
        <v>1592</v>
      </c>
    </row>
    <row r="708" spans="1:28" ht="24" customHeight="1">
      <c r="A708" s="584"/>
      <c r="B708" s="460" t="s">
        <v>675</v>
      </c>
      <c r="C708" s="458" t="s">
        <v>2020</v>
      </c>
      <c r="D708" s="510" t="s">
        <v>5268</v>
      </c>
      <c r="E708" s="498">
        <f t="shared" si="59"/>
        <v>70</v>
      </c>
      <c r="F708" s="498">
        <v>0</v>
      </c>
      <c r="G708" s="498">
        <v>0</v>
      </c>
      <c r="H708" s="498">
        <v>70</v>
      </c>
      <c r="I708" s="498">
        <v>56</v>
      </c>
      <c r="J708" s="498">
        <v>0</v>
      </c>
      <c r="K708" s="498">
        <v>0</v>
      </c>
      <c r="L708" s="668">
        <v>56</v>
      </c>
      <c r="M708" s="672">
        <f t="shared" si="61"/>
        <v>80</v>
      </c>
      <c r="N708" s="498">
        <v>0</v>
      </c>
      <c r="O708" s="669" t="s">
        <v>5269</v>
      </c>
      <c r="P708" s="463" t="s">
        <v>1588</v>
      </c>
      <c r="Q708" s="672">
        <v>0</v>
      </c>
      <c r="R708" s="672">
        <v>0</v>
      </c>
      <c r="S708" s="672">
        <v>0</v>
      </c>
      <c r="T708" s="672">
        <v>0</v>
      </c>
      <c r="U708" s="463"/>
      <c r="V708" s="463" t="s">
        <v>5270</v>
      </c>
      <c r="W708" s="498">
        <v>404</v>
      </c>
      <c r="X708" s="463" t="s">
        <v>2193</v>
      </c>
      <c r="Y708" s="463" t="s">
        <v>3399</v>
      </c>
      <c r="Z708" s="463" t="s">
        <v>1660</v>
      </c>
      <c r="AA708" s="463"/>
      <c r="AB708" s="459" t="s">
        <v>1592</v>
      </c>
    </row>
    <row r="709" spans="1:28" ht="24" customHeight="1">
      <c r="A709" s="584"/>
      <c r="B709" s="460" t="s">
        <v>675</v>
      </c>
      <c r="C709" s="458" t="s">
        <v>5271</v>
      </c>
      <c r="D709" s="510" t="s">
        <v>5272</v>
      </c>
      <c r="E709" s="498">
        <f t="shared" si="59"/>
        <v>50</v>
      </c>
      <c r="F709" s="498">
        <v>0</v>
      </c>
      <c r="G709" s="498">
        <v>0</v>
      </c>
      <c r="H709" s="498">
        <v>50</v>
      </c>
      <c r="I709" s="498">
        <v>41</v>
      </c>
      <c r="J709" s="498">
        <v>0</v>
      </c>
      <c r="K709" s="498">
        <v>0</v>
      </c>
      <c r="L709" s="668">
        <v>41</v>
      </c>
      <c r="M709" s="672">
        <f t="shared" si="61"/>
        <v>82</v>
      </c>
      <c r="N709" s="498">
        <v>0</v>
      </c>
      <c r="O709" s="669" t="s">
        <v>5269</v>
      </c>
      <c r="P709" s="463" t="s">
        <v>1588</v>
      </c>
      <c r="Q709" s="672">
        <v>0</v>
      </c>
      <c r="R709" s="672">
        <v>0</v>
      </c>
      <c r="S709" s="672">
        <v>0</v>
      </c>
      <c r="T709" s="672">
        <v>0</v>
      </c>
      <c r="U709" s="463"/>
      <c r="V709" s="463" t="s">
        <v>5270</v>
      </c>
      <c r="W709" s="498">
        <v>365</v>
      </c>
      <c r="X709" s="463" t="s">
        <v>2193</v>
      </c>
      <c r="Y709" s="463" t="s">
        <v>3399</v>
      </c>
      <c r="Z709" s="463" t="s">
        <v>1660</v>
      </c>
      <c r="AA709" s="463"/>
      <c r="AB709" s="459" t="s">
        <v>1592</v>
      </c>
    </row>
    <row r="710" spans="1:28" ht="24" customHeight="1">
      <c r="A710" s="584"/>
      <c r="B710" s="460" t="s">
        <v>675</v>
      </c>
      <c r="C710" s="458" t="s">
        <v>5273</v>
      </c>
      <c r="D710" s="510" t="s">
        <v>5274</v>
      </c>
      <c r="E710" s="498">
        <f t="shared" si="59"/>
        <v>50</v>
      </c>
      <c r="F710" s="498">
        <v>0</v>
      </c>
      <c r="G710" s="498">
        <v>50</v>
      </c>
      <c r="H710" s="498">
        <v>0</v>
      </c>
      <c r="I710" s="498">
        <v>40</v>
      </c>
      <c r="J710" s="498">
        <v>0</v>
      </c>
      <c r="K710" s="498">
        <v>40</v>
      </c>
      <c r="L710" s="668">
        <v>0</v>
      </c>
      <c r="M710" s="672">
        <f t="shared" si="61"/>
        <v>80</v>
      </c>
      <c r="N710" s="498">
        <v>0</v>
      </c>
      <c r="O710" s="669" t="s">
        <v>1153</v>
      </c>
      <c r="P710" s="463" t="s">
        <v>1588</v>
      </c>
      <c r="Q710" s="672">
        <v>0</v>
      </c>
      <c r="R710" s="672">
        <v>0</v>
      </c>
      <c r="S710" s="672">
        <v>0</v>
      </c>
      <c r="T710" s="672">
        <v>0</v>
      </c>
      <c r="U710" s="463"/>
      <c r="V710" s="463" t="s">
        <v>5275</v>
      </c>
      <c r="W710" s="498">
        <v>26</v>
      </c>
      <c r="X710" s="463" t="s">
        <v>2193</v>
      </c>
      <c r="Y710" s="463"/>
      <c r="Z710" s="463" t="s">
        <v>5276</v>
      </c>
      <c r="AA710" s="463" t="s">
        <v>1618</v>
      </c>
      <c r="AB710" s="459" t="s">
        <v>1592</v>
      </c>
    </row>
    <row r="711" spans="1:28" ht="24" customHeight="1">
      <c r="A711" s="584"/>
      <c r="B711" s="460" t="s">
        <v>675</v>
      </c>
      <c r="C711" s="458" t="s">
        <v>5277</v>
      </c>
      <c r="D711" s="510" t="s">
        <v>5278</v>
      </c>
      <c r="E711" s="498">
        <f t="shared" si="59"/>
        <v>60</v>
      </c>
      <c r="F711" s="498">
        <v>0</v>
      </c>
      <c r="G711" s="498">
        <v>60</v>
      </c>
      <c r="H711" s="498">
        <v>0</v>
      </c>
      <c r="I711" s="498">
        <v>40</v>
      </c>
      <c r="J711" s="498">
        <v>0</v>
      </c>
      <c r="K711" s="498">
        <v>40</v>
      </c>
      <c r="L711" s="668">
        <v>0</v>
      </c>
      <c r="M711" s="672">
        <f t="shared" si="61"/>
        <v>66.7</v>
      </c>
      <c r="N711" s="498">
        <v>0</v>
      </c>
      <c r="O711" s="669" t="s">
        <v>1153</v>
      </c>
      <c r="P711" s="463" t="s">
        <v>1588</v>
      </c>
      <c r="Q711" s="672">
        <v>0</v>
      </c>
      <c r="R711" s="672">
        <v>0</v>
      </c>
      <c r="S711" s="672">
        <v>0</v>
      </c>
      <c r="T711" s="672">
        <v>0</v>
      </c>
      <c r="U711" s="463"/>
      <c r="V711" s="463" t="s">
        <v>5279</v>
      </c>
      <c r="W711" s="498">
        <v>374</v>
      </c>
      <c r="X711" s="463" t="s">
        <v>2193</v>
      </c>
      <c r="Y711" s="463"/>
      <c r="Z711" s="463" t="s">
        <v>2395</v>
      </c>
      <c r="AA711" s="463"/>
      <c r="AB711" s="459" t="s">
        <v>1592</v>
      </c>
    </row>
    <row r="712" spans="1:28" ht="24" customHeight="1">
      <c r="A712" s="584"/>
      <c r="B712" s="460" t="s">
        <v>675</v>
      </c>
      <c r="C712" s="458" t="s">
        <v>5280</v>
      </c>
      <c r="D712" s="510" t="s">
        <v>5281</v>
      </c>
      <c r="E712" s="498">
        <f t="shared" si="59"/>
        <v>68</v>
      </c>
      <c r="F712" s="498">
        <v>0</v>
      </c>
      <c r="G712" s="498">
        <v>68</v>
      </c>
      <c r="H712" s="498">
        <v>0</v>
      </c>
      <c r="I712" s="498">
        <v>58</v>
      </c>
      <c r="J712" s="498">
        <v>0</v>
      </c>
      <c r="K712" s="498">
        <v>58</v>
      </c>
      <c r="L712" s="668">
        <v>0</v>
      </c>
      <c r="M712" s="672">
        <f t="shared" si="61"/>
        <v>85.3</v>
      </c>
      <c r="N712" s="498">
        <v>0</v>
      </c>
      <c r="O712" s="669" t="s">
        <v>1153</v>
      </c>
      <c r="P712" s="463" t="s">
        <v>1588</v>
      </c>
      <c r="Q712" s="672">
        <v>0</v>
      </c>
      <c r="R712" s="672">
        <v>0</v>
      </c>
      <c r="S712" s="672">
        <v>0</v>
      </c>
      <c r="T712" s="672">
        <v>0</v>
      </c>
      <c r="U712" s="463"/>
      <c r="V712" s="463" t="s">
        <v>5282</v>
      </c>
      <c r="W712" s="498">
        <v>319</v>
      </c>
      <c r="X712" s="463" t="s">
        <v>2193</v>
      </c>
      <c r="Y712" s="463"/>
      <c r="Z712" s="463" t="s">
        <v>1662</v>
      </c>
      <c r="AA712" s="463" t="s">
        <v>5117</v>
      </c>
      <c r="AB712" s="459" t="s">
        <v>1592</v>
      </c>
    </row>
    <row r="713" spans="1:28" ht="24" customHeight="1">
      <c r="A713" s="584"/>
      <c r="B713" s="460" t="s">
        <v>675</v>
      </c>
      <c r="C713" s="458" t="s">
        <v>5283</v>
      </c>
      <c r="D713" s="510" t="s">
        <v>5284</v>
      </c>
      <c r="E713" s="498">
        <f t="shared" si="59"/>
        <v>60</v>
      </c>
      <c r="F713" s="498">
        <v>0</v>
      </c>
      <c r="G713" s="498">
        <v>0</v>
      </c>
      <c r="H713" s="498">
        <v>60</v>
      </c>
      <c r="I713" s="498">
        <v>60</v>
      </c>
      <c r="J713" s="498">
        <v>0</v>
      </c>
      <c r="K713" s="498">
        <v>0</v>
      </c>
      <c r="L713" s="668">
        <v>60</v>
      </c>
      <c r="M713" s="672">
        <f t="shared" si="61"/>
        <v>100</v>
      </c>
      <c r="N713" s="683">
        <v>0</v>
      </c>
      <c r="O713" s="669" t="s">
        <v>5285</v>
      </c>
      <c r="P713" s="463" t="s">
        <v>1588</v>
      </c>
      <c r="Q713" s="841">
        <v>0</v>
      </c>
      <c r="R713" s="841">
        <v>0</v>
      </c>
      <c r="S713" s="672">
        <v>0</v>
      </c>
      <c r="T713" s="672">
        <v>0</v>
      </c>
      <c r="U713" s="463"/>
      <c r="V713" s="463" t="s">
        <v>5286</v>
      </c>
      <c r="W713" s="498">
        <v>369</v>
      </c>
      <c r="X713" s="463" t="s">
        <v>2193</v>
      </c>
      <c r="Y713" s="463"/>
      <c r="Z713" s="463" t="s">
        <v>1660</v>
      </c>
      <c r="AA713" s="463"/>
      <c r="AB713" s="459" t="s">
        <v>1592</v>
      </c>
    </row>
    <row r="714" spans="1:28" ht="24" customHeight="1">
      <c r="A714" s="584"/>
      <c r="B714" s="460" t="s">
        <v>675</v>
      </c>
      <c r="C714" s="458" t="s">
        <v>5287</v>
      </c>
      <c r="D714" s="510" t="s">
        <v>5288</v>
      </c>
      <c r="E714" s="498">
        <f t="shared" si="59"/>
        <v>70</v>
      </c>
      <c r="F714" s="498">
        <v>0</v>
      </c>
      <c r="G714" s="498">
        <v>70</v>
      </c>
      <c r="H714" s="498">
        <v>0</v>
      </c>
      <c r="I714" s="498">
        <v>55</v>
      </c>
      <c r="J714" s="498">
        <v>0</v>
      </c>
      <c r="K714" s="498">
        <v>55</v>
      </c>
      <c r="L714" s="668">
        <v>0</v>
      </c>
      <c r="M714" s="672">
        <f>ROUND(I714/E714*100,1)</f>
        <v>78.599999999999994</v>
      </c>
      <c r="N714" s="498">
        <v>0</v>
      </c>
      <c r="O714" s="669" t="s">
        <v>1153</v>
      </c>
      <c r="P714" s="463" t="s">
        <v>1588</v>
      </c>
      <c r="Q714" s="672">
        <v>0</v>
      </c>
      <c r="R714" s="672">
        <v>0</v>
      </c>
      <c r="S714" s="672">
        <v>0</v>
      </c>
      <c r="T714" s="672">
        <v>0</v>
      </c>
      <c r="U714" s="463"/>
      <c r="V714" s="463" t="s">
        <v>5289</v>
      </c>
      <c r="W714" s="498">
        <v>261</v>
      </c>
      <c r="X714" s="463" t="s">
        <v>2193</v>
      </c>
      <c r="Y714" s="463"/>
      <c r="Z714" s="463" t="s">
        <v>1660</v>
      </c>
      <c r="AA714" s="463"/>
      <c r="AB714" s="459" t="s">
        <v>1592</v>
      </c>
    </row>
    <row r="715" spans="1:28" ht="24" customHeight="1">
      <c r="A715" s="584"/>
      <c r="B715" s="460" t="s">
        <v>675</v>
      </c>
      <c r="C715" s="458" t="s">
        <v>5290</v>
      </c>
      <c r="D715" s="510" t="s">
        <v>5291</v>
      </c>
      <c r="E715" s="498">
        <f t="shared" si="59"/>
        <v>50</v>
      </c>
      <c r="F715" s="498">
        <v>0</v>
      </c>
      <c r="G715" s="498">
        <v>0</v>
      </c>
      <c r="H715" s="498">
        <v>50</v>
      </c>
      <c r="I715" s="498">
        <v>42</v>
      </c>
      <c r="J715" s="498">
        <v>0</v>
      </c>
      <c r="K715" s="498">
        <v>0</v>
      </c>
      <c r="L715" s="668">
        <v>42</v>
      </c>
      <c r="M715" s="672">
        <f t="shared" si="61"/>
        <v>84</v>
      </c>
      <c r="N715" s="498">
        <v>0</v>
      </c>
      <c r="O715" s="669" t="s">
        <v>5285</v>
      </c>
      <c r="P715" s="463" t="s">
        <v>1588</v>
      </c>
      <c r="Q715" s="672">
        <v>0</v>
      </c>
      <c r="R715" s="672">
        <v>0</v>
      </c>
      <c r="S715" s="672">
        <v>0</v>
      </c>
      <c r="T715" s="672">
        <v>0</v>
      </c>
      <c r="U715" s="463"/>
      <c r="V715" s="463" t="s">
        <v>5292</v>
      </c>
      <c r="W715" s="498">
        <v>501</v>
      </c>
      <c r="X715" s="463" t="s">
        <v>2193</v>
      </c>
      <c r="Y715" s="463" t="s">
        <v>3399</v>
      </c>
      <c r="Z715" s="463" t="s">
        <v>5293</v>
      </c>
      <c r="AA715" s="463" t="s">
        <v>1618</v>
      </c>
      <c r="AB715" s="459" t="s">
        <v>1592</v>
      </c>
    </row>
    <row r="716" spans="1:28" ht="24" customHeight="1">
      <c r="A716" s="582" t="s">
        <v>1661</v>
      </c>
      <c r="B716" s="460" t="s">
        <v>2201</v>
      </c>
      <c r="C716" s="458" t="s">
        <v>2411</v>
      </c>
      <c r="D716" s="510" t="s">
        <v>5294</v>
      </c>
      <c r="E716" s="498">
        <f t="shared" si="59"/>
        <v>15000</v>
      </c>
      <c r="F716" s="498">
        <v>0</v>
      </c>
      <c r="G716" s="498">
        <v>0</v>
      </c>
      <c r="H716" s="498">
        <v>15000</v>
      </c>
      <c r="I716" s="498">
        <v>11708</v>
      </c>
      <c r="J716" s="498">
        <v>0</v>
      </c>
      <c r="K716" s="498">
        <v>0</v>
      </c>
      <c r="L716" s="698">
        <v>11708</v>
      </c>
      <c r="M716" s="672">
        <v>91.96</v>
      </c>
      <c r="N716" s="498">
        <v>745</v>
      </c>
      <c r="O716" s="669" t="s">
        <v>2211</v>
      </c>
      <c r="P716" s="463" t="s">
        <v>2211</v>
      </c>
      <c r="Q716" s="672">
        <v>0</v>
      </c>
      <c r="R716" s="672">
        <v>0</v>
      </c>
      <c r="S716" s="672">
        <v>0</v>
      </c>
      <c r="T716" s="672">
        <v>0</v>
      </c>
      <c r="U716" s="463" t="s">
        <v>7477</v>
      </c>
      <c r="V716" s="480" t="s">
        <v>5295</v>
      </c>
      <c r="W716" s="578">
        <v>41341</v>
      </c>
      <c r="X716" s="463" t="s">
        <v>2199</v>
      </c>
      <c r="Y716" s="463"/>
      <c r="Z716" s="463"/>
      <c r="AA716" s="463" t="s">
        <v>1592</v>
      </c>
      <c r="AB716" s="459" t="s">
        <v>1592</v>
      </c>
    </row>
    <row r="717" spans="1:28" ht="24" customHeight="1">
      <c r="A717" s="584"/>
      <c r="B717" s="460" t="s">
        <v>2201</v>
      </c>
      <c r="C717" s="458" t="s">
        <v>5296</v>
      </c>
      <c r="D717" s="510" t="s">
        <v>5297</v>
      </c>
      <c r="E717" s="498">
        <f t="shared" si="59"/>
        <v>1800</v>
      </c>
      <c r="F717" s="498">
        <v>0</v>
      </c>
      <c r="G717" s="498">
        <v>0</v>
      </c>
      <c r="H717" s="498">
        <v>1800</v>
      </c>
      <c r="I717" s="498">
        <v>230</v>
      </c>
      <c r="J717" s="498">
        <v>0</v>
      </c>
      <c r="K717" s="498">
        <v>0</v>
      </c>
      <c r="L717" s="698">
        <v>230</v>
      </c>
      <c r="M717" s="672">
        <v>94</v>
      </c>
      <c r="N717" s="498">
        <v>20</v>
      </c>
      <c r="O717" s="669" t="s">
        <v>3538</v>
      </c>
      <c r="P717" s="463" t="s">
        <v>3538</v>
      </c>
      <c r="Q717" s="672">
        <v>0</v>
      </c>
      <c r="R717" s="672">
        <v>0</v>
      </c>
      <c r="S717" s="672">
        <v>0</v>
      </c>
      <c r="T717" s="672">
        <v>0</v>
      </c>
      <c r="U717" s="463" t="s">
        <v>7477</v>
      </c>
      <c r="V717" s="463" t="s">
        <v>5298</v>
      </c>
      <c r="W717" s="498">
        <v>7800</v>
      </c>
      <c r="X717" s="463" t="s">
        <v>2199</v>
      </c>
      <c r="Y717" s="463"/>
      <c r="Z717" s="463"/>
      <c r="AA717" s="463" t="s">
        <v>1592</v>
      </c>
      <c r="AB717" s="459" t="s">
        <v>1592</v>
      </c>
    </row>
    <row r="718" spans="1:28" ht="24" customHeight="1">
      <c r="A718" s="584"/>
      <c r="B718" s="460" t="s">
        <v>675</v>
      </c>
      <c r="C718" s="458" t="s">
        <v>5299</v>
      </c>
      <c r="D718" s="510" t="s">
        <v>5300</v>
      </c>
      <c r="E718" s="498">
        <f t="shared" si="59"/>
        <v>120</v>
      </c>
      <c r="F718" s="498">
        <v>0</v>
      </c>
      <c r="G718" s="498">
        <v>120</v>
      </c>
      <c r="H718" s="498">
        <v>0</v>
      </c>
      <c r="I718" s="498">
        <v>94</v>
      </c>
      <c r="J718" s="498">
        <v>0</v>
      </c>
      <c r="K718" s="498">
        <v>94</v>
      </c>
      <c r="L718" s="668">
        <v>0</v>
      </c>
      <c r="M718" s="672">
        <v>92</v>
      </c>
      <c r="N718" s="498">
        <v>216</v>
      </c>
      <c r="O718" s="669" t="s">
        <v>5301</v>
      </c>
      <c r="P718" s="463" t="s">
        <v>5301</v>
      </c>
      <c r="Q718" s="672">
        <v>0</v>
      </c>
      <c r="R718" s="672">
        <v>0</v>
      </c>
      <c r="S718" s="672">
        <v>0</v>
      </c>
      <c r="T718" s="672">
        <v>0</v>
      </c>
      <c r="U718" s="463" t="s">
        <v>7478</v>
      </c>
      <c r="V718" s="463" t="s">
        <v>5302</v>
      </c>
      <c r="W718" s="498">
        <v>400</v>
      </c>
      <c r="X718" s="463" t="s">
        <v>2193</v>
      </c>
      <c r="Y718" s="463"/>
      <c r="Z718" s="463"/>
      <c r="AA718" s="463" t="s">
        <v>5303</v>
      </c>
      <c r="AB718" s="459" t="s">
        <v>1592</v>
      </c>
    </row>
    <row r="719" spans="1:28" ht="24" customHeight="1">
      <c r="A719" s="584"/>
      <c r="B719" s="460" t="s">
        <v>675</v>
      </c>
      <c r="C719" s="458" t="s">
        <v>5304</v>
      </c>
      <c r="D719" s="510" t="s">
        <v>5305</v>
      </c>
      <c r="E719" s="498">
        <f t="shared" si="59"/>
        <v>103</v>
      </c>
      <c r="F719" s="498">
        <v>0</v>
      </c>
      <c r="G719" s="498">
        <v>103</v>
      </c>
      <c r="H719" s="498">
        <v>0</v>
      </c>
      <c r="I719" s="498">
        <v>64</v>
      </c>
      <c r="J719" s="498">
        <v>0</v>
      </c>
      <c r="K719" s="498">
        <v>64</v>
      </c>
      <c r="L719" s="668">
        <v>0</v>
      </c>
      <c r="M719" s="672">
        <v>92</v>
      </c>
      <c r="N719" s="498">
        <v>436.8</v>
      </c>
      <c r="O719" s="669" t="s">
        <v>5301</v>
      </c>
      <c r="P719" s="463" t="s">
        <v>5301</v>
      </c>
      <c r="Q719" s="672">
        <v>0</v>
      </c>
      <c r="R719" s="672">
        <v>0</v>
      </c>
      <c r="S719" s="672">
        <v>0</v>
      </c>
      <c r="T719" s="672">
        <v>0</v>
      </c>
      <c r="U719" s="463" t="s">
        <v>7479</v>
      </c>
      <c r="V719" s="463" t="s">
        <v>5306</v>
      </c>
      <c r="W719" s="498">
        <v>528</v>
      </c>
      <c r="X719" s="463" t="s">
        <v>2193</v>
      </c>
      <c r="Y719" s="463"/>
      <c r="Z719" s="463"/>
      <c r="AA719" s="463" t="s">
        <v>1592</v>
      </c>
      <c r="AB719" s="459" t="s">
        <v>1592</v>
      </c>
    </row>
    <row r="720" spans="1:28" ht="24" customHeight="1">
      <c r="A720" s="584"/>
      <c r="B720" s="460" t="s">
        <v>675</v>
      </c>
      <c r="C720" s="458" t="s">
        <v>884</v>
      </c>
      <c r="D720" s="510" t="s">
        <v>5307</v>
      </c>
      <c r="E720" s="498">
        <f t="shared" si="59"/>
        <v>32</v>
      </c>
      <c r="F720" s="498">
        <v>0</v>
      </c>
      <c r="G720" s="498">
        <v>32</v>
      </c>
      <c r="H720" s="498">
        <v>0</v>
      </c>
      <c r="I720" s="498">
        <v>21</v>
      </c>
      <c r="J720" s="498">
        <v>0</v>
      </c>
      <c r="K720" s="498">
        <v>21</v>
      </c>
      <c r="L720" s="668">
        <v>0</v>
      </c>
      <c r="M720" s="672">
        <v>92</v>
      </c>
      <c r="N720" s="498">
        <v>41.1</v>
      </c>
      <c r="O720" s="669" t="s">
        <v>5301</v>
      </c>
      <c r="P720" s="463" t="s">
        <v>5301</v>
      </c>
      <c r="Q720" s="672">
        <v>0</v>
      </c>
      <c r="R720" s="672">
        <v>0</v>
      </c>
      <c r="S720" s="672">
        <v>0</v>
      </c>
      <c r="T720" s="672">
        <v>0</v>
      </c>
      <c r="U720" s="463" t="s">
        <v>7479</v>
      </c>
      <c r="V720" s="463" t="s">
        <v>5308</v>
      </c>
      <c r="W720" s="498">
        <v>68</v>
      </c>
      <c r="X720" s="463" t="s">
        <v>2193</v>
      </c>
      <c r="Y720" s="463"/>
      <c r="Z720" s="463" t="s">
        <v>1662</v>
      </c>
      <c r="AA720" s="463" t="s">
        <v>1592</v>
      </c>
      <c r="AB720" s="459" t="s">
        <v>1592</v>
      </c>
    </row>
    <row r="721" spans="1:28" ht="24" customHeight="1">
      <c r="A721" s="584"/>
      <c r="B721" s="460" t="s">
        <v>675</v>
      </c>
      <c r="C721" s="458" t="s">
        <v>5309</v>
      </c>
      <c r="D721" s="510" t="s">
        <v>5310</v>
      </c>
      <c r="E721" s="498">
        <f t="shared" si="59"/>
        <v>32</v>
      </c>
      <c r="F721" s="498">
        <v>0</v>
      </c>
      <c r="G721" s="498">
        <v>32</v>
      </c>
      <c r="H721" s="498">
        <v>0</v>
      </c>
      <c r="I721" s="498">
        <v>19</v>
      </c>
      <c r="J721" s="498">
        <v>0</v>
      </c>
      <c r="K721" s="498">
        <v>19</v>
      </c>
      <c r="L721" s="668">
        <v>0</v>
      </c>
      <c r="M721" s="672">
        <v>92</v>
      </c>
      <c r="N721" s="498">
        <v>42.8</v>
      </c>
      <c r="O721" s="669" t="s">
        <v>5301</v>
      </c>
      <c r="P721" s="463" t="s">
        <v>5301</v>
      </c>
      <c r="Q721" s="672">
        <v>0</v>
      </c>
      <c r="R721" s="672">
        <v>0</v>
      </c>
      <c r="S721" s="672">
        <v>0</v>
      </c>
      <c r="T721" s="672">
        <v>0</v>
      </c>
      <c r="U721" s="463" t="s">
        <v>7479</v>
      </c>
      <c r="V721" s="463" t="s">
        <v>5311</v>
      </c>
      <c r="W721" s="498">
        <v>159</v>
      </c>
      <c r="X721" s="463" t="s">
        <v>2193</v>
      </c>
      <c r="Y721" s="463"/>
      <c r="Z721" s="463"/>
      <c r="AA721" s="463" t="s">
        <v>1592</v>
      </c>
      <c r="AB721" s="459" t="s">
        <v>1592</v>
      </c>
    </row>
    <row r="722" spans="1:28" ht="24" customHeight="1">
      <c r="A722" s="584"/>
      <c r="B722" s="460" t="s">
        <v>675</v>
      </c>
      <c r="C722" s="458" t="s">
        <v>5312</v>
      </c>
      <c r="D722" s="510" t="s">
        <v>5313</v>
      </c>
      <c r="E722" s="498">
        <f t="shared" si="59"/>
        <v>250</v>
      </c>
      <c r="F722" s="498">
        <v>0</v>
      </c>
      <c r="G722" s="498">
        <v>250</v>
      </c>
      <c r="H722" s="498">
        <v>0</v>
      </c>
      <c r="I722" s="498">
        <v>216</v>
      </c>
      <c r="J722" s="498">
        <v>0</v>
      </c>
      <c r="K722" s="498">
        <v>216</v>
      </c>
      <c r="L722" s="668">
        <v>0</v>
      </c>
      <c r="M722" s="672">
        <v>92</v>
      </c>
      <c r="N722" s="498">
        <v>160.9</v>
      </c>
      <c r="O722" s="669" t="s">
        <v>5301</v>
      </c>
      <c r="P722" s="463" t="s">
        <v>5301</v>
      </c>
      <c r="Q722" s="672">
        <v>0</v>
      </c>
      <c r="R722" s="672">
        <v>0</v>
      </c>
      <c r="S722" s="672">
        <v>0</v>
      </c>
      <c r="T722" s="672">
        <v>0</v>
      </c>
      <c r="U722" s="463" t="s">
        <v>7480</v>
      </c>
      <c r="V722" s="463">
        <v>2000.09</v>
      </c>
      <c r="W722" s="498">
        <v>1200</v>
      </c>
      <c r="X722" s="463" t="s">
        <v>2193</v>
      </c>
      <c r="Y722" s="463"/>
      <c r="Z722" s="463"/>
      <c r="AA722" s="463" t="s">
        <v>1642</v>
      </c>
      <c r="AB722" s="459" t="s">
        <v>1596</v>
      </c>
    </row>
    <row r="723" spans="1:28" ht="24" customHeight="1">
      <c r="A723" s="584"/>
      <c r="B723" s="460" t="s">
        <v>675</v>
      </c>
      <c r="C723" s="458" t="s">
        <v>5314</v>
      </c>
      <c r="D723" s="510" t="s">
        <v>5315</v>
      </c>
      <c r="E723" s="498">
        <f t="shared" si="59"/>
        <v>68</v>
      </c>
      <c r="F723" s="498">
        <v>0</v>
      </c>
      <c r="G723" s="498">
        <v>68</v>
      </c>
      <c r="H723" s="498">
        <v>0</v>
      </c>
      <c r="I723" s="498">
        <v>66</v>
      </c>
      <c r="J723" s="498">
        <v>0</v>
      </c>
      <c r="K723" s="498">
        <v>66</v>
      </c>
      <c r="L723" s="668">
        <v>0</v>
      </c>
      <c r="M723" s="672">
        <v>92</v>
      </c>
      <c r="N723" s="498">
        <v>72.8</v>
      </c>
      <c r="O723" s="669" t="s">
        <v>5301</v>
      </c>
      <c r="P723" s="463" t="s">
        <v>5301</v>
      </c>
      <c r="Q723" s="672">
        <v>0</v>
      </c>
      <c r="R723" s="672">
        <v>0</v>
      </c>
      <c r="S723" s="672">
        <v>0</v>
      </c>
      <c r="T723" s="672">
        <v>0</v>
      </c>
      <c r="U723" s="463" t="s">
        <v>7479</v>
      </c>
      <c r="V723" s="463" t="s">
        <v>5316</v>
      </c>
      <c r="W723" s="498">
        <v>450</v>
      </c>
      <c r="X723" s="463" t="s">
        <v>2193</v>
      </c>
      <c r="Y723" s="463"/>
      <c r="Z723" s="463"/>
      <c r="AA723" s="463" t="s">
        <v>1642</v>
      </c>
      <c r="AB723" s="459" t="s">
        <v>1596</v>
      </c>
    </row>
    <row r="724" spans="1:28" ht="24" customHeight="1">
      <c r="A724" s="584"/>
      <c r="B724" s="460" t="s">
        <v>675</v>
      </c>
      <c r="C724" s="458" t="s">
        <v>5317</v>
      </c>
      <c r="D724" s="510" t="s">
        <v>5318</v>
      </c>
      <c r="E724" s="498">
        <f t="shared" si="59"/>
        <v>68</v>
      </c>
      <c r="F724" s="498">
        <v>0</v>
      </c>
      <c r="G724" s="498">
        <v>68</v>
      </c>
      <c r="H724" s="498">
        <v>0</v>
      </c>
      <c r="I724" s="498">
        <v>48</v>
      </c>
      <c r="J724" s="498">
        <v>0</v>
      </c>
      <c r="K724" s="498">
        <v>48</v>
      </c>
      <c r="L724" s="668">
        <v>0</v>
      </c>
      <c r="M724" s="672">
        <v>92</v>
      </c>
      <c r="N724" s="498">
        <v>220.8</v>
      </c>
      <c r="O724" s="669" t="s">
        <v>5301</v>
      </c>
      <c r="P724" s="463" t="s">
        <v>5301</v>
      </c>
      <c r="Q724" s="672">
        <v>0</v>
      </c>
      <c r="R724" s="672">
        <v>0</v>
      </c>
      <c r="S724" s="672">
        <v>0</v>
      </c>
      <c r="T724" s="672">
        <v>0</v>
      </c>
      <c r="U724" s="463" t="s">
        <v>7479</v>
      </c>
      <c r="V724" s="463" t="s">
        <v>5319</v>
      </c>
      <c r="W724" s="498">
        <v>450</v>
      </c>
      <c r="X724" s="463" t="s">
        <v>2193</v>
      </c>
      <c r="Y724" s="463"/>
      <c r="Z724" s="463"/>
      <c r="AA724" s="463" t="s">
        <v>1642</v>
      </c>
      <c r="AB724" s="459" t="s">
        <v>1596</v>
      </c>
    </row>
    <row r="725" spans="1:28" ht="24" customHeight="1">
      <c r="A725" s="584"/>
      <c r="B725" s="460" t="s">
        <v>675</v>
      </c>
      <c r="C725" s="458" t="s">
        <v>1799</v>
      </c>
      <c r="D725" s="510" t="s">
        <v>5313</v>
      </c>
      <c r="E725" s="498">
        <f t="shared" si="59"/>
        <v>70</v>
      </c>
      <c r="F725" s="498">
        <v>0</v>
      </c>
      <c r="G725" s="498">
        <v>70</v>
      </c>
      <c r="H725" s="498">
        <v>0</v>
      </c>
      <c r="I725" s="498">
        <v>47</v>
      </c>
      <c r="J725" s="498">
        <v>0</v>
      </c>
      <c r="K725" s="498">
        <v>47</v>
      </c>
      <c r="L725" s="668">
        <v>0</v>
      </c>
      <c r="M725" s="672">
        <v>92</v>
      </c>
      <c r="N725" s="498">
        <v>99.4</v>
      </c>
      <c r="O725" s="669" t="s">
        <v>5301</v>
      </c>
      <c r="P725" s="463" t="s">
        <v>5301</v>
      </c>
      <c r="Q725" s="672">
        <v>0</v>
      </c>
      <c r="R725" s="672">
        <v>0</v>
      </c>
      <c r="S725" s="672">
        <v>0</v>
      </c>
      <c r="T725" s="672">
        <v>0</v>
      </c>
      <c r="U725" s="463" t="s">
        <v>7479</v>
      </c>
      <c r="V725" s="463" t="s">
        <v>5306</v>
      </c>
      <c r="W725" s="498">
        <v>351</v>
      </c>
      <c r="X725" s="463" t="s">
        <v>2193</v>
      </c>
      <c r="Y725" s="463"/>
      <c r="Z725" s="463"/>
      <c r="AA725" s="463" t="s">
        <v>1642</v>
      </c>
      <c r="AB725" s="459" t="s">
        <v>1596</v>
      </c>
    </row>
    <row r="726" spans="1:28" ht="24" customHeight="1">
      <c r="A726" s="584"/>
      <c r="B726" s="460" t="s">
        <v>675</v>
      </c>
      <c r="C726" s="458" t="s">
        <v>5320</v>
      </c>
      <c r="D726" s="510" t="s">
        <v>5321</v>
      </c>
      <c r="E726" s="498">
        <f t="shared" si="59"/>
        <v>136</v>
      </c>
      <c r="F726" s="498">
        <v>0</v>
      </c>
      <c r="G726" s="498">
        <v>136</v>
      </c>
      <c r="H726" s="498">
        <v>0</v>
      </c>
      <c r="I726" s="498">
        <v>91</v>
      </c>
      <c r="J726" s="498">
        <v>0</v>
      </c>
      <c r="K726" s="498">
        <v>91</v>
      </c>
      <c r="L726" s="668">
        <v>0</v>
      </c>
      <c r="M726" s="672">
        <v>92</v>
      </c>
      <c r="N726" s="498">
        <v>392.6</v>
      </c>
      <c r="O726" s="669" t="s">
        <v>5301</v>
      </c>
      <c r="P726" s="463" t="s">
        <v>5301</v>
      </c>
      <c r="Q726" s="672">
        <v>0</v>
      </c>
      <c r="R726" s="672">
        <v>0</v>
      </c>
      <c r="S726" s="672">
        <v>0</v>
      </c>
      <c r="T726" s="672">
        <v>0</v>
      </c>
      <c r="U726" s="463" t="s">
        <v>7479</v>
      </c>
      <c r="V726" s="463" t="s">
        <v>3857</v>
      </c>
      <c r="W726" s="498">
        <v>519</v>
      </c>
      <c r="X726" s="463" t="s">
        <v>2193</v>
      </c>
      <c r="Y726" s="463"/>
      <c r="Z726" s="463" t="s">
        <v>1662</v>
      </c>
      <c r="AA726" s="463" t="s">
        <v>1592</v>
      </c>
      <c r="AB726" s="459" t="s">
        <v>1592</v>
      </c>
    </row>
    <row r="727" spans="1:28" ht="24" customHeight="1">
      <c r="A727" s="584"/>
      <c r="B727" s="460" t="s">
        <v>675</v>
      </c>
      <c r="C727" s="458" t="s">
        <v>2067</v>
      </c>
      <c r="D727" s="510" t="s">
        <v>5322</v>
      </c>
      <c r="E727" s="498">
        <f t="shared" si="59"/>
        <v>97</v>
      </c>
      <c r="F727" s="498">
        <v>0</v>
      </c>
      <c r="G727" s="498">
        <v>97</v>
      </c>
      <c r="H727" s="498">
        <v>0</v>
      </c>
      <c r="I727" s="498">
        <v>80</v>
      </c>
      <c r="J727" s="498">
        <v>0</v>
      </c>
      <c r="K727" s="498">
        <v>80</v>
      </c>
      <c r="L727" s="668">
        <v>0</v>
      </c>
      <c r="M727" s="672">
        <v>92</v>
      </c>
      <c r="N727" s="498">
        <v>41.2</v>
      </c>
      <c r="O727" s="669" t="s">
        <v>5301</v>
      </c>
      <c r="P727" s="463" t="s">
        <v>5301</v>
      </c>
      <c r="Q727" s="672">
        <v>0</v>
      </c>
      <c r="R727" s="672">
        <v>0</v>
      </c>
      <c r="S727" s="672">
        <v>0</v>
      </c>
      <c r="T727" s="672">
        <v>0</v>
      </c>
      <c r="U727" s="463" t="s">
        <v>7478</v>
      </c>
      <c r="V727" s="463" t="s">
        <v>5323</v>
      </c>
      <c r="W727" s="498">
        <v>400</v>
      </c>
      <c r="X727" s="463" t="s">
        <v>2193</v>
      </c>
      <c r="Y727" s="463"/>
      <c r="Z727" s="463" t="s">
        <v>1662</v>
      </c>
      <c r="AA727" s="463" t="s">
        <v>1592</v>
      </c>
      <c r="AB727" s="459" t="s">
        <v>1592</v>
      </c>
    </row>
    <row r="728" spans="1:28" ht="24" customHeight="1">
      <c r="A728" s="584"/>
      <c r="B728" s="460" t="s">
        <v>675</v>
      </c>
      <c r="C728" s="458" t="s">
        <v>5324</v>
      </c>
      <c r="D728" s="510" t="s">
        <v>5325</v>
      </c>
      <c r="E728" s="498">
        <f t="shared" si="59"/>
        <v>120</v>
      </c>
      <c r="F728" s="498">
        <v>0</v>
      </c>
      <c r="G728" s="498">
        <v>120</v>
      </c>
      <c r="H728" s="498">
        <v>0</v>
      </c>
      <c r="I728" s="498">
        <v>99</v>
      </c>
      <c r="J728" s="498">
        <v>0</v>
      </c>
      <c r="K728" s="498">
        <v>99</v>
      </c>
      <c r="L728" s="668">
        <v>0</v>
      </c>
      <c r="M728" s="672">
        <v>92</v>
      </c>
      <c r="N728" s="498">
        <v>182</v>
      </c>
      <c r="O728" s="669" t="s">
        <v>5301</v>
      </c>
      <c r="P728" s="463" t="s">
        <v>5301</v>
      </c>
      <c r="Q728" s="672">
        <v>0</v>
      </c>
      <c r="R728" s="672">
        <v>0</v>
      </c>
      <c r="S728" s="672">
        <v>0</v>
      </c>
      <c r="T728" s="672">
        <v>0</v>
      </c>
      <c r="U728" s="463" t="s">
        <v>7478</v>
      </c>
      <c r="V728" s="463" t="s">
        <v>5326</v>
      </c>
      <c r="W728" s="498">
        <v>400</v>
      </c>
      <c r="X728" s="463" t="s">
        <v>2193</v>
      </c>
      <c r="Y728" s="463"/>
      <c r="Z728" s="463" t="s">
        <v>1663</v>
      </c>
      <c r="AA728" s="463" t="s">
        <v>1592</v>
      </c>
      <c r="AB728" s="459" t="s">
        <v>1592</v>
      </c>
    </row>
    <row r="729" spans="1:28" ht="24" customHeight="1">
      <c r="A729" s="584"/>
      <c r="B729" s="460" t="s">
        <v>675</v>
      </c>
      <c r="C729" s="458" t="s">
        <v>5327</v>
      </c>
      <c r="D729" s="510" t="s">
        <v>5328</v>
      </c>
      <c r="E729" s="498">
        <f t="shared" si="59"/>
        <v>170</v>
      </c>
      <c r="F729" s="498">
        <v>0</v>
      </c>
      <c r="G729" s="498">
        <v>170</v>
      </c>
      <c r="H729" s="498">
        <v>0</v>
      </c>
      <c r="I729" s="498">
        <v>136</v>
      </c>
      <c r="J729" s="498">
        <v>0</v>
      </c>
      <c r="K729" s="498">
        <v>136</v>
      </c>
      <c r="L729" s="668">
        <v>0</v>
      </c>
      <c r="M729" s="672">
        <v>92</v>
      </c>
      <c r="N729" s="498">
        <v>188.9</v>
      </c>
      <c r="O729" s="669" t="s">
        <v>5329</v>
      </c>
      <c r="P729" s="463" t="s">
        <v>5330</v>
      </c>
      <c r="Q729" s="672">
        <v>0</v>
      </c>
      <c r="R729" s="672">
        <v>0</v>
      </c>
      <c r="S729" s="672">
        <v>0</v>
      </c>
      <c r="T729" s="672">
        <v>0</v>
      </c>
      <c r="U729" s="463" t="s">
        <v>7478</v>
      </c>
      <c r="V729" s="463" t="s">
        <v>5331</v>
      </c>
      <c r="W729" s="498">
        <v>400</v>
      </c>
      <c r="X729" s="463" t="s">
        <v>2193</v>
      </c>
      <c r="Y729" s="463"/>
      <c r="Z729" s="463" t="s">
        <v>1663</v>
      </c>
      <c r="AA729" s="463" t="s">
        <v>1592</v>
      </c>
      <c r="AB729" s="459" t="s">
        <v>1592</v>
      </c>
    </row>
    <row r="730" spans="1:28" ht="24" customHeight="1">
      <c r="A730" s="582" t="s">
        <v>1664</v>
      </c>
      <c r="B730" s="460" t="s">
        <v>2201</v>
      </c>
      <c r="C730" s="458" t="s">
        <v>1607</v>
      </c>
      <c r="D730" s="510" t="s">
        <v>5332</v>
      </c>
      <c r="E730" s="498">
        <f t="shared" si="59"/>
        <v>5000</v>
      </c>
      <c r="F730" s="498">
        <v>0</v>
      </c>
      <c r="G730" s="498">
        <v>0</v>
      </c>
      <c r="H730" s="498">
        <v>5000</v>
      </c>
      <c r="I730" s="498">
        <f>J730+K730+L730</f>
        <v>3657</v>
      </c>
      <c r="J730" s="498">
        <v>0</v>
      </c>
      <c r="K730" s="498">
        <v>0</v>
      </c>
      <c r="L730" s="668">
        <v>3657</v>
      </c>
      <c r="M730" s="672">
        <f t="shared" si="61"/>
        <v>73.099999999999994</v>
      </c>
      <c r="N730" s="498">
        <v>161</v>
      </c>
      <c r="O730" s="669" t="s">
        <v>1535</v>
      </c>
      <c r="P730" s="463" t="s">
        <v>3388</v>
      </c>
      <c r="Q730" s="672">
        <v>0</v>
      </c>
      <c r="R730" s="672">
        <v>0</v>
      </c>
      <c r="S730" s="672">
        <v>0</v>
      </c>
      <c r="T730" s="672">
        <v>0</v>
      </c>
      <c r="U730" s="463" t="s">
        <v>5333</v>
      </c>
      <c r="V730" s="466" t="s">
        <v>5334</v>
      </c>
      <c r="W730" s="653">
        <v>17470</v>
      </c>
      <c r="X730" s="463" t="s">
        <v>2199</v>
      </c>
      <c r="Y730" s="463" t="s">
        <v>3336</v>
      </c>
      <c r="Z730" s="463" t="s">
        <v>5335</v>
      </c>
      <c r="AA730" s="463" t="s">
        <v>1592</v>
      </c>
      <c r="AB730" s="459" t="s">
        <v>1596</v>
      </c>
    </row>
    <row r="731" spans="1:28" ht="24" customHeight="1">
      <c r="A731" s="584"/>
      <c r="B731" s="460" t="s">
        <v>675</v>
      </c>
      <c r="C731" s="458" t="s">
        <v>5336</v>
      </c>
      <c r="D731" s="510" t="s">
        <v>5337</v>
      </c>
      <c r="E731" s="498">
        <f t="shared" si="59"/>
        <v>36</v>
      </c>
      <c r="F731" s="498">
        <v>0</v>
      </c>
      <c r="G731" s="498">
        <v>36</v>
      </c>
      <c r="H731" s="498">
        <v>0</v>
      </c>
      <c r="I731" s="498">
        <v>0</v>
      </c>
      <c r="J731" s="498">
        <v>0</v>
      </c>
      <c r="K731" s="498">
        <v>0</v>
      </c>
      <c r="L731" s="668">
        <v>0</v>
      </c>
      <c r="M731" s="672">
        <f t="shared" si="61"/>
        <v>0</v>
      </c>
      <c r="N731" s="498">
        <v>0</v>
      </c>
      <c r="O731" s="669" t="s">
        <v>5338</v>
      </c>
      <c r="P731" s="463" t="s">
        <v>1588</v>
      </c>
      <c r="Q731" s="672">
        <v>0</v>
      </c>
      <c r="R731" s="672">
        <v>0</v>
      </c>
      <c r="S731" s="672">
        <v>0</v>
      </c>
      <c r="T731" s="672">
        <v>0</v>
      </c>
      <c r="U731" s="463" t="s">
        <v>5339</v>
      </c>
      <c r="V731" s="463" t="s">
        <v>5340</v>
      </c>
      <c r="W731" s="653">
        <v>271</v>
      </c>
      <c r="X731" s="463" t="s">
        <v>2199</v>
      </c>
      <c r="Y731" s="463"/>
      <c r="Z731" s="463" t="s">
        <v>5341</v>
      </c>
      <c r="AA731" s="463" t="s">
        <v>1592</v>
      </c>
      <c r="AB731" s="459" t="s">
        <v>1596</v>
      </c>
    </row>
    <row r="732" spans="1:28" ht="24" customHeight="1">
      <c r="A732" s="584"/>
      <c r="B732" s="460" t="s">
        <v>675</v>
      </c>
      <c r="C732" s="458" t="s">
        <v>5342</v>
      </c>
      <c r="D732" s="510" t="s">
        <v>5343</v>
      </c>
      <c r="E732" s="498">
        <f t="shared" si="59"/>
        <v>36</v>
      </c>
      <c r="F732" s="498">
        <v>0</v>
      </c>
      <c r="G732" s="498">
        <v>36</v>
      </c>
      <c r="H732" s="498">
        <v>0</v>
      </c>
      <c r="I732" s="498">
        <v>0.36</v>
      </c>
      <c r="J732" s="498">
        <v>0</v>
      </c>
      <c r="K732" s="498">
        <v>0.36</v>
      </c>
      <c r="L732" s="668">
        <v>0</v>
      </c>
      <c r="M732" s="672">
        <f t="shared" si="61"/>
        <v>1</v>
      </c>
      <c r="N732" s="498">
        <v>9</v>
      </c>
      <c r="O732" s="669" t="s">
        <v>5338</v>
      </c>
      <c r="P732" s="463" t="s">
        <v>1588</v>
      </c>
      <c r="Q732" s="672">
        <v>0</v>
      </c>
      <c r="R732" s="672">
        <v>0</v>
      </c>
      <c r="S732" s="672">
        <v>0</v>
      </c>
      <c r="T732" s="672">
        <v>0</v>
      </c>
      <c r="U732" s="463" t="s">
        <v>5339</v>
      </c>
      <c r="V732" s="463" t="s">
        <v>5344</v>
      </c>
      <c r="W732" s="653">
        <v>425</v>
      </c>
      <c r="X732" s="463" t="s">
        <v>2199</v>
      </c>
      <c r="Y732" s="463"/>
      <c r="Z732" s="463" t="s">
        <v>5341</v>
      </c>
      <c r="AA732" s="463" t="s">
        <v>1592</v>
      </c>
      <c r="AB732" s="459" t="s">
        <v>1596</v>
      </c>
    </row>
    <row r="733" spans="1:28" ht="24" customHeight="1">
      <c r="A733" s="584"/>
      <c r="B733" s="460" t="s">
        <v>675</v>
      </c>
      <c r="C733" s="458" t="s">
        <v>5345</v>
      </c>
      <c r="D733" s="510" t="s">
        <v>5346</v>
      </c>
      <c r="E733" s="498">
        <f t="shared" si="59"/>
        <v>50</v>
      </c>
      <c r="F733" s="498">
        <v>0</v>
      </c>
      <c r="G733" s="498">
        <v>0</v>
      </c>
      <c r="H733" s="498">
        <v>50</v>
      </c>
      <c r="I733" s="498">
        <v>5</v>
      </c>
      <c r="J733" s="498">
        <v>0</v>
      </c>
      <c r="K733" s="498">
        <v>0</v>
      </c>
      <c r="L733" s="668">
        <v>5</v>
      </c>
      <c r="M733" s="672">
        <f t="shared" si="61"/>
        <v>10</v>
      </c>
      <c r="N733" s="498">
        <v>35</v>
      </c>
      <c r="O733" s="669" t="s">
        <v>5347</v>
      </c>
      <c r="P733" s="463" t="s">
        <v>5348</v>
      </c>
      <c r="Q733" s="672">
        <v>0</v>
      </c>
      <c r="R733" s="672">
        <v>0</v>
      </c>
      <c r="S733" s="672">
        <v>0</v>
      </c>
      <c r="T733" s="672">
        <v>0</v>
      </c>
      <c r="U733" s="463" t="s">
        <v>5349</v>
      </c>
      <c r="V733" s="463" t="s">
        <v>5350</v>
      </c>
      <c r="W733" s="653">
        <v>484</v>
      </c>
      <c r="X733" s="463" t="s">
        <v>2199</v>
      </c>
      <c r="Y733" s="463"/>
      <c r="Z733" s="463" t="s">
        <v>5351</v>
      </c>
      <c r="AA733" s="463" t="s">
        <v>1592</v>
      </c>
      <c r="AB733" s="459" t="s">
        <v>1596</v>
      </c>
    </row>
    <row r="734" spans="1:28" ht="24" customHeight="1">
      <c r="A734" s="584"/>
      <c r="B734" s="460" t="s">
        <v>675</v>
      </c>
      <c r="C734" s="458" t="s">
        <v>5352</v>
      </c>
      <c r="D734" s="510" t="s">
        <v>5353</v>
      </c>
      <c r="E734" s="498">
        <f t="shared" si="59"/>
        <v>70</v>
      </c>
      <c r="F734" s="498">
        <v>0</v>
      </c>
      <c r="G734" s="498">
        <v>0</v>
      </c>
      <c r="H734" s="498">
        <v>70</v>
      </c>
      <c r="I734" s="498">
        <v>28.4</v>
      </c>
      <c r="J734" s="498">
        <v>0</v>
      </c>
      <c r="K734" s="498">
        <v>0</v>
      </c>
      <c r="L734" s="668">
        <v>28.4</v>
      </c>
      <c r="M734" s="672">
        <f t="shared" si="61"/>
        <v>40.6</v>
      </c>
      <c r="N734" s="498">
        <v>139</v>
      </c>
      <c r="O734" s="669" t="s">
        <v>5347</v>
      </c>
      <c r="P734" s="463" t="s">
        <v>5348</v>
      </c>
      <c r="Q734" s="672">
        <v>0</v>
      </c>
      <c r="R734" s="672">
        <v>0</v>
      </c>
      <c r="S734" s="672">
        <v>0</v>
      </c>
      <c r="T734" s="672">
        <v>0</v>
      </c>
      <c r="U734" s="463" t="s">
        <v>5349</v>
      </c>
      <c r="V734" s="463" t="s">
        <v>5354</v>
      </c>
      <c r="W734" s="653">
        <v>546</v>
      </c>
      <c r="X734" s="463" t="s">
        <v>2199</v>
      </c>
      <c r="Y734" s="463"/>
      <c r="Z734" s="463" t="s">
        <v>5355</v>
      </c>
      <c r="AA734" s="463"/>
      <c r="AB734" s="459" t="s">
        <v>1596</v>
      </c>
    </row>
    <row r="735" spans="1:28" ht="24" customHeight="1">
      <c r="A735" s="584"/>
      <c r="B735" s="460" t="s">
        <v>675</v>
      </c>
      <c r="C735" s="458" t="s">
        <v>5356</v>
      </c>
      <c r="D735" s="510" t="s">
        <v>5357</v>
      </c>
      <c r="E735" s="498">
        <f t="shared" si="59"/>
        <v>50</v>
      </c>
      <c r="F735" s="498">
        <v>0</v>
      </c>
      <c r="G735" s="498">
        <v>50</v>
      </c>
      <c r="H735" s="498">
        <v>0</v>
      </c>
      <c r="I735" s="498">
        <v>0</v>
      </c>
      <c r="J735" s="498">
        <v>0</v>
      </c>
      <c r="K735" s="498">
        <v>0</v>
      </c>
      <c r="L735" s="668">
        <v>0</v>
      </c>
      <c r="M735" s="672">
        <f t="shared" si="61"/>
        <v>0</v>
      </c>
      <c r="N735" s="498">
        <v>0</v>
      </c>
      <c r="O735" s="669" t="s">
        <v>5338</v>
      </c>
      <c r="P735" s="463" t="s">
        <v>1588</v>
      </c>
      <c r="Q735" s="672">
        <v>0</v>
      </c>
      <c r="R735" s="672">
        <v>0</v>
      </c>
      <c r="S735" s="672">
        <v>0</v>
      </c>
      <c r="T735" s="672">
        <v>0</v>
      </c>
      <c r="U735" s="463" t="s">
        <v>5349</v>
      </c>
      <c r="V735" s="463"/>
      <c r="W735" s="653">
        <v>400</v>
      </c>
      <c r="X735" s="463" t="s">
        <v>2199</v>
      </c>
      <c r="Y735" s="463"/>
      <c r="Z735" s="463" t="s">
        <v>2290</v>
      </c>
      <c r="AA735" s="463"/>
      <c r="AB735" s="459" t="s">
        <v>1596</v>
      </c>
    </row>
    <row r="736" spans="1:28" ht="24" customHeight="1">
      <c r="A736" s="584"/>
      <c r="B736" s="460" t="s">
        <v>675</v>
      </c>
      <c r="C736" s="458" t="s">
        <v>5358</v>
      </c>
      <c r="D736" s="510" t="s">
        <v>5359</v>
      </c>
      <c r="E736" s="498">
        <f t="shared" si="59"/>
        <v>40</v>
      </c>
      <c r="F736" s="498">
        <v>0</v>
      </c>
      <c r="G736" s="498">
        <v>40</v>
      </c>
      <c r="H736" s="498">
        <v>0</v>
      </c>
      <c r="I736" s="498">
        <v>11.5</v>
      </c>
      <c r="J736" s="498">
        <v>0</v>
      </c>
      <c r="K736" s="498">
        <v>11.5</v>
      </c>
      <c r="L736" s="668">
        <v>0</v>
      </c>
      <c r="M736" s="672">
        <f t="shared" si="61"/>
        <v>28.8</v>
      </c>
      <c r="N736" s="498">
        <v>91.98</v>
      </c>
      <c r="O736" s="669" t="s">
        <v>5338</v>
      </c>
      <c r="P736" s="463" t="s">
        <v>1588</v>
      </c>
      <c r="Q736" s="672">
        <v>0</v>
      </c>
      <c r="R736" s="672">
        <v>0</v>
      </c>
      <c r="S736" s="672">
        <v>0</v>
      </c>
      <c r="T736" s="672">
        <v>0</v>
      </c>
      <c r="U736" s="463" t="s">
        <v>5349</v>
      </c>
      <c r="V736" s="463" t="s">
        <v>5360</v>
      </c>
      <c r="W736" s="653">
        <v>302</v>
      </c>
      <c r="X736" s="463" t="s">
        <v>2199</v>
      </c>
      <c r="Y736" s="463"/>
      <c r="Z736" s="463"/>
      <c r="AA736" s="463" t="s">
        <v>1592</v>
      </c>
      <c r="AB736" s="459" t="s">
        <v>1596</v>
      </c>
    </row>
    <row r="737" spans="1:28" ht="24" customHeight="1">
      <c r="A737" s="598" t="s">
        <v>1665</v>
      </c>
      <c r="B737" s="528" t="s">
        <v>2201</v>
      </c>
      <c r="C737" s="724" t="s">
        <v>2412</v>
      </c>
      <c r="D737" s="523" t="s">
        <v>5361</v>
      </c>
      <c r="E737" s="656">
        <f t="shared" si="59"/>
        <v>3200</v>
      </c>
      <c r="F737" s="656">
        <v>0</v>
      </c>
      <c r="G737" s="656">
        <v>3200</v>
      </c>
      <c r="H737" s="656">
        <v>0</v>
      </c>
      <c r="I737" s="656">
        <f>SUM(J737:L737)</f>
        <v>2533</v>
      </c>
      <c r="J737" s="656">
        <v>0</v>
      </c>
      <c r="K737" s="656">
        <v>2533</v>
      </c>
      <c r="L737" s="729">
        <v>0</v>
      </c>
      <c r="M737" s="672">
        <f t="shared" si="61"/>
        <v>79.2</v>
      </c>
      <c r="N737" s="498">
        <v>87.5</v>
      </c>
      <c r="O737" s="713" t="s">
        <v>5362</v>
      </c>
      <c r="P737" s="462" t="s">
        <v>1588</v>
      </c>
      <c r="Q737" s="677">
        <v>48</v>
      </c>
      <c r="R737" s="677">
        <v>0</v>
      </c>
      <c r="S737" s="677">
        <v>0</v>
      </c>
      <c r="T737" s="677">
        <v>0</v>
      </c>
      <c r="U737" s="496" t="s">
        <v>2448</v>
      </c>
      <c r="V737" s="529" t="s">
        <v>5363</v>
      </c>
      <c r="W737" s="656">
        <v>13600</v>
      </c>
      <c r="X737" s="496" t="s">
        <v>3205</v>
      </c>
      <c r="Y737" s="496" t="s">
        <v>1935</v>
      </c>
      <c r="Z737" s="496" t="s">
        <v>1666</v>
      </c>
      <c r="AA737" s="496" t="s">
        <v>1666</v>
      </c>
      <c r="AB737" s="530" t="s">
        <v>1592</v>
      </c>
    </row>
    <row r="738" spans="1:28" ht="24" customHeight="1">
      <c r="A738" s="599"/>
      <c r="B738" s="528" t="s">
        <v>675</v>
      </c>
      <c r="C738" s="724" t="s">
        <v>5364</v>
      </c>
      <c r="D738" s="523" t="s">
        <v>5365</v>
      </c>
      <c r="E738" s="656">
        <f t="shared" si="59"/>
        <v>150</v>
      </c>
      <c r="F738" s="656">
        <v>0</v>
      </c>
      <c r="G738" s="656">
        <v>0</v>
      </c>
      <c r="H738" s="656">
        <v>150</v>
      </c>
      <c r="I738" s="656">
        <f>SUM(J738:L738)</f>
        <v>0</v>
      </c>
      <c r="J738" s="656">
        <v>0</v>
      </c>
      <c r="K738" s="656">
        <v>0</v>
      </c>
      <c r="L738" s="729">
        <v>0</v>
      </c>
      <c r="M738" s="672">
        <f t="shared" si="61"/>
        <v>0</v>
      </c>
      <c r="N738" s="656">
        <v>0</v>
      </c>
      <c r="O738" s="713" t="s">
        <v>5366</v>
      </c>
      <c r="P738" s="462" t="s">
        <v>1588</v>
      </c>
      <c r="Q738" s="677">
        <v>0</v>
      </c>
      <c r="R738" s="677">
        <v>0</v>
      </c>
      <c r="S738" s="677">
        <v>0</v>
      </c>
      <c r="T738" s="677">
        <v>0</v>
      </c>
      <c r="U738" s="496" t="s">
        <v>2448</v>
      </c>
      <c r="V738" s="529" t="s">
        <v>5367</v>
      </c>
      <c r="W738" s="656">
        <v>597</v>
      </c>
      <c r="X738" s="496" t="s">
        <v>3205</v>
      </c>
      <c r="Y738" s="496" t="s">
        <v>1935</v>
      </c>
      <c r="Z738" s="496" t="s">
        <v>5368</v>
      </c>
      <c r="AA738" s="496"/>
      <c r="AB738" s="530" t="s">
        <v>5369</v>
      </c>
    </row>
    <row r="739" spans="1:28" ht="24" customHeight="1">
      <c r="A739" s="599"/>
      <c r="B739" s="528" t="s">
        <v>675</v>
      </c>
      <c r="C739" s="724" t="s">
        <v>5370</v>
      </c>
      <c r="D739" s="523" t="s">
        <v>5371</v>
      </c>
      <c r="E739" s="656">
        <f t="shared" si="59"/>
        <v>200</v>
      </c>
      <c r="F739" s="656">
        <v>0</v>
      </c>
      <c r="G739" s="656">
        <v>0</v>
      </c>
      <c r="H739" s="656">
        <v>200</v>
      </c>
      <c r="I739" s="656">
        <f>SUM(J739:L739)</f>
        <v>0</v>
      </c>
      <c r="J739" s="656">
        <v>0</v>
      </c>
      <c r="K739" s="656">
        <v>0</v>
      </c>
      <c r="L739" s="729">
        <v>0</v>
      </c>
      <c r="M739" s="672">
        <f t="shared" si="61"/>
        <v>0</v>
      </c>
      <c r="N739" s="656">
        <v>0</v>
      </c>
      <c r="O739" s="713" t="s">
        <v>5372</v>
      </c>
      <c r="P739" s="462" t="s">
        <v>1588</v>
      </c>
      <c r="Q739" s="677">
        <v>0</v>
      </c>
      <c r="R739" s="677">
        <v>0</v>
      </c>
      <c r="S739" s="677">
        <v>0</v>
      </c>
      <c r="T739" s="677">
        <v>0</v>
      </c>
      <c r="U739" s="496" t="s">
        <v>2448</v>
      </c>
      <c r="V739" s="529" t="s">
        <v>5367</v>
      </c>
      <c r="W739" s="656">
        <v>700</v>
      </c>
      <c r="X739" s="496" t="s">
        <v>3205</v>
      </c>
      <c r="Y739" s="496" t="s">
        <v>1935</v>
      </c>
      <c r="Z739" s="496"/>
      <c r="AA739" s="496" t="s">
        <v>1666</v>
      </c>
      <c r="AB739" s="530" t="s">
        <v>1592</v>
      </c>
    </row>
    <row r="740" spans="1:28" ht="24" customHeight="1">
      <c r="A740" s="599"/>
      <c r="B740" s="528" t="s">
        <v>675</v>
      </c>
      <c r="C740" s="724" t="s">
        <v>2143</v>
      </c>
      <c r="D740" s="523" t="s">
        <v>5373</v>
      </c>
      <c r="E740" s="656">
        <f t="shared" si="59"/>
        <v>69</v>
      </c>
      <c r="F740" s="656">
        <v>0</v>
      </c>
      <c r="G740" s="656">
        <v>69</v>
      </c>
      <c r="H740" s="656">
        <v>0</v>
      </c>
      <c r="I740" s="656">
        <f t="shared" ref="I740:I745" si="62">SUM(J740:L740)</f>
        <v>28</v>
      </c>
      <c r="J740" s="656">
        <v>0</v>
      </c>
      <c r="K740" s="656">
        <v>28</v>
      </c>
      <c r="L740" s="729">
        <v>0</v>
      </c>
      <c r="M740" s="672">
        <f t="shared" si="61"/>
        <v>40.6</v>
      </c>
      <c r="N740" s="498">
        <v>0.97</v>
      </c>
      <c r="O740" s="713" t="s">
        <v>3298</v>
      </c>
      <c r="P740" s="462" t="s">
        <v>1588</v>
      </c>
      <c r="Q740" s="677">
        <v>0</v>
      </c>
      <c r="R740" s="677">
        <v>0</v>
      </c>
      <c r="S740" s="677">
        <v>0</v>
      </c>
      <c r="T740" s="677">
        <v>0</v>
      </c>
      <c r="U740" s="496" t="s">
        <v>2448</v>
      </c>
      <c r="V740" s="529" t="s">
        <v>5374</v>
      </c>
      <c r="W740" s="656">
        <v>300</v>
      </c>
      <c r="X740" s="496" t="s">
        <v>3205</v>
      </c>
      <c r="Y740" s="496" t="s">
        <v>1935</v>
      </c>
      <c r="Z740" s="496" t="s">
        <v>5375</v>
      </c>
      <c r="AA740" s="496"/>
      <c r="AB740" s="530" t="s">
        <v>1592</v>
      </c>
    </row>
    <row r="741" spans="1:28" ht="24" customHeight="1">
      <c r="A741" s="599"/>
      <c r="B741" s="528" t="s">
        <v>675</v>
      </c>
      <c r="C741" s="724" t="s">
        <v>321</v>
      </c>
      <c r="D741" s="523" t="s">
        <v>5376</v>
      </c>
      <c r="E741" s="656">
        <f t="shared" si="59"/>
        <v>100</v>
      </c>
      <c r="F741" s="656">
        <v>0</v>
      </c>
      <c r="G741" s="656">
        <v>0</v>
      </c>
      <c r="H741" s="656">
        <v>100</v>
      </c>
      <c r="I741" s="656">
        <f t="shared" si="62"/>
        <v>15</v>
      </c>
      <c r="J741" s="656">
        <v>0</v>
      </c>
      <c r="K741" s="656">
        <v>0</v>
      </c>
      <c r="L741" s="729">
        <v>15</v>
      </c>
      <c r="M741" s="672">
        <f t="shared" si="61"/>
        <v>15</v>
      </c>
      <c r="N741" s="498">
        <v>0.83</v>
      </c>
      <c r="O741" s="713" t="s">
        <v>5372</v>
      </c>
      <c r="P741" s="462" t="s">
        <v>1588</v>
      </c>
      <c r="Q741" s="677">
        <v>0</v>
      </c>
      <c r="R741" s="677">
        <v>0</v>
      </c>
      <c r="S741" s="677">
        <v>0</v>
      </c>
      <c r="T741" s="677">
        <v>0</v>
      </c>
      <c r="U741" s="496" t="s">
        <v>2448</v>
      </c>
      <c r="V741" s="529" t="s">
        <v>5377</v>
      </c>
      <c r="W741" s="656">
        <v>500</v>
      </c>
      <c r="X741" s="496" t="s">
        <v>3205</v>
      </c>
      <c r="Y741" s="496" t="s">
        <v>1935</v>
      </c>
      <c r="Z741" s="496"/>
      <c r="AA741" s="496"/>
      <c r="AB741" s="530" t="s">
        <v>1592</v>
      </c>
    </row>
    <row r="742" spans="1:28" ht="24" customHeight="1">
      <c r="A742" s="599"/>
      <c r="B742" s="528" t="s">
        <v>675</v>
      </c>
      <c r="C742" s="724" t="s">
        <v>5378</v>
      </c>
      <c r="D742" s="523" t="s">
        <v>5379</v>
      </c>
      <c r="E742" s="656">
        <f t="shared" si="59"/>
        <v>60</v>
      </c>
      <c r="F742" s="656">
        <v>0</v>
      </c>
      <c r="G742" s="656">
        <v>60</v>
      </c>
      <c r="H742" s="656">
        <v>0</v>
      </c>
      <c r="I742" s="656">
        <f t="shared" si="62"/>
        <v>55</v>
      </c>
      <c r="J742" s="656">
        <v>0</v>
      </c>
      <c r="K742" s="656">
        <v>55</v>
      </c>
      <c r="L742" s="729">
        <v>0</v>
      </c>
      <c r="M742" s="672">
        <f t="shared" si="61"/>
        <v>91.7</v>
      </c>
      <c r="N742" s="498">
        <v>2.83</v>
      </c>
      <c r="O742" s="713" t="s">
        <v>3298</v>
      </c>
      <c r="P742" s="462" t="s">
        <v>1588</v>
      </c>
      <c r="Q742" s="677">
        <v>0</v>
      </c>
      <c r="R742" s="677">
        <v>0</v>
      </c>
      <c r="S742" s="677">
        <v>0</v>
      </c>
      <c r="T742" s="677">
        <v>0</v>
      </c>
      <c r="U742" s="496" t="s">
        <v>2448</v>
      </c>
      <c r="V742" s="529" t="s">
        <v>5380</v>
      </c>
      <c r="W742" s="656">
        <v>467</v>
      </c>
      <c r="X742" s="496" t="s">
        <v>3205</v>
      </c>
      <c r="Y742" s="496" t="s">
        <v>1935</v>
      </c>
      <c r="Z742" s="496"/>
      <c r="AA742" s="496" t="s">
        <v>1666</v>
      </c>
      <c r="AB742" s="530" t="s">
        <v>1592</v>
      </c>
    </row>
    <row r="743" spans="1:28" ht="24" customHeight="1">
      <c r="A743" s="599"/>
      <c r="B743" s="528" t="s">
        <v>675</v>
      </c>
      <c r="C743" s="724" t="s">
        <v>5381</v>
      </c>
      <c r="D743" s="523" t="s">
        <v>5382</v>
      </c>
      <c r="E743" s="656">
        <f t="shared" si="59"/>
        <v>60</v>
      </c>
      <c r="F743" s="656">
        <v>0</v>
      </c>
      <c r="G743" s="656">
        <v>60</v>
      </c>
      <c r="H743" s="656">
        <v>0</v>
      </c>
      <c r="I743" s="656">
        <f t="shared" si="62"/>
        <v>24</v>
      </c>
      <c r="J743" s="656">
        <v>0</v>
      </c>
      <c r="K743" s="656">
        <v>24</v>
      </c>
      <c r="L743" s="729">
        <v>0</v>
      </c>
      <c r="M743" s="672">
        <f t="shared" si="61"/>
        <v>40</v>
      </c>
      <c r="N743" s="498">
        <v>1.41</v>
      </c>
      <c r="O743" s="713" t="s">
        <v>3298</v>
      </c>
      <c r="P743" s="462" t="s">
        <v>1588</v>
      </c>
      <c r="Q743" s="677">
        <v>0</v>
      </c>
      <c r="R743" s="677">
        <v>0</v>
      </c>
      <c r="S743" s="677">
        <v>0</v>
      </c>
      <c r="T743" s="677">
        <v>0</v>
      </c>
      <c r="U743" s="496" t="s">
        <v>2448</v>
      </c>
      <c r="V743" s="529" t="s">
        <v>5383</v>
      </c>
      <c r="W743" s="656">
        <v>400</v>
      </c>
      <c r="X743" s="496" t="s">
        <v>3205</v>
      </c>
      <c r="Y743" s="496" t="s">
        <v>1935</v>
      </c>
      <c r="Z743" s="496" t="s">
        <v>5384</v>
      </c>
      <c r="AA743" s="496" t="s">
        <v>1666</v>
      </c>
      <c r="AB743" s="530" t="s">
        <v>1592</v>
      </c>
    </row>
    <row r="744" spans="1:28" ht="24" customHeight="1">
      <c r="A744" s="599"/>
      <c r="B744" s="528" t="s">
        <v>675</v>
      </c>
      <c r="C744" s="724" t="s">
        <v>5385</v>
      </c>
      <c r="D744" s="523" t="s">
        <v>5386</v>
      </c>
      <c r="E744" s="656">
        <f t="shared" si="59"/>
        <v>200</v>
      </c>
      <c r="F744" s="656">
        <v>0</v>
      </c>
      <c r="G744" s="656">
        <v>0</v>
      </c>
      <c r="H744" s="656">
        <v>200</v>
      </c>
      <c r="I744" s="656">
        <f t="shared" si="62"/>
        <v>34</v>
      </c>
      <c r="J744" s="656">
        <v>0</v>
      </c>
      <c r="K744" s="656">
        <v>0</v>
      </c>
      <c r="L744" s="729">
        <v>34</v>
      </c>
      <c r="M744" s="672">
        <f t="shared" si="61"/>
        <v>17</v>
      </c>
      <c r="N744" s="498">
        <v>1.95</v>
      </c>
      <c r="O744" s="713" t="s">
        <v>5372</v>
      </c>
      <c r="P744" s="462" t="s">
        <v>1588</v>
      </c>
      <c r="Q744" s="677">
        <v>0</v>
      </c>
      <c r="R744" s="677">
        <v>0</v>
      </c>
      <c r="S744" s="677">
        <v>0</v>
      </c>
      <c r="T744" s="677">
        <v>0</v>
      </c>
      <c r="U744" s="496" t="s">
        <v>2448</v>
      </c>
      <c r="V744" s="529" t="s">
        <v>5387</v>
      </c>
      <c r="W744" s="656">
        <v>600</v>
      </c>
      <c r="X744" s="496" t="s">
        <v>3205</v>
      </c>
      <c r="Y744" s="496" t="s">
        <v>1935</v>
      </c>
      <c r="Z744" s="496" t="s">
        <v>1648</v>
      </c>
      <c r="AA744" s="496"/>
      <c r="AB744" s="530" t="s">
        <v>5369</v>
      </c>
    </row>
    <row r="745" spans="1:28" ht="24" customHeight="1">
      <c r="A745" s="599"/>
      <c r="B745" s="528" t="s">
        <v>675</v>
      </c>
      <c r="C745" s="724" t="s">
        <v>5388</v>
      </c>
      <c r="D745" s="523" t="s">
        <v>5389</v>
      </c>
      <c r="E745" s="656">
        <f t="shared" si="59"/>
        <v>50</v>
      </c>
      <c r="F745" s="656">
        <v>0</v>
      </c>
      <c r="G745" s="656">
        <v>50</v>
      </c>
      <c r="H745" s="656">
        <v>0</v>
      </c>
      <c r="I745" s="656">
        <f t="shared" si="62"/>
        <v>33</v>
      </c>
      <c r="J745" s="656">
        <v>0</v>
      </c>
      <c r="K745" s="656">
        <v>33</v>
      </c>
      <c r="L745" s="729">
        <v>0</v>
      </c>
      <c r="M745" s="672">
        <f t="shared" si="61"/>
        <v>66</v>
      </c>
      <c r="N745" s="498">
        <v>2.04</v>
      </c>
      <c r="O745" s="713" t="s">
        <v>3298</v>
      </c>
      <c r="P745" s="462" t="s">
        <v>1588</v>
      </c>
      <c r="Q745" s="677">
        <v>0</v>
      </c>
      <c r="R745" s="677">
        <v>0</v>
      </c>
      <c r="S745" s="677">
        <v>0</v>
      </c>
      <c r="T745" s="677">
        <v>0</v>
      </c>
      <c r="U745" s="496" t="s">
        <v>2448</v>
      </c>
      <c r="V745" s="529" t="s">
        <v>5390</v>
      </c>
      <c r="W745" s="656">
        <v>400</v>
      </c>
      <c r="X745" s="496" t="s">
        <v>3205</v>
      </c>
      <c r="Y745" s="496" t="s">
        <v>1935</v>
      </c>
      <c r="Z745" s="496" t="s">
        <v>1648</v>
      </c>
      <c r="AA745" s="496"/>
      <c r="AB745" s="530" t="s">
        <v>5369</v>
      </c>
    </row>
    <row r="746" spans="1:28" ht="24" customHeight="1">
      <c r="A746" s="582" t="s">
        <v>1667</v>
      </c>
      <c r="B746" s="460" t="s">
        <v>2201</v>
      </c>
      <c r="C746" s="458" t="s">
        <v>2413</v>
      </c>
      <c r="D746" s="510" t="s">
        <v>5391</v>
      </c>
      <c r="E746" s="498">
        <v>17000</v>
      </c>
      <c r="F746" s="498">
        <v>0</v>
      </c>
      <c r="G746" s="498">
        <v>17000</v>
      </c>
      <c r="H746" s="498">
        <v>0</v>
      </c>
      <c r="I746" s="498">
        <v>13462</v>
      </c>
      <c r="J746" s="498">
        <v>0</v>
      </c>
      <c r="K746" s="498">
        <v>13462</v>
      </c>
      <c r="L746" s="668">
        <v>0</v>
      </c>
      <c r="M746" s="672">
        <f t="shared" si="61"/>
        <v>79.2</v>
      </c>
      <c r="N746" s="498">
        <v>0</v>
      </c>
      <c r="O746" s="669" t="s">
        <v>3173</v>
      </c>
      <c r="P746" s="463" t="s">
        <v>1588</v>
      </c>
      <c r="Q746" s="672">
        <v>40</v>
      </c>
      <c r="R746" s="672">
        <v>0</v>
      </c>
      <c r="S746" s="672">
        <v>46</v>
      </c>
      <c r="T746" s="672">
        <v>0</v>
      </c>
      <c r="U746" s="463" t="s">
        <v>7481</v>
      </c>
      <c r="V746" s="466" t="s">
        <v>5392</v>
      </c>
      <c r="W746" s="498">
        <v>38427</v>
      </c>
      <c r="X746" s="463" t="s">
        <v>2199</v>
      </c>
      <c r="Y746" s="463" t="s">
        <v>5393</v>
      </c>
      <c r="Z746" s="463"/>
      <c r="AA746" s="463" t="s">
        <v>1669</v>
      </c>
      <c r="AB746" s="459" t="s">
        <v>1596</v>
      </c>
    </row>
    <row r="747" spans="1:28" ht="24" customHeight="1">
      <c r="A747" s="584"/>
      <c r="B747" s="460" t="s">
        <v>2201</v>
      </c>
      <c r="C747" s="458" t="s">
        <v>5394</v>
      </c>
      <c r="D747" s="510" t="s">
        <v>5395</v>
      </c>
      <c r="E747" s="498">
        <v>5000</v>
      </c>
      <c r="F747" s="498">
        <v>0</v>
      </c>
      <c r="G747" s="498">
        <v>0</v>
      </c>
      <c r="H747" s="498">
        <v>5000</v>
      </c>
      <c r="I747" s="498">
        <v>3863</v>
      </c>
      <c r="J747" s="498">
        <v>0</v>
      </c>
      <c r="K747" s="498">
        <v>0</v>
      </c>
      <c r="L747" s="668">
        <v>3863</v>
      </c>
      <c r="M747" s="672">
        <f t="shared" si="61"/>
        <v>77.3</v>
      </c>
      <c r="N747" s="498">
        <v>0</v>
      </c>
      <c r="O747" s="669" t="s">
        <v>5396</v>
      </c>
      <c r="P747" s="463" t="s">
        <v>1588</v>
      </c>
      <c r="Q747" s="672">
        <v>0</v>
      </c>
      <c r="R747" s="672">
        <v>0</v>
      </c>
      <c r="S747" s="672">
        <v>0</v>
      </c>
      <c r="T747" s="672">
        <v>0</v>
      </c>
      <c r="U747" s="463" t="s">
        <v>7482</v>
      </c>
      <c r="V747" s="466" t="s">
        <v>5397</v>
      </c>
      <c r="W747" s="498">
        <v>23000</v>
      </c>
      <c r="X747" s="463" t="s">
        <v>2199</v>
      </c>
      <c r="Y747" s="463" t="s">
        <v>5393</v>
      </c>
      <c r="Z747" s="463"/>
      <c r="AA747" s="463" t="s">
        <v>5398</v>
      </c>
      <c r="AB747" s="459" t="s">
        <v>5399</v>
      </c>
    </row>
    <row r="748" spans="1:28" ht="24" customHeight="1">
      <c r="A748" s="584"/>
      <c r="B748" s="460" t="s">
        <v>675</v>
      </c>
      <c r="C748" s="458" t="s">
        <v>7540</v>
      </c>
      <c r="D748" s="510" t="s">
        <v>5994</v>
      </c>
      <c r="E748" s="498">
        <v>69</v>
      </c>
      <c r="F748" s="498">
        <v>0</v>
      </c>
      <c r="G748" s="498">
        <v>69</v>
      </c>
      <c r="H748" s="498">
        <v>0</v>
      </c>
      <c r="I748" s="498">
        <v>52</v>
      </c>
      <c r="J748" s="498">
        <v>0</v>
      </c>
      <c r="K748" s="498">
        <v>52</v>
      </c>
      <c r="L748" s="668">
        <v>0</v>
      </c>
      <c r="M748" s="672">
        <v>75.362318840579718</v>
      </c>
      <c r="N748" s="498">
        <v>0</v>
      </c>
      <c r="O748" s="669" t="s">
        <v>5995</v>
      </c>
      <c r="P748" s="463" t="s">
        <v>1588</v>
      </c>
      <c r="Q748" s="672">
        <v>0</v>
      </c>
      <c r="R748" s="672">
        <v>0</v>
      </c>
      <c r="S748" s="672">
        <v>0</v>
      </c>
      <c r="T748" s="672">
        <v>0</v>
      </c>
      <c r="U748" s="463" t="s">
        <v>7483</v>
      </c>
      <c r="V748" s="466">
        <v>1999.12</v>
      </c>
      <c r="W748" s="498"/>
      <c r="X748" s="463" t="s">
        <v>2244</v>
      </c>
      <c r="Y748" s="463"/>
      <c r="Z748" s="463"/>
      <c r="AA748" s="463" t="s">
        <v>5996</v>
      </c>
      <c r="AB748" s="459" t="s">
        <v>3634</v>
      </c>
    </row>
    <row r="749" spans="1:28" ht="24" customHeight="1">
      <c r="A749" s="584"/>
      <c r="B749" s="460" t="s">
        <v>675</v>
      </c>
      <c r="C749" s="458" t="s">
        <v>7541</v>
      </c>
      <c r="D749" s="510" t="s">
        <v>5998</v>
      </c>
      <c r="E749" s="498">
        <v>23</v>
      </c>
      <c r="F749" s="498">
        <v>0</v>
      </c>
      <c r="G749" s="498">
        <v>23</v>
      </c>
      <c r="H749" s="498">
        <v>0</v>
      </c>
      <c r="I749" s="498">
        <v>19.8</v>
      </c>
      <c r="J749" s="498">
        <v>0</v>
      </c>
      <c r="K749" s="498">
        <v>19.8</v>
      </c>
      <c r="L749" s="668">
        <v>0</v>
      </c>
      <c r="M749" s="672">
        <v>86.08695652173914</v>
      </c>
      <c r="N749" s="498">
        <v>0</v>
      </c>
      <c r="O749" s="669" t="s">
        <v>5995</v>
      </c>
      <c r="P749" s="463" t="s">
        <v>1588</v>
      </c>
      <c r="Q749" s="672">
        <v>0</v>
      </c>
      <c r="R749" s="672">
        <v>0</v>
      </c>
      <c r="S749" s="672">
        <v>0</v>
      </c>
      <c r="T749" s="672">
        <v>0</v>
      </c>
      <c r="U749" s="463" t="s">
        <v>7483</v>
      </c>
      <c r="V749" s="466">
        <v>2001</v>
      </c>
      <c r="W749" s="498"/>
      <c r="X749" s="463" t="s">
        <v>2244</v>
      </c>
      <c r="Y749" s="463"/>
      <c r="Z749" s="463"/>
      <c r="AA749" s="463" t="s">
        <v>5996</v>
      </c>
      <c r="AB749" s="459" t="s">
        <v>3634</v>
      </c>
    </row>
    <row r="750" spans="1:28" ht="24" customHeight="1">
      <c r="A750" s="584"/>
      <c r="B750" s="460" t="s">
        <v>675</v>
      </c>
      <c r="C750" s="458" t="s">
        <v>5999</v>
      </c>
      <c r="D750" s="510" t="s">
        <v>6000</v>
      </c>
      <c r="E750" s="498">
        <v>23</v>
      </c>
      <c r="F750" s="498">
        <v>0</v>
      </c>
      <c r="G750" s="498">
        <v>23</v>
      </c>
      <c r="H750" s="498">
        <v>0</v>
      </c>
      <c r="I750" s="498">
        <v>20.6</v>
      </c>
      <c r="J750" s="498">
        <v>0</v>
      </c>
      <c r="K750" s="498">
        <v>20.6</v>
      </c>
      <c r="L750" s="668">
        <v>0</v>
      </c>
      <c r="M750" s="672">
        <v>89.565217391304358</v>
      </c>
      <c r="N750" s="498">
        <v>0</v>
      </c>
      <c r="O750" s="669" t="s">
        <v>5995</v>
      </c>
      <c r="P750" s="463" t="s">
        <v>1588</v>
      </c>
      <c r="Q750" s="672">
        <v>0</v>
      </c>
      <c r="R750" s="672">
        <v>0</v>
      </c>
      <c r="S750" s="672">
        <v>0</v>
      </c>
      <c r="T750" s="672">
        <v>0</v>
      </c>
      <c r="U750" s="463" t="s">
        <v>7483</v>
      </c>
      <c r="V750" s="466">
        <v>2001</v>
      </c>
      <c r="W750" s="498"/>
      <c r="X750" s="463" t="s">
        <v>2244</v>
      </c>
      <c r="Y750" s="463"/>
      <c r="Z750" s="463"/>
      <c r="AA750" s="463" t="s">
        <v>5996</v>
      </c>
      <c r="AB750" s="459" t="s">
        <v>3634</v>
      </c>
    </row>
    <row r="751" spans="1:28" ht="24" customHeight="1">
      <c r="A751" s="584"/>
      <c r="B751" s="460" t="s">
        <v>675</v>
      </c>
      <c r="C751" s="458" t="s">
        <v>6001</v>
      </c>
      <c r="D751" s="510" t="s">
        <v>6002</v>
      </c>
      <c r="E751" s="498">
        <v>34</v>
      </c>
      <c r="F751" s="498">
        <v>0</v>
      </c>
      <c r="G751" s="498">
        <v>34</v>
      </c>
      <c r="H751" s="498">
        <v>0</v>
      </c>
      <c r="I751" s="498">
        <v>26.4</v>
      </c>
      <c r="J751" s="498">
        <v>0</v>
      </c>
      <c r="K751" s="498">
        <v>26.4</v>
      </c>
      <c r="L751" s="668">
        <v>0</v>
      </c>
      <c r="M751" s="672">
        <v>77.647058823529406</v>
      </c>
      <c r="N751" s="498">
        <v>0</v>
      </c>
      <c r="O751" s="669" t="s">
        <v>5995</v>
      </c>
      <c r="P751" s="463" t="s">
        <v>1588</v>
      </c>
      <c r="Q751" s="672">
        <v>0</v>
      </c>
      <c r="R751" s="672">
        <v>0</v>
      </c>
      <c r="S751" s="672">
        <v>0</v>
      </c>
      <c r="T751" s="672">
        <v>0</v>
      </c>
      <c r="U751" s="463" t="s">
        <v>7483</v>
      </c>
      <c r="V751" s="466">
        <v>2001</v>
      </c>
      <c r="W751" s="498"/>
      <c r="X751" s="463" t="s">
        <v>2244</v>
      </c>
      <c r="Y751" s="463"/>
      <c r="Z751" s="463"/>
      <c r="AA751" s="463" t="s">
        <v>5996</v>
      </c>
      <c r="AB751" s="459" t="s">
        <v>3634</v>
      </c>
    </row>
    <row r="752" spans="1:28" ht="24" customHeight="1">
      <c r="A752" s="584"/>
      <c r="B752" s="460" t="s">
        <v>675</v>
      </c>
      <c r="C752" s="458" t="s">
        <v>6003</v>
      </c>
      <c r="D752" s="510" t="s">
        <v>6004</v>
      </c>
      <c r="E752" s="498">
        <v>50</v>
      </c>
      <c r="F752" s="498">
        <v>0</v>
      </c>
      <c r="G752" s="498">
        <v>0</v>
      </c>
      <c r="H752" s="498">
        <v>50</v>
      </c>
      <c r="I752" s="498">
        <v>17</v>
      </c>
      <c r="J752" s="498">
        <v>0</v>
      </c>
      <c r="K752" s="498">
        <v>0</v>
      </c>
      <c r="L752" s="668">
        <v>17</v>
      </c>
      <c r="M752" s="672">
        <v>34</v>
      </c>
      <c r="N752" s="498">
        <v>0</v>
      </c>
      <c r="O752" s="669" t="s">
        <v>6005</v>
      </c>
      <c r="P752" s="463" t="s">
        <v>1588</v>
      </c>
      <c r="Q752" s="672">
        <v>0</v>
      </c>
      <c r="R752" s="672">
        <v>0</v>
      </c>
      <c r="S752" s="672">
        <v>0</v>
      </c>
      <c r="T752" s="672">
        <v>0</v>
      </c>
      <c r="U752" s="463" t="s">
        <v>7483</v>
      </c>
      <c r="V752" s="466">
        <v>2005</v>
      </c>
      <c r="W752" s="498"/>
      <c r="X752" s="463" t="s">
        <v>2244</v>
      </c>
      <c r="Y752" s="463" t="s">
        <v>6006</v>
      </c>
      <c r="Z752" s="463"/>
      <c r="AA752" s="463" t="s">
        <v>5996</v>
      </c>
      <c r="AB752" s="459" t="s">
        <v>3634</v>
      </c>
    </row>
    <row r="753" spans="1:28" ht="24" customHeight="1">
      <c r="A753" s="584"/>
      <c r="B753" s="460" t="s">
        <v>675</v>
      </c>
      <c r="C753" s="458" t="s">
        <v>6007</v>
      </c>
      <c r="D753" s="510" t="s">
        <v>6008</v>
      </c>
      <c r="E753" s="498">
        <v>80</v>
      </c>
      <c r="F753" s="498">
        <v>0</v>
      </c>
      <c r="G753" s="498">
        <v>0</v>
      </c>
      <c r="H753" s="498">
        <v>80</v>
      </c>
      <c r="I753" s="498">
        <v>77</v>
      </c>
      <c r="J753" s="498">
        <v>0</v>
      </c>
      <c r="K753" s="498">
        <v>0</v>
      </c>
      <c r="L753" s="668">
        <v>77</v>
      </c>
      <c r="M753" s="672">
        <v>96.25</v>
      </c>
      <c r="N753" s="498">
        <v>0</v>
      </c>
      <c r="O753" s="669" t="s">
        <v>6005</v>
      </c>
      <c r="P753" s="463" t="s">
        <v>1588</v>
      </c>
      <c r="Q753" s="672">
        <v>0</v>
      </c>
      <c r="R753" s="672">
        <v>0</v>
      </c>
      <c r="S753" s="672">
        <v>0</v>
      </c>
      <c r="T753" s="672">
        <v>0</v>
      </c>
      <c r="U753" s="463" t="s">
        <v>7483</v>
      </c>
      <c r="V753" s="466">
        <v>2006</v>
      </c>
      <c r="W753" s="498"/>
      <c r="X753" s="463" t="s">
        <v>2244</v>
      </c>
      <c r="Y753" s="463" t="s">
        <v>6006</v>
      </c>
      <c r="Z753" s="463"/>
      <c r="AA753" s="463" t="s">
        <v>5996</v>
      </c>
      <c r="AB753" s="459" t="s">
        <v>3634</v>
      </c>
    </row>
    <row r="754" spans="1:28" ht="24" customHeight="1">
      <c r="A754" s="584"/>
      <c r="B754" s="460" t="s">
        <v>675</v>
      </c>
      <c r="C754" s="458" t="s">
        <v>6009</v>
      </c>
      <c r="D754" s="510" t="s">
        <v>6010</v>
      </c>
      <c r="E754" s="498">
        <v>23</v>
      </c>
      <c r="F754" s="498">
        <v>0</v>
      </c>
      <c r="G754" s="498">
        <v>23</v>
      </c>
      <c r="H754" s="498">
        <v>0</v>
      </c>
      <c r="I754" s="498">
        <v>21</v>
      </c>
      <c r="J754" s="498">
        <v>0</v>
      </c>
      <c r="K754" s="498">
        <v>21</v>
      </c>
      <c r="L754" s="668">
        <v>0</v>
      </c>
      <c r="M754" s="672">
        <v>91.304347826086953</v>
      </c>
      <c r="N754" s="498">
        <v>0</v>
      </c>
      <c r="O754" s="669" t="s">
        <v>5995</v>
      </c>
      <c r="P754" s="463" t="s">
        <v>1588</v>
      </c>
      <c r="Q754" s="672">
        <v>0</v>
      </c>
      <c r="R754" s="672">
        <v>0</v>
      </c>
      <c r="S754" s="672">
        <v>0</v>
      </c>
      <c r="T754" s="672">
        <v>0</v>
      </c>
      <c r="U754" s="463" t="s">
        <v>7483</v>
      </c>
      <c r="V754" s="466">
        <v>2001</v>
      </c>
      <c r="W754" s="498"/>
      <c r="X754" s="463" t="s">
        <v>2244</v>
      </c>
      <c r="Y754" s="463"/>
      <c r="Z754" s="463"/>
      <c r="AA754" s="463" t="s">
        <v>5996</v>
      </c>
      <c r="AB754" s="459" t="s">
        <v>3634</v>
      </c>
    </row>
    <row r="755" spans="1:28" ht="24" customHeight="1">
      <c r="A755" s="584"/>
      <c r="B755" s="460" t="s">
        <v>675</v>
      </c>
      <c r="C755" s="458" t="s">
        <v>6011</v>
      </c>
      <c r="D755" s="510" t="s">
        <v>6012</v>
      </c>
      <c r="E755" s="498">
        <v>45</v>
      </c>
      <c r="F755" s="498">
        <v>0</v>
      </c>
      <c r="G755" s="498">
        <v>0</v>
      </c>
      <c r="H755" s="498">
        <v>45</v>
      </c>
      <c r="I755" s="498">
        <v>44</v>
      </c>
      <c r="J755" s="498">
        <v>0</v>
      </c>
      <c r="K755" s="498">
        <v>0</v>
      </c>
      <c r="L755" s="668">
        <v>44</v>
      </c>
      <c r="M755" s="672">
        <v>97.777777777777771</v>
      </c>
      <c r="N755" s="498">
        <v>0</v>
      </c>
      <c r="O755" s="669" t="s">
        <v>6005</v>
      </c>
      <c r="P755" s="463" t="s">
        <v>1588</v>
      </c>
      <c r="Q755" s="672">
        <v>0</v>
      </c>
      <c r="R755" s="672">
        <v>0</v>
      </c>
      <c r="S755" s="672">
        <v>0</v>
      </c>
      <c r="T755" s="672">
        <v>0</v>
      </c>
      <c r="U755" s="463" t="s">
        <v>7483</v>
      </c>
      <c r="V755" s="466">
        <v>2004</v>
      </c>
      <c r="W755" s="498"/>
      <c r="X755" s="463" t="s">
        <v>2244</v>
      </c>
      <c r="Y755" s="463"/>
      <c r="Z755" s="463"/>
      <c r="AA755" s="463" t="s">
        <v>5996</v>
      </c>
      <c r="AB755" s="459" t="s">
        <v>3634</v>
      </c>
    </row>
    <row r="756" spans="1:28" ht="24" customHeight="1">
      <c r="A756" s="584"/>
      <c r="B756" s="460" t="s">
        <v>675</v>
      </c>
      <c r="C756" s="458" t="s">
        <v>6013</v>
      </c>
      <c r="D756" s="510" t="s">
        <v>6014</v>
      </c>
      <c r="E756" s="498">
        <v>34</v>
      </c>
      <c r="F756" s="498">
        <v>0</v>
      </c>
      <c r="G756" s="498">
        <v>34</v>
      </c>
      <c r="H756" s="498">
        <v>0</v>
      </c>
      <c r="I756" s="498">
        <v>29</v>
      </c>
      <c r="J756" s="498">
        <v>0</v>
      </c>
      <c r="K756" s="498">
        <v>29</v>
      </c>
      <c r="L756" s="668">
        <v>0</v>
      </c>
      <c r="M756" s="672">
        <v>85.294117647058826</v>
      </c>
      <c r="N756" s="498">
        <v>0</v>
      </c>
      <c r="O756" s="669" t="s">
        <v>5995</v>
      </c>
      <c r="P756" s="463" t="s">
        <v>1588</v>
      </c>
      <c r="Q756" s="672">
        <v>0</v>
      </c>
      <c r="R756" s="672">
        <v>0</v>
      </c>
      <c r="S756" s="672">
        <v>0</v>
      </c>
      <c r="T756" s="672">
        <v>0</v>
      </c>
      <c r="U756" s="463" t="s">
        <v>7483</v>
      </c>
      <c r="V756" s="466">
        <v>1999</v>
      </c>
      <c r="W756" s="498"/>
      <c r="X756" s="463" t="s">
        <v>2244</v>
      </c>
      <c r="Y756" s="463"/>
      <c r="Z756" s="463"/>
      <c r="AA756" s="463" t="s">
        <v>6015</v>
      </c>
      <c r="AB756" s="459" t="s">
        <v>3634</v>
      </c>
    </row>
    <row r="757" spans="1:28" ht="24" customHeight="1">
      <c r="A757" s="584"/>
      <c r="B757" s="460" t="s">
        <v>675</v>
      </c>
      <c r="C757" s="458" t="s">
        <v>6016</v>
      </c>
      <c r="D757" s="510" t="s">
        <v>6017</v>
      </c>
      <c r="E757" s="498">
        <v>8</v>
      </c>
      <c r="F757" s="498">
        <v>0</v>
      </c>
      <c r="G757" s="498">
        <v>8</v>
      </c>
      <c r="H757" s="498">
        <v>0</v>
      </c>
      <c r="I757" s="498">
        <v>7.5</v>
      </c>
      <c r="J757" s="498">
        <v>0</v>
      </c>
      <c r="K757" s="498">
        <v>7.5</v>
      </c>
      <c r="L757" s="668">
        <v>0</v>
      </c>
      <c r="M757" s="672">
        <v>93.75</v>
      </c>
      <c r="N757" s="498">
        <v>0</v>
      </c>
      <c r="O757" s="669" t="s">
        <v>5995</v>
      </c>
      <c r="P757" s="463" t="s">
        <v>1588</v>
      </c>
      <c r="Q757" s="672">
        <v>0</v>
      </c>
      <c r="R757" s="672">
        <v>0</v>
      </c>
      <c r="S757" s="672">
        <v>0</v>
      </c>
      <c r="T757" s="672">
        <v>0</v>
      </c>
      <c r="U757" s="463" t="s">
        <v>7483</v>
      </c>
      <c r="V757" s="466">
        <v>2001</v>
      </c>
      <c r="W757" s="498"/>
      <c r="X757" s="463" t="s">
        <v>2244</v>
      </c>
      <c r="Y757" s="463"/>
      <c r="Z757" s="463"/>
      <c r="AA757" s="463" t="s">
        <v>6015</v>
      </c>
      <c r="AB757" s="459" t="s">
        <v>3634</v>
      </c>
    </row>
    <row r="758" spans="1:28" ht="24" customHeight="1">
      <c r="A758" s="584"/>
      <c r="B758" s="460" t="s">
        <v>675</v>
      </c>
      <c r="C758" s="458" t="s">
        <v>6018</v>
      </c>
      <c r="D758" s="510" t="s">
        <v>6019</v>
      </c>
      <c r="E758" s="498">
        <v>40</v>
      </c>
      <c r="F758" s="498">
        <v>0</v>
      </c>
      <c r="G758" s="498">
        <v>0</v>
      </c>
      <c r="H758" s="498">
        <v>40</v>
      </c>
      <c r="I758" s="498">
        <v>31</v>
      </c>
      <c r="J758" s="498">
        <v>0</v>
      </c>
      <c r="K758" s="498">
        <v>0</v>
      </c>
      <c r="L758" s="668">
        <v>31</v>
      </c>
      <c r="M758" s="672">
        <v>77.5</v>
      </c>
      <c r="N758" s="498">
        <v>0</v>
      </c>
      <c r="O758" s="669" t="s">
        <v>6020</v>
      </c>
      <c r="P758" s="463" t="s">
        <v>1588</v>
      </c>
      <c r="Q758" s="672">
        <v>0</v>
      </c>
      <c r="R758" s="672">
        <v>0</v>
      </c>
      <c r="S758" s="672">
        <v>0</v>
      </c>
      <c r="T758" s="672">
        <v>0</v>
      </c>
      <c r="U758" s="463" t="s">
        <v>7483</v>
      </c>
      <c r="V758" s="466">
        <v>2006</v>
      </c>
      <c r="W758" s="498"/>
      <c r="X758" s="463" t="s">
        <v>2244</v>
      </c>
      <c r="Y758" s="463" t="s">
        <v>6006</v>
      </c>
      <c r="Z758" s="463"/>
      <c r="AA758" s="463" t="s">
        <v>6021</v>
      </c>
      <c r="AB758" s="459" t="s">
        <v>3634</v>
      </c>
    </row>
    <row r="759" spans="1:28" ht="24" customHeight="1">
      <c r="A759" s="584"/>
      <c r="B759" s="460" t="s">
        <v>675</v>
      </c>
      <c r="C759" s="458" t="s">
        <v>6022</v>
      </c>
      <c r="D759" s="510" t="s">
        <v>6023</v>
      </c>
      <c r="E759" s="498">
        <v>40</v>
      </c>
      <c r="F759" s="498">
        <v>0</v>
      </c>
      <c r="G759" s="498">
        <v>0</v>
      </c>
      <c r="H759" s="498">
        <v>40</v>
      </c>
      <c r="I759" s="498">
        <v>34</v>
      </c>
      <c r="J759" s="498">
        <v>0</v>
      </c>
      <c r="K759" s="498">
        <v>0</v>
      </c>
      <c r="L759" s="668">
        <v>34</v>
      </c>
      <c r="M759" s="672">
        <v>85</v>
      </c>
      <c r="N759" s="498">
        <v>0</v>
      </c>
      <c r="O759" s="669" t="s">
        <v>6024</v>
      </c>
      <c r="P759" s="463" t="s">
        <v>1588</v>
      </c>
      <c r="Q759" s="672">
        <v>0</v>
      </c>
      <c r="R759" s="672">
        <v>0</v>
      </c>
      <c r="S759" s="672">
        <v>0</v>
      </c>
      <c r="T759" s="672">
        <v>0</v>
      </c>
      <c r="U759" s="463" t="s">
        <v>7483</v>
      </c>
      <c r="V759" s="466">
        <v>2006</v>
      </c>
      <c r="W759" s="498"/>
      <c r="X759" s="463" t="s">
        <v>2244</v>
      </c>
      <c r="Y759" s="463" t="s">
        <v>6006</v>
      </c>
      <c r="Z759" s="463"/>
      <c r="AA759" s="463" t="s">
        <v>6021</v>
      </c>
      <c r="AB759" s="459" t="s">
        <v>3634</v>
      </c>
    </row>
    <row r="760" spans="1:28" ht="24" customHeight="1">
      <c r="A760" s="584"/>
      <c r="B760" s="460" t="s">
        <v>675</v>
      </c>
      <c r="C760" s="458" t="s">
        <v>6025</v>
      </c>
      <c r="D760" s="510" t="s">
        <v>6026</v>
      </c>
      <c r="E760" s="498">
        <v>34</v>
      </c>
      <c r="F760" s="498">
        <v>0</v>
      </c>
      <c r="G760" s="498">
        <v>0</v>
      </c>
      <c r="H760" s="498">
        <v>34</v>
      </c>
      <c r="I760" s="498">
        <v>31</v>
      </c>
      <c r="J760" s="498">
        <v>0</v>
      </c>
      <c r="K760" s="498">
        <v>31</v>
      </c>
      <c r="L760" s="668">
        <v>0</v>
      </c>
      <c r="M760" s="672">
        <v>91.17647058823529</v>
      </c>
      <c r="N760" s="498">
        <v>0</v>
      </c>
      <c r="O760" s="669" t="s">
        <v>5995</v>
      </c>
      <c r="P760" s="463" t="s">
        <v>1588</v>
      </c>
      <c r="Q760" s="672">
        <v>0</v>
      </c>
      <c r="R760" s="672">
        <v>0</v>
      </c>
      <c r="S760" s="672">
        <v>0</v>
      </c>
      <c r="T760" s="672">
        <v>0</v>
      </c>
      <c r="U760" s="463" t="s">
        <v>7483</v>
      </c>
      <c r="V760" s="466">
        <v>2003</v>
      </c>
      <c r="W760" s="498"/>
      <c r="X760" s="463" t="s">
        <v>2244</v>
      </c>
      <c r="Y760" s="463"/>
      <c r="Z760" s="463"/>
      <c r="AA760" s="463" t="s">
        <v>6027</v>
      </c>
      <c r="AB760" s="459" t="s">
        <v>3634</v>
      </c>
    </row>
    <row r="761" spans="1:28" ht="24" customHeight="1">
      <c r="A761" s="584"/>
      <c r="B761" s="460" t="s">
        <v>675</v>
      </c>
      <c r="C761" s="458" t="s">
        <v>6028</v>
      </c>
      <c r="D761" s="510" t="s">
        <v>6029</v>
      </c>
      <c r="E761" s="498">
        <v>45</v>
      </c>
      <c r="F761" s="498">
        <v>0</v>
      </c>
      <c r="G761" s="498">
        <v>45</v>
      </c>
      <c r="H761" s="498">
        <v>0</v>
      </c>
      <c r="I761" s="498">
        <v>41</v>
      </c>
      <c r="J761" s="498">
        <v>0</v>
      </c>
      <c r="K761" s="498">
        <v>0</v>
      </c>
      <c r="L761" s="668">
        <v>41</v>
      </c>
      <c r="M761" s="672">
        <v>91.111111111111114</v>
      </c>
      <c r="N761" s="498">
        <v>0</v>
      </c>
      <c r="O761" s="669" t="s">
        <v>6030</v>
      </c>
      <c r="P761" s="463" t="s">
        <v>1588</v>
      </c>
      <c r="Q761" s="672">
        <v>0</v>
      </c>
      <c r="R761" s="672">
        <v>0</v>
      </c>
      <c r="S761" s="672">
        <v>0</v>
      </c>
      <c r="T761" s="672">
        <v>0</v>
      </c>
      <c r="U761" s="463" t="s">
        <v>7483</v>
      </c>
      <c r="V761" s="466">
        <v>2001</v>
      </c>
      <c r="W761" s="498"/>
      <c r="X761" s="463" t="s">
        <v>2244</v>
      </c>
      <c r="Y761" s="463"/>
      <c r="Z761" s="463"/>
      <c r="AA761" s="463" t="s">
        <v>6027</v>
      </c>
      <c r="AB761" s="459" t="s">
        <v>3634</v>
      </c>
    </row>
    <row r="762" spans="1:28" ht="24" customHeight="1">
      <c r="A762" s="584"/>
      <c r="B762" s="460" t="s">
        <v>675</v>
      </c>
      <c r="C762" s="458" t="s">
        <v>6031</v>
      </c>
      <c r="D762" s="510" t="s">
        <v>6032</v>
      </c>
      <c r="E762" s="498">
        <v>46</v>
      </c>
      <c r="F762" s="498">
        <v>0</v>
      </c>
      <c r="G762" s="498">
        <v>46</v>
      </c>
      <c r="H762" s="498">
        <v>0</v>
      </c>
      <c r="I762" s="498">
        <v>38</v>
      </c>
      <c r="J762" s="498">
        <v>0</v>
      </c>
      <c r="K762" s="498">
        <v>38</v>
      </c>
      <c r="L762" s="668">
        <v>0</v>
      </c>
      <c r="M762" s="672">
        <v>82.608695652173907</v>
      </c>
      <c r="N762" s="498">
        <v>0</v>
      </c>
      <c r="O762" s="669" t="s">
        <v>5995</v>
      </c>
      <c r="P762" s="463" t="s">
        <v>1588</v>
      </c>
      <c r="Q762" s="672">
        <v>0</v>
      </c>
      <c r="R762" s="672">
        <v>0</v>
      </c>
      <c r="S762" s="672">
        <v>0</v>
      </c>
      <c r="T762" s="672">
        <v>0</v>
      </c>
      <c r="U762" s="463" t="s">
        <v>7483</v>
      </c>
      <c r="V762" s="466">
        <v>2001</v>
      </c>
      <c r="W762" s="498"/>
      <c r="X762" s="463" t="s">
        <v>2244</v>
      </c>
      <c r="Y762" s="463"/>
      <c r="Z762" s="463"/>
      <c r="AA762" s="463" t="s">
        <v>6027</v>
      </c>
      <c r="AB762" s="459" t="s">
        <v>3634</v>
      </c>
    </row>
    <row r="763" spans="1:28" ht="24" customHeight="1">
      <c r="A763" s="584"/>
      <c r="B763" s="460" t="s">
        <v>675</v>
      </c>
      <c r="C763" s="458" t="s">
        <v>6033</v>
      </c>
      <c r="D763" s="510" t="s">
        <v>6034</v>
      </c>
      <c r="E763" s="498">
        <v>220</v>
      </c>
      <c r="F763" s="498">
        <v>0</v>
      </c>
      <c r="G763" s="498">
        <v>0</v>
      </c>
      <c r="H763" s="498">
        <v>220</v>
      </c>
      <c r="I763" s="498">
        <v>219</v>
      </c>
      <c r="J763" s="498">
        <v>0</v>
      </c>
      <c r="K763" s="498">
        <v>0</v>
      </c>
      <c r="L763" s="668">
        <v>219</v>
      </c>
      <c r="M763" s="672">
        <v>99.545454545454547</v>
      </c>
      <c r="N763" s="498">
        <v>0</v>
      </c>
      <c r="O763" s="669" t="s">
        <v>6020</v>
      </c>
      <c r="P763" s="463" t="s">
        <v>1588</v>
      </c>
      <c r="Q763" s="672">
        <v>0</v>
      </c>
      <c r="R763" s="672">
        <v>0</v>
      </c>
      <c r="S763" s="672">
        <v>0</v>
      </c>
      <c r="T763" s="672">
        <v>0</v>
      </c>
      <c r="U763" s="463" t="s">
        <v>7483</v>
      </c>
      <c r="V763" s="466">
        <v>2006</v>
      </c>
      <c r="W763" s="498"/>
      <c r="X763" s="463" t="s">
        <v>2244</v>
      </c>
      <c r="Y763" s="463" t="s">
        <v>6006</v>
      </c>
      <c r="Z763" s="463"/>
      <c r="AA763" s="463" t="s">
        <v>6035</v>
      </c>
      <c r="AB763" s="459" t="s">
        <v>3634</v>
      </c>
    </row>
    <row r="764" spans="1:28" ht="24" customHeight="1">
      <c r="A764" s="582" t="s">
        <v>1668</v>
      </c>
      <c r="B764" s="460" t="s">
        <v>2201</v>
      </c>
      <c r="C764" s="458" t="s">
        <v>2414</v>
      </c>
      <c r="D764" s="510" t="s">
        <v>5400</v>
      </c>
      <c r="E764" s="656">
        <f t="shared" ref="E764:E786" si="63">F764+G764+H764</f>
        <v>22000</v>
      </c>
      <c r="F764" s="653">
        <v>0</v>
      </c>
      <c r="G764" s="653">
        <v>22000</v>
      </c>
      <c r="H764" s="653">
        <v>0</v>
      </c>
      <c r="I764" s="653">
        <f>SUM(J764:L764)</f>
        <v>18179</v>
      </c>
      <c r="J764" s="653">
        <v>0</v>
      </c>
      <c r="K764" s="653">
        <v>18179</v>
      </c>
      <c r="L764" s="698">
        <v>0</v>
      </c>
      <c r="M764" s="672">
        <f t="shared" si="61"/>
        <v>82.6</v>
      </c>
      <c r="N764" s="498">
        <v>149372</v>
      </c>
      <c r="O764" s="669" t="s">
        <v>1535</v>
      </c>
      <c r="P764" s="463" t="s">
        <v>1588</v>
      </c>
      <c r="Q764" s="672">
        <v>54</v>
      </c>
      <c r="R764" s="672">
        <v>145</v>
      </c>
      <c r="S764" s="672">
        <v>116</v>
      </c>
      <c r="T764" s="672">
        <v>0</v>
      </c>
      <c r="U764" s="463" t="s">
        <v>5401</v>
      </c>
      <c r="V764" s="466" t="s">
        <v>5402</v>
      </c>
      <c r="W764" s="498">
        <v>31594</v>
      </c>
      <c r="X764" s="463" t="s">
        <v>2199</v>
      </c>
      <c r="Y764" s="463"/>
      <c r="Z764" s="463" t="s">
        <v>1648</v>
      </c>
      <c r="AA764" s="463"/>
      <c r="AB764" s="459" t="s">
        <v>1596</v>
      </c>
    </row>
    <row r="765" spans="1:28" ht="24" customHeight="1">
      <c r="A765" s="584"/>
      <c r="B765" s="460" t="s">
        <v>2201</v>
      </c>
      <c r="C765" s="458" t="s">
        <v>4957</v>
      </c>
      <c r="D765" s="510" t="s">
        <v>5403</v>
      </c>
      <c r="E765" s="653">
        <f t="shared" si="63"/>
        <v>3200</v>
      </c>
      <c r="F765" s="653">
        <v>0</v>
      </c>
      <c r="G765" s="653">
        <v>3200</v>
      </c>
      <c r="H765" s="653">
        <v>0</v>
      </c>
      <c r="I765" s="653">
        <f>SUM(J765:L765)</f>
        <v>4157</v>
      </c>
      <c r="J765" s="653">
        <v>0</v>
      </c>
      <c r="K765" s="653">
        <v>4157</v>
      </c>
      <c r="L765" s="698">
        <v>0</v>
      </c>
      <c r="M765" s="672">
        <f>ROUND(I765/E765*100,1)</f>
        <v>129.9</v>
      </c>
      <c r="N765" s="498">
        <v>12362</v>
      </c>
      <c r="O765" s="669" t="s">
        <v>5404</v>
      </c>
      <c r="P765" s="463" t="s">
        <v>1588</v>
      </c>
      <c r="Q765" s="672">
        <v>0</v>
      </c>
      <c r="R765" s="672">
        <v>0</v>
      </c>
      <c r="S765" s="672">
        <v>0</v>
      </c>
      <c r="T765" s="672">
        <v>0</v>
      </c>
      <c r="U765" s="463" t="s">
        <v>5405</v>
      </c>
      <c r="V765" s="466" t="s">
        <v>5406</v>
      </c>
      <c r="W765" s="653">
        <v>14850</v>
      </c>
      <c r="X765" s="463" t="s">
        <v>2199</v>
      </c>
      <c r="Y765" s="463"/>
      <c r="Z765" s="463" t="s">
        <v>1882</v>
      </c>
      <c r="AA765" s="463"/>
      <c r="AB765" s="459" t="s">
        <v>1596</v>
      </c>
    </row>
    <row r="766" spans="1:28" ht="24" customHeight="1">
      <c r="A766" s="584"/>
      <c r="B766" s="460" t="s">
        <v>2201</v>
      </c>
      <c r="C766" s="458" t="s">
        <v>5407</v>
      </c>
      <c r="D766" s="510" t="s">
        <v>5408</v>
      </c>
      <c r="E766" s="653">
        <f t="shared" si="63"/>
        <v>2000</v>
      </c>
      <c r="F766" s="653">
        <v>0</v>
      </c>
      <c r="G766" s="653">
        <v>0</v>
      </c>
      <c r="H766" s="653">
        <v>2000</v>
      </c>
      <c r="I766" s="653">
        <f>SUM(J766:L766)</f>
        <v>1253</v>
      </c>
      <c r="J766" s="653">
        <v>0</v>
      </c>
      <c r="K766" s="653">
        <v>0</v>
      </c>
      <c r="L766" s="698">
        <v>1253</v>
      </c>
      <c r="M766" s="672">
        <f t="shared" si="61"/>
        <v>62.7</v>
      </c>
      <c r="N766" s="498">
        <v>12520</v>
      </c>
      <c r="O766" s="669" t="s">
        <v>5409</v>
      </c>
      <c r="P766" s="463" t="s">
        <v>1588</v>
      </c>
      <c r="Q766" s="672">
        <v>0</v>
      </c>
      <c r="R766" s="672">
        <v>0</v>
      </c>
      <c r="S766" s="672">
        <v>0</v>
      </c>
      <c r="T766" s="672">
        <v>0</v>
      </c>
      <c r="U766" s="463" t="s">
        <v>5410</v>
      </c>
      <c r="V766" s="466" t="s">
        <v>2079</v>
      </c>
      <c r="W766" s="653">
        <v>16421</v>
      </c>
      <c r="X766" s="463" t="s">
        <v>2199</v>
      </c>
      <c r="Y766" s="463" t="s">
        <v>3336</v>
      </c>
      <c r="Z766" s="463" t="s">
        <v>1669</v>
      </c>
      <c r="AA766" s="463"/>
      <c r="AB766" s="459" t="s">
        <v>1596</v>
      </c>
    </row>
    <row r="767" spans="1:28" ht="24" customHeight="1">
      <c r="A767" s="584"/>
      <c r="B767" s="460" t="s">
        <v>675</v>
      </c>
      <c r="C767" s="458" t="s">
        <v>5411</v>
      </c>
      <c r="D767" s="510" t="s">
        <v>5412</v>
      </c>
      <c r="E767" s="653">
        <f t="shared" si="63"/>
        <v>68</v>
      </c>
      <c r="F767" s="653">
        <v>0</v>
      </c>
      <c r="G767" s="653">
        <v>68</v>
      </c>
      <c r="H767" s="653">
        <v>0</v>
      </c>
      <c r="I767" s="653">
        <v>66</v>
      </c>
      <c r="J767" s="653">
        <v>0</v>
      </c>
      <c r="K767" s="653">
        <v>66</v>
      </c>
      <c r="L767" s="698">
        <v>0</v>
      </c>
      <c r="M767" s="672">
        <f t="shared" si="61"/>
        <v>97.1</v>
      </c>
      <c r="N767" s="498">
        <v>521</v>
      </c>
      <c r="O767" s="669" t="s">
        <v>5413</v>
      </c>
      <c r="P767" s="463" t="s">
        <v>1588</v>
      </c>
      <c r="Q767" s="672">
        <v>0</v>
      </c>
      <c r="R767" s="672">
        <v>0</v>
      </c>
      <c r="S767" s="672">
        <v>0</v>
      </c>
      <c r="T767" s="672">
        <v>0</v>
      </c>
      <c r="U767" s="463" t="s">
        <v>5401</v>
      </c>
      <c r="V767" s="466" t="s">
        <v>5414</v>
      </c>
      <c r="W767" s="653">
        <v>550</v>
      </c>
      <c r="X767" s="463" t="s">
        <v>2199</v>
      </c>
      <c r="Y767" s="463"/>
      <c r="Z767" s="463" t="s">
        <v>1613</v>
      </c>
      <c r="AA767" s="463"/>
      <c r="AB767" s="459" t="s">
        <v>1596</v>
      </c>
    </row>
    <row r="768" spans="1:28" ht="24" customHeight="1">
      <c r="A768" s="584"/>
      <c r="B768" s="460" t="s">
        <v>675</v>
      </c>
      <c r="C768" s="458" t="s">
        <v>5415</v>
      </c>
      <c r="D768" s="510" t="s">
        <v>5416</v>
      </c>
      <c r="E768" s="653">
        <f t="shared" si="63"/>
        <v>50</v>
      </c>
      <c r="F768" s="653">
        <v>0</v>
      </c>
      <c r="G768" s="653">
        <v>0</v>
      </c>
      <c r="H768" s="653">
        <v>50</v>
      </c>
      <c r="I768" s="653">
        <v>50</v>
      </c>
      <c r="J768" s="653">
        <v>0</v>
      </c>
      <c r="K768" s="653">
        <v>0</v>
      </c>
      <c r="L768" s="698">
        <v>50</v>
      </c>
      <c r="M768" s="672">
        <f t="shared" si="61"/>
        <v>100</v>
      </c>
      <c r="N768" s="498">
        <v>863</v>
      </c>
      <c r="O768" s="669" t="s">
        <v>5417</v>
      </c>
      <c r="P768" s="463" t="s">
        <v>1588</v>
      </c>
      <c r="Q768" s="672">
        <v>0</v>
      </c>
      <c r="R768" s="672">
        <v>0</v>
      </c>
      <c r="S768" s="672">
        <v>0</v>
      </c>
      <c r="T768" s="672">
        <v>0</v>
      </c>
      <c r="U768" s="463" t="s">
        <v>5401</v>
      </c>
      <c r="V768" s="466" t="s">
        <v>5418</v>
      </c>
      <c r="W768" s="653">
        <v>549</v>
      </c>
      <c r="X768" s="463" t="s">
        <v>2199</v>
      </c>
      <c r="Y768" s="463"/>
      <c r="Z768" s="463" t="s">
        <v>1648</v>
      </c>
      <c r="AA768" s="463"/>
      <c r="AB768" s="459" t="s">
        <v>1596</v>
      </c>
    </row>
    <row r="769" spans="1:28" ht="24" customHeight="1">
      <c r="A769" s="584"/>
      <c r="B769" s="460" t="s">
        <v>675</v>
      </c>
      <c r="C769" s="458" t="s">
        <v>5419</v>
      </c>
      <c r="D769" s="510" t="s">
        <v>5420</v>
      </c>
      <c r="E769" s="653">
        <f t="shared" si="63"/>
        <v>39</v>
      </c>
      <c r="F769" s="653">
        <v>0</v>
      </c>
      <c r="G769" s="653">
        <v>39</v>
      </c>
      <c r="H769" s="653">
        <v>0</v>
      </c>
      <c r="I769" s="653">
        <v>39</v>
      </c>
      <c r="J769" s="653">
        <v>0</v>
      </c>
      <c r="K769" s="653">
        <v>39</v>
      </c>
      <c r="L769" s="698">
        <v>0</v>
      </c>
      <c r="M769" s="672">
        <f t="shared" si="61"/>
        <v>100</v>
      </c>
      <c r="N769" s="498">
        <f>K783</f>
        <v>14312</v>
      </c>
      <c r="O769" s="669" t="s">
        <v>5413</v>
      </c>
      <c r="P769" s="463" t="s">
        <v>1588</v>
      </c>
      <c r="Q769" s="672">
        <v>0</v>
      </c>
      <c r="R769" s="672">
        <v>0</v>
      </c>
      <c r="S769" s="672">
        <v>0</v>
      </c>
      <c r="T769" s="672">
        <v>0</v>
      </c>
      <c r="U769" s="463" t="s">
        <v>5401</v>
      </c>
      <c r="V769" s="466" t="s">
        <v>5418</v>
      </c>
      <c r="W769" s="653">
        <v>412</v>
      </c>
      <c r="X769" s="463" t="s">
        <v>2199</v>
      </c>
      <c r="Y769" s="463"/>
      <c r="Z769" s="463" t="s">
        <v>1648</v>
      </c>
      <c r="AA769" s="463"/>
      <c r="AB769" s="459" t="s">
        <v>1596</v>
      </c>
    </row>
    <row r="770" spans="1:28" ht="24" customHeight="1">
      <c r="A770" s="584"/>
      <c r="B770" s="460" t="s">
        <v>675</v>
      </c>
      <c r="C770" s="458" t="s">
        <v>5421</v>
      </c>
      <c r="D770" s="510" t="s">
        <v>5422</v>
      </c>
      <c r="E770" s="653">
        <f t="shared" si="63"/>
        <v>50</v>
      </c>
      <c r="F770" s="653">
        <v>0</v>
      </c>
      <c r="G770" s="653">
        <v>50</v>
      </c>
      <c r="H770" s="653">
        <v>0</v>
      </c>
      <c r="I770" s="653">
        <v>50</v>
      </c>
      <c r="J770" s="653">
        <v>0</v>
      </c>
      <c r="K770" s="653">
        <v>50</v>
      </c>
      <c r="L770" s="698">
        <v>0</v>
      </c>
      <c r="M770" s="672">
        <f t="shared" si="61"/>
        <v>100</v>
      </c>
      <c r="N770" s="498">
        <f>K784</f>
        <v>0</v>
      </c>
      <c r="O770" s="669" t="s">
        <v>5413</v>
      </c>
      <c r="P770" s="463" t="s">
        <v>1588</v>
      </c>
      <c r="Q770" s="672">
        <v>0</v>
      </c>
      <c r="R770" s="672">
        <v>0</v>
      </c>
      <c r="S770" s="672">
        <v>0</v>
      </c>
      <c r="T770" s="672">
        <v>0</v>
      </c>
      <c r="U770" s="463" t="s">
        <v>5401</v>
      </c>
      <c r="V770" s="466" t="s">
        <v>5423</v>
      </c>
      <c r="W770" s="653">
        <v>300</v>
      </c>
      <c r="X770" s="463" t="s">
        <v>2199</v>
      </c>
      <c r="Y770" s="463"/>
      <c r="Z770" s="463" t="s">
        <v>5424</v>
      </c>
      <c r="AA770" s="463"/>
      <c r="AB770" s="459" t="s">
        <v>1596</v>
      </c>
    </row>
    <row r="771" spans="1:28" ht="24" customHeight="1">
      <c r="A771" s="582" t="s">
        <v>1670</v>
      </c>
      <c r="B771" s="460" t="s">
        <v>2201</v>
      </c>
      <c r="C771" s="458" t="s">
        <v>2023</v>
      </c>
      <c r="D771" s="510" t="s">
        <v>5425</v>
      </c>
      <c r="E771" s="653">
        <f t="shared" si="63"/>
        <v>9000</v>
      </c>
      <c r="F771" s="653">
        <v>0</v>
      </c>
      <c r="G771" s="653">
        <v>0</v>
      </c>
      <c r="H771" s="653">
        <v>9000</v>
      </c>
      <c r="I771" s="653">
        <v>8055</v>
      </c>
      <c r="J771" s="653">
        <v>0</v>
      </c>
      <c r="K771" s="653">
        <v>0</v>
      </c>
      <c r="L771" s="698">
        <v>8055</v>
      </c>
      <c r="M771" s="672">
        <f t="shared" si="61"/>
        <v>89.5</v>
      </c>
      <c r="N771" s="653">
        <v>741</v>
      </c>
      <c r="O771" s="669" t="s">
        <v>5426</v>
      </c>
      <c r="P771" s="463" t="s">
        <v>5427</v>
      </c>
      <c r="Q771" s="672">
        <v>0</v>
      </c>
      <c r="R771" s="672">
        <v>0</v>
      </c>
      <c r="S771" s="672">
        <v>0</v>
      </c>
      <c r="T771" s="672">
        <v>0</v>
      </c>
      <c r="U771" s="463" t="s">
        <v>5428</v>
      </c>
      <c r="V771" s="466" t="s">
        <v>5406</v>
      </c>
      <c r="W771" s="653">
        <v>23000</v>
      </c>
      <c r="X771" s="463" t="s">
        <v>1532</v>
      </c>
      <c r="Y771" s="463" t="s">
        <v>3161</v>
      </c>
      <c r="Z771" s="463" t="s">
        <v>1671</v>
      </c>
      <c r="AA771" s="463"/>
      <c r="AB771" s="459" t="s">
        <v>2294</v>
      </c>
    </row>
    <row r="772" spans="1:28" ht="24" customHeight="1">
      <c r="A772" s="584"/>
      <c r="B772" s="460" t="s">
        <v>2201</v>
      </c>
      <c r="C772" s="458" t="s">
        <v>2415</v>
      </c>
      <c r="D772" s="510" t="s">
        <v>2124</v>
      </c>
      <c r="E772" s="653">
        <f t="shared" si="63"/>
        <v>1600</v>
      </c>
      <c r="F772" s="653">
        <v>0</v>
      </c>
      <c r="G772" s="653">
        <v>0</v>
      </c>
      <c r="H772" s="653">
        <v>1600</v>
      </c>
      <c r="I772" s="653">
        <v>1402</v>
      </c>
      <c r="J772" s="653">
        <v>0</v>
      </c>
      <c r="K772" s="653">
        <v>0</v>
      </c>
      <c r="L772" s="698">
        <v>1402</v>
      </c>
      <c r="M772" s="672">
        <f t="shared" si="61"/>
        <v>87.6</v>
      </c>
      <c r="N772" s="653">
        <v>130</v>
      </c>
      <c r="O772" s="669" t="s">
        <v>5429</v>
      </c>
      <c r="P772" s="463" t="s">
        <v>3388</v>
      </c>
      <c r="Q772" s="672">
        <v>1</v>
      </c>
      <c r="R772" s="672">
        <v>0</v>
      </c>
      <c r="S772" s="672">
        <v>0</v>
      </c>
      <c r="T772" s="672">
        <v>0</v>
      </c>
      <c r="U772" s="463" t="s">
        <v>2296</v>
      </c>
      <c r="V772" s="466" t="s">
        <v>5430</v>
      </c>
      <c r="W772" s="667">
        <v>11049</v>
      </c>
      <c r="X772" s="463" t="s">
        <v>1862</v>
      </c>
      <c r="Y772" s="463" t="s">
        <v>5431</v>
      </c>
      <c r="Z772" s="463" t="s">
        <v>5432</v>
      </c>
      <c r="AA772" s="463"/>
      <c r="AB772" s="459" t="s">
        <v>2294</v>
      </c>
    </row>
    <row r="773" spans="1:28" ht="24" customHeight="1">
      <c r="A773" s="584"/>
      <c r="B773" s="460" t="s">
        <v>675</v>
      </c>
      <c r="C773" s="458" t="s">
        <v>5433</v>
      </c>
      <c r="D773" s="510" t="s">
        <v>2124</v>
      </c>
      <c r="E773" s="653">
        <f t="shared" si="63"/>
        <v>120</v>
      </c>
      <c r="F773" s="653">
        <v>0</v>
      </c>
      <c r="G773" s="653">
        <v>70</v>
      </c>
      <c r="H773" s="653">
        <v>50</v>
      </c>
      <c r="I773" s="653">
        <v>110</v>
      </c>
      <c r="J773" s="653">
        <v>0</v>
      </c>
      <c r="K773" s="653">
        <v>60</v>
      </c>
      <c r="L773" s="698">
        <v>50</v>
      </c>
      <c r="M773" s="672">
        <f t="shared" si="61"/>
        <v>91.7</v>
      </c>
      <c r="N773" s="653">
        <v>13</v>
      </c>
      <c r="O773" s="669" t="s">
        <v>5033</v>
      </c>
      <c r="P773" s="463" t="s">
        <v>1214</v>
      </c>
      <c r="Q773" s="672">
        <v>0</v>
      </c>
      <c r="R773" s="672">
        <v>0</v>
      </c>
      <c r="S773" s="672">
        <v>0</v>
      </c>
      <c r="T773" s="672">
        <v>0</v>
      </c>
      <c r="U773" s="463" t="s">
        <v>5434</v>
      </c>
      <c r="V773" s="466" t="s">
        <v>5435</v>
      </c>
      <c r="W773" s="653">
        <v>540</v>
      </c>
      <c r="X773" s="463" t="s">
        <v>1862</v>
      </c>
      <c r="Y773" s="463"/>
      <c r="Z773" s="463"/>
      <c r="AA773" s="463"/>
      <c r="AB773" s="459" t="s">
        <v>2294</v>
      </c>
    </row>
    <row r="774" spans="1:28" ht="24" customHeight="1">
      <c r="A774" s="584"/>
      <c r="B774" s="460" t="s">
        <v>675</v>
      </c>
      <c r="C774" s="458" t="s">
        <v>5436</v>
      </c>
      <c r="D774" s="510" t="s">
        <v>5437</v>
      </c>
      <c r="E774" s="653">
        <f t="shared" si="63"/>
        <v>110</v>
      </c>
      <c r="F774" s="653">
        <v>0</v>
      </c>
      <c r="G774" s="653">
        <v>0</v>
      </c>
      <c r="H774" s="653">
        <v>110</v>
      </c>
      <c r="I774" s="653">
        <v>86</v>
      </c>
      <c r="J774" s="653">
        <v>0</v>
      </c>
      <c r="K774" s="653">
        <v>0</v>
      </c>
      <c r="L774" s="698">
        <v>86</v>
      </c>
      <c r="M774" s="672">
        <f t="shared" si="61"/>
        <v>78.2</v>
      </c>
      <c r="N774" s="653">
        <v>12</v>
      </c>
      <c r="O774" s="669" t="s">
        <v>5429</v>
      </c>
      <c r="P774" s="463" t="s">
        <v>3718</v>
      </c>
      <c r="Q774" s="672">
        <v>0</v>
      </c>
      <c r="R774" s="672">
        <v>0</v>
      </c>
      <c r="S774" s="672">
        <v>0</v>
      </c>
      <c r="T774" s="672">
        <v>0</v>
      </c>
      <c r="U774" s="463" t="s">
        <v>5434</v>
      </c>
      <c r="V774" s="466" t="s">
        <v>5438</v>
      </c>
      <c r="W774" s="653">
        <v>541</v>
      </c>
      <c r="X774" s="463" t="s">
        <v>1862</v>
      </c>
      <c r="Y774" s="463" t="s">
        <v>3161</v>
      </c>
      <c r="Z774" s="463"/>
      <c r="AA774" s="463"/>
      <c r="AB774" s="459" t="s">
        <v>2294</v>
      </c>
    </row>
    <row r="775" spans="1:28" ht="24" customHeight="1">
      <c r="A775" s="584"/>
      <c r="B775" s="460" t="s">
        <v>675</v>
      </c>
      <c r="C775" s="458" t="s">
        <v>5439</v>
      </c>
      <c r="D775" s="510" t="s">
        <v>5440</v>
      </c>
      <c r="E775" s="653">
        <f t="shared" si="63"/>
        <v>80</v>
      </c>
      <c r="F775" s="653">
        <v>0</v>
      </c>
      <c r="G775" s="653">
        <v>0</v>
      </c>
      <c r="H775" s="653">
        <v>80</v>
      </c>
      <c r="I775" s="653">
        <v>55</v>
      </c>
      <c r="J775" s="653">
        <v>0</v>
      </c>
      <c r="K775" s="653">
        <v>0</v>
      </c>
      <c r="L775" s="698">
        <v>55</v>
      </c>
      <c r="M775" s="672">
        <f t="shared" si="61"/>
        <v>68.8</v>
      </c>
      <c r="N775" s="656">
        <v>7</v>
      </c>
      <c r="O775" s="709" t="s">
        <v>5426</v>
      </c>
      <c r="P775" s="132" t="s">
        <v>3274</v>
      </c>
      <c r="Q775" s="841">
        <v>0</v>
      </c>
      <c r="R775" s="841">
        <v>0</v>
      </c>
      <c r="S775" s="672">
        <v>0</v>
      </c>
      <c r="T775" s="672">
        <v>0</v>
      </c>
      <c r="U775" s="463" t="s">
        <v>5434</v>
      </c>
      <c r="V775" s="466" t="s">
        <v>2074</v>
      </c>
      <c r="W775" s="653">
        <v>310</v>
      </c>
      <c r="X775" s="463" t="s">
        <v>1862</v>
      </c>
      <c r="Y775" s="463" t="s">
        <v>3232</v>
      </c>
      <c r="Z775" s="463"/>
      <c r="AA775" s="463"/>
      <c r="AB775" s="459" t="s">
        <v>2294</v>
      </c>
    </row>
    <row r="776" spans="1:28" ht="24" customHeight="1">
      <c r="A776" s="584"/>
      <c r="B776" s="460" t="s">
        <v>675</v>
      </c>
      <c r="C776" s="458" t="s">
        <v>5441</v>
      </c>
      <c r="D776" s="510" t="s">
        <v>5440</v>
      </c>
      <c r="E776" s="653">
        <f t="shared" si="63"/>
        <v>80</v>
      </c>
      <c r="F776" s="653">
        <v>0</v>
      </c>
      <c r="G776" s="653">
        <v>0</v>
      </c>
      <c r="H776" s="653">
        <v>80</v>
      </c>
      <c r="I776" s="653">
        <v>65</v>
      </c>
      <c r="J776" s="653">
        <v>0</v>
      </c>
      <c r="K776" s="653">
        <v>0</v>
      </c>
      <c r="L776" s="698">
        <v>65</v>
      </c>
      <c r="M776" s="672">
        <f t="shared" si="61"/>
        <v>81.3</v>
      </c>
      <c r="N776" s="653">
        <v>7</v>
      </c>
      <c r="O776" s="669" t="s">
        <v>5033</v>
      </c>
      <c r="P776" s="463" t="s">
        <v>1214</v>
      </c>
      <c r="Q776" s="672">
        <v>0</v>
      </c>
      <c r="R776" s="672">
        <v>0</v>
      </c>
      <c r="S776" s="672">
        <v>0</v>
      </c>
      <c r="T776" s="672">
        <v>0</v>
      </c>
      <c r="U776" s="463" t="s">
        <v>5434</v>
      </c>
      <c r="V776" s="466" t="s">
        <v>5442</v>
      </c>
      <c r="W776" s="653">
        <v>775</v>
      </c>
      <c r="X776" s="463" t="s">
        <v>1862</v>
      </c>
      <c r="Y776" s="463"/>
      <c r="Z776" s="463"/>
      <c r="AA776" s="463"/>
      <c r="AB776" s="459" t="s">
        <v>2294</v>
      </c>
    </row>
    <row r="777" spans="1:28" ht="24" customHeight="1">
      <c r="A777" s="584"/>
      <c r="B777" s="460" t="s">
        <v>675</v>
      </c>
      <c r="C777" s="458" t="s">
        <v>5443</v>
      </c>
      <c r="D777" s="510" t="s">
        <v>5444</v>
      </c>
      <c r="E777" s="653">
        <f t="shared" si="63"/>
        <v>60</v>
      </c>
      <c r="F777" s="653">
        <v>0</v>
      </c>
      <c r="G777" s="653">
        <v>0</v>
      </c>
      <c r="H777" s="653">
        <v>60</v>
      </c>
      <c r="I777" s="653">
        <v>35</v>
      </c>
      <c r="J777" s="653">
        <v>0</v>
      </c>
      <c r="K777" s="653">
        <v>0</v>
      </c>
      <c r="L777" s="698">
        <v>35</v>
      </c>
      <c r="M777" s="672">
        <f t="shared" si="61"/>
        <v>58.3</v>
      </c>
      <c r="N777" s="653">
        <v>5</v>
      </c>
      <c r="O777" s="669" t="s">
        <v>3347</v>
      </c>
      <c r="P777" s="463" t="s">
        <v>5445</v>
      </c>
      <c r="Q777" s="672">
        <v>0</v>
      </c>
      <c r="R777" s="672">
        <v>0</v>
      </c>
      <c r="S777" s="672">
        <v>0</v>
      </c>
      <c r="T777" s="672">
        <v>0</v>
      </c>
      <c r="U777" s="463" t="s">
        <v>5434</v>
      </c>
      <c r="V777" s="466" t="s">
        <v>5446</v>
      </c>
      <c r="W777" s="653">
        <v>615</v>
      </c>
      <c r="X777" s="463" t="s">
        <v>1862</v>
      </c>
      <c r="Y777" s="463" t="s">
        <v>3232</v>
      </c>
      <c r="Z777" s="463"/>
      <c r="AA777" s="463"/>
      <c r="AB777" s="459" t="s">
        <v>2294</v>
      </c>
    </row>
    <row r="778" spans="1:28" ht="24" customHeight="1">
      <c r="A778" s="584"/>
      <c r="B778" s="460" t="s">
        <v>675</v>
      </c>
      <c r="C778" s="458" t="s">
        <v>3750</v>
      </c>
      <c r="D778" s="510" t="s">
        <v>5447</v>
      </c>
      <c r="E778" s="653">
        <f t="shared" si="63"/>
        <v>60</v>
      </c>
      <c r="F778" s="653">
        <v>0</v>
      </c>
      <c r="G778" s="653">
        <v>0</v>
      </c>
      <c r="H778" s="653">
        <v>60</v>
      </c>
      <c r="I778" s="653">
        <v>58</v>
      </c>
      <c r="J778" s="653">
        <v>0</v>
      </c>
      <c r="K778" s="653">
        <v>0</v>
      </c>
      <c r="L778" s="698">
        <v>58</v>
      </c>
      <c r="M778" s="672">
        <f t="shared" si="61"/>
        <v>96.7</v>
      </c>
      <c r="N778" s="653">
        <v>8</v>
      </c>
      <c r="O778" s="709" t="s">
        <v>5426</v>
      </c>
      <c r="P778" s="132" t="s">
        <v>3274</v>
      </c>
      <c r="Q778" s="672">
        <v>0</v>
      </c>
      <c r="R778" s="672">
        <v>0</v>
      </c>
      <c r="S778" s="672">
        <v>0</v>
      </c>
      <c r="T778" s="672">
        <v>0</v>
      </c>
      <c r="U778" s="463" t="s">
        <v>5434</v>
      </c>
      <c r="V778" s="466" t="s">
        <v>2074</v>
      </c>
      <c r="W778" s="653">
        <v>260</v>
      </c>
      <c r="X778" s="463" t="s">
        <v>1862</v>
      </c>
      <c r="Y778" s="463" t="s">
        <v>3232</v>
      </c>
      <c r="Z778" s="463"/>
      <c r="AA778" s="463"/>
      <c r="AB778" s="459" t="s">
        <v>2294</v>
      </c>
    </row>
    <row r="779" spans="1:28" ht="24" customHeight="1">
      <c r="A779" s="584"/>
      <c r="B779" s="460" t="s">
        <v>675</v>
      </c>
      <c r="C779" s="458" t="s">
        <v>5448</v>
      </c>
      <c r="D779" s="510" t="s">
        <v>5449</v>
      </c>
      <c r="E779" s="653">
        <f t="shared" si="63"/>
        <v>700</v>
      </c>
      <c r="F779" s="653">
        <v>0</v>
      </c>
      <c r="G779" s="653">
        <v>700</v>
      </c>
      <c r="H779" s="653">
        <v>0</v>
      </c>
      <c r="I779" s="653">
        <v>462</v>
      </c>
      <c r="J779" s="653">
        <v>0</v>
      </c>
      <c r="K779" s="653">
        <v>462</v>
      </c>
      <c r="L779" s="698">
        <v>0</v>
      </c>
      <c r="M779" s="672">
        <f t="shared" ref="M779:M786" si="64">ROUND(I779/E779*100,1)</f>
        <v>66</v>
      </c>
      <c r="N779" s="653">
        <v>113</v>
      </c>
      <c r="O779" s="669" t="s">
        <v>3546</v>
      </c>
      <c r="P779" s="463" t="s">
        <v>1588</v>
      </c>
      <c r="Q779" s="672">
        <v>0</v>
      </c>
      <c r="R779" s="672">
        <v>0</v>
      </c>
      <c r="S779" s="672">
        <v>0</v>
      </c>
      <c r="T779" s="672">
        <v>0</v>
      </c>
      <c r="U779" s="463" t="s">
        <v>5434</v>
      </c>
      <c r="V779" s="466" t="s">
        <v>5450</v>
      </c>
      <c r="W779" s="653">
        <v>886</v>
      </c>
      <c r="X779" s="463" t="s">
        <v>1862</v>
      </c>
      <c r="Y779" s="463" t="s">
        <v>3232</v>
      </c>
      <c r="Z779" s="463"/>
      <c r="AA779" s="463"/>
      <c r="AB779" s="459" t="s">
        <v>2294</v>
      </c>
    </row>
    <row r="780" spans="1:28" ht="24" customHeight="1">
      <c r="A780" s="584"/>
      <c r="B780" s="460" t="s">
        <v>675</v>
      </c>
      <c r="C780" s="458" t="s">
        <v>5451</v>
      </c>
      <c r="D780" s="510" t="s">
        <v>5452</v>
      </c>
      <c r="E780" s="653">
        <f t="shared" si="63"/>
        <v>68</v>
      </c>
      <c r="F780" s="653">
        <v>0</v>
      </c>
      <c r="G780" s="653">
        <v>68</v>
      </c>
      <c r="H780" s="653">
        <v>0</v>
      </c>
      <c r="I780" s="653">
        <v>61</v>
      </c>
      <c r="J780" s="653">
        <v>0</v>
      </c>
      <c r="K780" s="653">
        <v>61</v>
      </c>
      <c r="L780" s="698">
        <v>0</v>
      </c>
      <c r="M780" s="672">
        <f t="shared" si="64"/>
        <v>89.7</v>
      </c>
      <c r="N780" s="653">
        <v>6</v>
      </c>
      <c r="O780" s="669" t="s">
        <v>5453</v>
      </c>
      <c r="P780" s="463" t="s">
        <v>1588</v>
      </c>
      <c r="Q780" s="672">
        <v>0</v>
      </c>
      <c r="R780" s="672">
        <v>0</v>
      </c>
      <c r="S780" s="672">
        <v>0</v>
      </c>
      <c r="T780" s="672">
        <v>0</v>
      </c>
      <c r="U780" s="463" t="s">
        <v>5434</v>
      </c>
      <c r="V780" s="466" t="s">
        <v>5454</v>
      </c>
      <c r="W780" s="653">
        <v>334</v>
      </c>
      <c r="X780" s="463" t="s">
        <v>1862</v>
      </c>
      <c r="Y780" s="463" t="s">
        <v>3232</v>
      </c>
      <c r="Z780" s="463"/>
      <c r="AA780" s="463"/>
      <c r="AB780" s="459" t="s">
        <v>2294</v>
      </c>
    </row>
    <row r="781" spans="1:28" ht="24" customHeight="1">
      <c r="A781" s="584"/>
      <c r="B781" s="460" t="s">
        <v>675</v>
      </c>
      <c r="C781" s="458" t="s">
        <v>5455</v>
      </c>
      <c r="D781" s="510" t="s">
        <v>5456</v>
      </c>
      <c r="E781" s="653">
        <f t="shared" si="63"/>
        <v>60</v>
      </c>
      <c r="F781" s="653">
        <v>0</v>
      </c>
      <c r="G781" s="653">
        <v>0</v>
      </c>
      <c r="H781" s="653">
        <v>60</v>
      </c>
      <c r="I781" s="653">
        <v>41</v>
      </c>
      <c r="J781" s="653">
        <v>0</v>
      </c>
      <c r="K781" s="653">
        <v>0</v>
      </c>
      <c r="L781" s="698">
        <v>41</v>
      </c>
      <c r="M781" s="672">
        <f t="shared" si="64"/>
        <v>68.3</v>
      </c>
      <c r="N781" s="653">
        <v>4</v>
      </c>
      <c r="O781" s="669" t="s">
        <v>3347</v>
      </c>
      <c r="P781" s="463" t="s">
        <v>3455</v>
      </c>
      <c r="Q781" s="672">
        <v>0</v>
      </c>
      <c r="R781" s="672">
        <v>0</v>
      </c>
      <c r="S781" s="672">
        <v>0</v>
      </c>
      <c r="T781" s="672">
        <v>0</v>
      </c>
      <c r="U781" s="463" t="s">
        <v>5434</v>
      </c>
      <c r="V781" s="466" t="s">
        <v>3420</v>
      </c>
      <c r="W781" s="653">
        <v>416</v>
      </c>
      <c r="X781" s="463" t="s">
        <v>1862</v>
      </c>
      <c r="Y781" s="463" t="s">
        <v>3232</v>
      </c>
      <c r="Z781" s="463"/>
      <c r="AA781" s="463"/>
      <c r="AB781" s="459" t="s">
        <v>2294</v>
      </c>
    </row>
    <row r="782" spans="1:28" ht="24" customHeight="1">
      <c r="A782" s="584"/>
      <c r="B782" s="460" t="s">
        <v>675</v>
      </c>
      <c r="C782" s="458" t="s">
        <v>5457</v>
      </c>
      <c r="D782" s="510" t="s">
        <v>5458</v>
      </c>
      <c r="E782" s="653">
        <f t="shared" si="63"/>
        <v>80</v>
      </c>
      <c r="F782" s="653">
        <v>0</v>
      </c>
      <c r="G782" s="653">
        <v>0</v>
      </c>
      <c r="H782" s="653">
        <v>80</v>
      </c>
      <c r="I782" s="653">
        <v>51</v>
      </c>
      <c r="J782" s="653">
        <v>0</v>
      </c>
      <c r="K782" s="653">
        <v>0</v>
      </c>
      <c r="L782" s="698">
        <v>51</v>
      </c>
      <c r="M782" s="672">
        <f t="shared" si="64"/>
        <v>63.8</v>
      </c>
      <c r="N782" s="653">
        <v>8</v>
      </c>
      <c r="O782" s="669" t="s">
        <v>5033</v>
      </c>
      <c r="P782" s="463" t="s">
        <v>1214</v>
      </c>
      <c r="Q782" s="672">
        <v>0</v>
      </c>
      <c r="R782" s="672">
        <v>0</v>
      </c>
      <c r="S782" s="672">
        <v>0</v>
      </c>
      <c r="T782" s="672">
        <v>0</v>
      </c>
      <c r="U782" s="463" t="s">
        <v>5434</v>
      </c>
      <c r="V782" s="466" t="s">
        <v>5459</v>
      </c>
      <c r="W782" s="653">
        <v>741</v>
      </c>
      <c r="X782" s="463" t="s">
        <v>1862</v>
      </c>
      <c r="Y782" s="463"/>
      <c r="Z782" s="463"/>
      <c r="AA782" s="463"/>
      <c r="AB782" s="459" t="s">
        <v>2294</v>
      </c>
    </row>
    <row r="783" spans="1:28" ht="24" customHeight="1">
      <c r="A783" s="593" t="s">
        <v>1672</v>
      </c>
      <c r="B783" s="460" t="s">
        <v>2201</v>
      </c>
      <c r="C783" s="522" t="s">
        <v>2416</v>
      </c>
      <c r="D783" s="524" t="s">
        <v>5460</v>
      </c>
      <c r="E783" s="653">
        <f t="shared" si="63"/>
        <v>15000</v>
      </c>
      <c r="F783" s="653">
        <v>0</v>
      </c>
      <c r="G783" s="653">
        <v>15000</v>
      </c>
      <c r="H783" s="653">
        <v>0</v>
      </c>
      <c r="I783" s="653">
        <f>SUM(J783:L783)</f>
        <v>14312</v>
      </c>
      <c r="J783" s="653">
        <v>0</v>
      </c>
      <c r="K783" s="653">
        <v>14312</v>
      </c>
      <c r="L783" s="698">
        <v>0</v>
      </c>
      <c r="M783" s="672">
        <f t="shared" si="64"/>
        <v>95.4</v>
      </c>
      <c r="N783" s="498">
        <v>1906</v>
      </c>
      <c r="O783" s="699" t="s">
        <v>5461</v>
      </c>
      <c r="P783" s="462" t="s">
        <v>1588</v>
      </c>
      <c r="Q783" s="673">
        <v>83.5</v>
      </c>
      <c r="R783" s="673">
        <v>0</v>
      </c>
      <c r="S783" s="673">
        <v>0</v>
      </c>
      <c r="T783" s="673">
        <v>0</v>
      </c>
      <c r="U783" s="462" t="s">
        <v>2449</v>
      </c>
      <c r="V783" s="462" t="s">
        <v>5462</v>
      </c>
      <c r="W783" s="653">
        <v>39784</v>
      </c>
      <c r="X783" s="462" t="s">
        <v>2199</v>
      </c>
      <c r="Y783" s="462" t="s">
        <v>3161</v>
      </c>
      <c r="Z783" s="462" t="s">
        <v>5463</v>
      </c>
      <c r="AA783" s="462" t="s">
        <v>5464</v>
      </c>
      <c r="AB783" s="467" t="s">
        <v>1596</v>
      </c>
    </row>
    <row r="784" spans="1:28" ht="24" customHeight="1">
      <c r="A784" s="594"/>
      <c r="B784" s="460" t="s">
        <v>2201</v>
      </c>
      <c r="C784" s="522" t="s">
        <v>5465</v>
      </c>
      <c r="D784" s="524" t="s">
        <v>5466</v>
      </c>
      <c r="E784" s="653">
        <f t="shared" si="63"/>
        <v>11400</v>
      </c>
      <c r="F784" s="653">
        <v>0</v>
      </c>
      <c r="G784" s="653">
        <v>11400</v>
      </c>
      <c r="H784" s="653">
        <v>0</v>
      </c>
      <c r="I784" s="653">
        <f>SUM(J784:L784)</f>
        <v>8312</v>
      </c>
      <c r="J784" s="653">
        <v>0</v>
      </c>
      <c r="K784" s="653">
        <v>0</v>
      </c>
      <c r="L784" s="698">
        <v>8312</v>
      </c>
      <c r="M784" s="672">
        <f t="shared" si="64"/>
        <v>72.900000000000006</v>
      </c>
      <c r="N784" s="498">
        <v>568</v>
      </c>
      <c r="O784" s="699" t="s">
        <v>5467</v>
      </c>
      <c r="P784" s="462" t="s">
        <v>1588</v>
      </c>
      <c r="Q784" s="673">
        <v>0</v>
      </c>
      <c r="R784" s="673">
        <v>0</v>
      </c>
      <c r="S784" s="673">
        <v>88.4</v>
      </c>
      <c r="T784" s="673">
        <v>0</v>
      </c>
      <c r="U784" s="462" t="s">
        <v>5468</v>
      </c>
      <c r="V784" s="462" t="s">
        <v>5469</v>
      </c>
      <c r="W784" s="653">
        <v>19664</v>
      </c>
      <c r="X784" s="462" t="s">
        <v>2199</v>
      </c>
      <c r="Y784" s="462" t="s">
        <v>3161</v>
      </c>
      <c r="Z784" s="462"/>
      <c r="AA784" s="462"/>
      <c r="AB784" s="467" t="s">
        <v>1596</v>
      </c>
    </row>
    <row r="785" spans="1:28" ht="24" customHeight="1">
      <c r="A785" s="594"/>
      <c r="B785" s="460" t="s">
        <v>2201</v>
      </c>
      <c r="C785" s="522" t="s">
        <v>5470</v>
      </c>
      <c r="D785" s="524" t="s">
        <v>5992</v>
      </c>
      <c r="E785" s="653">
        <f t="shared" si="63"/>
        <v>3500</v>
      </c>
      <c r="F785" s="653">
        <v>0</v>
      </c>
      <c r="G785" s="653">
        <v>3500</v>
      </c>
      <c r="H785" s="653">
        <v>0</v>
      </c>
      <c r="I785" s="653">
        <f>SUM(J785:L785)</f>
        <v>2805</v>
      </c>
      <c r="J785" s="653">
        <v>0</v>
      </c>
      <c r="K785" s="653">
        <v>0</v>
      </c>
      <c r="L785" s="698">
        <v>2805</v>
      </c>
      <c r="M785" s="672">
        <f t="shared" si="64"/>
        <v>80.099999999999994</v>
      </c>
      <c r="N785" s="498">
        <v>171</v>
      </c>
      <c r="O785" s="730" t="s">
        <v>5471</v>
      </c>
      <c r="P785" s="462" t="s">
        <v>1588</v>
      </c>
      <c r="Q785" s="673">
        <v>0</v>
      </c>
      <c r="R785" s="673">
        <v>0</v>
      </c>
      <c r="S785" s="673">
        <v>0</v>
      </c>
      <c r="T785" s="673">
        <v>0</v>
      </c>
      <c r="U785" s="462" t="s">
        <v>5472</v>
      </c>
      <c r="V785" s="462" t="s">
        <v>2072</v>
      </c>
      <c r="W785" s="653">
        <v>31741</v>
      </c>
      <c r="X785" s="462" t="s">
        <v>2199</v>
      </c>
      <c r="Y785" s="462" t="s">
        <v>3161</v>
      </c>
      <c r="Z785" s="462" t="s">
        <v>5473</v>
      </c>
      <c r="AA785" s="462" t="s">
        <v>2002</v>
      </c>
      <c r="AB785" s="467" t="s">
        <v>1596</v>
      </c>
    </row>
    <row r="786" spans="1:28" ht="24" customHeight="1">
      <c r="A786" s="592"/>
      <c r="B786" s="460" t="s">
        <v>675</v>
      </c>
      <c r="C786" s="458" t="s">
        <v>5474</v>
      </c>
      <c r="D786" s="510" t="s">
        <v>5475</v>
      </c>
      <c r="E786" s="653">
        <f t="shared" si="63"/>
        <v>120</v>
      </c>
      <c r="F786" s="653">
        <v>0</v>
      </c>
      <c r="G786" s="653">
        <v>0</v>
      </c>
      <c r="H786" s="653">
        <v>120</v>
      </c>
      <c r="I786" s="653">
        <f>SUM(J786:L786)</f>
        <v>71</v>
      </c>
      <c r="J786" s="653">
        <v>0</v>
      </c>
      <c r="K786" s="653">
        <v>0</v>
      </c>
      <c r="L786" s="698">
        <v>71</v>
      </c>
      <c r="M786" s="672">
        <f t="shared" si="64"/>
        <v>59.2</v>
      </c>
      <c r="N786" s="498">
        <v>6</v>
      </c>
      <c r="O786" s="669" t="s">
        <v>5476</v>
      </c>
      <c r="P786" s="463" t="s">
        <v>1588</v>
      </c>
      <c r="Q786" s="672">
        <v>0</v>
      </c>
      <c r="R786" s="672">
        <v>0</v>
      </c>
      <c r="S786" s="672">
        <v>0</v>
      </c>
      <c r="T786" s="672">
        <v>0</v>
      </c>
      <c r="U786" s="463" t="s">
        <v>5477</v>
      </c>
      <c r="V786" s="463" t="s">
        <v>2072</v>
      </c>
      <c r="W786" s="653">
        <v>410</v>
      </c>
      <c r="X786" s="463" t="s">
        <v>2199</v>
      </c>
      <c r="Y786" s="463" t="s">
        <v>3161</v>
      </c>
      <c r="Z786" s="463"/>
      <c r="AA786" s="463"/>
      <c r="AB786" s="459" t="s">
        <v>1596</v>
      </c>
    </row>
    <row r="787" spans="1:28" ht="24" customHeight="1">
      <c r="A787" s="583" t="s">
        <v>1673</v>
      </c>
      <c r="B787" s="458" t="s">
        <v>6038</v>
      </c>
      <c r="C787" s="458"/>
      <c r="D787" s="510"/>
      <c r="E787" s="498" t="s">
        <v>7331</v>
      </c>
      <c r="F787" s="498">
        <v>0</v>
      </c>
      <c r="G787" s="498" t="s">
        <v>7332</v>
      </c>
      <c r="H787" s="498" t="s">
        <v>7333</v>
      </c>
      <c r="I787" s="498" t="s">
        <v>7334</v>
      </c>
      <c r="J787" s="498" t="s">
        <v>6209</v>
      </c>
      <c r="K787" s="498" t="s">
        <v>7335</v>
      </c>
      <c r="L787" s="668" t="s">
        <v>7336</v>
      </c>
      <c r="M787" s="672">
        <v>0</v>
      </c>
      <c r="N787" s="498" t="s">
        <v>7337</v>
      </c>
      <c r="O787" s="669" t="s">
        <v>1588</v>
      </c>
      <c r="P787" s="463" t="s">
        <v>1588</v>
      </c>
      <c r="Q787" s="672" t="s">
        <v>7338</v>
      </c>
      <c r="R787" s="672" t="s">
        <v>6224</v>
      </c>
      <c r="S787" s="672" t="s">
        <v>7339</v>
      </c>
      <c r="T787" s="672" t="s">
        <v>6215</v>
      </c>
      <c r="U787" s="463"/>
      <c r="V787" s="463"/>
      <c r="W787" s="498">
        <f>W788+W951</f>
        <v>825187</v>
      </c>
      <c r="X787" s="463"/>
      <c r="Y787" s="463"/>
      <c r="Z787" s="463"/>
      <c r="AA787" s="463"/>
      <c r="AB787" s="459"/>
    </row>
    <row r="788" spans="1:28" ht="24" customHeight="1">
      <c r="A788" s="582" t="s">
        <v>1674</v>
      </c>
      <c r="B788" s="458" t="s">
        <v>6036</v>
      </c>
      <c r="C788" s="579"/>
      <c r="D788" s="579"/>
      <c r="E788" s="498" t="s">
        <v>6205</v>
      </c>
      <c r="F788" s="498">
        <v>0</v>
      </c>
      <c r="G788" s="498" t="s">
        <v>6206</v>
      </c>
      <c r="H788" s="498" t="s">
        <v>6207</v>
      </c>
      <c r="I788" s="498" t="s">
        <v>6208</v>
      </c>
      <c r="J788" s="498" t="s">
        <v>6209</v>
      </c>
      <c r="K788" s="498" t="s">
        <v>6210</v>
      </c>
      <c r="L788" s="668" t="s">
        <v>6211</v>
      </c>
      <c r="M788" s="672">
        <v>0</v>
      </c>
      <c r="N788" s="498" t="s">
        <v>6212</v>
      </c>
      <c r="O788" s="669" t="s">
        <v>1588</v>
      </c>
      <c r="P788" s="463" t="s">
        <v>1588</v>
      </c>
      <c r="Q788" s="672" t="s">
        <v>6213</v>
      </c>
      <c r="R788" s="672">
        <v>0</v>
      </c>
      <c r="S788" s="672" t="s">
        <v>6214</v>
      </c>
      <c r="T788" s="672" t="s">
        <v>6215</v>
      </c>
      <c r="U788" s="463"/>
      <c r="V788" s="463"/>
      <c r="W788" s="498">
        <f>SUM(W789:W950)</f>
        <v>595170</v>
      </c>
      <c r="X788" s="463"/>
      <c r="Y788" s="463"/>
      <c r="Z788" s="463"/>
      <c r="AA788" s="463"/>
      <c r="AB788" s="459"/>
    </row>
    <row r="789" spans="1:28" ht="24" customHeight="1">
      <c r="A789" s="582" t="s">
        <v>1675</v>
      </c>
      <c r="B789" s="460" t="s">
        <v>2201</v>
      </c>
      <c r="C789" s="458" t="s">
        <v>2417</v>
      </c>
      <c r="D789" s="510" t="s">
        <v>5478</v>
      </c>
      <c r="E789" s="497">
        <f t="shared" ref="E789:E797" si="65">F789+G789+H789</f>
        <v>403000</v>
      </c>
      <c r="F789" s="497">
        <v>0</v>
      </c>
      <c r="G789" s="497">
        <v>0</v>
      </c>
      <c r="H789" s="497">
        <v>403000</v>
      </c>
      <c r="I789" s="497">
        <f t="shared" ref="I789:I809" si="66">J789+K789+L789</f>
        <v>318904</v>
      </c>
      <c r="J789" s="497">
        <v>0</v>
      </c>
      <c r="K789" s="497">
        <v>0</v>
      </c>
      <c r="L789" s="721">
        <v>318904</v>
      </c>
      <c r="M789" s="672">
        <v>94.7</v>
      </c>
      <c r="N789" s="498">
        <f>58438-3090</f>
        <v>55348</v>
      </c>
      <c r="O789" s="731" t="s">
        <v>5479</v>
      </c>
      <c r="P789" s="514" t="s">
        <v>1588</v>
      </c>
      <c r="Q789" s="842">
        <v>609</v>
      </c>
      <c r="R789" s="842">
        <v>0</v>
      </c>
      <c r="S789" s="842">
        <v>200</v>
      </c>
      <c r="T789" s="842">
        <v>0</v>
      </c>
      <c r="U789" s="514" t="s">
        <v>5480</v>
      </c>
      <c r="V789" s="514" t="s">
        <v>5481</v>
      </c>
      <c r="W789" s="498">
        <v>155151</v>
      </c>
      <c r="X789" s="514" t="s">
        <v>2276</v>
      </c>
      <c r="Y789" s="514" t="s">
        <v>5482</v>
      </c>
      <c r="Z789" s="514" t="s">
        <v>1676</v>
      </c>
      <c r="AA789" s="514" t="s">
        <v>1679</v>
      </c>
      <c r="AB789" s="531" t="s">
        <v>1592</v>
      </c>
    </row>
    <row r="790" spans="1:28" ht="24" customHeight="1">
      <c r="A790" s="584"/>
      <c r="B790" s="460" t="s">
        <v>675</v>
      </c>
      <c r="C790" s="458" t="s">
        <v>2441</v>
      </c>
      <c r="D790" s="510" t="s">
        <v>5483</v>
      </c>
      <c r="E790" s="657">
        <f t="shared" si="65"/>
        <v>30</v>
      </c>
      <c r="F790" s="657">
        <v>0</v>
      </c>
      <c r="G790" s="657">
        <v>0</v>
      </c>
      <c r="H790" s="657">
        <v>30</v>
      </c>
      <c r="I790" s="657">
        <f t="shared" si="66"/>
        <v>12</v>
      </c>
      <c r="J790" s="657">
        <v>0</v>
      </c>
      <c r="K790" s="657">
        <v>0</v>
      </c>
      <c r="L790" s="732">
        <v>12</v>
      </c>
      <c r="M790" s="673">
        <v>0</v>
      </c>
      <c r="N790" s="653">
        <v>0</v>
      </c>
      <c r="O790" s="733" t="s">
        <v>5484</v>
      </c>
      <c r="P790" s="532" t="s">
        <v>5485</v>
      </c>
      <c r="Q790" s="843">
        <v>0</v>
      </c>
      <c r="R790" s="843">
        <v>0</v>
      </c>
      <c r="S790" s="843">
        <v>0</v>
      </c>
      <c r="T790" s="843">
        <v>0</v>
      </c>
      <c r="U790" s="532"/>
      <c r="V790" s="533" t="s">
        <v>5486</v>
      </c>
      <c r="W790" s="653"/>
      <c r="X790" s="514" t="s">
        <v>1532</v>
      </c>
      <c r="Y790" s="514"/>
      <c r="Z790" s="514" t="s">
        <v>1676</v>
      </c>
      <c r="AA790" s="514" t="s">
        <v>1679</v>
      </c>
      <c r="AB790" s="531" t="s">
        <v>1592</v>
      </c>
    </row>
    <row r="791" spans="1:28" ht="24" customHeight="1">
      <c r="A791" s="584"/>
      <c r="B791" s="460" t="s">
        <v>675</v>
      </c>
      <c r="C791" s="458" t="s">
        <v>5487</v>
      </c>
      <c r="D791" s="510" t="s">
        <v>5488</v>
      </c>
      <c r="E791" s="657">
        <f t="shared" si="65"/>
        <v>30</v>
      </c>
      <c r="F791" s="657">
        <v>0</v>
      </c>
      <c r="G791" s="657">
        <v>0</v>
      </c>
      <c r="H791" s="657">
        <v>30</v>
      </c>
      <c r="I791" s="657">
        <f t="shared" si="66"/>
        <v>19</v>
      </c>
      <c r="J791" s="657">
        <v>0</v>
      </c>
      <c r="K791" s="657">
        <v>0</v>
      </c>
      <c r="L791" s="732">
        <v>19</v>
      </c>
      <c r="M791" s="673">
        <v>0</v>
      </c>
      <c r="N791" s="653">
        <v>0</v>
      </c>
      <c r="O791" s="733" t="s">
        <v>5484</v>
      </c>
      <c r="P791" s="532" t="s">
        <v>5489</v>
      </c>
      <c r="Q791" s="843">
        <v>0</v>
      </c>
      <c r="R791" s="843">
        <v>0</v>
      </c>
      <c r="S791" s="843">
        <v>0</v>
      </c>
      <c r="T791" s="843">
        <v>0</v>
      </c>
      <c r="U791" s="532"/>
      <c r="V791" s="533" t="s">
        <v>5486</v>
      </c>
      <c r="W791" s="653"/>
      <c r="X791" s="514" t="s">
        <v>1532</v>
      </c>
      <c r="Y791" s="514"/>
      <c r="Z791" s="514" t="s">
        <v>1676</v>
      </c>
      <c r="AA791" s="514" t="s">
        <v>1679</v>
      </c>
      <c r="AB791" s="531" t="s">
        <v>1592</v>
      </c>
    </row>
    <row r="792" spans="1:28" ht="24" customHeight="1">
      <c r="A792" s="584"/>
      <c r="B792" s="460" t="s">
        <v>675</v>
      </c>
      <c r="C792" s="458" t="s">
        <v>5490</v>
      </c>
      <c r="D792" s="510" t="s">
        <v>5491</v>
      </c>
      <c r="E792" s="657">
        <f t="shared" si="65"/>
        <v>45</v>
      </c>
      <c r="F792" s="657">
        <v>0</v>
      </c>
      <c r="G792" s="657">
        <v>0</v>
      </c>
      <c r="H792" s="657">
        <v>45</v>
      </c>
      <c r="I792" s="657">
        <f t="shared" si="66"/>
        <v>43</v>
      </c>
      <c r="J792" s="657">
        <v>0</v>
      </c>
      <c r="K792" s="657">
        <v>0</v>
      </c>
      <c r="L792" s="732">
        <v>43</v>
      </c>
      <c r="M792" s="673">
        <v>0</v>
      </c>
      <c r="N792" s="653">
        <v>0</v>
      </c>
      <c r="O792" s="733" t="s">
        <v>5484</v>
      </c>
      <c r="P792" s="532" t="s">
        <v>5485</v>
      </c>
      <c r="Q792" s="843">
        <v>0</v>
      </c>
      <c r="R792" s="843">
        <v>0</v>
      </c>
      <c r="S792" s="843">
        <v>0</v>
      </c>
      <c r="T792" s="843">
        <v>0</v>
      </c>
      <c r="U792" s="532"/>
      <c r="V792" s="533" t="s">
        <v>5486</v>
      </c>
      <c r="W792" s="653"/>
      <c r="X792" s="514" t="s">
        <v>1532</v>
      </c>
      <c r="Y792" s="514"/>
      <c r="Z792" s="514" t="s">
        <v>1676</v>
      </c>
      <c r="AA792" s="514" t="s">
        <v>1679</v>
      </c>
      <c r="AB792" s="531" t="s">
        <v>1592</v>
      </c>
    </row>
    <row r="793" spans="1:28" ht="24" customHeight="1">
      <c r="A793" s="584"/>
      <c r="B793" s="460" t="s">
        <v>675</v>
      </c>
      <c r="C793" s="458" t="s">
        <v>5492</v>
      </c>
      <c r="D793" s="510" t="s">
        <v>5493</v>
      </c>
      <c r="E793" s="657">
        <f t="shared" si="65"/>
        <v>40</v>
      </c>
      <c r="F793" s="657">
        <v>0</v>
      </c>
      <c r="G793" s="657">
        <v>0</v>
      </c>
      <c r="H793" s="657">
        <v>40</v>
      </c>
      <c r="I793" s="657">
        <f t="shared" si="66"/>
        <v>35</v>
      </c>
      <c r="J793" s="657">
        <v>0</v>
      </c>
      <c r="K793" s="657">
        <v>0</v>
      </c>
      <c r="L793" s="732">
        <v>35</v>
      </c>
      <c r="M793" s="673">
        <v>0</v>
      </c>
      <c r="N793" s="653">
        <v>0</v>
      </c>
      <c r="O793" s="733" t="s">
        <v>5484</v>
      </c>
      <c r="P793" s="532" t="s">
        <v>5485</v>
      </c>
      <c r="Q793" s="843">
        <v>0</v>
      </c>
      <c r="R793" s="843">
        <v>0</v>
      </c>
      <c r="S793" s="843">
        <v>0</v>
      </c>
      <c r="T793" s="843">
        <v>0</v>
      </c>
      <c r="U793" s="532"/>
      <c r="V793" s="533" t="s">
        <v>5494</v>
      </c>
      <c r="W793" s="653"/>
      <c r="X793" s="514" t="s">
        <v>1532</v>
      </c>
      <c r="Y793" s="514"/>
      <c r="Z793" s="514" t="s">
        <v>1676</v>
      </c>
      <c r="AA793" s="514" t="s">
        <v>1679</v>
      </c>
      <c r="AB793" s="531" t="s">
        <v>1592</v>
      </c>
    </row>
    <row r="794" spans="1:28" ht="24" customHeight="1">
      <c r="A794" s="584"/>
      <c r="B794" s="460" t="s">
        <v>675</v>
      </c>
      <c r="C794" s="458" t="s">
        <v>5495</v>
      </c>
      <c r="D794" s="510" t="s">
        <v>5496</v>
      </c>
      <c r="E794" s="657">
        <f t="shared" si="65"/>
        <v>60</v>
      </c>
      <c r="F794" s="657">
        <v>0</v>
      </c>
      <c r="G794" s="657">
        <v>0</v>
      </c>
      <c r="H794" s="657">
        <v>60</v>
      </c>
      <c r="I794" s="657">
        <f t="shared" si="66"/>
        <v>26</v>
      </c>
      <c r="J794" s="657">
        <v>0</v>
      </c>
      <c r="K794" s="657">
        <v>0</v>
      </c>
      <c r="L794" s="732">
        <v>26</v>
      </c>
      <c r="M794" s="673">
        <v>0</v>
      </c>
      <c r="N794" s="653">
        <v>0</v>
      </c>
      <c r="O794" s="733" t="s">
        <v>5484</v>
      </c>
      <c r="P794" s="532" t="s">
        <v>5497</v>
      </c>
      <c r="Q794" s="843">
        <v>0</v>
      </c>
      <c r="R794" s="843">
        <v>0</v>
      </c>
      <c r="S794" s="843">
        <v>0</v>
      </c>
      <c r="T794" s="843">
        <v>0</v>
      </c>
      <c r="U794" s="532"/>
      <c r="V794" s="533" t="s">
        <v>5486</v>
      </c>
      <c r="W794" s="653"/>
      <c r="X794" s="514" t="s">
        <v>1532</v>
      </c>
      <c r="Y794" s="514"/>
      <c r="Z794" s="514" t="s">
        <v>1676</v>
      </c>
      <c r="AA794" s="514" t="s">
        <v>1679</v>
      </c>
      <c r="AB794" s="531" t="s">
        <v>1592</v>
      </c>
    </row>
    <row r="795" spans="1:28" ht="24" customHeight="1">
      <c r="A795" s="584"/>
      <c r="B795" s="460" t="s">
        <v>675</v>
      </c>
      <c r="C795" s="458" t="s">
        <v>5498</v>
      </c>
      <c r="D795" s="510" t="s">
        <v>5499</v>
      </c>
      <c r="E795" s="657">
        <f t="shared" si="65"/>
        <v>40</v>
      </c>
      <c r="F795" s="657">
        <v>0</v>
      </c>
      <c r="G795" s="657">
        <v>0</v>
      </c>
      <c r="H795" s="657">
        <v>40</v>
      </c>
      <c r="I795" s="657">
        <f t="shared" si="66"/>
        <v>82</v>
      </c>
      <c r="J795" s="657">
        <v>0</v>
      </c>
      <c r="K795" s="657">
        <v>0</v>
      </c>
      <c r="L795" s="732">
        <v>82</v>
      </c>
      <c r="M795" s="673">
        <v>0</v>
      </c>
      <c r="N795" s="653">
        <v>0</v>
      </c>
      <c r="O795" s="733" t="s">
        <v>5484</v>
      </c>
      <c r="P795" s="532" t="s">
        <v>5500</v>
      </c>
      <c r="Q795" s="843">
        <v>0</v>
      </c>
      <c r="R795" s="843">
        <v>0</v>
      </c>
      <c r="S795" s="843">
        <v>0</v>
      </c>
      <c r="T795" s="843">
        <v>0</v>
      </c>
      <c r="U795" s="532"/>
      <c r="V795" s="533" t="s">
        <v>5486</v>
      </c>
      <c r="W795" s="653"/>
      <c r="X795" s="514" t="s">
        <v>1532</v>
      </c>
      <c r="Y795" s="514"/>
      <c r="Z795" s="514" t="s">
        <v>1676</v>
      </c>
      <c r="AA795" s="514" t="s">
        <v>1679</v>
      </c>
      <c r="AB795" s="531" t="s">
        <v>1592</v>
      </c>
    </row>
    <row r="796" spans="1:28" ht="24" customHeight="1">
      <c r="A796" s="584"/>
      <c r="B796" s="460" t="s">
        <v>675</v>
      </c>
      <c r="C796" s="458" t="s">
        <v>5501</v>
      </c>
      <c r="D796" s="510" t="s">
        <v>5502</v>
      </c>
      <c r="E796" s="657">
        <f t="shared" si="65"/>
        <v>45</v>
      </c>
      <c r="F796" s="657">
        <v>0</v>
      </c>
      <c r="G796" s="657">
        <v>0</v>
      </c>
      <c r="H796" s="657">
        <v>45</v>
      </c>
      <c r="I796" s="657">
        <f t="shared" si="66"/>
        <v>43</v>
      </c>
      <c r="J796" s="657">
        <v>0</v>
      </c>
      <c r="K796" s="657">
        <v>0</v>
      </c>
      <c r="L796" s="732">
        <v>43</v>
      </c>
      <c r="M796" s="673">
        <v>0</v>
      </c>
      <c r="N796" s="653">
        <v>0</v>
      </c>
      <c r="O796" s="731" t="s">
        <v>5484</v>
      </c>
      <c r="P796" s="514" t="s">
        <v>5497</v>
      </c>
      <c r="Q796" s="842">
        <v>0</v>
      </c>
      <c r="R796" s="842">
        <v>0</v>
      </c>
      <c r="S796" s="842">
        <v>0</v>
      </c>
      <c r="T796" s="842">
        <v>0</v>
      </c>
      <c r="U796" s="514"/>
      <c r="V796" s="534" t="s">
        <v>5494</v>
      </c>
      <c r="W796" s="498"/>
      <c r="X796" s="514" t="s">
        <v>1532</v>
      </c>
      <c r="Y796" s="514"/>
      <c r="Z796" s="514" t="s">
        <v>1676</v>
      </c>
      <c r="AA796" s="514" t="s">
        <v>1679</v>
      </c>
      <c r="AB796" s="531" t="s">
        <v>1592</v>
      </c>
    </row>
    <row r="797" spans="1:28" ht="24" customHeight="1">
      <c r="A797" s="584"/>
      <c r="B797" s="460" t="s">
        <v>675</v>
      </c>
      <c r="C797" s="458" t="s">
        <v>5503</v>
      </c>
      <c r="D797" s="510" t="s">
        <v>5504</v>
      </c>
      <c r="E797" s="657">
        <f t="shared" si="65"/>
        <v>40</v>
      </c>
      <c r="F797" s="657">
        <v>0</v>
      </c>
      <c r="G797" s="657">
        <v>0</v>
      </c>
      <c r="H797" s="657">
        <v>40</v>
      </c>
      <c r="I797" s="657">
        <f t="shared" si="66"/>
        <v>20</v>
      </c>
      <c r="J797" s="657">
        <v>0</v>
      </c>
      <c r="K797" s="657">
        <v>0</v>
      </c>
      <c r="L797" s="732">
        <v>20</v>
      </c>
      <c r="M797" s="673">
        <v>0</v>
      </c>
      <c r="N797" s="653">
        <v>0</v>
      </c>
      <c r="O797" s="731" t="s">
        <v>5484</v>
      </c>
      <c r="P797" s="514" t="s">
        <v>5500</v>
      </c>
      <c r="Q797" s="842">
        <v>0</v>
      </c>
      <c r="R797" s="842">
        <v>0</v>
      </c>
      <c r="S797" s="842">
        <v>0</v>
      </c>
      <c r="T797" s="842">
        <v>0</v>
      </c>
      <c r="U797" s="514"/>
      <c r="V797" s="534" t="s">
        <v>5494</v>
      </c>
      <c r="W797" s="498"/>
      <c r="X797" s="514" t="s">
        <v>1532</v>
      </c>
      <c r="Y797" s="514"/>
      <c r="Z797" s="514" t="s">
        <v>1676</v>
      </c>
      <c r="AA797" s="514" t="s">
        <v>1679</v>
      </c>
      <c r="AB797" s="531" t="s">
        <v>1592</v>
      </c>
    </row>
    <row r="798" spans="1:28" ht="24" customHeight="1">
      <c r="A798" s="582" t="s">
        <v>1677</v>
      </c>
      <c r="B798" s="460" t="s">
        <v>2201</v>
      </c>
      <c r="C798" s="458" t="s">
        <v>2418</v>
      </c>
      <c r="D798" s="510" t="s">
        <v>5505</v>
      </c>
      <c r="E798" s="810">
        <v>200000</v>
      </c>
      <c r="F798" s="657">
        <v>0</v>
      </c>
      <c r="G798" s="657">
        <v>200000</v>
      </c>
      <c r="H798" s="657">
        <v>0</v>
      </c>
      <c r="I798" s="657">
        <f t="shared" si="66"/>
        <v>164247</v>
      </c>
      <c r="J798" s="657">
        <v>0</v>
      </c>
      <c r="K798" s="657">
        <v>164247</v>
      </c>
      <c r="L798" s="732">
        <v>0</v>
      </c>
      <c r="M798" s="673">
        <v>89.7</v>
      </c>
      <c r="N798" s="653">
        <v>21922</v>
      </c>
      <c r="O798" s="733" t="s">
        <v>2371</v>
      </c>
      <c r="P798" s="514" t="s">
        <v>7427</v>
      </c>
      <c r="Q798" s="842">
        <v>200</v>
      </c>
      <c r="R798" s="842">
        <v>0</v>
      </c>
      <c r="S798" s="842">
        <v>150</v>
      </c>
      <c r="T798" s="842">
        <v>0</v>
      </c>
      <c r="U798" s="514" t="s">
        <v>2299</v>
      </c>
      <c r="V798" s="514">
        <v>2002.5</v>
      </c>
      <c r="W798" s="498">
        <v>172586</v>
      </c>
      <c r="X798" s="514" t="s">
        <v>2276</v>
      </c>
      <c r="Y798" s="514" t="s">
        <v>1533</v>
      </c>
      <c r="Z798" s="514"/>
      <c r="AA798" s="514"/>
      <c r="AB798" s="531" t="s">
        <v>1596</v>
      </c>
    </row>
    <row r="799" spans="1:28" ht="24" customHeight="1">
      <c r="A799" s="584"/>
      <c r="B799" s="460" t="s">
        <v>675</v>
      </c>
      <c r="C799" s="458" t="s">
        <v>5506</v>
      </c>
      <c r="D799" s="510" t="s">
        <v>5507</v>
      </c>
      <c r="E799" s="657">
        <f t="shared" ref="E799:E862" si="67">F799+G799+H799</f>
        <v>92</v>
      </c>
      <c r="F799" s="497">
        <v>0</v>
      </c>
      <c r="G799" s="497">
        <v>92</v>
      </c>
      <c r="H799" s="497">
        <v>0</v>
      </c>
      <c r="I799" s="657">
        <f t="shared" si="66"/>
        <v>60</v>
      </c>
      <c r="J799" s="497">
        <v>0</v>
      </c>
      <c r="K799" s="497">
        <v>60</v>
      </c>
      <c r="L799" s="721">
        <v>0</v>
      </c>
      <c r="M799" s="672">
        <v>65.2</v>
      </c>
      <c r="N799" s="498">
        <v>2.2000000000000002</v>
      </c>
      <c r="O799" s="731" t="s">
        <v>5177</v>
      </c>
      <c r="P799" s="514" t="s">
        <v>7427</v>
      </c>
      <c r="Q799" s="842">
        <v>0</v>
      </c>
      <c r="R799" s="842">
        <v>0</v>
      </c>
      <c r="S799" s="842">
        <v>0</v>
      </c>
      <c r="T799" s="842">
        <v>0</v>
      </c>
      <c r="U799" s="514" t="s">
        <v>5508</v>
      </c>
      <c r="V799" s="514" t="s">
        <v>5509</v>
      </c>
      <c r="W799" s="498">
        <v>400</v>
      </c>
      <c r="X799" s="514" t="s">
        <v>1532</v>
      </c>
      <c r="Y799" s="514" t="s">
        <v>1533</v>
      </c>
      <c r="Z799" s="514"/>
      <c r="AA799" s="514"/>
      <c r="AB799" s="531" t="s">
        <v>5510</v>
      </c>
    </row>
    <row r="800" spans="1:28" ht="24" customHeight="1">
      <c r="A800" s="584"/>
      <c r="B800" s="460" t="s">
        <v>675</v>
      </c>
      <c r="C800" s="458" t="s">
        <v>5511</v>
      </c>
      <c r="D800" s="510" t="s">
        <v>5512</v>
      </c>
      <c r="E800" s="657">
        <f t="shared" si="67"/>
        <v>90</v>
      </c>
      <c r="F800" s="497">
        <v>0</v>
      </c>
      <c r="G800" s="497">
        <v>90</v>
      </c>
      <c r="H800" s="497">
        <v>0</v>
      </c>
      <c r="I800" s="657">
        <f t="shared" si="66"/>
        <v>67</v>
      </c>
      <c r="J800" s="497">
        <v>0</v>
      </c>
      <c r="K800" s="497">
        <v>67</v>
      </c>
      <c r="L800" s="721">
        <v>0</v>
      </c>
      <c r="M800" s="672">
        <v>74.400000000000006</v>
      </c>
      <c r="N800" s="498">
        <v>2.4</v>
      </c>
      <c r="O800" s="731" t="s">
        <v>5513</v>
      </c>
      <c r="P800" s="514" t="s">
        <v>7427</v>
      </c>
      <c r="Q800" s="842">
        <v>0</v>
      </c>
      <c r="R800" s="842">
        <v>0</v>
      </c>
      <c r="S800" s="842">
        <v>0</v>
      </c>
      <c r="T800" s="842">
        <v>0</v>
      </c>
      <c r="U800" s="514" t="s">
        <v>5508</v>
      </c>
      <c r="V800" s="514" t="s">
        <v>5514</v>
      </c>
      <c r="W800" s="498">
        <v>340</v>
      </c>
      <c r="X800" s="514" t="s">
        <v>1532</v>
      </c>
      <c r="Y800" s="514" t="s">
        <v>1533</v>
      </c>
      <c r="Z800" s="514"/>
      <c r="AA800" s="514"/>
      <c r="AB800" s="531" t="s">
        <v>5510</v>
      </c>
    </row>
    <row r="801" spans="1:28" ht="24" customHeight="1">
      <c r="A801" s="584"/>
      <c r="B801" s="460" t="s">
        <v>675</v>
      </c>
      <c r="C801" s="458" t="s">
        <v>5515</v>
      </c>
      <c r="D801" s="510" t="s">
        <v>5516</v>
      </c>
      <c r="E801" s="657">
        <f t="shared" si="67"/>
        <v>100</v>
      </c>
      <c r="F801" s="497">
        <v>0</v>
      </c>
      <c r="G801" s="497">
        <v>100</v>
      </c>
      <c r="H801" s="497">
        <v>0</v>
      </c>
      <c r="I801" s="657">
        <f t="shared" si="66"/>
        <v>0</v>
      </c>
      <c r="J801" s="497">
        <v>0</v>
      </c>
      <c r="K801" s="497">
        <v>0</v>
      </c>
      <c r="L801" s="721">
        <v>0</v>
      </c>
      <c r="M801" s="672" t="s">
        <v>5517</v>
      </c>
      <c r="N801" s="498">
        <v>0.3</v>
      </c>
      <c r="O801" s="731" t="s">
        <v>5518</v>
      </c>
      <c r="P801" s="514" t="s">
        <v>7427</v>
      </c>
      <c r="Q801" s="842">
        <v>0</v>
      </c>
      <c r="R801" s="842">
        <v>0</v>
      </c>
      <c r="S801" s="842">
        <v>0</v>
      </c>
      <c r="T801" s="842">
        <v>0</v>
      </c>
      <c r="U801" s="514" t="s">
        <v>5508</v>
      </c>
      <c r="V801" s="514" t="s">
        <v>5519</v>
      </c>
      <c r="W801" s="498">
        <v>400</v>
      </c>
      <c r="X801" s="514" t="s">
        <v>1532</v>
      </c>
      <c r="Y801" s="514" t="s">
        <v>1533</v>
      </c>
      <c r="Z801" s="514"/>
      <c r="AA801" s="514"/>
      <c r="AB801" s="531" t="s">
        <v>5510</v>
      </c>
    </row>
    <row r="802" spans="1:28" ht="24" customHeight="1">
      <c r="A802" s="584"/>
      <c r="B802" s="460" t="s">
        <v>675</v>
      </c>
      <c r="C802" s="458" t="s">
        <v>5520</v>
      </c>
      <c r="D802" s="510" t="s">
        <v>5521</v>
      </c>
      <c r="E802" s="657">
        <f t="shared" si="67"/>
        <v>120</v>
      </c>
      <c r="F802" s="497">
        <v>0</v>
      </c>
      <c r="G802" s="497">
        <v>120</v>
      </c>
      <c r="H802" s="497">
        <v>0</v>
      </c>
      <c r="I802" s="657">
        <f t="shared" si="66"/>
        <v>50</v>
      </c>
      <c r="J802" s="497">
        <v>0</v>
      </c>
      <c r="K802" s="497">
        <v>50</v>
      </c>
      <c r="L802" s="721">
        <v>0</v>
      </c>
      <c r="M802" s="672">
        <v>41.7</v>
      </c>
      <c r="N802" s="498">
        <v>1.2</v>
      </c>
      <c r="O802" s="731" t="s">
        <v>5177</v>
      </c>
      <c r="P802" s="514" t="s">
        <v>7427</v>
      </c>
      <c r="Q802" s="842">
        <v>0</v>
      </c>
      <c r="R802" s="842">
        <v>0</v>
      </c>
      <c r="S802" s="842">
        <v>0</v>
      </c>
      <c r="T802" s="842">
        <v>0</v>
      </c>
      <c r="U802" s="514" t="s">
        <v>5508</v>
      </c>
      <c r="V802" s="514" t="s">
        <v>5522</v>
      </c>
      <c r="W802" s="498">
        <v>400</v>
      </c>
      <c r="X802" s="514" t="s">
        <v>1532</v>
      </c>
      <c r="Y802" s="514" t="s">
        <v>1533</v>
      </c>
      <c r="Z802" s="514"/>
      <c r="AA802" s="514"/>
      <c r="AB802" s="531" t="s">
        <v>1592</v>
      </c>
    </row>
    <row r="803" spans="1:28" ht="24" customHeight="1">
      <c r="A803" s="584"/>
      <c r="B803" s="460" t="s">
        <v>675</v>
      </c>
      <c r="C803" s="458" t="s">
        <v>5523</v>
      </c>
      <c r="D803" s="510" t="s">
        <v>5524</v>
      </c>
      <c r="E803" s="657">
        <f t="shared" si="67"/>
        <v>48</v>
      </c>
      <c r="F803" s="497">
        <v>0</v>
      </c>
      <c r="G803" s="497">
        <v>48</v>
      </c>
      <c r="H803" s="497">
        <v>0</v>
      </c>
      <c r="I803" s="657">
        <f t="shared" si="66"/>
        <v>40</v>
      </c>
      <c r="J803" s="497">
        <v>0</v>
      </c>
      <c r="K803" s="497">
        <v>40</v>
      </c>
      <c r="L803" s="721">
        <v>0</v>
      </c>
      <c r="M803" s="672">
        <v>83.3</v>
      </c>
      <c r="N803" s="498">
        <v>2</v>
      </c>
      <c r="O803" s="731" t="s">
        <v>5177</v>
      </c>
      <c r="P803" s="514" t="s">
        <v>7427</v>
      </c>
      <c r="Q803" s="842">
        <v>0</v>
      </c>
      <c r="R803" s="842">
        <v>0</v>
      </c>
      <c r="S803" s="842">
        <v>0</v>
      </c>
      <c r="T803" s="842">
        <v>0</v>
      </c>
      <c r="U803" s="514" t="s">
        <v>5508</v>
      </c>
      <c r="V803" s="514" t="s">
        <v>5525</v>
      </c>
      <c r="W803" s="498">
        <v>147</v>
      </c>
      <c r="X803" s="514" t="s">
        <v>1532</v>
      </c>
      <c r="Y803" s="514" t="s">
        <v>1533</v>
      </c>
      <c r="Z803" s="514"/>
      <c r="AA803" s="514"/>
      <c r="AB803" s="531" t="s">
        <v>1592</v>
      </c>
    </row>
    <row r="804" spans="1:28" ht="24" customHeight="1">
      <c r="A804" s="584"/>
      <c r="B804" s="460" t="s">
        <v>675</v>
      </c>
      <c r="C804" s="458" t="s">
        <v>5526</v>
      </c>
      <c r="D804" s="510" t="s">
        <v>5527</v>
      </c>
      <c r="E804" s="657">
        <f t="shared" si="67"/>
        <v>150</v>
      </c>
      <c r="F804" s="497">
        <v>0</v>
      </c>
      <c r="G804" s="497">
        <v>150</v>
      </c>
      <c r="H804" s="497">
        <v>0</v>
      </c>
      <c r="I804" s="657">
        <f t="shared" si="66"/>
        <v>100</v>
      </c>
      <c r="J804" s="497">
        <v>0</v>
      </c>
      <c r="K804" s="497">
        <v>100</v>
      </c>
      <c r="L804" s="721">
        <v>0</v>
      </c>
      <c r="M804" s="672">
        <v>66.7</v>
      </c>
      <c r="N804" s="498">
        <v>4.4000000000000004</v>
      </c>
      <c r="O804" s="731" t="s">
        <v>5528</v>
      </c>
      <c r="P804" s="514" t="s">
        <v>7427</v>
      </c>
      <c r="Q804" s="842">
        <v>0</v>
      </c>
      <c r="R804" s="842">
        <v>0</v>
      </c>
      <c r="S804" s="842">
        <v>0</v>
      </c>
      <c r="T804" s="842">
        <v>0</v>
      </c>
      <c r="U804" s="514" t="s">
        <v>5508</v>
      </c>
      <c r="V804" s="514" t="s">
        <v>5529</v>
      </c>
      <c r="W804" s="498">
        <v>500</v>
      </c>
      <c r="X804" s="514" t="s">
        <v>1532</v>
      </c>
      <c r="Y804" s="514" t="s">
        <v>1533</v>
      </c>
      <c r="Z804" s="514"/>
      <c r="AA804" s="514"/>
      <c r="AB804" s="531" t="s">
        <v>5510</v>
      </c>
    </row>
    <row r="805" spans="1:28" ht="24" customHeight="1">
      <c r="A805" s="584"/>
      <c r="B805" s="460" t="s">
        <v>675</v>
      </c>
      <c r="C805" s="458" t="s">
        <v>5530</v>
      </c>
      <c r="D805" s="510" t="s">
        <v>5531</v>
      </c>
      <c r="E805" s="657">
        <f t="shared" si="67"/>
        <v>490</v>
      </c>
      <c r="F805" s="497">
        <v>0</v>
      </c>
      <c r="G805" s="497">
        <v>490</v>
      </c>
      <c r="H805" s="497">
        <v>0</v>
      </c>
      <c r="I805" s="657">
        <f t="shared" si="66"/>
        <v>50</v>
      </c>
      <c r="J805" s="497">
        <v>0</v>
      </c>
      <c r="K805" s="497">
        <v>50</v>
      </c>
      <c r="L805" s="721">
        <v>0</v>
      </c>
      <c r="M805" s="672">
        <v>10.199999999999999</v>
      </c>
      <c r="N805" s="498">
        <v>0.1</v>
      </c>
      <c r="O805" s="731" t="s">
        <v>5177</v>
      </c>
      <c r="P805" s="514" t="s">
        <v>7427</v>
      </c>
      <c r="Q805" s="842">
        <v>0</v>
      </c>
      <c r="R805" s="842">
        <v>0</v>
      </c>
      <c r="S805" s="842">
        <v>0</v>
      </c>
      <c r="T805" s="842">
        <v>0</v>
      </c>
      <c r="U805" s="514" t="s">
        <v>5508</v>
      </c>
      <c r="V805" s="514" t="s">
        <v>5532</v>
      </c>
      <c r="W805" s="498">
        <v>802</v>
      </c>
      <c r="X805" s="514" t="s">
        <v>1532</v>
      </c>
      <c r="Y805" s="514" t="s">
        <v>1533</v>
      </c>
      <c r="Z805" s="514"/>
      <c r="AA805" s="514"/>
      <c r="AB805" s="531" t="s">
        <v>5510</v>
      </c>
    </row>
    <row r="806" spans="1:28" ht="24" customHeight="1">
      <c r="A806" s="584"/>
      <c r="B806" s="460" t="s">
        <v>675</v>
      </c>
      <c r="C806" s="458" t="s">
        <v>5533</v>
      </c>
      <c r="D806" s="510" t="s">
        <v>5534</v>
      </c>
      <c r="E806" s="657">
        <f t="shared" si="67"/>
        <v>58</v>
      </c>
      <c r="F806" s="497">
        <v>0</v>
      </c>
      <c r="G806" s="497">
        <v>0</v>
      </c>
      <c r="H806" s="497">
        <v>58</v>
      </c>
      <c r="I806" s="657">
        <f t="shared" si="66"/>
        <v>22</v>
      </c>
      <c r="J806" s="497">
        <v>0</v>
      </c>
      <c r="K806" s="497">
        <v>0</v>
      </c>
      <c r="L806" s="721">
        <v>22</v>
      </c>
      <c r="M806" s="672" t="s">
        <v>5517</v>
      </c>
      <c r="N806" s="498" t="s">
        <v>5517</v>
      </c>
      <c r="O806" s="731" t="s">
        <v>5535</v>
      </c>
      <c r="P806" s="514" t="s">
        <v>7427</v>
      </c>
      <c r="Q806" s="842">
        <v>0</v>
      </c>
      <c r="R806" s="842">
        <v>0</v>
      </c>
      <c r="S806" s="842">
        <v>0</v>
      </c>
      <c r="T806" s="842">
        <v>0</v>
      </c>
      <c r="U806" s="514" t="s">
        <v>5508</v>
      </c>
      <c r="V806" s="514" t="s">
        <v>5536</v>
      </c>
      <c r="W806" s="498">
        <v>400</v>
      </c>
      <c r="X806" s="514" t="s">
        <v>1532</v>
      </c>
      <c r="Y806" s="514" t="s">
        <v>3336</v>
      </c>
      <c r="Z806" s="514"/>
      <c r="AA806" s="514"/>
      <c r="AB806" s="531" t="s">
        <v>5510</v>
      </c>
    </row>
    <row r="807" spans="1:28" ht="24" customHeight="1">
      <c r="A807" s="584"/>
      <c r="B807" s="460" t="s">
        <v>675</v>
      </c>
      <c r="C807" s="458" t="s">
        <v>5537</v>
      </c>
      <c r="D807" s="510" t="s">
        <v>5538</v>
      </c>
      <c r="E807" s="497">
        <f t="shared" si="67"/>
        <v>30</v>
      </c>
      <c r="F807" s="497">
        <v>0</v>
      </c>
      <c r="G807" s="497">
        <v>30</v>
      </c>
      <c r="H807" s="497">
        <v>0</v>
      </c>
      <c r="I807" s="497">
        <f t="shared" si="66"/>
        <v>28</v>
      </c>
      <c r="J807" s="497">
        <v>0</v>
      </c>
      <c r="K807" s="497">
        <v>28</v>
      </c>
      <c r="L807" s="721">
        <v>0</v>
      </c>
      <c r="M807" s="672">
        <v>93.3</v>
      </c>
      <c r="N807" s="498">
        <v>2.7</v>
      </c>
      <c r="O807" s="731" t="s">
        <v>5539</v>
      </c>
      <c r="P807" s="514" t="s">
        <v>7427</v>
      </c>
      <c r="Q807" s="842">
        <v>0</v>
      </c>
      <c r="R807" s="842">
        <v>0</v>
      </c>
      <c r="S807" s="842">
        <v>0</v>
      </c>
      <c r="T807" s="842">
        <v>0</v>
      </c>
      <c r="U807" s="514" t="s">
        <v>5508</v>
      </c>
      <c r="V807" s="514" t="s">
        <v>5540</v>
      </c>
      <c r="W807" s="498">
        <v>58</v>
      </c>
      <c r="X807" s="514" t="s">
        <v>1532</v>
      </c>
      <c r="Y807" s="514" t="s">
        <v>5541</v>
      </c>
      <c r="Z807" s="514"/>
      <c r="AA807" s="514"/>
      <c r="AB807" s="531" t="s">
        <v>5510</v>
      </c>
    </row>
    <row r="808" spans="1:28" ht="24" customHeight="1">
      <c r="A808" s="584"/>
      <c r="B808" s="460" t="s">
        <v>675</v>
      </c>
      <c r="C808" s="458" t="s">
        <v>5542</v>
      </c>
      <c r="D808" s="510" t="s">
        <v>5543</v>
      </c>
      <c r="E808" s="497">
        <f t="shared" si="67"/>
        <v>30</v>
      </c>
      <c r="F808" s="497">
        <v>0</v>
      </c>
      <c r="G808" s="497">
        <v>0</v>
      </c>
      <c r="H808" s="497">
        <v>30</v>
      </c>
      <c r="I808" s="497">
        <f t="shared" si="66"/>
        <v>28</v>
      </c>
      <c r="J808" s="497">
        <v>0</v>
      </c>
      <c r="K808" s="497">
        <v>0</v>
      </c>
      <c r="L808" s="721">
        <v>28</v>
      </c>
      <c r="M808" s="672">
        <v>93.3</v>
      </c>
      <c r="N808" s="498">
        <v>2.1</v>
      </c>
      <c r="O808" s="731" t="s">
        <v>5544</v>
      </c>
      <c r="P808" s="514" t="s">
        <v>7427</v>
      </c>
      <c r="Q808" s="842">
        <v>0</v>
      </c>
      <c r="R808" s="842">
        <v>0</v>
      </c>
      <c r="S808" s="842">
        <v>0</v>
      </c>
      <c r="T808" s="842">
        <v>0</v>
      </c>
      <c r="U808" s="514" t="s">
        <v>5508</v>
      </c>
      <c r="V808" s="514" t="s">
        <v>5545</v>
      </c>
      <c r="W808" s="498">
        <v>116</v>
      </c>
      <c r="X808" s="514" t="s">
        <v>1532</v>
      </c>
      <c r="Y808" s="514" t="s">
        <v>3336</v>
      </c>
      <c r="Z808" s="514"/>
      <c r="AA808" s="514"/>
      <c r="AB808" s="531" t="s">
        <v>5510</v>
      </c>
    </row>
    <row r="809" spans="1:28" ht="24" customHeight="1">
      <c r="A809" s="584"/>
      <c r="B809" s="460" t="s">
        <v>675</v>
      </c>
      <c r="C809" s="458" t="s">
        <v>5546</v>
      </c>
      <c r="D809" s="510" t="s">
        <v>5547</v>
      </c>
      <c r="E809" s="497">
        <f t="shared" si="67"/>
        <v>30</v>
      </c>
      <c r="F809" s="497">
        <v>0</v>
      </c>
      <c r="G809" s="497">
        <v>30</v>
      </c>
      <c r="H809" s="497">
        <v>0</v>
      </c>
      <c r="I809" s="497">
        <f t="shared" si="66"/>
        <v>28</v>
      </c>
      <c r="J809" s="497">
        <v>0</v>
      </c>
      <c r="K809" s="497">
        <v>28</v>
      </c>
      <c r="L809" s="721">
        <v>0</v>
      </c>
      <c r="M809" s="672">
        <v>93.3</v>
      </c>
      <c r="N809" s="498">
        <v>2.4</v>
      </c>
      <c r="O809" s="731" t="s">
        <v>5539</v>
      </c>
      <c r="P809" s="514" t="s">
        <v>7427</v>
      </c>
      <c r="Q809" s="842">
        <v>0</v>
      </c>
      <c r="R809" s="842">
        <v>0</v>
      </c>
      <c r="S809" s="842">
        <v>0</v>
      </c>
      <c r="T809" s="842">
        <v>0</v>
      </c>
      <c r="U809" s="514" t="s">
        <v>5508</v>
      </c>
      <c r="V809" s="514" t="s">
        <v>5548</v>
      </c>
      <c r="W809" s="498">
        <v>92</v>
      </c>
      <c r="X809" s="514" t="s">
        <v>1532</v>
      </c>
      <c r="Y809" s="514" t="s">
        <v>1533</v>
      </c>
      <c r="Z809" s="514"/>
      <c r="AA809" s="514"/>
      <c r="AB809" s="531" t="s">
        <v>5510</v>
      </c>
    </row>
    <row r="810" spans="1:28" ht="24" customHeight="1">
      <c r="A810" s="582" t="s">
        <v>1678</v>
      </c>
      <c r="B810" s="460" t="s">
        <v>2201</v>
      </c>
      <c r="C810" s="458" t="s">
        <v>5549</v>
      </c>
      <c r="D810" s="510" t="s">
        <v>5550</v>
      </c>
      <c r="E810" s="497">
        <f t="shared" si="67"/>
        <v>100000</v>
      </c>
      <c r="F810" s="497">
        <v>0</v>
      </c>
      <c r="G810" s="497">
        <v>100000</v>
      </c>
      <c r="H810" s="497">
        <v>0</v>
      </c>
      <c r="I810" s="497">
        <f>J810+K810+L810</f>
        <v>101335</v>
      </c>
      <c r="J810" s="497">
        <v>0</v>
      </c>
      <c r="K810" s="497">
        <v>101335</v>
      </c>
      <c r="L810" s="721">
        <v>0</v>
      </c>
      <c r="M810" s="672">
        <v>94</v>
      </c>
      <c r="N810" s="653">
        <v>1008103</v>
      </c>
      <c r="O810" s="734" t="s">
        <v>1535</v>
      </c>
      <c r="P810" s="514" t="s">
        <v>7427</v>
      </c>
      <c r="Q810" s="842">
        <v>151</v>
      </c>
      <c r="R810" s="842">
        <v>0</v>
      </c>
      <c r="S810" s="842">
        <v>53</v>
      </c>
      <c r="T810" s="842">
        <v>1263</v>
      </c>
      <c r="U810" s="514" t="s">
        <v>2300</v>
      </c>
      <c r="V810" s="514" t="s">
        <v>5551</v>
      </c>
      <c r="W810" s="498">
        <v>52428</v>
      </c>
      <c r="X810" s="514" t="s">
        <v>2276</v>
      </c>
      <c r="Y810" s="514" t="s">
        <v>3232</v>
      </c>
      <c r="Z810" s="514" t="s">
        <v>1700</v>
      </c>
      <c r="AA810" s="514" t="s">
        <v>1679</v>
      </c>
      <c r="AB810" s="531" t="s">
        <v>1679</v>
      </c>
    </row>
    <row r="811" spans="1:28" ht="24" customHeight="1">
      <c r="A811" s="584"/>
      <c r="B811" s="460" t="s">
        <v>2201</v>
      </c>
      <c r="C811" s="458" t="s">
        <v>5552</v>
      </c>
      <c r="D811" s="510" t="s">
        <v>5553</v>
      </c>
      <c r="E811" s="497">
        <f t="shared" si="67"/>
        <v>6000</v>
      </c>
      <c r="F811" s="497">
        <v>0</v>
      </c>
      <c r="G811" s="497">
        <v>0</v>
      </c>
      <c r="H811" s="497">
        <v>6000</v>
      </c>
      <c r="I811" s="497">
        <f>J811+K811+L811</f>
        <v>3446</v>
      </c>
      <c r="J811" s="497">
        <v>0</v>
      </c>
      <c r="K811" s="497">
        <v>0</v>
      </c>
      <c r="L811" s="721">
        <v>3446</v>
      </c>
      <c r="M811" s="672">
        <v>89</v>
      </c>
      <c r="N811" s="653">
        <v>10611</v>
      </c>
      <c r="O811" s="731" t="s">
        <v>3282</v>
      </c>
      <c r="P811" s="514" t="s">
        <v>7427</v>
      </c>
      <c r="Q811" s="842">
        <v>0</v>
      </c>
      <c r="R811" s="842">
        <v>0</v>
      </c>
      <c r="S811" s="842">
        <v>0</v>
      </c>
      <c r="T811" s="842">
        <v>0</v>
      </c>
      <c r="U811" s="514" t="s">
        <v>5554</v>
      </c>
      <c r="V811" s="514" t="s">
        <v>5555</v>
      </c>
      <c r="W811" s="498">
        <v>28664</v>
      </c>
      <c r="X811" s="514" t="s">
        <v>2276</v>
      </c>
      <c r="Y811" s="514" t="s">
        <v>3336</v>
      </c>
      <c r="Z811" s="514" t="s">
        <v>1681</v>
      </c>
      <c r="AA811" s="514" t="s">
        <v>1592</v>
      </c>
      <c r="AB811" s="531" t="s">
        <v>1592</v>
      </c>
    </row>
    <row r="812" spans="1:28" ht="24" customHeight="1">
      <c r="A812" s="584"/>
      <c r="B812" s="460" t="s">
        <v>675</v>
      </c>
      <c r="C812" s="458" t="s">
        <v>5556</v>
      </c>
      <c r="D812" s="510" t="s">
        <v>5557</v>
      </c>
      <c r="E812" s="497">
        <f t="shared" si="67"/>
        <v>175</v>
      </c>
      <c r="F812" s="497">
        <v>0</v>
      </c>
      <c r="G812" s="497">
        <v>175</v>
      </c>
      <c r="H812" s="497">
        <v>0</v>
      </c>
      <c r="I812" s="497">
        <f t="shared" ref="I812:I875" si="68">J812+K812+L812</f>
        <v>87</v>
      </c>
      <c r="J812" s="497">
        <v>0</v>
      </c>
      <c r="K812" s="497">
        <v>87</v>
      </c>
      <c r="L812" s="721">
        <v>0</v>
      </c>
      <c r="M812" s="672">
        <v>87</v>
      </c>
      <c r="N812" s="653">
        <v>373</v>
      </c>
      <c r="O812" s="731" t="s">
        <v>3742</v>
      </c>
      <c r="P812" s="514" t="s">
        <v>7427</v>
      </c>
      <c r="Q812" s="842">
        <v>0</v>
      </c>
      <c r="R812" s="842">
        <v>0</v>
      </c>
      <c r="S812" s="842">
        <v>0</v>
      </c>
      <c r="T812" s="842">
        <v>0</v>
      </c>
      <c r="U812" s="514" t="s">
        <v>5558</v>
      </c>
      <c r="V812" s="532" t="s">
        <v>5559</v>
      </c>
      <c r="W812" s="653">
        <v>545</v>
      </c>
      <c r="X812" s="514" t="s">
        <v>1532</v>
      </c>
      <c r="Y812" s="514" t="s">
        <v>3232</v>
      </c>
      <c r="Z812" s="514" t="s">
        <v>1680</v>
      </c>
      <c r="AA812" s="514" t="s">
        <v>1679</v>
      </c>
      <c r="AB812" s="531" t="s">
        <v>1679</v>
      </c>
    </row>
    <row r="813" spans="1:28" ht="24" customHeight="1">
      <c r="A813" s="584"/>
      <c r="B813" s="460" t="s">
        <v>675</v>
      </c>
      <c r="C813" s="458" t="s">
        <v>5560</v>
      </c>
      <c r="D813" s="510" t="s">
        <v>5561</v>
      </c>
      <c r="E813" s="497">
        <f t="shared" si="67"/>
        <v>60</v>
      </c>
      <c r="F813" s="497">
        <v>0</v>
      </c>
      <c r="G813" s="497">
        <v>60</v>
      </c>
      <c r="H813" s="497">
        <v>0</v>
      </c>
      <c r="I813" s="497">
        <f t="shared" si="68"/>
        <v>23</v>
      </c>
      <c r="J813" s="497">
        <v>0</v>
      </c>
      <c r="K813" s="497">
        <v>23</v>
      </c>
      <c r="L813" s="721">
        <v>0</v>
      </c>
      <c r="M813" s="672">
        <v>88</v>
      </c>
      <c r="N813" s="653">
        <v>132</v>
      </c>
      <c r="O813" s="731" t="s">
        <v>5177</v>
      </c>
      <c r="P813" s="514" t="s">
        <v>7427</v>
      </c>
      <c r="Q813" s="842">
        <v>0</v>
      </c>
      <c r="R813" s="842">
        <v>0</v>
      </c>
      <c r="S813" s="842">
        <v>0</v>
      </c>
      <c r="T813" s="842">
        <v>0</v>
      </c>
      <c r="U813" s="514" t="s">
        <v>5558</v>
      </c>
      <c r="V813" s="532" t="s">
        <v>5562</v>
      </c>
      <c r="W813" s="653">
        <v>260</v>
      </c>
      <c r="X813" s="514" t="s">
        <v>1532</v>
      </c>
      <c r="Y813" s="514" t="s">
        <v>3232</v>
      </c>
      <c r="Z813" s="514" t="s">
        <v>1594</v>
      </c>
      <c r="AA813" s="514" t="s">
        <v>1679</v>
      </c>
      <c r="AB813" s="531" t="s">
        <v>1679</v>
      </c>
    </row>
    <row r="814" spans="1:28" ht="24" customHeight="1">
      <c r="A814" s="584"/>
      <c r="B814" s="460" t="s">
        <v>675</v>
      </c>
      <c r="C814" s="458" t="s">
        <v>5563</v>
      </c>
      <c r="D814" s="510" t="s">
        <v>5564</v>
      </c>
      <c r="E814" s="497">
        <f t="shared" si="67"/>
        <v>80</v>
      </c>
      <c r="F814" s="497">
        <v>0</v>
      </c>
      <c r="G814" s="497">
        <v>80</v>
      </c>
      <c r="H814" s="497">
        <v>0</v>
      </c>
      <c r="I814" s="497">
        <f t="shared" si="68"/>
        <v>39</v>
      </c>
      <c r="J814" s="497">
        <v>0</v>
      </c>
      <c r="K814" s="497">
        <v>39</v>
      </c>
      <c r="L814" s="721">
        <v>0</v>
      </c>
      <c r="M814" s="672">
        <v>90</v>
      </c>
      <c r="N814" s="653">
        <v>190</v>
      </c>
      <c r="O814" s="731" t="s">
        <v>5177</v>
      </c>
      <c r="P814" s="514" t="s">
        <v>7427</v>
      </c>
      <c r="Q814" s="842">
        <v>0</v>
      </c>
      <c r="R814" s="842">
        <v>0</v>
      </c>
      <c r="S814" s="842">
        <v>0</v>
      </c>
      <c r="T814" s="842">
        <v>0</v>
      </c>
      <c r="U814" s="514" t="s">
        <v>5558</v>
      </c>
      <c r="V814" s="532" t="s">
        <v>5565</v>
      </c>
      <c r="W814" s="653">
        <v>291</v>
      </c>
      <c r="X814" s="514" t="s">
        <v>1532</v>
      </c>
      <c r="Y814" s="514" t="s">
        <v>3232</v>
      </c>
      <c r="Z814" s="514" t="s">
        <v>1683</v>
      </c>
      <c r="AA814" s="514" t="s">
        <v>1679</v>
      </c>
      <c r="AB814" s="531" t="s">
        <v>1679</v>
      </c>
    </row>
    <row r="815" spans="1:28" ht="24" customHeight="1">
      <c r="A815" s="584"/>
      <c r="B815" s="460" t="s">
        <v>675</v>
      </c>
      <c r="C815" s="458" t="s">
        <v>5566</v>
      </c>
      <c r="D815" s="510" t="s">
        <v>5567</v>
      </c>
      <c r="E815" s="497">
        <f t="shared" si="67"/>
        <v>50</v>
      </c>
      <c r="F815" s="497">
        <v>0</v>
      </c>
      <c r="G815" s="497">
        <v>50</v>
      </c>
      <c r="H815" s="497">
        <v>0</v>
      </c>
      <c r="I815" s="497">
        <f t="shared" si="68"/>
        <v>40</v>
      </c>
      <c r="J815" s="497">
        <v>0</v>
      </c>
      <c r="K815" s="497">
        <v>40</v>
      </c>
      <c r="L815" s="721">
        <v>0</v>
      </c>
      <c r="M815" s="672">
        <v>92</v>
      </c>
      <c r="N815" s="653">
        <v>311</v>
      </c>
      <c r="O815" s="731" t="s">
        <v>5089</v>
      </c>
      <c r="P815" s="514" t="s">
        <v>7427</v>
      </c>
      <c r="Q815" s="842">
        <v>0</v>
      </c>
      <c r="R815" s="842">
        <v>0</v>
      </c>
      <c r="S815" s="842">
        <v>0</v>
      </c>
      <c r="T815" s="842">
        <v>0</v>
      </c>
      <c r="U815" s="514" t="s">
        <v>5558</v>
      </c>
      <c r="V815" s="532" t="s">
        <v>5568</v>
      </c>
      <c r="W815" s="653">
        <v>184</v>
      </c>
      <c r="X815" s="514" t="s">
        <v>1532</v>
      </c>
      <c r="Y815" s="514" t="s">
        <v>3232</v>
      </c>
      <c r="Z815" s="514" t="s">
        <v>1683</v>
      </c>
      <c r="AA815" s="514" t="s">
        <v>1679</v>
      </c>
      <c r="AB815" s="531" t="s">
        <v>1679</v>
      </c>
    </row>
    <row r="816" spans="1:28" ht="24" customHeight="1">
      <c r="A816" s="584"/>
      <c r="B816" s="460" t="s">
        <v>675</v>
      </c>
      <c r="C816" s="458" t="s">
        <v>5569</v>
      </c>
      <c r="D816" s="510" t="s">
        <v>5570</v>
      </c>
      <c r="E816" s="497">
        <f t="shared" si="67"/>
        <v>35</v>
      </c>
      <c r="F816" s="497">
        <v>0</v>
      </c>
      <c r="G816" s="497">
        <v>35</v>
      </c>
      <c r="H816" s="497">
        <v>0</v>
      </c>
      <c r="I816" s="497">
        <f t="shared" si="68"/>
        <v>28</v>
      </c>
      <c r="J816" s="497">
        <v>0</v>
      </c>
      <c r="K816" s="497">
        <v>28</v>
      </c>
      <c r="L816" s="721">
        <v>0</v>
      </c>
      <c r="M816" s="672">
        <v>95</v>
      </c>
      <c r="N816" s="653">
        <v>342</v>
      </c>
      <c r="O816" s="731" t="s">
        <v>5571</v>
      </c>
      <c r="P816" s="514" t="s">
        <v>7427</v>
      </c>
      <c r="Q816" s="842">
        <v>0</v>
      </c>
      <c r="R816" s="842">
        <v>0</v>
      </c>
      <c r="S816" s="842">
        <v>0</v>
      </c>
      <c r="T816" s="842">
        <v>0</v>
      </c>
      <c r="U816" s="514" t="s">
        <v>5558</v>
      </c>
      <c r="V816" s="532" t="s">
        <v>5572</v>
      </c>
      <c r="W816" s="653">
        <v>170</v>
      </c>
      <c r="X816" s="514" t="s">
        <v>1532</v>
      </c>
      <c r="Y816" s="514" t="s">
        <v>3232</v>
      </c>
      <c r="Z816" s="514" t="s">
        <v>1683</v>
      </c>
      <c r="AA816" s="514" t="s">
        <v>1679</v>
      </c>
      <c r="AB816" s="531" t="s">
        <v>1679</v>
      </c>
    </row>
    <row r="817" spans="1:28" ht="24" customHeight="1">
      <c r="A817" s="584"/>
      <c r="B817" s="460" t="s">
        <v>675</v>
      </c>
      <c r="C817" s="458" t="s">
        <v>5573</v>
      </c>
      <c r="D817" s="510" t="s">
        <v>5574</v>
      </c>
      <c r="E817" s="497">
        <f t="shared" si="67"/>
        <v>39</v>
      </c>
      <c r="F817" s="497">
        <v>0</v>
      </c>
      <c r="G817" s="497">
        <v>39</v>
      </c>
      <c r="H817" s="497">
        <v>0</v>
      </c>
      <c r="I817" s="497">
        <f t="shared" si="68"/>
        <v>44</v>
      </c>
      <c r="J817" s="497">
        <v>0</v>
      </c>
      <c r="K817" s="497">
        <v>44</v>
      </c>
      <c r="L817" s="721">
        <v>0</v>
      </c>
      <c r="M817" s="672">
        <v>85</v>
      </c>
      <c r="N817" s="653">
        <v>209</v>
      </c>
      <c r="O817" s="731" t="s">
        <v>5089</v>
      </c>
      <c r="P817" s="514" t="s">
        <v>7427</v>
      </c>
      <c r="Q817" s="842">
        <v>0</v>
      </c>
      <c r="R817" s="842">
        <v>0</v>
      </c>
      <c r="S817" s="842">
        <v>0</v>
      </c>
      <c r="T817" s="842">
        <v>0</v>
      </c>
      <c r="U817" s="514" t="s">
        <v>5558</v>
      </c>
      <c r="V817" s="532" t="s">
        <v>5575</v>
      </c>
      <c r="W817" s="653">
        <v>240</v>
      </c>
      <c r="X817" s="514" t="s">
        <v>1532</v>
      </c>
      <c r="Y817" s="514" t="s">
        <v>3232</v>
      </c>
      <c r="Z817" s="514" t="s">
        <v>1683</v>
      </c>
      <c r="AA817" s="514" t="s">
        <v>1679</v>
      </c>
      <c r="AB817" s="531" t="s">
        <v>1679</v>
      </c>
    </row>
    <row r="818" spans="1:28" ht="24" customHeight="1">
      <c r="A818" s="584"/>
      <c r="B818" s="460" t="s">
        <v>675</v>
      </c>
      <c r="C818" s="458" t="s">
        <v>5576</v>
      </c>
      <c r="D818" s="510" t="s">
        <v>5577</v>
      </c>
      <c r="E818" s="497">
        <f t="shared" si="67"/>
        <v>49</v>
      </c>
      <c r="F818" s="497">
        <v>0</v>
      </c>
      <c r="G818" s="497">
        <v>49</v>
      </c>
      <c r="H818" s="497">
        <v>0</v>
      </c>
      <c r="I818" s="497">
        <f t="shared" si="68"/>
        <v>42</v>
      </c>
      <c r="J818" s="497">
        <v>0</v>
      </c>
      <c r="K818" s="497">
        <v>42</v>
      </c>
      <c r="L818" s="721">
        <v>0</v>
      </c>
      <c r="M818" s="672">
        <v>90</v>
      </c>
      <c r="N818" s="653">
        <v>234</v>
      </c>
      <c r="O818" s="731" t="s">
        <v>5578</v>
      </c>
      <c r="P818" s="514" t="s">
        <v>7427</v>
      </c>
      <c r="Q818" s="842">
        <v>0</v>
      </c>
      <c r="R818" s="842">
        <v>0</v>
      </c>
      <c r="S818" s="842">
        <v>0</v>
      </c>
      <c r="T818" s="842">
        <v>0</v>
      </c>
      <c r="U818" s="514" t="s">
        <v>5558</v>
      </c>
      <c r="V818" s="532" t="s">
        <v>5579</v>
      </c>
      <c r="W818" s="653">
        <v>223</v>
      </c>
      <c r="X818" s="514" t="s">
        <v>1532</v>
      </c>
      <c r="Y818" s="514" t="s">
        <v>3232</v>
      </c>
      <c r="Z818" s="514" t="s">
        <v>1683</v>
      </c>
      <c r="AA818" s="514" t="s">
        <v>1679</v>
      </c>
      <c r="AB818" s="531" t="s">
        <v>1679</v>
      </c>
    </row>
    <row r="819" spans="1:28" ht="24" customHeight="1">
      <c r="A819" s="584"/>
      <c r="B819" s="460" t="s">
        <v>675</v>
      </c>
      <c r="C819" s="458" t="s">
        <v>5580</v>
      </c>
      <c r="D819" s="510" t="s">
        <v>5581</v>
      </c>
      <c r="E819" s="497">
        <f t="shared" si="67"/>
        <v>49</v>
      </c>
      <c r="F819" s="497">
        <v>0</v>
      </c>
      <c r="G819" s="497">
        <v>49</v>
      </c>
      <c r="H819" s="497">
        <v>0</v>
      </c>
      <c r="I819" s="497">
        <f t="shared" si="68"/>
        <v>33</v>
      </c>
      <c r="J819" s="497">
        <v>0</v>
      </c>
      <c r="K819" s="497">
        <v>33</v>
      </c>
      <c r="L819" s="721">
        <v>0</v>
      </c>
      <c r="M819" s="672">
        <v>93</v>
      </c>
      <c r="N819" s="653">
        <v>240</v>
      </c>
      <c r="O819" s="731" t="s">
        <v>5582</v>
      </c>
      <c r="P819" s="514" t="s">
        <v>7427</v>
      </c>
      <c r="Q819" s="842">
        <v>0</v>
      </c>
      <c r="R819" s="842">
        <v>0</v>
      </c>
      <c r="S819" s="842">
        <v>0</v>
      </c>
      <c r="T819" s="842">
        <v>0</v>
      </c>
      <c r="U819" s="514" t="s">
        <v>5558</v>
      </c>
      <c r="V819" s="532" t="s">
        <v>5583</v>
      </c>
      <c r="W819" s="653">
        <v>224</v>
      </c>
      <c r="X819" s="514" t="s">
        <v>1532</v>
      </c>
      <c r="Y819" s="514" t="s">
        <v>3232</v>
      </c>
      <c r="Z819" s="514" t="s">
        <v>1683</v>
      </c>
      <c r="AA819" s="514" t="s">
        <v>1679</v>
      </c>
      <c r="AB819" s="531" t="s">
        <v>1679</v>
      </c>
    </row>
    <row r="820" spans="1:28" ht="24" customHeight="1">
      <c r="A820" s="584"/>
      <c r="B820" s="460" t="s">
        <v>675</v>
      </c>
      <c r="C820" s="458" t="s">
        <v>5584</v>
      </c>
      <c r="D820" s="510" t="s">
        <v>5585</v>
      </c>
      <c r="E820" s="497">
        <f t="shared" si="67"/>
        <v>70</v>
      </c>
      <c r="F820" s="497">
        <v>0</v>
      </c>
      <c r="G820" s="497">
        <v>70</v>
      </c>
      <c r="H820" s="497">
        <v>0</v>
      </c>
      <c r="I820" s="497">
        <f t="shared" si="68"/>
        <v>37</v>
      </c>
      <c r="J820" s="497">
        <v>0</v>
      </c>
      <c r="K820" s="497">
        <v>37</v>
      </c>
      <c r="L820" s="721">
        <v>0</v>
      </c>
      <c r="M820" s="672">
        <v>91</v>
      </c>
      <c r="N820" s="653">
        <v>316</v>
      </c>
      <c r="O820" s="731" t="s">
        <v>3517</v>
      </c>
      <c r="P820" s="514" t="s">
        <v>7427</v>
      </c>
      <c r="Q820" s="842">
        <v>0</v>
      </c>
      <c r="R820" s="842">
        <v>0</v>
      </c>
      <c r="S820" s="842">
        <v>0</v>
      </c>
      <c r="T820" s="842">
        <v>0</v>
      </c>
      <c r="U820" s="514" t="s">
        <v>5558</v>
      </c>
      <c r="V820" s="532" t="s">
        <v>5586</v>
      </c>
      <c r="W820" s="653">
        <v>200</v>
      </c>
      <c r="X820" s="514" t="s">
        <v>1532</v>
      </c>
      <c r="Y820" s="514" t="s">
        <v>3232</v>
      </c>
      <c r="Z820" s="514" t="s">
        <v>1683</v>
      </c>
      <c r="AA820" s="514" t="s">
        <v>1679</v>
      </c>
      <c r="AB820" s="531" t="s">
        <v>1679</v>
      </c>
    </row>
    <row r="821" spans="1:28" ht="24" customHeight="1">
      <c r="A821" s="584"/>
      <c r="B821" s="460" t="s">
        <v>675</v>
      </c>
      <c r="C821" s="458" t="s">
        <v>5587</v>
      </c>
      <c r="D821" s="510" t="s">
        <v>5588</v>
      </c>
      <c r="E821" s="497">
        <f t="shared" si="67"/>
        <v>30</v>
      </c>
      <c r="F821" s="497">
        <v>0</v>
      </c>
      <c r="G821" s="497">
        <v>30</v>
      </c>
      <c r="H821" s="497">
        <v>0</v>
      </c>
      <c r="I821" s="497">
        <f t="shared" si="68"/>
        <v>30</v>
      </c>
      <c r="J821" s="497">
        <v>0</v>
      </c>
      <c r="K821" s="497">
        <v>30</v>
      </c>
      <c r="L821" s="721">
        <v>0</v>
      </c>
      <c r="M821" s="672">
        <v>88</v>
      </c>
      <c r="N821" s="653">
        <v>123</v>
      </c>
      <c r="O821" s="731" t="s">
        <v>3517</v>
      </c>
      <c r="P821" s="514" t="s">
        <v>7427</v>
      </c>
      <c r="Q821" s="842">
        <v>0</v>
      </c>
      <c r="R821" s="842">
        <v>0</v>
      </c>
      <c r="S821" s="842">
        <v>0</v>
      </c>
      <c r="T821" s="842">
        <v>0</v>
      </c>
      <c r="U821" s="514" t="s">
        <v>5558</v>
      </c>
      <c r="V821" s="532" t="s">
        <v>5589</v>
      </c>
      <c r="W821" s="653">
        <v>184</v>
      </c>
      <c r="X821" s="514" t="s">
        <v>1532</v>
      </c>
      <c r="Y821" s="514" t="s">
        <v>3232</v>
      </c>
      <c r="Z821" s="514" t="s">
        <v>1682</v>
      </c>
      <c r="AA821" s="514" t="s">
        <v>1592</v>
      </c>
      <c r="AB821" s="531" t="s">
        <v>1592</v>
      </c>
    </row>
    <row r="822" spans="1:28" ht="24" customHeight="1">
      <c r="A822" s="584"/>
      <c r="B822" s="460" t="s">
        <v>675</v>
      </c>
      <c r="C822" s="458" t="s">
        <v>3233</v>
      </c>
      <c r="D822" s="510" t="s">
        <v>5590</v>
      </c>
      <c r="E822" s="497">
        <f t="shared" si="67"/>
        <v>42</v>
      </c>
      <c r="F822" s="497">
        <v>0</v>
      </c>
      <c r="G822" s="497">
        <v>42</v>
      </c>
      <c r="H822" s="497">
        <v>0</v>
      </c>
      <c r="I822" s="497">
        <f t="shared" si="68"/>
        <v>40</v>
      </c>
      <c r="J822" s="497">
        <v>0</v>
      </c>
      <c r="K822" s="497">
        <v>40</v>
      </c>
      <c r="L822" s="721">
        <v>0</v>
      </c>
      <c r="M822" s="672">
        <v>90</v>
      </c>
      <c r="N822" s="653">
        <v>252</v>
      </c>
      <c r="O822" s="731" t="s">
        <v>5591</v>
      </c>
      <c r="P822" s="514" t="s">
        <v>7427</v>
      </c>
      <c r="Q822" s="842">
        <v>0</v>
      </c>
      <c r="R822" s="842">
        <v>0</v>
      </c>
      <c r="S822" s="842">
        <v>0</v>
      </c>
      <c r="T822" s="842">
        <v>0</v>
      </c>
      <c r="U822" s="514" t="s">
        <v>5558</v>
      </c>
      <c r="V822" s="532" t="s">
        <v>5592</v>
      </c>
      <c r="W822" s="653">
        <v>372</v>
      </c>
      <c r="X822" s="514" t="s">
        <v>1532</v>
      </c>
      <c r="Y822" s="514" t="s">
        <v>1404</v>
      </c>
      <c r="Z822" s="514" t="s">
        <v>1683</v>
      </c>
      <c r="AA822" s="514" t="s">
        <v>1679</v>
      </c>
      <c r="AB822" s="531" t="s">
        <v>1679</v>
      </c>
    </row>
    <row r="823" spans="1:28" ht="24" customHeight="1">
      <c r="A823" s="584"/>
      <c r="B823" s="460" t="s">
        <v>675</v>
      </c>
      <c r="C823" s="458" t="s">
        <v>1700</v>
      </c>
      <c r="D823" s="510" t="s">
        <v>5593</v>
      </c>
      <c r="E823" s="497">
        <f t="shared" si="67"/>
        <v>120</v>
      </c>
      <c r="F823" s="497">
        <v>0</v>
      </c>
      <c r="G823" s="497">
        <v>120</v>
      </c>
      <c r="H823" s="497">
        <v>0</v>
      </c>
      <c r="I823" s="497">
        <f t="shared" si="68"/>
        <v>30</v>
      </c>
      <c r="J823" s="497">
        <v>0</v>
      </c>
      <c r="K823" s="497">
        <v>30</v>
      </c>
      <c r="L823" s="721">
        <v>0</v>
      </c>
      <c r="M823" s="672">
        <v>90</v>
      </c>
      <c r="N823" s="653">
        <v>162</v>
      </c>
      <c r="O823" s="731" t="s">
        <v>5578</v>
      </c>
      <c r="P823" s="514" t="s">
        <v>7427</v>
      </c>
      <c r="Q823" s="842">
        <v>0</v>
      </c>
      <c r="R823" s="842">
        <v>0</v>
      </c>
      <c r="S823" s="842">
        <v>0</v>
      </c>
      <c r="T823" s="842">
        <v>0</v>
      </c>
      <c r="U823" s="514" t="s">
        <v>5558</v>
      </c>
      <c r="V823" s="514" t="s">
        <v>5594</v>
      </c>
      <c r="W823" s="498">
        <v>945</v>
      </c>
      <c r="X823" s="514" t="s">
        <v>1532</v>
      </c>
      <c r="Y823" s="514" t="s">
        <v>3232</v>
      </c>
      <c r="Z823" s="514" t="s">
        <v>1683</v>
      </c>
      <c r="AA823" s="514" t="s">
        <v>1679</v>
      </c>
      <c r="AB823" s="531" t="s">
        <v>1679</v>
      </c>
    </row>
    <row r="824" spans="1:28" ht="24" customHeight="1">
      <c r="A824" s="582" t="s">
        <v>1684</v>
      </c>
      <c r="B824" s="460" t="s">
        <v>2201</v>
      </c>
      <c r="C824" s="458" t="s">
        <v>2419</v>
      </c>
      <c r="D824" s="510" t="s">
        <v>5595</v>
      </c>
      <c r="E824" s="497">
        <f t="shared" si="67"/>
        <v>58600</v>
      </c>
      <c r="F824" s="497">
        <v>0</v>
      </c>
      <c r="G824" s="497">
        <v>58600</v>
      </c>
      <c r="H824" s="497">
        <v>0</v>
      </c>
      <c r="I824" s="497">
        <f t="shared" si="68"/>
        <v>49508</v>
      </c>
      <c r="J824" s="497">
        <v>0</v>
      </c>
      <c r="K824" s="497">
        <v>49508</v>
      </c>
      <c r="L824" s="721">
        <v>0</v>
      </c>
      <c r="M824" s="672">
        <v>93.7</v>
      </c>
      <c r="N824" s="498">
        <v>8609</v>
      </c>
      <c r="O824" s="731" t="s">
        <v>1535</v>
      </c>
      <c r="P824" s="514" t="s">
        <v>7427</v>
      </c>
      <c r="Q824" s="842">
        <v>170</v>
      </c>
      <c r="R824" s="842">
        <v>0</v>
      </c>
      <c r="S824" s="842">
        <v>146</v>
      </c>
      <c r="T824" s="842">
        <v>7106</v>
      </c>
      <c r="U824" s="514" t="s">
        <v>2301</v>
      </c>
      <c r="V824" s="514" t="s">
        <v>5596</v>
      </c>
      <c r="W824" s="498">
        <v>61636</v>
      </c>
      <c r="X824" s="514" t="s">
        <v>2276</v>
      </c>
      <c r="Y824" s="514" t="s">
        <v>3507</v>
      </c>
      <c r="Z824" s="514" t="s">
        <v>2302</v>
      </c>
      <c r="AA824" s="514" t="s">
        <v>1685</v>
      </c>
      <c r="AB824" s="531" t="s">
        <v>1592</v>
      </c>
    </row>
    <row r="825" spans="1:28" ht="24" customHeight="1">
      <c r="A825" s="584"/>
      <c r="B825" s="460" t="s">
        <v>675</v>
      </c>
      <c r="C825" s="458" t="s">
        <v>5597</v>
      </c>
      <c r="D825" s="510" t="s">
        <v>5598</v>
      </c>
      <c r="E825" s="497">
        <f t="shared" si="67"/>
        <v>161</v>
      </c>
      <c r="F825" s="497">
        <v>0</v>
      </c>
      <c r="G825" s="497">
        <v>161</v>
      </c>
      <c r="H825" s="497">
        <v>0</v>
      </c>
      <c r="I825" s="497">
        <f t="shared" si="68"/>
        <v>0</v>
      </c>
      <c r="J825" s="497">
        <v>0</v>
      </c>
      <c r="K825" s="497">
        <v>0</v>
      </c>
      <c r="L825" s="721">
        <v>0</v>
      </c>
      <c r="M825" s="672">
        <v>0</v>
      </c>
      <c r="N825" s="498">
        <v>0</v>
      </c>
      <c r="O825" s="731" t="s">
        <v>1153</v>
      </c>
      <c r="P825" s="514" t="s">
        <v>7427</v>
      </c>
      <c r="Q825" s="842">
        <v>0</v>
      </c>
      <c r="R825" s="842">
        <v>0</v>
      </c>
      <c r="S825" s="842">
        <v>0</v>
      </c>
      <c r="T825" s="842">
        <v>0</v>
      </c>
      <c r="U825" s="514" t="s">
        <v>5599</v>
      </c>
      <c r="V825" s="514" t="s">
        <v>5600</v>
      </c>
      <c r="W825" s="498">
        <v>400</v>
      </c>
      <c r="X825" s="514" t="s">
        <v>1532</v>
      </c>
      <c r="Y825" s="514" t="s">
        <v>3507</v>
      </c>
      <c r="Z825" s="514" t="s">
        <v>5601</v>
      </c>
      <c r="AA825" s="514" t="s">
        <v>1685</v>
      </c>
      <c r="AB825" s="531" t="s">
        <v>1592</v>
      </c>
    </row>
    <row r="826" spans="1:28" ht="24" customHeight="1">
      <c r="A826" s="584"/>
      <c r="B826" s="460" t="s">
        <v>675</v>
      </c>
      <c r="C826" s="458" t="s">
        <v>5602</v>
      </c>
      <c r="D826" s="510" t="s">
        <v>5603</v>
      </c>
      <c r="E826" s="497">
        <f t="shared" si="67"/>
        <v>115</v>
      </c>
      <c r="F826" s="497">
        <v>0</v>
      </c>
      <c r="G826" s="497">
        <v>115</v>
      </c>
      <c r="H826" s="497">
        <v>0</v>
      </c>
      <c r="I826" s="497">
        <f t="shared" si="68"/>
        <v>0</v>
      </c>
      <c r="J826" s="497">
        <v>0</v>
      </c>
      <c r="K826" s="497">
        <v>0</v>
      </c>
      <c r="L826" s="721">
        <v>0</v>
      </c>
      <c r="M826" s="672">
        <v>0</v>
      </c>
      <c r="N826" s="498">
        <v>0</v>
      </c>
      <c r="O826" s="731" t="s">
        <v>1153</v>
      </c>
      <c r="P826" s="514" t="s">
        <v>7427</v>
      </c>
      <c r="Q826" s="842">
        <v>0</v>
      </c>
      <c r="R826" s="842">
        <v>0</v>
      </c>
      <c r="S826" s="842">
        <v>0</v>
      </c>
      <c r="T826" s="842">
        <v>0</v>
      </c>
      <c r="U826" s="514" t="s">
        <v>5599</v>
      </c>
      <c r="V826" s="514" t="s">
        <v>5604</v>
      </c>
      <c r="W826" s="498">
        <v>400</v>
      </c>
      <c r="X826" s="514" t="s">
        <v>1532</v>
      </c>
      <c r="Y826" s="514" t="s">
        <v>3507</v>
      </c>
      <c r="Z826" s="514" t="s">
        <v>5605</v>
      </c>
      <c r="AA826" s="514" t="s">
        <v>1685</v>
      </c>
      <c r="AB826" s="531" t="s">
        <v>1592</v>
      </c>
    </row>
    <row r="827" spans="1:28" ht="24" customHeight="1">
      <c r="A827" s="584"/>
      <c r="B827" s="460" t="s">
        <v>675</v>
      </c>
      <c r="C827" s="458" t="s">
        <v>5011</v>
      </c>
      <c r="D827" s="510" t="s">
        <v>5606</v>
      </c>
      <c r="E827" s="497">
        <f t="shared" si="67"/>
        <v>80</v>
      </c>
      <c r="F827" s="497">
        <v>0</v>
      </c>
      <c r="G827" s="497">
        <v>80</v>
      </c>
      <c r="H827" s="497">
        <v>0</v>
      </c>
      <c r="I827" s="497">
        <f t="shared" si="68"/>
        <v>0</v>
      </c>
      <c r="J827" s="497">
        <v>0</v>
      </c>
      <c r="K827" s="497">
        <v>0</v>
      </c>
      <c r="L827" s="721">
        <v>0</v>
      </c>
      <c r="M827" s="672">
        <v>0</v>
      </c>
      <c r="N827" s="498">
        <v>0</v>
      </c>
      <c r="O827" s="731" t="s">
        <v>1153</v>
      </c>
      <c r="P827" s="514" t="s">
        <v>7427</v>
      </c>
      <c r="Q827" s="842">
        <v>0</v>
      </c>
      <c r="R827" s="842">
        <v>0</v>
      </c>
      <c r="S827" s="842">
        <v>0</v>
      </c>
      <c r="T827" s="842">
        <v>0</v>
      </c>
      <c r="U827" s="514" t="s">
        <v>5599</v>
      </c>
      <c r="V827" s="514" t="s">
        <v>5607</v>
      </c>
      <c r="W827" s="498">
        <v>400</v>
      </c>
      <c r="X827" s="514" t="s">
        <v>1532</v>
      </c>
      <c r="Y827" s="514" t="s">
        <v>3507</v>
      </c>
      <c r="Z827" s="514" t="s">
        <v>5608</v>
      </c>
      <c r="AA827" s="514" t="s">
        <v>1685</v>
      </c>
      <c r="AB827" s="531" t="s">
        <v>1592</v>
      </c>
    </row>
    <row r="828" spans="1:28" ht="24" customHeight="1">
      <c r="A828" s="584"/>
      <c r="B828" s="460" t="s">
        <v>675</v>
      </c>
      <c r="C828" s="458" t="s">
        <v>5580</v>
      </c>
      <c r="D828" s="510" t="s">
        <v>5609</v>
      </c>
      <c r="E828" s="497">
        <f t="shared" si="67"/>
        <v>80</v>
      </c>
      <c r="F828" s="497">
        <v>0</v>
      </c>
      <c r="G828" s="497">
        <v>80</v>
      </c>
      <c r="H828" s="497">
        <v>0</v>
      </c>
      <c r="I828" s="497">
        <f t="shared" si="68"/>
        <v>52</v>
      </c>
      <c r="J828" s="497">
        <v>0</v>
      </c>
      <c r="K828" s="497">
        <v>52</v>
      </c>
      <c r="L828" s="721">
        <v>0</v>
      </c>
      <c r="M828" s="672">
        <v>92.2</v>
      </c>
      <c r="N828" s="498">
        <v>3.2</v>
      </c>
      <c r="O828" s="731" t="s">
        <v>5610</v>
      </c>
      <c r="P828" s="514" t="s">
        <v>7427</v>
      </c>
      <c r="Q828" s="842">
        <v>0</v>
      </c>
      <c r="R828" s="842">
        <v>0</v>
      </c>
      <c r="S828" s="842">
        <v>0</v>
      </c>
      <c r="T828" s="842">
        <v>0</v>
      </c>
      <c r="U828" s="514" t="s">
        <v>5599</v>
      </c>
      <c r="V828" s="514" t="s">
        <v>5611</v>
      </c>
      <c r="W828" s="498">
        <v>488</v>
      </c>
      <c r="X828" s="514" t="s">
        <v>1532</v>
      </c>
      <c r="Y828" s="514" t="s">
        <v>3507</v>
      </c>
      <c r="Z828" s="514" t="s">
        <v>5612</v>
      </c>
      <c r="AA828" s="514" t="s">
        <v>1685</v>
      </c>
      <c r="AB828" s="531" t="s">
        <v>1592</v>
      </c>
    </row>
    <row r="829" spans="1:28" ht="24" customHeight="1">
      <c r="A829" s="584"/>
      <c r="B829" s="460" t="s">
        <v>675</v>
      </c>
      <c r="C829" s="458" t="s">
        <v>5613</v>
      </c>
      <c r="D829" s="510" t="s">
        <v>5613</v>
      </c>
      <c r="E829" s="497">
        <f t="shared" si="67"/>
        <v>50</v>
      </c>
      <c r="F829" s="497">
        <v>0</v>
      </c>
      <c r="G829" s="497">
        <v>50</v>
      </c>
      <c r="H829" s="497">
        <v>0</v>
      </c>
      <c r="I829" s="497">
        <f t="shared" si="68"/>
        <v>21</v>
      </c>
      <c r="J829" s="497">
        <v>0</v>
      </c>
      <c r="K829" s="497">
        <v>21</v>
      </c>
      <c r="L829" s="721">
        <v>0</v>
      </c>
      <c r="M829" s="672">
        <v>94.1</v>
      </c>
      <c r="N829" s="498">
        <v>1.5</v>
      </c>
      <c r="O829" s="731" t="s">
        <v>2372</v>
      </c>
      <c r="P829" s="514" t="s">
        <v>7427</v>
      </c>
      <c r="Q829" s="842">
        <v>0</v>
      </c>
      <c r="R829" s="842">
        <v>0</v>
      </c>
      <c r="S829" s="842">
        <v>0</v>
      </c>
      <c r="T829" s="842">
        <v>0</v>
      </c>
      <c r="U829" s="514" t="s">
        <v>5599</v>
      </c>
      <c r="V829" s="514" t="s">
        <v>5614</v>
      </c>
      <c r="W829" s="498">
        <v>180</v>
      </c>
      <c r="X829" s="514" t="s">
        <v>1532</v>
      </c>
      <c r="Y829" s="514" t="s">
        <v>3507</v>
      </c>
      <c r="Z829" s="514" t="s">
        <v>5615</v>
      </c>
      <c r="AA829" s="514"/>
      <c r="AB829" s="531" t="s">
        <v>1686</v>
      </c>
    </row>
    <row r="830" spans="1:28" ht="24" customHeight="1">
      <c r="A830" s="584"/>
      <c r="B830" s="460" t="s">
        <v>675</v>
      </c>
      <c r="C830" s="458" t="s">
        <v>5616</v>
      </c>
      <c r="D830" s="510" t="s">
        <v>5616</v>
      </c>
      <c r="E830" s="497">
        <f t="shared" si="67"/>
        <v>40</v>
      </c>
      <c r="F830" s="497">
        <v>0</v>
      </c>
      <c r="G830" s="497">
        <v>40</v>
      </c>
      <c r="H830" s="497">
        <v>0</v>
      </c>
      <c r="I830" s="497">
        <f t="shared" si="68"/>
        <v>29</v>
      </c>
      <c r="J830" s="497">
        <v>0</v>
      </c>
      <c r="K830" s="497">
        <v>29</v>
      </c>
      <c r="L830" s="721">
        <v>0</v>
      </c>
      <c r="M830" s="672">
        <v>96.6</v>
      </c>
      <c r="N830" s="498">
        <v>2.4</v>
      </c>
      <c r="O830" s="731" t="s">
        <v>5617</v>
      </c>
      <c r="P830" s="514" t="s">
        <v>7427</v>
      </c>
      <c r="Q830" s="842">
        <v>0</v>
      </c>
      <c r="R830" s="842">
        <v>0</v>
      </c>
      <c r="S830" s="842">
        <v>0</v>
      </c>
      <c r="T830" s="842">
        <v>0</v>
      </c>
      <c r="U830" s="514" t="s">
        <v>5599</v>
      </c>
      <c r="V830" s="514" t="s">
        <v>5614</v>
      </c>
      <c r="W830" s="498">
        <v>156</v>
      </c>
      <c r="X830" s="514" t="s">
        <v>1532</v>
      </c>
      <c r="Y830" s="514" t="s">
        <v>3507</v>
      </c>
      <c r="Z830" s="514" t="s">
        <v>5615</v>
      </c>
      <c r="AA830" s="514"/>
      <c r="AB830" s="531" t="s">
        <v>1686</v>
      </c>
    </row>
    <row r="831" spans="1:28" ht="24" customHeight="1">
      <c r="A831" s="584"/>
      <c r="B831" s="460" t="s">
        <v>675</v>
      </c>
      <c r="C831" s="458" t="s">
        <v>5618</v>
      </c>
      <c r="D831" s="510" t="s">
        <v>5618</v>
      </c>
      <c r="E831" s="497">
        <f t="shared" si="67"/>
        <v>50</v>
      </c>
      <c r="F831" s="497">
        <v>0</v>
      </c>
      <c r="G831" s="497">
        <v>50</v>
      </c>
      <c r="H831" s="497">
        <v>0</v>
      </c>
      <c r="I831" s="497">
        <f t="shared" si="68"/>
        <v>20</v>
      </c>
      <c r="J831" s="497">
        <v>0</v>
      </c>
      <c r="K831" s="497">
        <v>20</v>
      </c>
      <c r="L831" s="721">
        <v>0</v>
      </c>
      <c r="M831" s="672">
        <v>95.7</v>
      </c>
      <c r="N831" s="498">
        <v>1.8</v>
      </c>
      <c r="O831" s="731" t="s">
        <v>5617</v>
      </c>
      <c r="P831" s="514" t="s">
        <v>7427</v>
      </c>
      <c r="Q831" s="842">
        <v>0</v>
      </c>
      <c r="R831" s="842">
        <v>0</v>
      </c>
      <c r="S831" s="842">
        <v>0</v>
      </c>
      <c r="T831" s="842">
        <v>0</v>
      </c>
      <c r="U831" s="514" t="s">
        <v>5599</v>
      </c>
      <c r="V831" s="514" t="s">
        <v>5614</v>
      </c>
      <c r="W831" s="498">
        <v>160</v>
      </c>
      <c r="X831" s="514" t="s">
        <v>1532</v>
      </c>
      <c r="Y831" s="514" t="s">
        <v>3507</v>
      </c>
      <c r="Z831" s="514" t="s">
        <v>5615</v>
      </c>
      <c r="AA831" s="514"/>
      <c r="AB831" s="531" t="s">
        <v>1686</v>
      </c>
    </row>
    <row r="832" spans="1:28" ht="24" customHeight="1">
      <c r="A832" s="584"/>
      <c r="B832" s="460" t="s">
        <v>675</v>
      </c>
      <c r="C832" s="458" t="s">
        <v>5619</v>
      </c>
      <c r="D832" s="510" t="s">
        <v>5620</v>
      </c>
      <c r="E832" s="497">
        <f t="shared" si="67"/>
        <v>50</v>
      </c>
      <c r="F832" s="497">
        <v>0</v>
      </c>
      <c r="G832" s="497">
        <v>50</v>
      </c>
      <c r="H832" s="497">
        <v>0</v>
      </c>
      <c r="I832" s="497">
        <f t="shared" si="68"/>
        <v>19.399999999999999</v>
      </c>
      <c r="J832" s="497">
        <v>0</v>
      </c>
      <c r="K832" s="497">
        <v>19.399999999999999</v>
      </c>
      <c r="L832" s="721">
        <v>0</v>
      </c>
      <c r="M832" s="672">
        <v>86.6</v>
      </c>
      <c r="N832" s="498">
        <v>0.5</v>
      </c>
      <c r="O832" s="731" t="s">
        <v>780</v>
      </c>
      <c r="P832" s="514" t="s">
        <v>7427</v>
      </c>
      <c r="Q832" s="842">
        <v>0</v>
      </c>
      <c r="R832" s="842">
        <v>0</v>
      </c>
      <c r="S832" s="842">
        <v>0</v>
      </c>
      <c r="T832" s="842">
        <v>0</v>
      </c>
      <c r="U832" s="514" t="s">
        <v>5599</v>
      </c>
      <c r="V832" s="514" t="s">
        <v>5621</v>
      </c>
      <c r="W832" s="498">
        <v>94</v>
      </c>
      <c r="X832" s="514" t="s">
        <v>1532</v>
      </c>
      <c r="Y832" s="514"/>
      <c r="Z832" s="514" t="s">
        <v>2302</v>
      </c>
      <c r="AA832" s="514" t="s">
        <v>1685</v>
      </c>
      <c r="AB832" s="531" t="s">
        <v>1592</v>
      </c>
    </row>
    <row r="833" spans="1:28" ht="24" customHeight="1">
      <c r="A833" s="584"/>
      <c r="B833" s="460" t="s">
        <v>675</v>
      </c>
      <c r="C833" s="458" t="s">
        <v>5622</v>
      </c>
      <c r="D833" s="510" t="s">
        <v>5623</v>
      </c>
      <c r="E833" s="497">
        <f t="shared" si="67"/>
        <v>30</v>
      </c>
      <c r="F833" s="497">
        <v>0</v>
      </c>
      <c r="G833" s="497">
        <v>30</v>
      </c>
      <c r="H833" s="497">
        <v>0</v>
      </c>
      <c r="I833" s="497">
        <f t="shared" si="68"/>
        <v>17.8</v>
      </c>
      <c r="J833" s="497">
        <v>0</v>
      </c>
      <c r="K833" s="497">
        <v>17.8</v>
      </c>
      <c r="L833" s="721">
        <v>0</v>
      </c>
      <c r="M833" s="672">
        <v>85.4</v>
      </c>
      <c r="N833" s="498">
        <v>0.5</v>
      </c>
      <c r="O833" s="731" t="s">
        <v>1075</v>
      </c>
      <c r="P833" s="514" t="s">
        <v>7427</v>
      </c>
      <c r="Q833" s="842">
        <v>0</v>
      </c>
      <c r="R833" s="842">
        <v>0</v>
      </c>
      <c r="S833" s="842">
        <v>0</v>
      </c>
      <c r="T833" s="842">
        <v>0</v>
      </c>
      <c r="U833" s="514" t="s">
        <v>5599</v>
      </c>
      <c r="V833" s="514" t="s">
        <v>5624</v>
      </c>
      <c r="W833" s="498">
        <v>96</v>
      </c>
      <c r="X833" s="514" t="s">
        <v>1532</v>
      </c>
      <c r="Y833" s="514" t="s">
        <v>3507</v>
      </c>
      <c r="Z833" s="514" t="s">
        <v>2302</v>
      </c>
      <c r="AA833" s="514" t="s">
        <v>1685</v>
      </c>
      <c r="AB833" s="531" t="s">
        <v>1592</v>
      </c>
    </row>
    <row r="834" spans="1:28" ht="24" customHeight="1">
      <c r="A834" s="584"/>
      <c r="B834" s="460" t="s">
        <v>675</v>
      </c>
      <c r="C834" s="458" t="s">
        <v>5625</v>
      </c>
      <c r="D834" s="510" t="s">
        <v>5626</v>
      </c>
      <c r="E834" s="497">
        <f t="shared" si="67"/>
        <v>30</v>
      </c>
      <c r="F834" s="497">
        <v>0</v>
      </c>
      <c r="G834" s="497">
        <v>30</v>
      </c>
      <c r="H834" s="497">
        <v>0</v>
      </c>
      <c r="I834" s="497">
        <f t="shared" si="68"/>
        <v>19</v>
      </c>
      <c r="J834" s="497">
        <v>0</v>
      </c>
      <c r="K834" s="497">
        <v>19</v>
      </c>
      <c r="L834" s="721">
        <v>0</v>
      </c>
      <c r="M834" s="672">
        <v>96.2</v>
      </c>
      <c r="N834" s="498">
        <v>1.5</v>
      </c>
      <c r="O834" s="731" t="s">
        <v>5627</v>
      </c>
      <c r="P834" s="514" t="s">
        <v>7427</v>
      </c>
      <c r="Q834" s="842">
        <v>0</v>
      </c>
      <c r="R834" s="842">
        <v>0</v>
      </c>
      <c r="S834" s="842">
        <v>0</v>
      </c>
      <c r="T834" s="842">
        <v>0</v>
      </c>
      <c r="U834" s="514" t="s">
        <v>5599</v>
      </c>
      <c r="V834" s="514" t="s">
        <v>5628</v>
      </c>
      <c r="W834" s="498">
        <v>582</v>
      </c>
      <c r="X834" s="514" t="s">
        <v>1532</v>
      </c>
      <c r="Y834" s="514" t="s">
        <v>3336</v>
      </c>
      <c r="Z834" s="514" t="s">
        <v>2302</v>
      </c>
      <c r="AA834" s="514" t="s">
        <v>1685</v>
      </c>
      <c r="AB834" s="531" t="s">
        <v>1592</v>
      </c>
    </row>
    <row r="835" spans="1:28" ht="24" customHeight="1">
      <c r="A835" s="584"/>
      <c r="B835" s="460" t="s">
        <v>675</v>
      </c>
      <c r="C835" s="458" t="s">
        <v>5629</v>
      </c>
      <c r="D835" s="510" t="s">
        <v>5630</v>
      </c>
      <c r="E835" s="497">
        <f t="shared" si="67"/>
        <v>40</v>
      </c>
      <c r="F835" s="497">
        <v>0</v>
      </c>
      <c r="G835" s="497">
        <v>40</v>
      </c>
      <c r="H835" s="497">
        <v>0</v>
      </c>
      <c r="I835" s="497">
        <f t="shared" si="68"/>
        <v>18.2</v>
      </c>
      <c r="J835" s="497">
        <v>0</v>
      </c>
      <c r="K835" s="497">
        <v>18.2</v>
      </c>
      <c r="L835" s="721">
        <v>0</v>
      </c>
      <c r="M835" s="672">
        <v>83.3</v>
      </c>
      <c r="N835" s="498">
        <v>0.7</v>
      </c>
      <c r="O835" s="731" t="s">
        <v>5631</v>
      </c>
      <c r="P835" s="514" t="s">
        <v>7427</v>
      </c>
      <c r="Q835" s="842">
        <v>0</v>
      </c>
      <c r="R835" s="842">
        <v>0</v>
      </c>
      <c r="S835" s="842">
        <v>0</v>
      </c>
      <c r="T835" s="842">
        <v>0</v>
      </c>
      <c r="U835" s="514" t="s">
        <v>5599</v>
      </c>
      <c r="V835" s="514" t="s">
        <v>5632</v>
      </c>
      <c r="W835" s="498">
        <v>212</v>
      </c>
      <c r="X835" s="514" t="s">
        <v>1532</v>
      </c>
      <c r="Y835" s="514" t="s">
        <v>3507</v>
      </c>
      <c r="Z835" s="514" t="s">
        <v>2302</v>
      </c>
      <c r="AA835" s="514" t="s">
        <v>1685</v>
      </c>
      <c r="AB835" s="531" t="s">
        <v>1592</v>
      </c>
    </row>
    <row r="836" spans="1:28" ht="24" customHeight="1">
      <c r="A836" s="584"/>
      <c r="B836" s="460" t="s">
        <v>675</v>
      </c>
      <c r="C836" s="458" t="s">
        <v>5633</v>
      </c>
      <c r="D836" s="510" t="s">
        <v>5634</v>
      </c>
      <c r="E836" s="497">
        <f t="shared" si="67"/>
        <v>20</v>
      </c>
      <c r="F836" s="497">
        <v>0</v>
      </c>
      <c r="G836" s="497">
        <v>20</v>
      </c>
      <c r="H836" s="497">
        <v>0</v>
      </c>
      <c r="I836" s="497">
        <f t="shared" si="68"/>
        <v>5.6</v>
      </c>
      <c r="J836" s="497">
        <v>0</v>
      </c>
      <c r="K836" s="497">
        <v>5.6</v>
      </c>
      <c r="L836" s="721">
        <v>0</v>
      </c>
      <c r="M836" s="672">
        <v>79.5</v>
      </c>
      <c r="N836" s="498">
        <v>0.2</v>
      </c>
      <c r="O836" s="731" t="s">
        <v>5635</v>
      </c>
      <c r="P836" s="514" t="s">
        <v>7427</v>
      </c>
      <c r="Q836" s="842">
        <v>0</v>
      </c>
      <c r="R836" s="842">
        <v>0</v>
      </c>
      <c r="S836" s="842">
        <v>0</v>
      </c>
      <c r="T836" s="842">
        <v>0</v>
      </c>
      <c r="U836" s="514" t="s">
        <v>5599</v>
      </c>
      <c r="V836" s="514" t="s">
        <v>5636</v>
      </c>
      <c r="W836" s="498">
        <v>98</v>
      </c>
      <c r="X836" s="514" t="s">
        <v>1532</v>
      </c>
      <c r="Y836" s="514" t="s">
        <v>3507</v>
      </c>
      <c r="Z836" s="514" t="s">
        <v>2302</v>
      </c>
      <c r="AA836" s="514" t="s">
        <v>1685</v>
      </c>
      <c r="AB836" s="531" t="s">
        <v>1592</v>
      </c>
    </row>
    <row r="837" spans="1:28" ht="24" customHeight="1">
      <c r="A837" s="584"/>
      <c r="B837" s="460" t="s">
        <v>675</v>
      </c>
      <c r="C837" s="458" t="s">
        <v>5637</v>
      </c>
      <c r="D837" s="510" t="s">
        <v>5634</v>
      </c>
      <c r="E837" s="497">
        <f t="shared" si="67"/>
        <v>40</v>
      </c>
      <c r="F837" s="497">
        <v>0</v>
      </c>
      <c r="G837" s="497">
        <v>40</v>
      </c>
      <c r="H837" s="497">
        <v>0</v>
      </c>
      <c r="I837" s="497">
        <f t="shared" si="68"/>
        <v>15.3</v>
      </c>
      <c r="J837" s="497">
        <v>0</v>
      </c>
      <c r="K837" s="497">
        <v>15.3</v>
      </c>
      <c r="L837" s="721">
        <v>0</v>
      </c>
      <c r="M837" s="672">
        <v>80.8</v>
      </c>
      <c r="N837" s="498">
        <v>0.7</v>
      </c>
      <c r="O837" s="731" t="s">
        <v>5635</v>
      </c>
      <c r="P837" s="514" t="s">
        <v>7427</v>
      </c>
      <c r="Q837" s="842">
        <v>0</v>
      </c>
      <c r="R837" s="842">
        <v>0</v>
      </c>
      <c r="S837" s="842">
        <v>0</v>
      </c>
      <c r="T837" s="842">
        <v>0</v>
      </c>
      <c r="U837" s="514" t="s">
        <v>5599</v>
      </c>
      <c r="V837" s="514" t="s">
        <v>5636</v>
      </c>
      <c r="W837" s="498">
        <v>197</v>
      </c>
      <c r="X837" s="514" t="s">
        <v>1532</v>
      </c>
      <c r="Y837" s="514" t="s">
        <v>3507</v>
      </c>
      <c r="Z837" s="514" t="s">
        <v>2302</v>
      </c>
      <c r="AA837" s="514" t="s">
        <v>1685</v>
      </c>
      <c r="AB837" s="531" t="s">
        <v>1592</v>
      </c>
    </row>
    <row r="838" spans="1:28" ht="24" customHeight="1">
      <c r="A838" s="584"/>
      <c r="B838" s="460" t="s">
        <v>675</v>
      </c>
      <c r="C838" s="458" t="s">
        <v>5638</v>
      </c>
      <c r="D838" s="510" t="s">
        <v>5639</v>
      </c>
      <c r="E838" s="497">
        <f t="shared" si="67"/>
        <v>50</v>
      </c>
      <c r="F838" s="497">
        <v>0</v>
      </c>
      <c r="G838" s="497">
        <v>50</v>
      </c>
      <c r="H838" s="497">
        <v>0</v>
      </c>
      <c r="I838" s="497">
        <f t="shared" si="68"/>
        <v>18.3</v>
      </c>
      <c r="J838" s="497">
        <v>0</v>
      </c>
      <c r="K838" s="497">
        <v>18.3</v>
      </c>
      <c r="L838" s="721">
        <v>0</v>
      </c>
      <c r="M838" s="672">
        <v>82.5</v>
      </c>
      <c r="N838" s="498">
        <v>0.7</v>
      </c>
      <c r="O838" s="731" t="s">
        <v>5640</v>
      </c>
      <c r="P838" s="514" t="s">
        <v>7427</v>
      </c>
      <c r="Q838" s="842">
        <v>0</v>
      </c>
      <c r="R838" s="842">
        <v>0</v>
      </c>
      <c r="S838" s="842">
        <v>0</v>
      </c>
      <c r="T838" s="842">
        <v>0</v>
      </c>
      <c r="U838" s="514" t="s">
        <v>5599</v>
      </c>
      <c r="V838" s="514" t="s">
        <v>5641</v>
      </c>
      <c r="W838" s="498">
        <v>270</v>
      </c>
      <c r="X838" s="514" t="s">
        <v>1532</v>
      </c>
      <c r="Y838" s="514" t="s">
        <v>3507</v>
      </c>
      <c r="Z838" s="514" t="s">
        <v>2302</v>
      </c>
      <c r="AA838" s="514" t="s">
        <v>1685</v>
      </c>
      <c r="AB838" s="531" t="s">
        <v>1592</v>
      </c>
    </row>
    <row r="839" spans="1:28" ht="24" customHeight="1">
      <c r="A839" s="584"/>
      <c r="B839" s="460" t="s">
        <v>675</v>
      </c>
      <c r="C839" s="458" t="s">
        <v>5642</v>
      </c>
      <c r="D839" s="510" t="s">
        <v>5643</v>
      </c>
      <c r="E839" s="497">
        <f t="shared" si="67"/>
        <v>40</v>
      </c>
      <c r="F839" s="497">
        <v>0</v>
      </c>
      <c r="G839" s="497">
        <v>40</v>
      </c>
      <c r="H839" s="497">
        <v>0</v>
      </c>
      <c r="I839" s="497">
        <f t="shared" si="68"/>
        <v>11.8</v>
      </c>
      <c r="J839" s="497">
        <v>0</v>
      </c>
      <c r="K839" s="497">
        <v>11.8</v>
      </c>
      <c r="L839" s="721">
        <v>0</v>
      </c>
      <c r="M839" s="672">
        <v>81</v>
      </c>
      <c r="N839" s="498">
        <v>0.3</v>
      </c>
      <c r="O839" s="731" t="s">
        <v>5644</v>
      </c>
      <c r="P839" s="514" t="s">
        <v>7427</v>
      </c>
      <c r="Q839" s="842">
        <v>0</v>
      </c>
      <c r="R839" s="842">
        <v>0</v>
      </c>
      <c r="S839" s="842">
        <v>0</v>
      </c>
      <c r="T839" s="842">
        <v>0</v>
      </c>
      <c r="U839" s="514" t="s">
        <v>5599</v>
      </c>
      <c r="V839" s="514" t="s">
        <v>5645</v>
      </c>
      <c r="W839" s="498">
        <v>254</v>
      </c>
      <c r="X839" s="514" t="s">
        <v>1532</v>
      </c>
      <c r="Y839" s="514" t="s">
        <v>3336</v>
      </c>
      <c r="Z839" s="514" t="s">
        <v>2302</v>
      </c>
      <c r="AA839" s="514" t="s">
        <v>1685</v>
      </c>
      <c r="AB839" s="531" t="s">
        <v>1592</v>
      </c>
    </row>
    <row r="840" spans="1:28" ht="24" customHeight="1">
      <c r="A840" s="584"/>
      <c r="B840" s="460" t="s">
        <v>675</v>
      </c>
      <c r="C840" s="458" t="s">
        <v>5646</v>
      </c>
      <c r="D840" s="510" t="s">
        <v>5647</v>
      </c>
      <c r="E840" s="497">
        <f t="shared" si="67"/>
        <v>16</v>
      </c>
      <c r="F840" s="497">
        <v>0</v>
      </c>
      <c r="G840" s="497">
        <v>16</v>
      </c>
      <c r="H840" s="497">
        <v>0</v>
      </c>
      <c r="I840" s="497">
        <f t="shared" si="68"/>
        <v>18.8</v>
      </c>
      <c r="J840" s="497">
        <v>0</v>
      </c>
      <c r="K840" s="497">
        <v>18.8</v>
      </c>
      <c r="L840" s="721">
        <v>0</v>
      </c>
      <c r="M840" s="672">
        <v>87.3</v>
      </c>
      <c r="N840" s="498">
        <v>0.7</v>
      </c>
      <c r="O840" s="731" t="s">
        <v>5617</v>
      </c>
      <c r="P840" s="514" t="s">
        <v>7427</v>
      </c>
      <c r="Q840" s="842">
        <v>0</v>
      </c>
      <c r="R840" s="842">
        <v>0</v>
      </c>
      <c r="S840" s="842">
        <v>0</v>
      </c>
      <c r="T840" s="842">
        <v>0</v>
      </c>
      <c r="U840" s="514" t="s">
        <v>5599</v>
      </c>
      <c r="V840" s="514" t="s">
        <v>5648</v>
      </c>
      <c r="W840" s="498">
        <v>16</v>
      </c>
      <c r="X840" s="514" t="s">
        <v>1532</v>
      </c>
      <c r="Y840" s="514" t="s">
        <v>3507</v>
      </c>
      <c r="Z840" s="514" t="s">
        <v>2302</v>
      </c>
      <c r="AA840" s="514" t="s">
        <v>1685</v>
      </c>
      <c r="AB840" s="531" t="s">
        <v>1592</v>
      </c>
    </row>
    <row r="841" spans="1:28" ht="24" customHeight="1">
      <c r="A841" s="584"/>
      <c r="B841" s="460" t="s">
        <v>675</v>
      </c>
      <c r="C841" s="458" t="s">
        <v>5649</v>
      </c>
      <c r="D841" s="510" t="s">
        <v>5650</v>
      </c>
      <c r="E841" s="497">
        <f t="shared" si="67"/>
        <v>26</v>
      </c>
      <c r="F841" s="497">
        <v>0</v>
      </c>
      <c r="G841" s="497">
        <v>26</v>
      </c>
      <c r="H841" s="497">
        <v>0</v>
      </c>
      <c r="I841" s="497">
        <f t="shared" si="68"/>
        <v>15</v>
      </c>
      <c r="J841" s="497">
        <v>0</v>
      </c>
      <c r="K841" s="497">
        <v>15</v>
      </c>
      <c r="L841" s="721">
        <v>0</v>
      </c>
      <c r="M841" s="672">
        <v>73.599999999999994</v>
      </c>
      <c r="N841" s="498">
        <v>0.3</v>
      </c>
      <c r="O841" s="731" t="s">
        <v>5617</v>
      </c>
      <c r="P841" s="514" t="s">
        <v>7427</v>
      </c>
      <c r="Q841" s="842">
        <v>0</v>
      </c>
      <c r="R841" s="842">
        <v>0</v>
      </c>
      <c r="S841" s="842">
        <v>0</v>
      </c>
      <c r="T841" s="842">
        <v>0</v>
      </c>
      <c r="U841" s="514" t="s">
        <v>5599</v>
      </c>
      <c r="V841" s="514" t="s">
        <v>5651</v>
      </c>
      <c r="W841" s="498"/>
      <c r="X841" s="514" t="s">
        <v>1532</v>
      </c>
      <c r="Y841" s="514" t="s">
        <v>3336</v>
      </c>
      <c r="Z841" s="514" t="s">
        <v>2302</v>
      </c>
      <c r="AA841" s="514" t="s">
        <v>1685</v>
      </c>
      <c r="AB841" s="531" t="s">
        <v>1592</v>
      </c>
    </row>
    <row r="842" spans="1:28" ht="24" customHeight="1">
      <c r="A842" s="584"/>
      <c r="B842" s="460" t="s">
        <v>675</v>
      </c>
      <c r="C842" s="458" t="s">
        <v>5652</v>
      </c>
      <c r="D842" s="510" t="s">
        <v>5653</v>
      </c>
      <c r="E842" s="497">
        <f t="shared" si="67"/>
        <v>30</v>
      </c>
      <c r="F842" s="497">
        <v>0</v>
      </c>
      <c r="G842" s="497">
        <v>30</v>
      </c>
      <c r="H842" s="497">
        <v>0</v>
      </c>
      <c r="I842" s="497">
        <f t="shared" si="68"/>
        <v>7.9</v>
      </c>
      <c r="J842" s="497">
        <v>0</v>
      </c>
      <c r="K842" s="497">
        <v>7.9</v>
      </c>
      <c r="L842" s="721">
        <v>0</v>
      </c>
      <c r="M842" s="672">
        <v>86</v>
      </c>
      <c r="N842" s="498">
        <v>0.2</v>
      </c>
      <c r="O842" s="731" t="s">
        <v>5631</v>
      </c>
      <c r="P842" s="514" t="s">
        <v>7427</v>
      </c>
      <c r="Q842" s="842">
        <v>0</v>
      </c>
      <c r="R842" s="842">
        <v>0</v>
      </c>
      <c r="S842" s="842">
        <v>0</v>
      </c>
      <c r="T842" s="842">
        <v>0</v>
      </c>
      <c r="U842" s="514" t="s">
        <v>5599</v>
      </c>
      <c r="V842" s="514" t="s">
        <v>5654</v>
      </c>
      <c r="W842" s="498">
        <v>90</v>
      </c>
      <c r="X842" s="514" t="s">
        <v>1532</v>
      </c>
      <c r="Y842" s="514" t="s">
        <v>3507</v>
      </c>
      <c r="Z842" s="514" t="s">
        <v>2302</v>
      </c>
      <c r="AA842" s="514" t="s">
        <v>1685</v>
      </c>
      <c r="AB842" s="531" t="s">
        <v>1592</v>
      </c>
    </row>
    <row r="843" spans="1:28" ht="24" customHeight="1">
      <c r="A843" s="584"/>
      <c r="B843" s="460" t="s">
        <v>675</v>
      </c>
      <c r="C843" s="458" t="s">
        <v>5655</v>
      </c>
      <c r="D843" s="510" t="s">
        <v>5656</v>
      </c>
      <c r="E843" s="497">
        <f t="shared" si="67"/>
        <v>16</v>
      </c>
      <c r="F843" s="497">
        <v>0</v>
      </c>
      <c r="G843" s="497">
        <v>16</v>
      </c>
      <c r="H843" s="497">
        <v>0</v>
      </c>
      <c r="I843" s="497">
        <f t="shared" si="68"/>
        <v>15.2</v>
      </c>
      <c r="J843" s="497">
        <v>0</v>
      </c>
      <c r="K843" s="497">
        <v>15.2</v>
      </c>
      <c r="L843" s="721">
        <v>0</v>
      </c>
      <c r="M843" s="672">
        <v>82.6</v>
      </c>
      <c r="N843" s="498">
        <v>0.6</v>
      </c>
      <c r="O843" s="731" t="s">
        <v>5657</v>
      </c>
      <c r="P843" s="514" t="s">
        <v>7427</v>
      </c>
      <c r="Q843" s="842">
        <v>0</v>
      </c>
      <c r="R843" s="842">
        <v>0</v>
      </c>
      <c r="S843" s="842">
        <v>0</v>
      </c>
      <c r="T843" s="842">
        <v>0</v>
      </c>
      <c r="U843" s="514" t="s">
        <v>5599</v>
      </c>
      <c r="V843" s="514" t="s">
        <v>5651</v>
      </c>
      <c r="W843" s="498">
        <v>50</v>
      </c>
      <c r="X843" s="514" t="s">
        <v>1532</v>
      </c>
      <c r="Y843" s="514" t="s">
        <v>3507</v>
      </c>
      <c r="Z843" s="514" t="s">
        <v>2302</v>
      </c>
      <c r="AA843" s="514" t="s">
        <v>1685</v>
      </c>
      <c r="AB843" s="531" t="s">
        <v>1592</v>
      </c>
    </row>
    <row r="844" spans="1:28" ht="24" customHeight="1">
      <c r="A844" s="584"/>
      <c r="B844" s="460" t="s">
        <v>675</v>
      </c>
      <c r="C844" s="458" t="s">
        <v>5658</v>
      </c>
      <c r="D844" s="510" t="s">
        <v>5659</v>
      </c>
      <c r="E844" s="497">
        <f t="shared" si="67"/>
        <v>30</v>
      </c>
      <c r="F844" s="497">
        <v>0</v>
      </c>
      <c r="G844" s="497">
        <v>30</v>
      </c>
      <c r="H844" s="497">
        <v>0</v>
      </c>
      <c r="I844" s="497">
        <f t="shared" si="68"/>
        <v>14.1</v>
      </c>
      <c r="J844" s="497">
        <v>0</v>
      </c>
      <c r="K844" s="497">
        <v>14.1</v>
      </c>
      <c r="L844" s="721">
        <v>0</v>
      </c>
      <c r="M844" s="672">
        <v>71.900000000000006</v>
      </c>
      <c r="N844" s="498">
        <v>0.2</v>
      </c>
      <c r="O844" s="731" t="s">
        <v>5660</v>
      </c>
      <c r="P844" s="514" t="s">
        <v>7427</v>
      </c>
      <c r="Q844" s="842">
        <v>0</v>
      </c>
      <c r="R844" s="842">
        <v>0</v>
      </c>
      <c r="S844" s="842">
        <v>0</v>
      </c>
      <c r="T844" s="842">
        <v>0</v>
      </c>
      <c r="U844" s="514" t="s">
        <v>5599</v>
      </c>
      <c r="V844" s="514" t="s">
        <v>5645</v>
      </c>
      <c r="W844" s="498">
        <v>98</v>
      </c>
      <c r="X844" s="514" t="s">
        <v>1532</v>
      </c>
      <c r="Y844" s="514" t="s">
        <v>3336</v>
      </c>
      <c r="Z844" s="514" t="s">
        <v>2302</v>
      </c>
      <c r="AA844" s="514" t="s">
        <v>1685</v>
      </c>
      <c r="AB844" s="531" t="s">
        <v>1592</v>
      </c>
    </row>
    <row r="845" spans="1:28" ht="24" customHeight="1">
      <c r="A845" s="584"/>
      <c r="B845" s="460" t="s">
        <v>675</v>
      </c>
      <c r="C845" s="458" t="s">
        <v>5661</v>
      </c>
      <c r="D845" s="510" t="s">
        <v>5662</v>
      </c>
      <c r="E845" s="497">
        <f t="shared" si="67"/>
        <v>50</v>
      </c>
      <c r="F845" s="497">
        <v>0</v>
      </c>
      <c r="G845" s="497">
        <v>50</v>
      </c>
      <c r="H845" s="497">
        <v>0</v>
      </c>
      <c r="I845" s="497">
        <f t="shared" si="68"/>
        <v>10.5</v>
      </c>
      <c r="J845" s="497">
        <v>0</v>
      </c>
      <c r="K845" s="497">
        <v>10.5</v>
      </c>
      <c r="L845" s="721">
        <v>0</v>
      </c>
      <c r="M845" s="672">
        <v>81.099999999999994</v>
      </c>
      <c r="N845" s="498">
        <v>0.4</v>
      </c>
      <c r="O845" s="731" t="s">
        <v>5663</v>
      </c>
      <c r="P845" s="514" t="s">
        <v>7427</v>
      </c>
      <c r="Q845" s="842">
        <v>0</v>
      </c>
      <c r="R845" s="842">
        <v>0</v>
      </c>
      <c r="S845" s="842">
        <v>0</v>
      </c>
      <c r="T845" s="842">
        <v>0</v>
      </c>
      <c r="U845" s="514" t="s">
        <v>5599</v>
      </c>
      <c r="V845" s="514" t="s">
        <v>5664</v>
      </c>
      <c r="W845" s="498">
        <v>81</v>
      </c>
      <c r="X845" s="514" t="s">
        <v>1532</v>
      </c>
      <c r="Y845" s="514" t="s">
        <v>3507</v>
      </c>
      <c r="Z845" s="514" t="s">
        <v>2302</v>
      </c>
      <c r="AA845" s="514" t="s">
        <v>1685</v>
      </c>
      <c r="AB845" s="531" t="s">
        <v>1592</v>
      </c>
    </row>
    <row r="846" spans="1:28" ht="24" customHeight="1">
      <c r="A846" s="584"/>
      <c r="B846" s="460" t="s">
        <v>675</v>
      </c>
      <c r="C846" s="458" t="s">
        <v>5665</v>
      </c>
      <c r="D846" s="510" t="s">
        <v>5666</v>
      </c>
      <c r="E846" s="497">
        <f t="shared" si="67"/>
        <v>20</v>
      </c>
      <c r="F846" s="497">
        <v>0</v>
      </c>
      <c r="G846" s="497">
        <v>20</v>
      </c>
      <c r="H846" s="497">
        <v>0</v>
      </c>
      <c r="I846" s="497">
        <f t="shared" si="68"/>
        <v>21</v>
      </c>
      <c r="J846" s="497">
        <v>0</v>
      </c>
      <c r="K846" s="497">
        <v>21</v>
      </c>
      <c r="L846" s="721">
        <v>0</v>
      </c>
      <c r="M846" s="672">
        <v>75.099999999999994</v>
      </c>
      <c r="N846" s="498">
        <v>0.4</v>
      </c>
      <c r="O846" s="731" t="s">
        <v>5617</v>
      </c>
      <c r="P846" s="514" t="s">
        <v>7427</v>
      </c>
      <c r="Q846" s="842">
        <v>0</v>
      </c>
      <c r="R846" s="842">
        <v>0</v>
      </c>
      <c r="S846" s="842">
        <v>0</v>
      </c>
      <c r="T846" s="842">
        <v>0</v>
      </c>
      <c r="U846" s="514" t="s">
        <v>5599</v>
      </c>
      <c r="V846" s="514" t="s">
        <v>5667</v>
      </c>
      <c r="W846" s="498">
        <v>75</v>
      </c>
      <c r="X846" s="514" t="s">
        <v>1532</v>
      </c>
      <c r="Y846" s="514" t="s">
        <v>3507</v>
      </c>
      <c r="Z846" s="514" t="s">
        <v>2302</v>
      </c>
      <c r="AA846" s="514" t="s">
        <v>1685</v>
      </c>
      <c r="AB846" s="531" t="s">
        <v>1592</v>
      </c>
    </row>
    <row r="847" spans="1:28" ht="24" customHeight="1">
      <c r="A847" s="584"/>
      <c r="B847" s="460" t="s">
        <v>675</v>
      </c>
      <c r="C847" s="458" t="s">
        <v>5668</v>
      </c>
      <c r="D847" s="510" t="s">
        <v>5669</v>
      </c>
      <c r="E847" s="497">
        <f t="shared" si="67"/>
        <v>20</v>
      </c>
      <c r="F847" s="497">
        <v>0</v>
      </c>
      <c r="G847" s="497">
        <v>20</v>
      </c>
      <c r="H847" s="497">
        <v>0</v>
      </c>
      <c r="I847" s="497">
        <f t="shared" si="68"/>
        <v>13.4</v>
      </c>
      <c r="J847" s="497">
        <v>0</v>
      </c>
      <c r="K847" s="497">
        <v>13.4</v>
      </c>
      <c r="L847" s="721">
        <v>0</v>
      </c>
      <c r="M847" s="672">
        <v>89.6</v>
      </c>
      <c r="N847" s="498">
        <v>0.4</v>
      </c>
      <c r="O847" s="731" t="s">
        <v>5255</v>
      </c>
      <c r="P847" s="514" t="s">
        <v>7427</v>
      </c>
      <c r="Q847" s="842">
        <v>0</v>
      </c>
      <c r="R847" s="842">
        <v>0</v>
      </c>
      <c r="S847" s="842">
        <v>0</v>
      </c>
      <c r="T847" s="842">
        <v>0</v>
      </c>
      <c r="U847" s="514" t="s">
        <v>5599</v>
      </c>
      <c r="V847" s="514" t="s">
        <v>5670</v>
      </c>
      <c r="W847" s="498">
        <v>140</v>
      </c>
      <c r="X847" s="514" t="s">
        <v>1532</v>
      </c>
      <c r="Y847" s="514" t="s">
        <v>3507</v>
      </c>
      <c r="Z847" s="514" t="s">
        <v>5615</v>
      </c>
      <c r="AA847" s="514"/>
      <c r="AB847" s="531" t="s">
        <v>1686</v>
      </c>
    </row>
    <row r="848" spans="1:28" ht="24" customHeight="1">
      <c r="A848" s="584"/>
      <c r="B848" s="460" t="s">
        <v>675</v>
      </c>
      <c r="C848" s="458" t="s">
        <v>5671</v>
      </c>
      <c r="D848" s="510" t="s">
        <v>5672</v>
      </c>
      <c r="E848" s="497">
        <f t="shared" si="67"/>
        <v>20</v>
      </c>
      <c r="F848" s="497">
        <v>0</v>
      </c>
      <c r="G848" s="497">
        <v>20</v>
      </c>
      <c r="H848" s="497">
        <v>0</v>
      </c>
      <c r="I848" s="497">
        <f t="shared" si="68"/>
        <v>14.8</v>
      </c>
      <c r="J848" s="497">
        <v>0</v>
      </c>
      <c r="K848" s="497">
        <v>14.8</v>
      </c>
      <c r="L848" s="721">
        <v>0</v>
      </c>
      <c r="M848" s="672">
        <v>85.9</v>
      </c>
      <c r="N848" s="498">
        <v>0.5</v>
      </c>
      <c r="O848" s="731" t="s">
        <v>5673</v>
      </c>
      <c r="P848" s="514" t="s">
        <v>7427</v>
      </c>
      <c r="Q848" s="842">
        <v>0</v>
      </c>
      <c r="R848" s="842">
        <v>0</v>
      </c>
      <c r="S848" s="842">
        <v>0</v>
      </c>
      <c r="T848" s="842">
        <v>0</v>
      </c>
      <c r="U848" s="514" t="s">
        <v>5599</v>
      </c>
      <c r="V848" s="514" t="s">
        <v>5670</v>
      </c>
      <c r="W848" s="498">
        <v>266</v>
      </c>
      <c r="X848" s="514" t="s">
        <v>1532</v>
      </c>
      <c r="Y848" s="514" t="s">
        <v>3507</v>
      </c>
      <c r="Z848" s="514" t="s">
        <v>5615</v>
      </c>
      <c r="AA848" s="514"/>
      <c r="AB848" s="531" t="s">
        <v>1686</v>
      </c>
    </row>
    <row r="849" spans="1:28" ht="24" customHeight="1">
      <c r="A849" s="584"/>
      <c r="B849" s="460" t="s">
        <v>675</v>
      </c>
      <c r="C849" s="458" t="s">
        <v>5674</v>
      </c>
      <c r="D849" s="510" t="s">
        <v>5675</v>
      </c>
      <c r="E849" s="497">
        <f t="shared" si="67"/>
        <v>20</v>
      </c>
      <c r="F849" s="497">
        <v>0</v>
      </c>
      <c r="G849" s="497">
        <v>20</v>
      </c>
      <c r="H849" s="497">
        <v>0</v>
      </c>
      <c r="I849" s="497">
        <f t="shared" si="68"/>
        <v>11.3</v>
      </c>
      <c r="J849" s="497">
        <v>0</v>
      </c>
      <c r="K849" s="497">
        <v>11.3</v>
      </c>
      <c r="L849" s="721">
        <v>0</v>
      </c>
      <c r="M849" s="672">
        <v>88.5</v>
      </c>
      <c r="N849" s="498">
        <v>0.7</v>
      </c>
      <c r="O849" s="731" t="s">
        <v>5635</v>
      </c>
      <c r="P849" s="514" t="s">
        <v>7427</v>
      </c>
      <c r="Q849" s="842">
        <v>0</v>
      </c>
      <c r="R849" s="842">
        <v>0</v>
      </c>
      <c r="S849" s="842">
        <v>0</v>
      </c>
      <c r="T849" s="842">
        <v>0</v>
      </c>
      <c r="U849" s="514" t="s">
        <v>5599</v>
      </c>
      <c r="V849" s="514" t="s">
        <v>5676</v>
      </c>
      <c r="W849" s="498">
        <v>255</v>
      </c>
      <c r="X849" s="514" t="s">
        <v>1532</v>
      </c>
      <c r="Y849" s="514" t="s">
        <v>3507</v>
      </c>
      <c r="Z849" s="514" t="s">
        <v>5615</v>
      </c>
      <c r="AA849" s="514"/>
      <c r="AB849" s="531" t="s">
        <v>1686</v>
      </c>
    </row>
    <row r="850" spans="1:28" ht="24" customHeight="1">
      <c r="A850" s="584"/>
      <c r="B850" s="460" t="s">
        <v>675</v>
      </c>
      <c r="C850" s="458" t="s">
        <v>5677</v>
      </c>
      <c r="D850" s="510" t="s">
        <v>5678</v>
      </c>
      <c r="E850" s="497">
        <f t="shared" si="67"/>
        <v>30</v>
      </c>
      <c r="F850" s="497">
        <v>0</v>
      </c>
      <c r="G850" s="497">
        <v>30</v>
      </c>
      <c r="H850" s="497">
        <v>0</v>
      </c>
      <c r="I850" s="497">
        <f t="shared" si="68"/>
        <v>9.1</v>
      </c>
      <c r="J850" s="497">
        <v>0</v>
      </c>
      <c r="K850" s="497">
        <v>9.1</v>
      </c>
      <c r="L850" s="721">
        <v>0</v>
      </c>
      <c r="M850" s="672">
        <v>87.2</v>
      </c>
      <c r="N850" s="498">
        <v>0.6</v>
      </c>
      <c r="O850" s="731" t="s">
        <v>5679</v>
      </c>
      <c r="P850" s="514" t="s">
        <v>7427</v>
      </c>
      <c r="Q850" s="842">
        <v>0</v>
      </c>
      <c r="R850" s="842">
        <v>0</v>
      </c>
      <c r="S850" s="842">
        <v>0</v>
      </c>
      <c r="T850" s="842">
        <v>0</v>
      </c>
      <c r="U850" s="514" t="s">
        <v>5599</v>
      </c>
      <c r="V850" s="514" t="s">
        <v>5680</v>
      </c>
      <c r="W850" s="498">
        <v>205</v>
      </c>
      <c r="X850" s="514" t="s">
        <v>1532</v>
      </c>
      <c r="Y850" s="514" t="s">
        <v>3507</v>
      </c>
      <c r="Z850" s="514" t="s">
        <v>5615</v>
      </c>
      <c r="AA850" s="514"/>
      <c r="AB850" s="531" t="s">
        <v>1686</v>
      </c>
    </row>
    <row r="851" spans="1:28" ht="24" customHeight="1">
      <c r="A851" s="584"/>
      <c r="B851" s="460" t="s">
        <v>675</v>
      </c>
      <c r="C851" s="458" t="s">
        <v>5681</v>
      </c>
      <c r="D851" s="510" t="s">
        <v>5682</v>
      </c>
      <c r="E851" s="497">
        <f t="shared" si="67"/>
        <v>20</v>
      </c>
      <c r="F851" s="497">
        <v>0</v>
      </c>
      <c r="G851" s="497">
        <v>20</v>
      </c>
      <c r="H851" s="497">
        <v>0</v>
      </c>
      <c r="I851" s="497">
        <f t="shared" si="68"/>
        <v>9</v>
      </c>
      <c r="J851" s="497">
        <v>0</v>
      </c>
      <c r="K851" s="497">
        <v>9</v>
      </c>
      <c r="L851" s="721">
        <v>0</v>
      </c>
      <c r="M851" s="672">
        <v>90.8</v>
      </c>
      <c r="N851" s="498">
        <v>0.6</v>
      </c>
      <c r="O851" s="731" t="s">
        <v>3752</v>
      </c>
      <c r="P851" s="514" t="s">
        <v>7427</v>
      </c>
      <c r="Q851" s="842">
        <v>0</v>
      </c>
      <c r="R851" s="842">
        <v>0</v>
      </c>
      <c r="S851" s="842">
        <v>0</v>
      </c>
      <c r="T851" s="842">
        <v>0</v>
      </c>
      <c r="U851" s="514" t="s">
        <v>5599</v>
      </c>
      <c r="V851" s="514" t="s">
        <v>5670</v>
      </c>
      <c r="W851" s="498">
        <v>140</v>
      </c>
      <c r="X851" s="514" t="s">
        <v>1532</v>
      </c>
      <c r="Y851" s="514" t="s">
        <v>3507</v>
      </c>
      <c r="Z851" s="514" t="s">
        <v>5615</v>
      </c>
      <c r="AA851" s="514"/>
      <c r="AB851" s="531" t="s">
        <v>1686</v>
      </c>
    </row>
    <row r="852" spans="1:28" ht="24" customHeight="1">
      <c r="A852" s="584"/>
      <c r="B852" s="460" t="s">
        <v>675</v>
      </c>
      <c r="C852" s="458" t="s">
        <v>5683</v>
      </c>
      <c r="D852" s="510" t="s">
        <v>5684</v>
      </c>
      <c r="E852" s="497">
        <f t="shared" si="67"/>
        <v>30</v>
      </c>
      <c r="F852" s="497">
        <v>0</v>
      </c>
      <c r="G852" s="497">
        <v>30</v>
      </c>
      <c r="H852" s="497">
        <v>0</v>
      </c>
      <c r="I852" s="497">
        <f t="shared" si="68"/>
        <v>9.4</v>
      </c>
      <c r="J852" s="497">
        <v>0</v>
      </c>
      <c r="K852" s="497">
        <v>9.4</v>
      </c>
      <c r="L852" s="721">
        <v>0</v>
      </c>
      <c r="M852" s="672">
        <v>90.5</v>
      </c>
      <c r="N852" s="498">
        <v>0.3</v>
      </c>
      <c r="O852" s="731" t="s">
        <v>5685</v>
      </c>
      <c r="P852" s="514" t="s">
        <v>7427</v>
      </c>
      <c r="Q852" s="842">
        <v>0</v>
      </c>
      <c r="R852" s="842">
        <v>0</v>
      </c>
      <c r="S852" s="842">
        <v>0</v>
      </c>
      <c r="T852" s="842">
        <v>0</v>
      </c>
      <c r="U852" s="514" t="s">
        <v>5599</v>
      </c>
      <c r="V852" s="514" t="s">
        <v>5670</v>
      </c>
      <c r="W852" s="498">
        <v>12</v>
      </c>
      <c r="X852" s="514" t="s">
        <v>1532</v>
      </c>
      <c r="Y852" s="514" t="s">
        <v>3507</v>
      </c>
      <c r="Z852" s="514" t="s">
        <v>2302</v>
      </c>
      <c r="AA852" s="514" t="s">
        <v>1685</v>
      </c>
      <c r="AB852" s="531" t="s">
        <v>1592</v>
      </c>
    </row>
    <row r="853" spans="1:28" ht="24" customHeight="1">
      <c r="A853" s="584"/>
      <c r="B853" s="460" t="s">
        <v>675</v>
      </c>
      <c r="C853" s="458" t="s">
        <v>5686</v>
      </c>
      <c r="D853" s="510" t="s">
        <v>5687</v>
      </c>
      <c r="E853" s="497">
        <f t="shared" si="67"/>
        <v>20</v>
      </c>
      <c r="F853" s="497">
        <v>0</v>
      </c>
      <c r="G853" s="497">
        <v>20</v>
      </c>
      <c r="H853" s="497">
        <v>0</v>
      </c>
      <c r="I853" s="497">
        <f t="shared" si="68"/>
        <v>7.1</v>
      </c>
      <c r="J853" s="497">
        <v>0</v>
      </c>
      <c r="K853" s="497">
        <v>7.1</v>
      </c>
      <c r="L853" s="721">
        <v>0</v>
      </c>
      <c r="M853" s="672">
        <v>89.6</v>
      </c>
      <c r="N853" s="498">
        <v>0.2</v>
      </c>
      <c r="O853" s="731" t="s">
        <v>5685</v>
      </c>
      <c r="P853" s="514" t="s">
        <v>7427</v>
      </c>
      <c r="Q853" s="842">
        <v>0</v>
      </c>
      <c r="R853" s="842">
        <v>0</v>
      </c>
      <c r="S853" s="842">
        <v>0</v>
      </c>
      <c r="T853" s="842">
        <v>0</v>
      </c>
      <c r="U853" s="514" t="s">
        <v>5599</v>
      </c>
      <c r="V853" s="514" t="s">
        <v>5651</v>
      </c>
      <c r="W853" s="498">
        <v>70</v>
      </c>
      <c r="X853" s="514" t="s">
        <v>1532</v>
      </c>
      <c r="Y853" s="514" t="s">
        <v>3336</v>
      </c>
      <c r="Z853" s="514" t="s">
        <v>2302</v>
      </c>
      <c r="AA853" s="514" t="s">
        <v>1685</v>
      </c>
      <c r="AB853" s="531" t="s">
        <v>1592</v>
      </c>
    </row>
    <row r="854" spans="1:28" ht="24" customHeight="1">
      <c r="A854" s="584"/>
      <c r="B854" s="460" t="s">
        <v>675</v>
      </c>
      <c r="C854" s="458" t="s">
        <v>5688</v>
      </c>
      <c r="D854" s="510" t="s">
        <v>5689</v>
      </c>
      <c r="E854" s="497">
        <f t="shared" si="67"/>
        <v>40</v>
      </c>
      <c r="F854" s="497">
        <v>0</v>
      </c>
      <c r="G854" s="497">
        <v>40</v>
      </c>
      <c r="H854" s="497">
        <v>0</v>
      </c>
      <c r="I854" s="497">
        <f t="shared" si="68"/>
        <v>12.2</v>
      </c>
      <c r="J854" s="497">
        <v>0</v>
      </c>
      <c r="K854" s="497">
        <v>12.2</v>
      </c>
      <c r="L854" s="721">
        <v>0</v>
      </c>
      <c r="M854" s="672">
        <v>88.1</v>
      </c>
      <c r="N854" s="498">
        <v>0.8</v>
      </c>
      <c r="O854" s="731" t="s">
        <v>5690</v>
      </c>
      <c r="P854" s="514" t="s">
        <v>7427</v>
      </c>
      <c r="Q854" s="842">
        <v>0</v>
      </c>
      <c r="R854" s="842">
        <v>0</v>
      </c>
      <c r="S854" s="842">
        <v>0</v>
      </c>
      <c r="T854" s="842">
        <v>0</v>
      </c>
      <c r="U854" s="514" t="s">
        <v>5599</v>
      </c>
      <c r="V854" s="514" t="s">
        <v>5691</v>
      </c>
      <c r="W854" s="498">
        <v>219</v>
      </c>
      <c r="X854" s="514" t="s">
        <v>1532</v>
      </c>
      <c r="Y854" s="514" t="s">
        <v>3507</v>
      </c>
      <c r="Z854" s="514" t="s">
        <v>2302</v>
      </c>
      <c r="AA854" s="514" t="s">
        <v>1685</v>
      </c>
      <c r="AB854" s="531" t="s">
        <v>1592</v>
      </c>
    </row>
    <row r="855" spans="1:28" ht="24" customHeight="1">
      <c r="A855" s="584"/>
      <c r="B855" s="460" t="s">
        <v>675</v>
      </c>
      <c r="C855" s="458" t="s">
        <v>5692</v>
      </c>
      <c r="D855" s="510" t="s">
        <v>5693</v>
      </c>
      <c r="E855" s="497">
        <f t="shared" si="67"/>
        <v>30</v>
      </c>
      <c r="F855" s="497">
        <v>0</v>
      </c>
      <c r="G855" s="497">
        <v>30</v>
      </c>
      <c r="H855" s="497">
        <v>0</v>
      </c>
      <c r="I855" s="497">
        <f t="shared" si="68"/>
        <v>21.3</v>
      </c>
      <c r="J855" s="497">
        <v>0</v>
      </c>
      <c r="K855" s="497">
        <v>21.3</v>
      </c>
      <c r="L855" s="721">
        <v>0</v>
      </c>
      <c r="M855" s="672">
        <v>79.7</v>
      </c>
      <c r="N855" s="498">
        <v>0.4</v>
      </c>
      <c r="O855" s="731" t="s">
        <v>5694</v>
      </c>
      <c r="P855" s="514" t="s">
        <v>7427</v>
      </c>
      <c r="Q855" s="842">
        <v>0</v>
      </c>
      <c r="R855" s="842">
        <v>0</v>
      </c>
      <c r="S855" s="842">
        <v>0</v>
      </c>
      <c r="T855" s="842">
        <v>0</v>
      </c>
      <c r="U855" s="514" t="s">
        <v>5599</v>
      </c>
      <c r="V855" s="514" t="s">
        <v>5695</v>
      </c>
      <c r="W855" s="498">
        <v>310</v>
      </c>
      <c r="X855" s="514" t="s">
        <v>1532</v>
      </c>
      <c r="Y855" s="514" t="s">
        <v>3507</v>
      </c>
      <c r="Z855" s="514" t="s">
        <v>2302</v>
      </c>
      <c r="AA855" s="514" t="s">
        <v>1685</v>
      </c>
      <c r="AB855" s="531" t="s">
        <v>1592</v>
      </c>
    </row>
    <row r="856" spans="1:28" ht="24" customHeight="1">
      <c r="A856" s="584"/>
      <c r="B856" s="460" t="s">
        <v>675</v>
      </c>
      <c r="C856" s="458" t="s">
        <v>5696</v>
      </c>
      <c r="D856" s="510" t="s">
        <v>5697</v>
      </c>
      <c r="E856" s="497">
        <f t="shared" si="67"/>
        <v>40</v>
      </c>
      <c r="F856" s="497">
        <v>0</v>
      </c>
      <c r="G856" s="497">
        <v>40</v>
      </c>
      <c r="H856" s="497">
        <v>0</v>
      </c>
      <c r="I856" s="497">
        <f t="shared" si="68"/>
        <v>30.6</v>
      </c>
      <c r="J856" s="497">
        <v>0</v>
      </c>
      <c r="K856" s="497">
        <v>30.6</v>
      </c>
      <c r="L856" s="721">
        <v>0</v>
      </c>
      <c r="M856" s="672">
        <v>93.9</v>
      </c>
      <c r="N856" s="498">
        <v>1.3</v>
      </c>
      <c r="O856" s="731" t="s">
        <v>5698</v>
      </c>
      <c r="P856" s="514" t="s">
        <v>7427</v>
      </c>
      <c r="Q856" s="842">
        <v>0</v>
      </c>
      <c r="R856" s="842">
        <v>0</v>
      </c>
      <c r="S856" s="842">
        <v>0</v>
      </c>
      <c r="T856" s="842">
        <v>0</v>
      </c>
      <c r="U856" s="514" t="s">
        <v>5599</v>
      </c>
      <c r="V856" s="514" t="s">
        <v>5699</v>
      </c>
      <c r="W856" s="498">
        <v>240</v>
      </c>
      <c r="X856" s="514" t="s">
        <v>1532</v>
      </c>
      <c r="Y856" s="514" t="s">
        <v>3336</v>
      </c>
      <c r="Z856" s="514" t="s">
        <v>2302</v>
      </c>
      <c r="AA856" s="514" t="s">
        <v>1685</v>
      </c>
      <c r="AB856" s="531" t="s">
        <v>1592</v>
      </c>
    </row>
    <row r="857" spans="1:28" ht="24" customHeight="1">
      <c r="A857" s="582" t="s">
        <v>1687</v>
      </c>
      <c r="B857" s="460" t="s">
        <v>2201</v>
      </c>
      <c r="C857" s="458" t="s">
        <v>2420</v>
      </c>
      <c r="D857" s="510" t="s">
        <v>5700</v>
      </c>
      <c r="E857" s="497">
        <f t="shared" si="67"/>
        <v>50000</v>
      </c>
      <c r="F857" s="497">
        <v>0</v>
      </c>
      <c r="G857" s="497">
        <v>50000</v>
      </c>
      <c r="H857" s="497">
        <v>0</v>
      </c>
      <c r="I857" s="497">
        <f t="shared" si="68"/>
        <v>34193</v>
      </c>
      <c r="J857" s="497">
        <v>0</v>
      </c>
      <c r="K857" s="497">
        <v>34193</v>
      </c>
      <c r="L857" s="721">
        <v>0</v>
      </c>
      <c r="M857" s="672">
        <v>91.29</v>
      </c>
      <c r="N857" s="498">
        <v>3124.6</v>
      </c>
      <c r="O857" s="735" t="s">
        <v>1535</v>
      </c>
      <c r="P857" s="535" t="s">
        <v>7427</v>
      </c>
      <c r="Q857" s="842">
        <v>13</v>
      </c>
      <c r="R857" s="842">
        <v>0</v>
      </c>
      <c r="S857" s="842">
        <v>111.6</v>
      </c>
      <c r="T857" s="842">
        <v>0</v>
      </c>
      <c r="U857" s="535" t="s">
        <v>2304</v>
      </c>
      <c r="V857" s="535" t="s">
        <v>5701</v>
      </c>
      <c r="W857" s="498">
        <v>21408</v>
      </c>
      <c r="X857" s="535" t="s">
        <v>1532</v>
      </c>
      <c r="Y857" s="535" t="s">
        <v>5702</v>
      </c>
      <c r="Z857" s="535" t="s">
        <v>1688</v>
      </c>
      <c r="AA857" s="535" t="s">
        <v>1686</v>
      </c>
      <c r="AB857" s="536" t="s">
        <v>5703</v>
      </c>
    </row>
    <row r="858" spans="1:28" ht="24" customHeight="1">
      <c r="A858" s="584"/>
      <c r="B858" s="460" t="s">
        <v>2201</v>
      </c>
      <c r="C858" s="458" t="s">
        <v>538</v>
      </c>
      <c r="D858" s="510" t="s">
        <v>5704</v>
      </c>
      <c r="E858" s="497">
        <f t="shared" si="67"/>
        <v>800</v>
      </c>
      <c r="F858" s="497">
        <v>0</v>
      </c>
      <c r="G858" s="497">
        <v>800</v>
      </c>
      <c r="H858" s="497">
        <v>0</v>
      </c>
      <c r="I858" s="497">
        <f t="shared" si="68"/>
        <v>758</v>
      </c>
      <c r="J858" s="497">
        <v>0</v>
      </c>
      <c r="K858" s="497">
        <v>758</v>
      </c>
      <c r="L858" s="721">
        <v>0</v>
      </c>
      <c r="M858" s="672">
        <v>96</v>
      </c>
      <c r="N858" s="498">
        <v>70.400000000000006</v>
      </c>
      <c r="O858" s="735" t="s">
        <v>3282</v>
      </c>
      <c r="P858" s="535" t="s">
        <v>7427</v>
      </c>
      <c r="Q858" s="842">
        <v>0</v>
      </c>
      <c r="R858" s="842">
        <v>0</v>
      </c>
      <c r="S858" s="842">
        <v>0</v>
      </c>
      <c r="T858" s="842">
        <v>0</v>
      </c>
      <c r="U858" s="535" t="s">
        <v>5705</v>
      </c>
      <c r="V858" s="535" t="s">
        <v>5706</v>
      </c>
      <c r="W858" s="498">
        <v>8147</v>
      </c>
      <c r="X858" s="535" t="s">
        <v>1862</v>
      </c>
      <c r="Y858" s="535" t="s">
        <v>3399</v>
      </c>
      <c r="Z858" s="535" t="s">
        <v>1689</v>
      </c>
      <c r="AA858" s="535" t="s">
        <v>1589</v>
      </c>
      <c r="AB858" s="536" t="s">
        <v>1589</v>
      </c>
    </row>
    <row r="859" spans="1:28" ht="24" customHeight="1">
      <c r="A859" s="584"/>
      <c r="B859" s="460" t="s">
        <v>2201</v>
      </c>
      <c r="C859" s="458" t="s">
        <v>539</v>
      </c>
      <c r="D859" s="510" t="s">
        <v>5707</v>
      </c>
      <c r="E859" s="497">
        <f t="shared" si="67"/>
        <v>1000</v>
      </c>
      <c r="F859" s="497">
        <v>0</v>
      </c>
      <c r="G859" s="497">
        <v>1000</v>
      </c>
      <c r="H859" s="497">
        <v>0</v>
      </c>
      <c r="I859" s="497">
        <f t="shared" si="68"/>
        <v>740</v>
      </c>
      <c r="J859" s="497">
        <v>0</v>
      </c>
      <c r="K859" s="497">
        <v>740</v>
      </c>
      <c r="L859" s="721">
        <v>0</v>
      </c>
      <c r="M859" s="672">
        <v>96</v>
      </c>
      <c r="N859" s="498">
        <v>78.5</v>
      </c>
      <c r="O859" s="735" t="s">
        <v>1862</v>
      </c>
      <c r="P859" s="535" t="s">
        <v>7427</v>
      </c>
      <c r="Q859" s="842">
        <v>0</v>
      </c>
      <c r="R859" s="842">
        <v>0</v>
      </c>
      <c r="S859" s="842">
        <v>0</v>
      </c>
      <c r="T859" s="842">
        <v>0</v>
      </c>
      <c r="U859" s="535" t="s">
        <v>5705</v>
      </c>
      <c r="V859" s="535" t="s">
        <v>5706</v>
      </c>
      <c r="W859" s="498">
        <v>11353</v>
      </c>
      <c r="X859" s="535" t="s">
        <v>1862</v>
      </c>
      <c r="Y859" s="535" t="s">
        <v>1862</v>
      </c>
      <c r="Z859" s="535" t="s">
        <v>1689</v>
      </c>
      <c r="AA859" s="535" t="s">
        <v>1589</v>
      </c>
      <c r="AB859" s="536" t="s">
        <v>1589</v>
      </c>
    </row>
    <row r="860" spans="1:28" ht="24" customHeight="1">
      <c r="A860" s="584"/>
      <c r="B860" s="460" t="s">
        <v>675</v>
      </c>
      <c r="C860" s="458" t="s">
        <v>5708</v>
      </c>
      <c r="D860" s="510" t="s">
        <v>5709</v>
      </c>
      <c r="E860" s="657">
        <f t="shared" si="67"/>
        <v>81</v>
      </c>
      <c r="F860" s="497">
        <v>0</v>
      </c>
      <c r="G860" s="657">
        <v>81</v>
      </c>
      <c r="H860" s="497">
        <v>0</v>
      </c>
      <c r="I860" s="497">
        <f t="shared" si="68"/>
        <v>68</v>
      </c>
      <c r="J860" s="497">
        <v>0</v>
      </c>
      <c r="K860" s="497">
        <v>68</v>
      </c>
      <c r="L860" s="721">
        <v>0</v>
      </c>
      <c r="M860" s="673">
        <v>84</v>
      </c>
      <c r="N860" s="653">
        <f>(30.9*I860*M860)*1/1000</f>
        <v>176.5008</v>
      </c>
      <c r="O860" s="735" t="s">
        <v>5089</v>
      </c>
      <c r="P860" s="535" t="s">
        <v>7427</v>
      </c>
      <c r="Q860" s="842">
        <v>0</v>
      </c>
      <c r="R860" s="842">
        <v>0</v>
      </c>
      <c r="S860" s="842">
        <v>0</v>
      </c>
      <c r="T860" s="842">
        <v>0</v>
      </c>
      <c r="U860" s="535" t="s">
        <v>5710</v>
      </c>
      <c r="V860" s="535" t="s">
        <v>5711</v>
      </c>
      <c r="W860" s="498">
        <v>158</v>
      </c>
      <c r="X860" s="535" t="s">
        <v>1532</v>
      </c>
      <c r="Y860" s="535" t="s">
        <v>1935</v>
      </c>
      <c r="Z860" s="535" t="s">
        <v>1689</v>
      </c>
      <c r="AA860" s="535" t="s">
        <v>1589</v>
      </c>
      <c r="AB860" s="536" t="s">
        <v>1589</v>
      </c>
    </row>
    <row r="861" spans="1:28" ht="24" customHeight="1">
      <c r="A861" s="584"/>
      <c r="B861" s="460" t="s">
        <v>675</v>
      </c>
      <c r="C861" s="458" t="s">
        <v>2045</v>
      </c>
      <c r="D861" s="510" t="s">
        <v>5712</v>
      </c>
      <c r="E861" s="657">
        <f t="shared" si="67"/>
        <v>80</v>
      </c>
      <c r="F861" s="497">
        <v>0</v>
      </c>
      <c r="G861" s="657">
        <v>80</v>
      </c>
      <c r="H861" s="497">
        <v>0</v>
      </c>
      <c r="I861" s="497">
        <f t="shared" si="68"/>
        <v>68</v>
      </c>
      <c r="J861" s="497">
        <v>0</v>
      </c>
      <c r="K861" s="497">
        <v>68</v>
      </c>
      <c r="L861" s="721">
        <v>0</v>
      </c>
      <c r="M861" s="673">
        <f t="shared" ref="M861:M895" si="69">I861/E861*100</f>
        <v>85</v>
      </c>
      <c r="N861" s="653">
        <f t="shared" ref="N861:N895" si="70">(30.9*I861*M861)*1/1000</f>
        <v>178.60199999999998</v>
      </c>
      <c r="O861" s="735" t="s">
        <v>5713</v>
      </c>
      <c r="P861" s="535" t="s">
        <v>7427</v>
      </c>
      <c r="Q861" s="842">
        <v>0</v>
      </c>
      <c r="R861" s="842">
        <v>0</v>
      </c>
      <c r="S861" s="842">
        <v>0</v>
      </c>
      <c r="T861" s="842">
        <v>0</v>
      </c>
      <c r="U861" s="535" t="s">
        <v>5710</v>
      </c>
      <c r="V861" s="535" t="s">
        <v>5714</v>
      </c>
      <c r="W861" s="498">
        <v>276</v>
      </c>
      <c r="X861" s="535" t="s">
        <v>1862</v>
      </c>
      <c r="Y861" s="535" t="s">
        <v>1862</v>
      </c>
      <c r="Z861" s="535" t="s">
        <v>1689</v>
      </c>
      <c r="AA861" s="535" t="s">
        <v>1589</v>
      </c>
      <c r="AB861" s="536" t="s">
        <v>1589</v>
      </c>
    </row>
    <row r="862" spans="1:28" ht="24" customHeight="1">
      <c r="A862" s="584"/>
      <c r="B862" s="460" t="s">
        <v>675</v>
      </c>
      <c r="C862" s="458" t="s">
        <v>5715</v>
      </c>
      <c r="D862" s="510" t="s">
        <v>5716</v>
      </c>
      <c r="E862" s="657">
        <f t="shared" si="67"/>
        <v>30</v>
      </c>
      <c r="F862" s="497">
        <v>0</v>
      </c>
      <c r="G862" s="657">
        <v>30</v>
      </c>
      <c r="H862" s="497">
        <v>0</v>
      </c>
      <c r="I862" s="497">
        <f t="shared" si="68"/>
        <v>25</v>
      </c>
      <c r="J862" s="497">
        <v>0</v>
      </c>
      <c r="K862" s="497">
        <v>25</v>
      </c>
      <c r="L862" s="721">
        <v>0</v>
      </c>
      <c r="M862" s="673">
        <f t="shared" si="69"/>
        <v>83.333333333333343</v>
      </c>
      <c r="N862" s="653">
        <f t="shared" si="70"/>
        <v>64.375000000000014</v>
      </c>
      <c r="O862" s="735" t="s">
        <v>5713</v>
      </c>
      <c r="P862" s="535" t="s">
        <v>7427</v>
      </c>
      <c r="Q862" s="842">
        <v>0</v>
      </c>
      <c r="R862" s="842">
        <v>0</v>
      </c>
      <c r="S862" s="842">
        <v>0</v>
      </c>
      <c r="T862" s="842">
        <v>0</v>
      </c>
      <c r="U862" s="535" t="s">
        <v>5705</v>
      </c>
      <c r="V862" s="535" t="s">
        <v>5717</v>
      </c>
      <c r="W862" s="498">
        <v>170</v>
      </c>
      <c r="X862" s="535" t="s">
        <v>1862</v>
      </c>
      <c r="Y862" s="535" t="s">
        <v>1862</v>
      </c>
      <c r="Z862" s="535" t="s">
        <v>1689</v>
      </c>
      <c r="AA862" s="535" t="s">
        <v>1589</v>
      </c>
      <c r="AB862" s="536" t="s">
        <v>1589</v>
      </c>
    </row>
    <row r="863" spans="1:28" ht="24" customHeight="1">
      <c r="A863" s="584"/>
      <c r="B863" s="460" t="s">
        <v>675</v>
      </c>
      <c r="C863" s="458" t="s">
        <v>5718</v>
      </c>
      <c r="D863" s="510" t="s">
        <v>5719</v>
      </c>
      <c r="E863" s="657">
        <f t="shared" ref="E863:E926" si="71">F863+G863+H863</f>
        <v>60</v>
      </c>
      <c r="F863" s="497">
        <v>0</v>
      </c>
      <c r="G863" s="657">
        <v>60</v>
      </c>
      <c r="H863" s="497">
        <v>0</v>
      </c>
      <c r="I863" s="497">
        <f t="shared" si="68"/>
        <v>50</v>
      </c>
      <c r="J863" s="497">
        <v>0</v>
      </c>
      <c r="K863" s="497">
        <v>50</v>
      </c>
      <c r="L863" s="721">
        <v>0</v>
      </c>
      <c r="M863" s="673">
        <f t="shared" si="69"/>
        <v>83.333333333333343</v>
      </c>
      <c r="N863" s="653">
        <f t="shared" si="70"/>
        <v>128.75000000000003</v>
      </c>
      <c r="O863" s="735" t="s">
        <v>5720</v>
      </c>
      <c r="P863" s="535" t="s">
        <v>7427</v>
      </c>
      <c r="Q863" s="842">
        <v>0</v>
      </c>
      <c r="R863" s="842">
        <v>0</v>
      </c>
      <c r="S863" s="842">
        <v>0</v>
      </c>
      <c r="T863" s="842">
        <v>0</v>
      </c>
      <c r="U863" s="535" t="s">
        <v>5705</v>
      </c>
      <c r="V863" s="535" t="s">
        <v>5721</v>
      </c>
      <c r="W863" s="498">
        <v>270</v>
      </c>
      <c r="X863" s="535" t="s">
        <v>1862</v>
      </c>
      <c r="Y863" s="535" t="s">
        <v>1862</v>
      </c>
      <c r="Z863" s="535" t="s">
        <v>1689</v>
      </c>
      <c r="AA863" s="535" t="s">
        <v>1589</v>
      </c>
      <c r="AB863" s="536" t="s">
        <v>1589</v>
      </c>
    </row>
    <row r="864" spans="1:28" ht="24" customHeight="1">
      <c r="A864" s="584"/>
      <c r="B864" s="460" t="s">
        <v>675</v>
      </c>
      <c r="C864" s="458" t="s">
        <v>5722</v>
      </c>
      <c r="D864" s="510" t="s">
        <v>5723</v>
      </c>
      <c r="E864" s="657">
        <f t="shared" si="71"/>
        <v>90</v>
      </c>
      <c r="F864" s="497">
        <v>0</v>
      </c>
      <c r="G864" s="657">
        <v>90</v>
      </c>
      <c r="H864" s="497">
        <v>0</v>
      </c>
      <c r="I864" s="497">
        <f t="shared" si="68"/>
        <v>88</v>
      </c>
      <c r="J864" s="497">
        <v>0</v>
      </c>
      <c r="K864" s="497">
        <v>88</v>
      </c>
      <c r="L864" s="721">
        <v>0</v>
      </c>
      <c r="M864" s="673">
        <f t="shared" si="69"/>
        <v>97.777777777777771</v>
      </c>
      <c r="N864" s="653">
        <f t="shared" si="70"/>
        <v>265.8773333333333</v>
      </c>
      <c r="O864" s="735" t="s">
        <v>5720</v>
      </c>
      <c r="P864" s="535" t="s">
        <v>7427</v>
      </c>
      <c r="Q864" s="842">
        <v>0</v>
      </c>
      <c r="R864" s="842">
        <v>0</v>
      </c>
      <c r="S864" s="842">
        <v>0</v>
      </c>
      <c r="T864" s="842">
        <v>0</v>
      </c>
      <c r="U864" s="535" t="s">
        <v>5705</v>
      </c>
      <c r="V864" s="535" t="s">
        <v>5724</v>
      </c>
      <c r="W864" s="498">
        <v>322</v>
      </c>
      <c r="X864" s="535" t="s">
        <v>1862</v>
      </c>
      <c r="Y864" s="535" t="s">
        <v>1862</v>
      </c>
      <c r="Z864" s="535" t="s">
        <v>1689</v>
      </c>
      <c r="AA864" s="535" t="s">
        <v>1589</v>
      </c>
      <c r="AB864" s="536" t="s">
        <v>1589</v>
      </c>
    </row>
    <row r="865" spans="1:28" ht="24" customHeight="1">
      <c r="A865" s="584"/>
      <c r="B865" s="460" t="s">
        <v>675</v>
      </c>
      <c r="C865" s="458" t="s">
        <v>5725</v>
      </c>
      <c r="D865" s="510" t="s">
        <v>5726</v>
      </c>
      <c r="E865" s="657">
        <f t="shared" si="71"/>
        <v>80</v>
      </c>
      <c r="F865" s="497">
        <v>0</v>
      </c>
      <c r="G865" s="657">
        <v>0</v>
      </c>
      <c r="H865" s="497">
        <v>80</v>
      </c>
      <c r="I865" s="497">
        <f t="shared" si="68"/>
        <v>80</v>
      </c>
      <c r="J865" s="497">
        <v>0</v>
      </c>
      <c r="K865" s="497">
        <v>0</v>
      </c>
      <c r="L865" s="721">
        <v>80</v>
      </c>
      <c r="M865" s="673">
        <f t="shared" si="69"/>
        <v>100</v>
      </c>
      <c r="N865" s="653">
        <f>(30.9*I865*M865)*1/1000</f>
        <v>247.2</v>
      </c>
      <c r="O865" s="735" t="s">
        <v>5727</v>
      </c>
      <c r="P865" s="535" t="s">
        <v>7427</v>
      </c>
      <c r="Q865" s="842">
        <v>0</v>
      </c>
      <c r="R865" s="842">
        <v>0</v>
      </c>
      <c r="S865" s="842">
        <v>0</v>
      </c>
      <c r="T865" s="842">
        <v>0</v>
      </c>
      <c r="U865" s="535" t="s">
        <v>5705</v>
      </c>
      <c r="V865" s="535" t="s">
        <v>5724</v>
      </c>
      <c r="W865" s="498">
        <v>258</v>
      </c>
      <c r="X865" s="535" t="s">
        <v>1862</v>
      </c>
      <c r="Y865" s="535" t="s">
        <v>1862</v>
      </c>
      <c r="Z865" s="535" t="s">
        <v>1689</v>
      </c>
      <c r="AA865" s="535" t="s">
        <v>1589</v>
      </c>
      <c r="AB865" s="536" t="s">
        <v>1589</v>
      </c>
    </row>
    <row r="866" spans="1:28" ht="24" customHeight="1">
      <c r="A866" s="584"/>
      <c r="B866" s="460" t="s">
        <v>675</v>
      </c>
      <c r="C866" s="458" t="s">
        <v>5728</v>
      </c>
      <c r="D866" s="510" t="s">
        <v>5729</v>
      </c>
      <c r="E866" s="657">
        <f t="shared" si="71"/>
        <v>58</v>
      </c>
      <c r="F866" s="497">
        <v>0</v>
      </c>
      <c r="G866" s="657">
        <v>58</v>
      </c>
      <c r="H866" s="497">
        <v>0</v>
      </c>
      <c r="I866" s="497">
        <f t="shared" si="68"/>
        <v>42</v>
      </c>
      <c r="J866" s="497">
        <v>0</v>
      </c>
      <c r="K866" s="497">
        <v>42</v>
      </c>
      <c r="L866" s="721">
        <v>0</v>
      </c>
      <c r="M866" s="673">
        <f t="shared" si="69"/>
        <v>72.41379310344827</v>
      </c>
      <c r="N866" s="653">
        <f t="shared" si="70"/>
        <v>93.978620689655159</v>
      </c>
      <c r="O866" s="735" t="s">
        <v>5089</v>
      </c>
      <c r="P866" s="535" t="s">
        <v>7427</v>
      </c>
      <c r="Q866" s="842">
        <v>0</v>
      </c>
      <c r="R866" s="842">
        <v>0</v>
      </c>
      <c r="S866" s="842">
        <v>0</v>
      </c>
      <c r="T866" s="842">
        <v>0</v>
      </c>
      <c r="U866" s="535" t="s">
        <v>5705</v>
      </c>
      <c r="V866" s="535" t="s">
        <v>5730</v>
      </c>
      <c r="W866" s="498">
        <v>172</v>
      </c>
      <c r="X866" s="535" t="s">
        <v>1862</v>
      </c>
      <c r="Y866" s="535" t="s">
        <v>1862</v>
      </c>
      <c r="Z866" s="535" t="s">
        <v>5731</v>
      </c>
      <c r="AA866" s="535" t="s">
        <v>1686</v>
      </c>
      <c r="AB866" s="536" t="s">
        <v>5703</v>
      </c>
    </row>
    <row r="867" spans="1:28" ht="24" customHeight="1">
      <c r="A867" s="584"/>
      <c r="B867" s="460" t="s">
        <v>675</v>
      </c>
      <c r="C867" s="458" t="s">
        <v>5732</v>
      </c>
      <c r="D867" s="510" t="s">
        <v>5733</v>
      </c>
      <c r="E867" s="657">
        <f t="shared" si="71"/>
        <v>80</v>
      </c>
      <c r="F867" s="497">
        <v>0</v>
      </c>
      <c r="G867" s="657">
        <v>80</v>
      </c>
      <c r="H867" s="497">
        <v>0</v>
      </c>
      <c r="I867" s="497">
        <f t="shared" si="68"/>
        <v>67</v>
      </c>
      <c r="J867" s="497">
        <v>0</v>
      </c>
      <c r="K867" s="497">
        <v>67</v>
      </c>
      <c r="L867" s="721">
        <v>0</v>
      </c>
      <c r="M867" s="673">
        <f t="shared" si="69"/>
        <v>83.75</v>
      </c>
      <c r="N867" s="653">
        <f t="shared" si="70"/>
        <v>173.38762499999996</v>
      </c>
      <c r="O867" s="735" t="s">
        <v>5720</v>
      </c>
      <c r="P867" s="535" t="s">
        <v>7427</v>
      </c>
      <c r="Q867" s="842">
        <v>0</v>
      </c>
      <c r="R867" s="842">
        <v>0</v>
      </c>
      <c r="S867" s="842">
        <v>0</v>
      </c>
      <c r="T867" s="842">
        <v>0</v>
      </c>
      <c r="U867" s="535" t="s">
        <v>5705</v>
      </c>
      <c r="V867" s="535" t="s">
        <v>5724</v>
      </c>
      <c r="W867" s="498">
        <v>304</v>
      </c>
      <c r="X867" s="535" t="s">
        <v>1862</v>
      </c>
      <c r="Y867" s="535" t="s">
        <v>1862</v>
      </c>
      <c r="Z867" s="535" t="s">
        <v>5731</v>
      </c>
      <c r="AA867" s="535" t="s">
        <v>1686</v>
      </c>
      <c r="AB867" s="536" t="s">
        <v>5703</v>
      </c>
    </row>
    <row r="868" spans="1:28" ht="24" customHeight="1">
      <c r="A868" s="584"/>
      <c r="B868" s="460" t="s">
        <v>675</v>
      </c>
      <c r="C868" s="458" t="s">
        <v>2395</v>
      </c>
      <c r="D868" s="510" t="s">
        <v>5734</v>
      </c>
      <c r="E868" s="657">
        <f t="shared" si="71"/>
        <v>90</v>
      </c>
      <c r="F868" s="497">
        <v>0</v>
      </c>
      <c r="G868" s="657">
        <v>90</v>
      </c>
      <c r="H868" s="497">
        <v>0</v>
      </c>
      <c r="I868" s="497">
        <f t="shared" si="68"/>
        <v>79</v>
      </c>
      <c r="J868" s="497">
        <v>0</v>
      </c>
      <c r="K868" s="497">
        <v>79</v>
      </c>
      <c r="L868" s="721">
        <v>0</v>
      </c>
      <c r="M868" s="673">
        <f t="shared" si="69"/>
        <v>87.777777777777771</v>
      </c>
      <c r="N868" s="653">
        <f t="shared" si="70"/>
        <v>214.27433333333332</v>
      </c>
      <c r="O868" s="735" t="s">
        <v>5720</v>
      </c>
      <c r="P868" s="535" t="s">
        <v>7427</v>
      </c>
      <c r="Q868" s="842">
        <v>0</v>
      </c>
      <c r="R868" s="842">
        <v>0</v>
      </c>
      <c r="S868" s="842">
        <v>0</v>
      </c>
      <c r="T868" s="842">
        <v>0</v>
      </c>
      <c r="U868" s="535" t="s">
        <v>5705</v>
      </c>
      <c r="V868" s="535" t="s">
        <v>5724</v>
      </c>
      <c r="W868" s="498">
        <v>314</v>
      </c>
      <c r="X868" s="535" t="s">
        <v>1862</v>
      </c>
      <c r="Y868" s="535" t="s">
        <v>1862</v>
      </c>
      <c r="Z868" s="535" t="s">
        <v>1688</v>
      </c>
      <c r="AA868" s="535" t="s">
        <v>1686</v>
      </c>
      <c r="AB868" s="536" t="s">
        <v>5703</v>
      </c>
    </row>
    <row r="869" spans="1:28" ht="24" customHeight="1">
      <c r="A869" s="584"/>
      <c r="B869" s="460" t="s">
        <v>675</v>
      </c>
      <c r="C869" s="458" t="s">
        <v>5735</v>
      </c>
      <c r="D869" s="510" t="s">
        <v>5736</v>
      </c>
      <c r="E869" s="657">
        <f t="shared" si="71"/>
        <v>74</v>
      </c>
      <c r="F869" s="497">
        <v>0</v>
      </c>
      <c r="G869" s="657">
        <v>0</v>
      </c>
      <c r="H869" s="497">
        <v>74</v>
      </c>
      <c r="I869" s="497">
        <f t="shared" si="68"/>
        <v>70</v>
      </c>
      <c r="J869" s="497">
        <v>0</v>
      </c>
      <c r="K869" s="497">
        <v>0</v>
      </c>
      <c r="L869" s="721">
        <v>70</v>
      </c>
      <c r="M869" s="673">
        <f t="shared" si="69"/>
        <v>94.594594594594597</v>
      </c>
      <c r="N869" s="653">
        <f t="shared" si="70"/>
        <v>204.6081081081081</v>
      </c>
      <c r="O869" s="735" t="s">
        <v>5737</v>
      </c>
      <c r="P869" s="535" t="s">
        <v>7427</v>
      </c>
      <c r="Q869" s="842">
        <v>0</v>
      </c>
      <c r="R869" s="842">
        <v>0</v>
      </c>
      <c r="S869" s="842">
        <v>0</v>
      </c>
      <c r="T869" s="842">
        <v>0</v>
      </c>
      <c r="U869" s="535" t="s">
        <v>5705</v>
      </c>
      <c r="V869" s="535" t="s">
        <v>5738</v>
      </c>
      <c r="W869" s="498">
        <v>311</v>
      </c>
      <c r="X869" s="535" t="s">
        <v>1862</v>
      </c>
      <c r="Y869" s="535" t="s">
        <v>3399</v>
      </c>
      <c r="Z869" s="535" t="s">
        <v>1688</v>
      </c>
      <c r="AA869" s="535" t="s">
        <v>1686</v>
      </c>
      <c r="AB869" s="536" t="s">
        <v>5703</v>
      </c>
    </row>
    <row r="870" spans="1:28" ht="24" customHeight="1">
      <c r="A870" s="584"/>
      <c r="B870" s="460" t="s">
        <v>675</v>
      </c>
      <c r="C870" s="458" t="s">
        <v>5739</v>
      </c>
      <c r="D870" s="510" t="s">
        <v>5740</v>
      </c>
      <c r="E870" s="657">
        <f t="shared" si="71"/>
        <v>50</v>
      </c>
      <c r="F870" s="497">
        <v>0</v>
      </c>
      <c r="G870" s="657">
        <v>0</v>
      </c>
      <c r="H870" s="497">
        <v>50</v>
      </c>
      <c r="I870" s="497">
        <f t="shared" si="68"/>
        <v>45</v>
      </c>
      <c r="J870" s="497">
        <v>0</v>
      </c>
      <c r="K870" s="497">
        <v>0</v>
      </c>
      <c r="L870" s="721">
        <v>45</v>
      </c>
      <c r="M870" s="673">
        <f t="shared" si="69"/>
        <v>90</v>
      </c>
      <c r="N870" s="653">
        <f t="shared" si="70"/>
        <v>125.145</v>
      </c>
      <c r="O870" s="735" t="s">
        <v>5720</v>
      </c>
      <c r="P870" s="535" t="s">
        <v>7427</v>
      </c>
      <c r="Q870" s="842">
        <v>0</v>
      </c>
      <c r="R870" s="842">
        <v>0</v>
      </c>
      <c r="S870" s="842">
        <v>0</v>
      </c>
      <c r="T870" s="842">
        <v>0</v>
      </c>
      <c r="U870" s="535" t="s">
        <v>5705</v>
      </c>
      <c r="V870" s="535" t="s">
        <v>5741</v>
      </c>
      <c r="W870" s="498">
        <v>400</v>
      </c>
      <c r="X870" s="535" t="s">
        <v>1862</v>
      </c>
      <c r="Y870" s="535" t="s">
        <v>3399</v>
      </c>
      <c r="Z870" s="535" t="s">
        <v>1688</v>
      </c>
      <c r="AA870" s="535" t="s">
        <v>1686</v>
      </c>
      <c r="AB870" s="536" t="s">
        <v>5703</v>
      </c>
    </row>
    <row r="871" spans="1:28" ht="24" customHeight="1">
      <c r="A871" s="584"/>
      <c r="B871" s="460" t="s">
        <v>675</v>
      </c>
      <c r="C871" s="458" t="s">
        <v>5742</v>
      </c>
      <c r="D871" s="510" t="s">
        <v>5743</v>
      </c>
      <c r="E871" s="657">
        <f t="shared" si="71"/>
        <v>58</v>
      </c>
      <c r="F871" s="497">
        <v>0</v>
      </c>
      <c r="G871" s="657">
        <v>58</v>
      </c>
      <c r="H871" s="497">
        <v>0</v>
      </c>
      <c r="I871" s="497">
        <f t="shared" si="68"/>
        <v>42</v>
      </c>
      <c r="J871" s="497">
        <v>0</v>
      </c>
      <c r="K871" s="497">
        <v>42</v>
      </c>
      <c r="L871" s="721">
        <v>0</v>
      </c>
      <c r="M871" s="673">
        <f t="shared" si="69"/>
        <v>72.41379310344827</v>
      </c>
      <c r="N871" s="653">
        <f t="shared" si="70"/>
        <v>93.978620689655159</v>
      </c>
      <c r="O871" s="735" t="s">
        <v>5089</v>
      </c>
      <c r="P871" s="535" t="s">
        <v>7427</v>
      </c>
      <c r="Q871" s="842">
        <v>0</v>
      </c>
      <c r="R871" s="842">
        <v>0</v>
      </c>
      <c r="S871" s="842">
        <v>0</v>
      </c>
      <c r="T871" s="842">
        <v>0</v>
      </c>
      <c r="U871" s="535" t="s">
        <v>5705</v>
      </c>
      <c r="V871" s="535" t="s">
        <v>5744</v>
      </c>
      <c r="W871" s="498">
        <v>199</v>
      </c>
      <c r="X871" s="535" t="s">
        <v>1862</v>
      </c>
      <c r="Y871" s="535" t="s">
        <v>1935</v>
      </c>
      <c r="Z871" s="535" t="s">
        <v>1689</v>
      </c>
      <c r="AA871" s="535" t="s">
        <v>1589</v>
      </c>
      <c r="AB871" s="536" t="s">
        <v>1589</v>
      </c>
    </row>
    <row r="872" spans="1:28" ht="24" customHeight="1">
      <c r="A872" s="584"/>
      <c r="B872" s="460" t="s">
        <v>675</v>
      </c>
      <c r="C872" s="458" t="s">
        <v>5745</v>
      </c>
      <c r="D872" s="510" t="s">
        <v>5746</v>
      </c>
      <c r="E872" s="657">
        <f t="shared" si="71"/>
        <v>500</v>
      </c>
      <c r="F872" s="497">
        <v>0</v>
      </c>
      <c r="G872" s="657">
        <v>500</v>
      </c>
      <c r="H872" s="497">
        <v>0</v>
      </c>
      <c r="I872" s="497">
        <f t="shared" si="68"/>
        <v>430</v>
      </c>
      <c r="J872" s="497">
        <v>0</v>
      </c>
      <c r="K872" s="497">
        <v>430</v>
      </c>
      <c r="L872" s="721">
        <v>0</v>
      </c>
      <c r="M872" s="673">
        <f t="shared" si="69"/>
        <v>86</v>
      </c>
      <c r="N872" s="653">
        <f t="shared" si="70"/>
        <v>1142.682</v>
      </c>
      <c r="O872" s="735" t="s">
        <v>5747</v>
      </c>
      <c r="P872" s="535" t="s">
        <v>7427</v>
      </c>
      <c r="Q872" s="842">
        <v>0</v>
      </c>
      <c r="R872" s="842">
        <v>0</v>
      </c>
      <c r="S872" s="842">
        <v>0</v>
      </c>
      <c r="T872" s="842">
        <v>0</v>
      </c>
      <c r="U872" s="535" t="s">
        <v>5705</v>
      </c>
      <c r="V872" s="535" t="s">
        <v>5748</v>
      </c>
      <c r="W872" s="498">
        <v>800</v>
      </c>
      <c r="X872" s="535" t="s">
        <v>1862</v>
      </c>
      <c r="Y872" s="535" t="s">
        <v>3463</v>
      </c>
      <c r="Z872" s="535" t="s">
        <v>1689</v>
      </c>
      <c r="AA872" s="535" t="s">
        <v>1589</v>
      </c>
      <c r="AB872" s="536" t="s">
        <v>1589</v>
      </c>
    </row>
    <row r="873" spans="1:28" ht="24" customHeight="1">
      <c r="A873" s="584"/>
      <c r="B873" s="460" t="s">
        <v>675</v>
      </c>
      <c r="C873" s="458" t="s">
        <v>5749</v>
      </c>
      <c r="D873" s="510" t="s">
        <v>5750</v>
      </c>
      <c r="E873" s="657">
        <f t="shared" si="71"/>
        <v>340</v>
      </c>
      <c r="F873" s="497">
        <v>0</v>
      </c>
      <c r="G873" s="657">
        <v>340</v>
      </c>
      <c r="H873" s="497">
        <v>0</v>
      </c>
      <c r="I873" s="497">
        <f t="shared" si="68"/>
        <v>340</v>
      </c>
      <c r="J873" s="497">
        <v>0</v>
      </c>
      <c r="K873" s="497">
        <v>340</v>
      </c>
      <c r="L873" s="721">
        <v>0</v>
      </c>
      <c r="M873" s="673">
        <f t="shared" si="69"/>
        <v>100</v>
      </c>
      <c r="N873" s="653">
        <f t="shared" si="70"/>
        <v>1050.5999999999999</v>
      </c>
      <c r="O873" s="735" t="s">
        <v>5089</v>
      </c>
      <c r="P873" s="535" t="s">
        <v>7427</v>
      </c>
      <c r="Q873" s="842">
        <v>0</v>
      </c>
      <c r="R873" s="842">
        <v>0</v>
      </c>
      <c r="S873" s="842">
        <v>0</v>
      </c>
      <c r="T873" s="842">
        <v>0</v>
      </c>
      <c r="U873" s="535" t="s">
        <v>5705</v>
      </c>
      <c r="V873" s="535" t="s">
        <v>5751</v>
      </c>
      <c r="W873" s="498">
        <v>890</v>
      </c>
      <c r="X873" s="535" t="s">
        <v>1862</v>
      </c>
      <c r="Y873" s="535" t="s">
        <v>1935</v>
      </c>
      <c r="Z873" s="535" t="s">
        <v>1689</v>
      </c>
      <c r="AA873" s="535" t="s">
        <v>1589</v>
      </c>
      <c r="AB873" s="536" t="s">
        <v>1589</v>
      </c>
    </row>
    <row r="874" spans="1:28" ht="24" customHeight="1">
      <c r="A874" s="584"/>
      <c r="B874" s="460" t="s">
        <v>675</v>
      </c>
      <c r="C874" s="458" t="s">
        <v>5752</v>
      </c>
      <c r="D874" s="510" t="s">
        <v>5753</v>
      </c>
      <c r="E874" s="657">
        <f t="shared" si="71"/>
        <v>200</v>
      </c>
      <c r="F874" s="497">
        <v>0</v>
      </c>
      <c r="G874" s="657">
        <v>200</v>
      </c>
      <c r="H874" s="497">
        <v>0</v>
      </c>
      <c r="I874" s="497">
        <f t="shared" si="68"/>
        <v>186</v>
      </c>
      <c r="J874" s="497">
        <v>0</v>
      </c>
      <c r="K874" s="497">
        <v>186</v>
      </c>
      <c r="L874" s="721">
        <v>0</v>
      </c>
      <c r="M874" s="673">
        <f t="shared" si="69"/>
        <v>93</v>
      </c>
      <c r="N874" s="653">
        <f t="shared" si="70"/>
        <v>534.50819999999999</v>
      </c>
      <c r="O874" s="735" t="s">
        <v>5754</v>
      </c>
      <c r="P874" s="535" t="s">
        <v>7427</v>
      </c>
      <c r="Q874" s="842">
        <v>0</v>
      </c>
      <c r="R874" s="842">
        <v>0</v>
      </c>
      <c r="S874" s="842">
        <v>0</v>
      </c>
      <c r="T874" s="842">
        <v>0</v>
      </c>
      <c r="U874" s="535" t="s">
        <v>5705</v>
      </c>
      <c r="V874" s="535" t="s">
        <v>5755</v>
      </c>
      <c r="W874" s="498">
        <v>456</v>
      </c>
      <c r="X874" s="535" t="s">
        <v>1862</v>
      </c>
      <c r="Y874" s="535" t="s">
        <v>5756</v>
      </c>
      <c r="Z874" s="535" t="s">
        <v>1689</v>
      </c>
      <c r="AA874" s="535" t="s">
        <v>1589</v>
      </c>
      <c r="AB874" s="536" t="s">
        <v>1589</v>
      </c>
    </row>
    <row r="875" spans="1:28" ht="24" customHeight="1">
      <c r="A875" s="584"/>
      <c r="B875" s="460" t="s">
        <v>675</v>
      </c>
      <c r="C875" s="458" t="s">
        <v>5757</v>
      </c>
      <c r="D875" s="510" t="s">
        <v>5758</v>
      </c>
      <c r="E875" s="657">
        <f t="shared" si="71"/>
        <v>200</v>
      </c>
      <c r="F875" s="497">
        <v>0</v>
      </c>
      <c r="G875" s="657">
        <v>200</v>
      </c>
      <c r="H875" s="497">
        <v>0</v>
      </c>
      <c r="I875" s="497">
        <f t="shared" si="68"/>
        <v>189</v>
      </c>
      <c r="J875" s="497">
        <v>0</v>
      </c>
      <c r="K875" s="497">
        <v>189</v>
      </c>
      <c r="L875" s="721">
        <v>0</v>
      </c>
      <c r="M875" s="673">
        <f t="shared" si="69"/>
        <v>94.5</v>
      </c>
      <c r="N875" s="653">
        <f>(30.9*I875*M875)*1/1000</f>
        <v>551.8894499999999</v>
      </c>
      <c r="O875" s="735" t="s">
        <v>5754</v>
      </c>
      <c r="P875" s="535" t="s">
        <v>7427</v>
      </c>
      <c r="Q875" s="842">
        <v>0</v>
      </c>
      <c r="R875" s="842">
        <v>0</v>
      </c>
      <c r="S875" s="842">
        <v>0</v>
      </c>
      <c r="T875" s="842">
        <v>0</v>
      </c>
      <c r="U875" s="535" t="s">
        <v>5705</v>
      </c>
      <c r="V875" s="535" t="s">
        <v>5759</v>
      </c>
      <c r="W875" s="498">
        <v>520</v>
      </c>
      <c r="X875" s="535" t="s">
        <v>1862</v>
      </c>
      <c r="Y875" s="535" t="s">
        <v>5756</v>
      </c>
      <c r="Z875" s="535" t="s">
        <v>1689</v>
      </c>
      <c r="AA875" s="535" t="s">
        <v>1589</v>
      </c>
      <c r="AB875" s="536" t="s">
        <v>1589</v>
      </c>
    </row>
    <row r="876" spans="1:28" ht="24" customHeight="1">
      <c r="A876" s="584"/>
      <c r="B876" s="460" t="s">
        <v>675</v>
      </c>
      <c r="C876" s="458" t="s">
        <v>5760</v>
      </c>
      <c r="D876" s="510" t="s">
        <v>5761</v>
      </c>
      <c r="E876" s="657">
        <f t="shared" si="71"/>
        <v>25</v>
      </c>
      <c r="F876" s="497">
        <v>0</v>
      </c>
      <c r="G876" s="657">
        <v>0</v>
      </c>
      <c r="H876" s="497">
        <v>25</v>
      </c>
      <c r="I876" s="497">
        <f t="shared" ref="I876:I939" si="72">J876+K876+L876</f>
        <v>22</v>
      </c>
      <c r="J876" s="497">
        <v>0</v>
      </c>
      <c r="K876" s="497">
        <v>0</v>
      </c>
      <c r="L876" s="721">
        <v>22</v>
      </c>
      <c r="M876" s="673">
        <f t="shared" si="69"/>
        <v>88</v>
      </c>
      <c r="N876" s="653">
        <f t="shared" si="70"/>
        <v>59.822399999999995</v>
      </c>
      <c r="O876" s="735" t="s">
        <v>5720</v>
      </c>
      <c r="P876" s="535" t="s">
        <v>7427</v>
      </c>
      <c r="Q876" s="842">
        <v>0</v>
      </c>
      <c r="R876" s="842">
        <v>0</v>
      </c>
      <c r="S876" s="842">
        <v>0</v>
      </c>
      <c r="T876" s="842">
        <v>0</v>
      </c>
      <c r="U876" s="535" t="s">
        <v>5705</v>
      </c>
      <c r="V876" s="535" t="s">
        <v>5762</v>
      </c>
      <c r="W876" s="498">
        <v>178</v>
      </c>
      <c r="X876" s="535" t="s">
        <v>1862</v>
      </c>
      <c r="Y876" s="535" t="s">
        <v>3399</v>
      </c>
      <c r="Z876" s="535" t="s">
        <v>1688</v>
      </c>
      <c r="AA876" s="535" t="s">
        <v>1686</v>
      </c>
      <c r="AB876" s="536" t="s">
        <v>5703</v>
      </c>
    </row>
    <row r="877" spans="1:28" ht="24" customHeight="1">
      <c r="A877" s="584"/>
      <c r="B877" s="460" t="s">
        <v>675</v>
      </c>
      <c r="C877" s="458" t="s">
        <v>5763</v>
      </c>
      <c r="D877" s="510" t="s">
        <v>5764</v>
      </c>
      <c r="E877" s="657">
        <f t="shared" si="71"/>
        <v>25</v>
      </c>
      <c r="F877" s="497">
        <v>0</v>
      </c>
      <c r="G877" s="657">
        <v>25</v>
      </c>
      <c r="H877" s="497">
        <v>0</v>
      </c>
      <c r="I877" s="497">
        <f t="shared" si="72"/>
        <v>22</v>
      </c>
      <c r="J877" s="497">
        <v>0</v>
      </c>
      <c r="K877" s="497">
        <v>22</v>
      </c>
      <c r="L877" s="721">
        <v>0</v>
      </c>
      <c r="M877" s="673">
        <f t="shared" si="69"/>
        <v>88</v>
      </c>
      <c r="N877" s="653">
        <f t="shared" si="70"/>
        <v>59.822399999999995</v>
      </c>
      <c r="O877" s="735" t="s">
        <v>5765</v>
      </c>
      <c r="P877" s="535" t="s">
        <v>7427</v>
      </c>
      <c r="Q877" s="842">
        <v>0</v>
      </c>
      <c r="R877" s="842">
        <v>0</v>
      </c>
      <c r="S877" s="842">
        <v>0</v>
      </c>
      <c r="T877" s="842">
        <v>0</v>
      </c>
      <c r="U877" s="535" t="s">
        <v>5705</v>
      </c>
      <c r="V877" s="535" t="s">
        <v>5766</v>
      </c>
      <c r="W877" s="498">
        <v>157</v>
      </c>
      <c r="X877" s="535" t="s">
        <v>1862</v>
      </c>
      <c r="Y877" s="535" t="s">
        <v>3399</v>
      </c>
      <c r="Z877" s="535" t="s">
        <v>1689</v>
      </c>
      <c r="AA877" s="535" t="s">
        <v>1589</v>
      </c>
      <c r="AB877" s="536" t="s">
        <v>1589</v>
      </c>
    </row>
    <row r="878" spans="1:28" ht="24" customHeight="1">
      <c r="A878" s="584"/>
      <c r="B878" s="460" t="s">
        <v>675</v>
      </c>
      <c r="C878" s="458" t="s">
        <v>5767</v>
      </c>
      <c r="D878" s="510" t="s">
        <v>5768</v>
      </c>
      <c r="E878" s="657">
        <f t="shared" si="71"/>
        <v>30</v>
      </c>
      <c r="F878" s="497">
        <v>0</v>
      </c>
      <c r="G878" s="657">
        <v>0</v>
      </c>
      <c r="H878" s="497">
        <v>30</v>
      </c>
      <c r="I878" s="497">
        <f t="shared" si="72"/>
        <v>29</v>
      </c>
      <c r="J878" s="497">
        <v>0</v>
      </c>
      <c r="K878" s="497">
        <v>0</v>
      </c>
      <c r="L878" s="721">
        <v>29</v>
      </c>
      <c r="M878" s="673">
        <f t="shared" si="69"/>
        <v>96.666666666666671</v>
      </c>
      <c r="N878" s="653">
        <f t="shared" si="70"/>
        <v>86.623000000000005</v>
      </c>
      <c r="O878" s="735" t="s">
        <v>5769</v>
      </c>
      <c r="P878" s="535" t="s">
        <v>7427</v>
      </c>
      <c r="Q878" s="842">
        <v>0</v>
      </c>
      <c r="R878" s="842">
        <v>0</v>
      </c>
      <c r="S878" s="842">
        <v>0</v>
      </c>
      <c r="T878" s="842">
        <v>0</v>
      </c>
      <c r="U878" s="535" t="s">
        <v>5705</v>
      </c>
      <c r="V878" s="535" t="s">
        <v>5770</v>
      </c>
      <c r="W878" s="498">
        <v>134</v>
      </c>
      <c r="X878" s="535" t="s">
        <v>1862</v>
      </c>
      <c r="Y878" s="535" t="s">
        <v>5771</v>
      </c>
      <c r="Z878" s="535" t="s">
        <v>1688</v>
      </c>
      <c r="AA878" s="535" t="s">
        <v>1686</v>
      </c>
      <c r="AB878" s="536" t="s">
        <v>5703</v>
      </c>
    </row>
    <row r="879" spans="1:28" ht="24" customHeight="1">
      <c r="A879" s="584"/>
      <c r="B879" s="460" t="s">
        <v>675</v>
      </c>
      <c r="C879" s="458" t="s">
        <v>5772</v>
      </c>
      <c r="D879" s="510" t="s">
        <v>5773</v>
      </c>
      <c r="E879" s="657">
        <f t="shared" si="71"/>
        <v>30</v>
      </c>
      <c r="F879" s="497">
        <v>0</v>
      </c>
      <c r="G879" s="657">
        <v>30</v>
      </c>
      <c r="H879" s="497">
        <v>0</v>
      </c>
      <c r="I879" s="497">
        <f t="shared" si="72"/>
        <v>25</v>
      </c>
      <c r="J879" s="497">
        <v>0</v>
      </c>
      <c r="K879" s="497">
        <v>25</v>
      </c>
      <c r="L879" s="721">
        <v>0</v>
      </c>
      <c r="M879" s="673">
        <f t="shared" si="69"/>
        <v>83.333333333333343</v>
      </c>
      <c r="N879" s="653">
        <f t="shared" si="70"/>
        <v>64.375000000000014</v>
      </c>
      <c r="O879" s="735" t="s">
        <v>5720</v>
      </c>
      <c r="P879" s="535" t="s">
        <v>7427</v>
      </c>
      <c r="Q879" s="842">
        <v>0</v>
      </c>
      <c r="R879" s="842">
        <v>0</v>
      </c>
      <c r="S879" s="842">
        <v>0</v>
      </c>
      <c r="T879" s="842">
        <v>0</v>
      </c>
      <c r="U879" s="535" t="s">
        <v>5705</v>
      </c>
      <c r="V879" s="535" t="s">
        <v>5774</v>
      </c>
      <c r="W879" s="498">
        <v>213</v>
      </c>
      <c r="X879" s="535" t="s">
        <v>1862</v>
      </c>
      <c r="Y879" s="535" t="s">
        <v>1935</v>
      </c>
      <c r="Z879" s="535" t="s">
        <v>5731</v>
      </c>
      <c r="AA879" s="535" t="s">
        <v>1686</v>
      </c>
      <c r="AB879" s="536" t="s">
        <v>5703</v>
      </c>
    </row>
    <row r="880" spans="1:28" ht="24" customHeight="1">
      <c r="A880" s="584"/>
      <c r="B880" s="460" t="s">
        <v>675</v>
      </c>
      <c r="C880" s="458" t="s">
        <v>5775</v>
      </c>
      <c r="D880" s="510" t="s">
        <v>5776</v>
      </c>
      <c r="E880" s="657">
        <f t="shared" si="71"/>
        <v>25</v>
      </c>
      <c r="F880" s="497">
        <v>0</v>
      </c>
      <c r="G880" s="657">
        <v>25</v>
      </c>
      <c r="H880" s="497">
        <v>0</v>
      </c>
      <c r="I880" s="497">
        <f t="shared" si="72"/>
        <v>23</v>
      </c>
      <c r="J880" s="497">
        <v>0</v>
      </c>
      <c r="K880" s="497">
        <v>23</v>
      </c>
      <c r="L880" s="721">
        <v>0</v>
      </c>
      <c r="M880" s="673">
        <f t="shared" si="69"/>
        <v>92</v>
      </c>
      <c r="N880" s="653">
        <f t="shared" si="70"/>
        <v>65.384399999999999</v>
      </c>
      <c r="O880" s="735" t="s">
        <v>5777</v>
      </c>
      <c r="P880" s="535" t="s">
        <v>7427</v>
      </c>
      <c r="Q880" s="842">
        <v>0</v>
      </c>
      <c r="R880" s="842">
        <v>0</v>
      </c>
      <c r="S880" s="842">
        <v>0</v>
      </c>
      <c r="T880" s="842">
        <v>0</v>
      </c>
      <c r="U880" s="535" t="s">
        <v>5705</v>
      </c>
      <c r="V880" s="535" t="s">
        <v>5331</v>
      </c>
      <c r="W880" s="498">
        <v>125</v>
      </c>
      <c r="X880" s="535" t="s">
        <v>1862</v>
      </c>
      <c r="Y880" s="535" t="s">
        <v>1862</v>
      </c>
      <c r="Z880" s="535" t="s">
        <v>5731</v>
      </c>
      <c r="AA880" s="535" t="s">
        <v>1686</v>
      </c>
      <c r="AB880" s="536" t="s">
        <v>5703</v>
      </c>
    </row>
    <row r="881" spans="1:28" ht="24" customHeight="1">
      <c r="A881" s="584"/>
      <c r="B881" s="460" t="s">
        <v>675</v>
      </c>
      <c r="C881" s="458" t="s">
        <v>5778</v>
      </c>
      <c r="D881" s="510" t="s">
        <v>5779</v>
      </c>
      <c r="E881" s="657">
        <f t="shared" si="71"/>
        <v>25</v>
      </c>
      <c r="F881" s="497">
        <v>0</v>
      </c>
      <c r="G881" s="657">
        <v>0</v>
      </c>
      <c r="H881" s="497">
        <v>25</v>
      </c>
      <c r="I881" s="497">
        <f t="shared" si="72"/>
        <v>22</v>
      </c>
      <c r="J881" s="497">
        <v>0</v>
      </c>
      <c r="K881" s="497">
        <v>0</v>
      </c>
      <c r="L881" s="721">
        <v>22</v>
      </c>
      <c r="M881" s="673">
        <f t="shared" si="69"/>
        <v>88</v>
      </c>
      <c r="N881" s="653">
        <f t="shared" si="70"/>
        <v>59.822399999999995</v>
      </c>
      <c r="O881" s="735" t="s">
        <v>5720</v>
      </c>
      <c r="P881" s="535" t="s">
        <v>7427</v>
      </c>
      <c r="Q881" s="842">
        <v>0</v>
      </c>
      <c r="R881" s="842">
        <v>0</v>
      </c>
      <c r="S881" s="842">
        <v>0</v>
      </c>
      <c r="T881" s="842">
        <v>0</v>
      </c>
      <c r="U881" s="535" t="s">
        <v>5705</v>
      </c>
      <c r="V881" s="535" t="s">
        <v>5780</v>
      </c>
      <c r="W881" s="498">
        <v>201</v>
      </c>
      <c r="X881" s="535" t="s">
        <v>1862</v>
      </c>
      <c r="Y881" s="535" t="s">
        <v>3399</v>
      </c>
      <c r="Z881" s="535" t="s">
        <v>5731</v>
      </c>
      <c r="AA881" s="535" t="s">
        <v>1686</v>
      </c>
      <c r="AB881" s="536" t="s">
        <v>5703</v>
      </c>
    </row>
    <row r="882" spans="1:28" ht="24" customHeight="1">
      <c r="A882" s="584"/>
      <c r="B882" s="460" t="s">
        <v>675</v>
      </c>
      <c r="C882" s="458" t="s">
        <v>5781</v>
      </c>
      <c r="D882" s="510" t="s">
        <v>5782</v>
      </c>
      <c r="E882" s="657">
        <f t="shared" si="71"/>
        <v>20</v>
      </c>
      <c r="F882" s="497">
        <v>0</v>
      </c>
      <c r="G882" s="657">
        <v>0</v>
      </c>
      <c r="H882" s="497">
        <v>20</v>
      </c>
      <c r="I882" s="497">
        <f t="shared" si="72"/>
        <v>18</v>
      </c>
      <c r="J882" s="497">
        <v>0</v>
      </c>
      <c r="K882" s="497">
        <v>0</v>
      </c>
      <c r="L882" s="721">
        <v>18</v>
      </c>
      <c r="M882" s="673">
        <f t="shared" si="69"/>
        <v>90</v>
      </c>
      <c r="N882" s="653">
        <f t="shared" si="70"/>
        <v>50.057999999999993</v>
      </c>
      <c r="O882" s="735" t="s">
        <v>5783</v>
      </c>
      <c r="P882" s="535" t="s">
        <v>7427</v>
      </c>
      <c r="Q882" s="842">
        <v>0</v>
      </c>
      <c r="R882" s="842">
        <v>0</v>
      </c>
      <c r="S882" s="842">
        <v>0</v>
      </c>
      <c r="T882" s="842">
        <v>0</v>
      </c>
      <c r="U882" s="535" t="s">
        <v>5705</v>
      </c>
      <c r="V882" s="535" t="s">
        <v>5784</v>
      </c>
      <c r="W882" s="498">
        <v>217</v>
      </c>
      <c r="X882" s="535" t="s">
        <v>1862</v>
      </c>
      <c r="Y882" s="535" t="s">
        <v>3399</v>
      </c>
      <c r="Z882" s="535" t="s">
        <v>1688</v>
      </c>
      <c r="AA882" s="535" t="s">
        <v>1686</v>
      </c>
      <c r="AB882" s="536" t="s">
        <v>5703</v>
      </c>
    </row>
    <row r="883" spans="1:28" ht="24" customHeight="1">
      <c r="A883" s="584"/>
      <c r="B883" s="460" t="s">
        <v>675</v>
      </c>
      <c r="C883" s="458" t="s">
        <v>5785</v>
      </c>
      <c r="D883" s="510" t="s">
        <v>5786</v>
      </c>
      <c r="E883" s="657">
        <f t="shared" si="71"/>
        <v>30</v>
      </c>
      <c r="F883" s="497">
        <v>0</v>
      </c>
      <c r="G883" s="657">
        <v>30</v>
      </c>
      <c r="H883" s="497">
        <v>0</v>
      </c>
      <c r="I883" s="497">
        <f t="shared" si="72"/>
        <v>28</v>
      </c>
      <c r="J883" s="497">
        <v>0</v>
      </c>
      <c r="K883" s="497">
        <v>28</v>
      </c>
      <c r="L883" s="721">
        <v>0</v>
      </c>
      <c r="M883" s="673">
        <f t="shared" si="69"/>
        <v>93.333333333333329</v>
      </c>
      <c r="N883" s="653">
        <f t="shared" si="70"/>
        <v>80.751999999999981</v>
      </c>
      <c r="O883" s="735" t="s">
        <v>5787</v>
      </c>
      <c r="P883" s="535" t="s">
        <v>7427</v>
      </c>
      <c r="Q883" s="842">
        <v>0</v>
      </c>
      <c r="R883" s="842">
        <v>0</v>
      </c>
      <c r="S883" s="842">
        <v>0</v>
      </c>
      <c r="T883" s="842">
        <v>0</v>
      </c>
      <c r="U883" s="535" t="s">
        <v>5705</v>
      </c>
      <c r="V883" s="535" t="s">
        <v>3299</v>
      </c>
      <c r="W883" s="498">
        <v>97</v>
      </c>
      <c r="X883" s="535" t="s">
        <v>1862</v>
      </c>
      <c r="Y883" s="535" t="s">
        <v>1935</v>
      </c>
      <c r="Z883" s="535" t="s">
        <v>1689</v>
      </c>
      <c r="AA883" s="535" t="s">
        <v>1589</v>
      </c>
      <c r="AB883" s="536" t="s">
        <v>1589</v>
      </c>
    </row>
    <row r="884" spans="1:28" ht="24" customHeight="1">
      <c r="A884" s="584"/>
      <c r="B884" s="460" t="s">
        <v>675</v>
      </c>
      <c r="C884" s="458" t="s">
        <v>5788</v>
      </c>
      <c r="D884" s="510" t="s">
        <v>5789</v>
      </c>
      <c r="E884" s="657">
        <f t="shared" si="71"/>
        <v>25</v>
      </c>
      <c r="F884" s="497">
        <v>0</v>
      </c>
      <c r="G884" s="657">
        <v>25</v>
      </c>
      <c r="H884" s="497">
        <v>0</v>
      </c>
      <c r="I884" s="497">
        <f t="shared" si="72"/>
        <v>24</v>
      </c>
      <c r="J884" s="497">
        <v>0</v>
      </c>
      <c r="K884" s="497">
        <v>24</v>
      </c>
      <c r="L884" s="721">
        <v>0</v>
      </c>
      <c r="M884" s="673">
        <f t="shared" si="69"/>
        <v>96</v>
      </c>
      <c r="N884" s="653">
        <f t="shared" si="70"/>
        <v>71.193599999999989</v>
      </c>
      <c r="O884" s="735" t="s">
        <v>5787</v>
      </c>
      <c r="P884" s="535" t="s">
        <v>7427</v>
      </c>
      <c r="Q884" s="842">
        <v>0</v>
      </c>
      <c r="R884" s="842">
        <v>0</v>
      </c>
      <c r="S884" s="842">
        <v>0</v>
      </c>
      <c r="T884" s="842">
        <v>0</v>
      </c>
      <c r="U884" s="535" t="s">
        <v>5705</v>
      </c>
      <c r="V884" s="535" t="s">
        <v>5790</v>
      </c>
      <c r="W884" s="498">
        <v>81</v>
      </c>
      <c r="X884" s="535" t="s">
        <v>1862</v>
      </c>
      <c r="Y884" s="535" t="s">
        <v>1862</v>
      </c>
      <c r="Z884" s="535" t="s">
        <v>1689</v>
      </c>
      <c r="AA884" s="535" t="s">
        <v>1589</v>
      </c>
      <c r="AB884" s="536" t="s">
        <v>1589</v>
      </c>
    </row>
    <row r="885" spans="1:28" ht="24" customHeight="1">
      <c r="A885" s="584"/>
      <c r="B885" s="460" t="s">
        <v>675</v>
      </c>
      <c r="C885" s="458" t="s">
        <v>5791</v>
      </c>
      <c r="D885" s="510" t="s">
        <v>5792</v>
      </c>
      <c r="E885" s="657">
        <f t="shared" si="71"/>
        <v>30</v>
      </c>
      <c r="F885" s="497">
        <v>0</v>
      </c>
      <c r="G885" s="657">
        <v>30</v>
      </c>
      <c r="H885" s="497">
        <v>0</v>
      </c>
      <c r="I885" s="497">
        <f t="shared" si="72"/>
        <v>28</v>
      </c>
      <c r="J885" s="497">
        <v>0</v>
      </c>
      <c r="K885" s="497">
        <v>28</v>
      </c>
      <c r="L885" s="721">
        <v>0</v>
      </c>
      <c r="M885" s="673">
        <f t="shared" si="69"/>
        <v>93.333333333333329</v>
      </c>
      <c r="N885" s="653">
        <f t="shared" si="70"/>
        <v>80.751999999999981</v>
      </c>
      <c r="O885" s="735" t="s">
        <v>5787</v>
      </c>
      <c r="P885" s="535" t="s">
        <v>7427</v>
      </c>
      <c r="Q885" s="842">
        <v>0</v>
      </c>
      <c r="R885" s="842">
        <v>0</v>
      </c>
      <c r="S885" s="842">
        <v>0</v>
      </c>
      <c r="T885" s="842">
        <v>0</v>
      </c>
      <c r="U885" s="535" t="s">
        <v>5705</v>
      </c>
      <c r="V885" s="535" t="s">
        <v>3299</v>
      </c>
      <c r="W885" s="498">
        <v>83</v>
      </c>
      <c r="X885" s="535" t="s">
        <v>1862</v>
      </c>
      <c r="Y885" s="535" t="s">
        <v>1862</v>
      </c>
      <c r="Z885" s="535" t="s">
        <v>1689</v>
      </c>
      <c r="AA885" s="535" t="s">
        <v>1589</v>
      </c>
      <c r="AB885" s="536" t="s">
        <v>1589</v>
      </c>
    </row>
    <row r="886" spans="1:28" ht="24" customHeight="1">
      <c r="A886" s="584"/>
      <c r="B886" s="460" t="s">
        <v>675</v>
      </c>
      <c r="C886" s="458" t="s">
        <v>5793</v>
      </c>
      <c r="D886" s="510" t="s">
        <v>5794</v>
      </c>
      <c r="E886" s="657">
        <f t="shared" si="71"/>
        <v>20</v>
      </c>
      <c r="F886" s="497">
        <v>0</v>
      </c>
      <c r="G886" s="657">
        <v>20</v>
      </c>
      <c r="H886" s="497">
        <v>0</v>
      </c>
      <c r="I886" s="497">
        <f t="shared" si="72"/>
        <v>17</v>
      </c>
      <c r="J886" s="497">
        <v>0</v>
      </c>
      <c r="K886" s="497">
        <v>17</v>
      </c>
      <c r="L886" s="721">
        <v>0</v>
      </c>
      <c r="M886" s="673">
        <f t="shared" si="69"/>
        <v>85</v>
      </c>
      <c r="N886" s="653">
        <f t="shared" si="70"/>
        <v>44.650499999999994</v>
      </c>
      <c r="O886" s="735" t="s">
        <v>5089</v>
      </c>
      <c r="P886" s="535" t="s">
        <v>7427</v>
      </c>
      <c r="Q886" s="842">
        <v>0</v>
      </c>
      <c r="R886" s="842">
        <v>0</v>
      </c>
      <c r="S886" s="842">
        <v>0</v>
      </c>
      <c r="T886" s="842">
        <v>0</v>
      </c>
      <c r="U886" s="535" t="s">
        <v>5705</v>
      </c>
      <c r="V886" s="535" t="s">
        <v>3580</v>
      </c>
      <c r="W886" s="498">
        <v>81</v>
      </c>
      <c r="X886" s="535" t="s">
        <v>1862</v>
      </c>
      <c r="Y886" s="535" t="s">
        <v>1862</v>
      </c>
      <c r="Z886" s="535" t="s">
        <v>1689</v>
      </c>
      <c r="AA886" s="535" t="s">
        <v>1589</v>
      </c>
      <c r="AB886" s="536" t="s">
        <v>1589</v>
      </c>
    </row>
    <row r="887" spans="1:28" ht="24" customHeight="1">
      <c r="A887" s="584"/>
      <c r="B887" s="460" t="s">
        <v>675</v>
      </c>
      <c r="C887" s="458" t="s">
        <v>5795</v>
      </c>
      <c r="D887" s="510" t="s">
        <v>5796</v>
      </c>
      <c r="E887" s="657">
        <f t="shared" si="71"/>
        <v>33</v>
      </c>
      <c r="F887" s="497">
        <v>0</v>
      </c>
      <c r="G887" s="657">
        <v>33</v>
      </c>
      <c r="H887" s="497">
        <v>0</v>
      </c>
      <c r="I887" s="497">
        <f t="shared" si="72"/>
        <v>30</v>
      </c>
      <c r="J887" s="497">
        <v>0</v>
      </c>
      <c r="K887" s="497">
        <v>30</v>
      </c>
      <c r="L887" s="721">
        <v>0</v>
      </c>
      <c r="M887" s="673">
        <f t="shared" si="69"/>
        <v>90.909090909090907</v>
      </c>
      <c r="N887" s="653">
        <f t="shared" si="70"/>
        <v>84.272727272727266</v>
      </c>
      <c r="O887" s="735" t="s">
        <v>5797</v>
      </c>
      <c r="P887" s="535" t="s">
        <v>7427</v>
      </c>
      <c r="Q887" s="842">
        <v>0</v>
      </c>
      <c r="R887" s="842">
        <v>0</v>
      </c>
      <c r="S887" s="842">
        <v>0</v>
      </c>
      <c r="T887" s="842">
        <v>0</v>
      </c>
      <c r="U887" s="535" t="s">
        <v>5705</v>
      </c>
      <c r="V887" s="535" t="s">
        <v>5744</v>
      </c>
      <c r="W887" s="498">
        <v>158</v>
      </c>
      <c r="X887" s="535" t="s">
        <v>1862</v>
      </c>
      <c r="Y887" s="535" t="s">
        <v>1862</v>
      </c>
      <c r="Z887" s="535" t="s">
        <v>1689</v>
      </c>
      <c r="AA887" s="535" t="s">
        <v>1589</v>
      </c>
      <c r="AB887" s="536" t="s">
        <v>1589</v>
      </c>
    </row>
    <row r="888" spans="1:28" ht="24" customHeight="1">
      <c r="A888" s="584"/>
      <c r="B888" s="460" t="s">
        <v>675</v>
      </c>
      <c r="C888" s="458" t="s">
        <v>5798</v>
      </c>
      <c r="D888" s="510" t="s">
        <v>5799</v>
      </c>
      <c r="E888" s="657">
        <f t="shared" si="71"/>
        <v>47</v>
      </c>
      <c r="F888" s="497">
        <v>0</v>
      </c>
      <c r="G888" s="657">
        <v>47</v>
      </c>
      <c r="H888" s="497">
        <v>0</v>
      </c>
      <c r="I888" s="497">
        <f t="shared" si="72"/>
        <v>45</v>
      </c>
      <c r="J888" s="497">
        <v>0</v>
      </c>
      <c r="K888" s="497">
        <v>45</v>
      </c>
      <c r="L888" s="721">
        <v>0</v>
      </c>
      <c r="M888" s="673">
        <f t="shared" si="69"/>
        <v>95.744680851063833</v>
      </c>
      <c r="N888" s="653">
        <f t="shared" si="70"/>
        <v>133.13297872340425</v>
      </c>
      <c r="O888" s="735" t="s">
        <v>5797</v>
      </c>
      <c r="P888" s="535" t="s">
        <v>7427</v>
      </c>
      <c r="Q888" s="842">
        <v>0</v>
      </c>
      <c r="R888" s="842">
        <v>0</v>
      </c>
      <c r="S888" s="842">
        <v>0</v>
      </c>
      <c r="T888" s="842">
        <v>0</v>
      </c>
      <c r="U888" s="535" t="s">
        <v>5705</v>
      </c>
      <c r="V888" s="535" t="s">
        <v>5744</v>
      </c>
      <c r="W888" s="498">
        <v>192</v>
      </c>
      <c r="X888" s="535" t="s">
        <v>1862</v>
      </c>
      <c r="Y888" s="535" t="s">
        <v>1862</v>
      </c>
      <c r="Z888" s="535" t="s">
        <v>1689</v>
      </c>
      <c r="AA888" s="535" t="s">
        <v>1589</v>
      </c>
      <c r="AB888" s="536" t="s">
        <v>1589</v>
      </c>
    </row>
    <row r="889" spans="1:28" ht="24" customHeight="1">
      <c r="A889" s="584"/>
      <c r="B889" s="460" t="s">
        <v>675</v>
      </c>
      <c r="C889" s="458" t="s">
        <v>5800</v>
      </c>
      <c r="D889" s="510" t="s">
        <v>5801</v>
      </c>
      <c r="E889" s="657">
        <f t="shared" si="71"/>
        <v>40</v>
      </c>
      <c r="F889" s="497">
        <v>0</v>
      </c>
      <c r="G889" s="657">
        <v>40</v>
      </c>
      <c r="H889" s="497">
        <v>0</v>
      </c>
      <c r="I889" s="497">
        <f t="shared" si="72"/>
        <v>33</v>
      </c>
      <c r="J889" s="497">
        <v>0</v>
      </c>
      <c r="K889" s="497">
        <v>33</v>
      </c>
      <c r="L889" s="721">
        <v>0</v>
      </c>
      <c r="M889" s="673">
        <f t="shared" si="69"/>
        <v>82.5</v>
      </c>
      <c r="N889" s="653">
        <f t="shared" si="70"/>
        <v>84.125249999999994</v>
      </c>
      <c r="O889" s="735" t="s">
        <v>5720</v>
      </c>
      <c r="P889" s="535" t="s">
        <v>7427</v>
      </c>
      <c r="Q889" s="842">
        <v>0</v>
      </c>
      <c r="R889" s="842">
        <v>0</v>
      </c>
      <c r="S889" s="842">
        <v>0</v>
      </c>
      <c r="T889" s="842">
        <v>0</v>
      </c>
      <c r="U889" s="535" t="s">
        <v>5705</v>
      </c>
      <c r="V889" s="535" t="s">
        <v>5802</v>
      </c>
      <c r="W889" s="498">
        <v>194</v>
      </c>
      <c r="X889" s="535" t="s">
        <v>1862</v>
      </c>
      <c r="Y889" s="535" t="s">
        <v>1862</v>
      </c>
      <c r="Z889" s="535" t="s">
        <v>1688</v>
      </c>
      <c r="AA889" s="535" t="s">
        <v>1686</v>
      </c>
      <c r="AB889" s="536" t="s">
        <v>5703</v>
      </c>
    </row>
    <row r="890" spans="1:28" ht="24" customHeight="1">
      <c r="A890" s="584"/>
      <c r="B890" s="460" t="s">
        <v>675</v>
      </c>
      <c r="C890" s="458" t="s">
        <v>5803</v>
      </c>
      <c r="D890" s="510" t="s">
        <v>2480</v>
      </c>
      <c r="E890" s="657">
        <f t="shared" si="71"/>
        <v>40</v>
      </c>
      <c r="F890" s="497">
        <v>0</v>
      </c>
      <c r="G890" s="657">
        <v>40</v>
      </c>
      <c r="H890" s="497">
        <v>0</v>
      </c>
      <c r="I890" s="497">
        <f t="shared" si="72"/>
        <v>21</v>
      </c>
      <c r="J890" s="497">
        <v>0</v>
      </c>
      <c r="K890" s="497">
        <v>21</v>
      </c>
      <c r="L890" s="721">
        <v>0</v>
      </c>
      <c r="M890" s="673">
        <f>I890/E890*100</f>
        <v>52.5</v>
      </c>
      <c r="N890" s="653">
        <f>(30.9*I890*M890)*1/1000</f>
        <v>34.067250000000001</v>
      </c>
      <c r="O890" s="735" t="s">
        <v>5720</v>
      </c>
      <c r="P890" s="535" t="s">
        <v>7427</v>
      </c>
      <c r="Q890" s="842">
        <v>0</v>
      </c>
      <c r="R890" s="842">
        <v>0</v>
      </c>
      <c r="S890" s="842">
        <v>0</v>
      </c>
      <c r="T890" s="842">
        <v>0</v>
      </c>
      <c r="U890" s="535" t="s">
        <v>5705</v>
      </c>
      <c r="V890" s="535" t="s">
        <v>2481</v>
      </c>
      <c r="W890" s="498">
        <v>310</v>
      </c>
      <c r="X890" s="535" t="s">
        <v>1862</v>
      </c>
      <c r="Y890" s="535" t="s">
        <v>1862</v>
      </c>
      <c r="Z890" s="535" t="s">
        <v>5731</v>
      </c>
      <c r="AA890" s="535" t="s">
        <v>1686</v>
      </c>
      <c r="AB890" s="536" t="s">
        <v>5703</v>
      </c>
    </row>
    <row r="891" spans="1:28" ht="24" customHeight="1">
      <c r="A891" s="584"/>
      <c r="B891" s="460" t="s">
        <v>675</v>
      </c>
      <c r="C891" s="458" t="s">
        <v>2482</v>
      </c>
      <c r="D891" s="510" t="s">
        <v>2483</v>
      </c>
      <c r="E891" s="657">
        <f t="shared" si="71"/>
        <v>20</v>
      </c>
      <c r="F891" s="497">
        <v>0</v>
      </c>
      <c r="G891" s="657">
        <v>20</v>
      </c>
      <c r="H891" s="497">
        <v>0</v>
      </c>
      <c r="I891" s="497">
        <f t="shared" si="72"/>
        <v>14</v>
      </c>
      <c r="J891" s="497">
        <v>0</v>
      </c>
      <c r="K891" s="497">
        <v>14</v>
      </c>
      <c r="L891" s="721">
        <v>0</v>
      </c>
      <c r="M891" s="673">
        <f>I891/E891*100</f>
        <v>70</v>
      </c>
      <c r="N891" s="653">
        <f t="shared" si="70"/>
        <v>30.281999999999996</v>
      </c>
      <c r="O891" s="735" t="s">
        <v>5765</v>
      </c>
      <c r="P891" s="535" t="s">
        <v>7427</v>
      </c>
      <c r="Q891" s="842">
        <v>0</v>
      </c>
      <c r="R891" s="842">
        <v>0</v>
      </c>
      <c r="S891" s="842">
        <v>0</v>
      </c>
      <c r="T891" s="842">
        <v>0</v>
      </c>
      <c r="U891" s="535" t="s">
        <v>5705</v>
      </c>
      <c r="V891" s="535" t="s">
        <v>2484</v>
      </c>
      <c r="W891" s="498">
        <v>142</v>
      </c>
      <c r="X891" s="535" t="s">
        <v>1862</v>
      </c>
      <c r="Y891" s="535" t="s">
        <v>1862</v>
      </c>
      <c r="Z891" s="535" t="s">
        <v>1689</v>
      </c>
      <c r="AA891" s="535" t="s">
        <v>1589</v>
      </c>
      <c r="AB891" s="536" t="s">
        <v>1589</v>
      </c>
    </row>
    <row r="892" spans="1:28" ht="24" customHeight="1">
      <c r="A892" s="584"/>
      <c r="B892" s="460" t="s">
        <v>675</v>
      </c>
      <c r="C892" s="458" t="s">
        <v>2485</v>
      </c>
      <c r="D892" s="510" t="s">
        <v>2486</v>
      </c>
      <c r="E892" s="657">
        <f t="shared" si="71"/>
        <v>20</v>
      </c>
      <c r="F892" s="497">
        <v>0</v>
      </c>
      <c r="G892" s="657">
        <v>20</v>
      </c>
      <c r="H892" s="497">
        <v>0</v>
      </c>
      <c r="I892" s="497">
        <f t="shared" si="72"/>
        <v>13</v>
      </c>
      <c r="J892" s="497">
        <v>0</v>
      </c>
      <c r="K892" s="497">
        <v>13</v>
      </c>
      <c r="L892" s="721">
        <v>0</v>
      </c>
      <c r="M892" s="673">
        <f t="shared" si="69"/>
        <v>65</v>
      </c>
      <c r="N892" s="653">
        <f t="shared" si="70"/>
        <v>26.110499999999998</v>
      </c>
      <c r="O892" s="735" t="s">
        <v>5720</v>
      </c>
      <c r="P892" s="535" t="s">
        <v>7427</v>
      </c>
      <c r="Q892" s="842">
        <v>0</v>
      </c>
      <c r="R892" s="842">
        <v>0</v>
      </c>
      <c r="S892" s="842">
        <v>0</v>
      </c>
      <c r="T892" s="842">
        <v>0</v>
      </c>
      <c r="U892" s="535" t="s">
        <v>5705</v>
      </c>
      <c r="V892" s="535" t="s">
        <v>2487</v>
      </c>
      <c r="W892" s="498">
        <v>240</v>
      </c>
      <c r="X892" s="535" t="s">
        <v>1862</v>
      </c>
      <c r="Y892" s="535" t="s">
        <v>1862</v>
      </c>
      <c r="Z892" s="535" t="s">
        <v>1689</v>
      </c>
      <c r="AA892" s="535" t="s">
        <v>1589</v>
      </c>
      <c r="AB892" s="536" t="s">
        <v>1589</v>
      </c>
    </row>
    <row r="893" spans="1:28" ht="24" customHeight="1">
      <c r="A893" s="584"/>
      <c r="B893" s="460" t="s">
        <v>675</v>
      </c>
      <c r="C893" s="458" t="s">
        <v>2488</v>
      </c>
      <c r="D893" s="510" t="s">
        <v>2489</v>
      </c>
      <c r="E893" s="657">
        <f t="shared" si="71"/>
        <v>40</v>
      </c>
      <c r="F893" s="497">
        <v>0</v>
      </c>
      <c r="G893" s="657">
        <v>40</v>
      </c>
      <c r="H893" s="497">
        <v>0</v>
      </c>
      <c r="I893" s="497">
        <f t="shared" si="72"/>
        <v>35</v>
      </c>
      <c r="J893" s="497">
        <v>0</v>
      </c>
      <c r="K893" s="497">
        <v>35</v>
      </c>
      <c r="L893" s="721">
        <v>0</v>
      </c>
      <c r="M893" s="673">
        <f t="shared" si="69"/>
        <v>87.5</v>
      </c>
      <c r="N893" s="653">
        <f t="shared" si="70"/>
        <v>94.631249999999994</v>
      </c>
      <c r="O893" s="735" t="s">
        <v>5765</v>
      </c>
      <c r="P893" s="535" t="s">
        <v>7427</v>
      </c>
      <c r="Q893" s="842">
        <v>0</v>
      </c>
      <c r="R893" s="842">
        <v>0</v>
      </c>
      <c r="S893" s="842">
        <v>0</v>
      </c>
      <c r="T893" s="842">
        <v>0</v>
      </c>
      <c r="U893" s="535" t="s">
        <v>5705</v>
      </c>
      <c r="V893" s="535" t="s">
        <v>5766</v>
      </c>
      <c r="W893" s="498">
        <v>578</v>
      </c>
      <c r="X893" s="535" t="s">
        <v>1862</v>
      </c>
      <c r="Y893" s="535" t="s">
        <v>3399</v>
      </c>
      <c r="Z893" s="535" t="s">
        <v>1688</v>
      </c>
      <c r="AA893" s="535" t="s">
        <v>1686</v>
      </c>
      <c r="AB893" s="536" t="s">
        <v>5703</v>
      </c>
    </row>
    <row r="894" spans="1:28" ht="24" customHeight="1">
      <c r="A894" s="584"/>
      <c r="B894" s="460" t="s">
        <v>675</v>
      </c>
      <c r="C894" s="458" t="s">
        <v>5677</v>
      </c>
      <c r="D894" s="510" t="s">
        <v>2490</v>
      </c>
      <c r="E894" s="497">
        <f t="shared" si="71"/>
        <v>30</v>
      </c>
      <c r="F894" s="497">
        <v>0</v>
      </c>
      <c r="G894" s="497">
        <v>0</v>
      </c>
      <c r="H894" s="497">
        <v>30</v>
      </c>
      <c r="I894" s="497">
        <f t="shared" si="72"/>
        <v>25</v>
      </c>
      <c r="J894" s="497">
        <v>0</v>
      </c>
      <c r="K894" s="497">
        <v>0</v>
      </c>
      <c r="L894" s="721">
        <v>25</v>
      </c>
      <c r="M894" s="673">
        <f t="shared" si="69"/>
        <v>83.333333333333343</v>
      </c>
      <c r="N894" s="653">
        <f t="shared" si="70"/>
        <v>64.375000000000014</v>
      </c>
      <c r="O894" s="735" t="s">
        <v>5769</v>
      </c>
      <c r="P894" s="535" t="s">
        <v>7427</v>
      </c>
      <c r="Q894" s="842">
        <v>0</v>
      </c>
      <c r="R894" s="842">
        <v>0</v>
      </c>
      <c r="S894" s="842">
        <v>0</v>
      </c>
      <c r="T894" s="842">
        <v>0</v>
      </c>
      <c r="U894" s="535" t="s">
        <v>5705</v>
      </c>
      <c r="V894" s="535" t="s">
        <v>5770</v>
      </c>
      <c r="W894" s="498">
        <v>537</v>
      </c>
      <c r="X894" s="535" t="s">
        <v>1862</v>
      </c>
      <c r="Y894" s="535" t="s">
        <v>5771</v>
      </c>
      <c r="Z894" s="535" t="s">
        <v>1688</v>
      </c>
      <c r="AA894" s="535" t="s">
        <v>1686</v>
      </c>
      <c r="AB894" s="536" t="s">
        <v>5703</v>
      </c>
    </row>
    <row r="895" spans="1:28" ht="24" customHeight="1">
      <c r="A895" s="584"/>
      <c r="B895" s="460" t="s">
        <v>675</v>
      </c>
      <c r="C895" s="458" t="s">
        <v>2491</v>
      </c>
      <c r="D895" s="510" t="s">
        <v>2492</v>
      </c>
      <c r="E895" s="497">
        <f t="shared" si="71"/>
        <v>30</v>
      </c>
      <c r="F895" s="497">
        <v>0</v>
      </c>
      <c r="G895" s="497">
        <v>0</v>
      </c>
      <c r="H895" s="497">
        <v>30</v>
      </c>
      <c r="I895" s="497">
        <f t="shared" si="72"/>
        <v>25</v>
      </c>
      <c r="J895" s="497">
        <v>0</v>
      </c>
      <c r="K895" s="497">
        <v>0</v>
      </c>
      <c r="L895" s="721">
        <v>25</v>
      </c>
      <c r="M895" s="673">
        <f t="shared" si="69"/>
        <v>83.333333333333343</v>
      </c>
      <c r="N895" s="653">
        <f t="shared" si="70"/>
        <v>64.375000000000014</v>
      </c>
      <c r="O895" s="735" t="s">
        <v>5769</v>
      </c>
      <c r="P895" s="535" t="s">
        <v>7427</v>
      </c>
      <c r="Q895" s="842">
        <v>0</v>
      </c>
      <c r="R895" s="842">
        <v>0</v>
      </c>
      <c r="S895" s="842">
        <v>0</v>
      </c>
      <c r="T895" s="842">
        <v>0</v>
      </c>
      <c r="U895" s="535" t="s">
        <v>5705</v>
      </c>
      <c r="V895" s="535" t="s">
        <v>5770</v>
      </c>
      <c r="W895" s="498">
        <v>500</v>
      </c>
      <c r="X895" s="535" t="s">
        <v>1862</v>
      </c>
      <c r="Y895" s="535" t="s">
        <v>5771</v>
      </c>
      <c r="Z895" s="535" t="s">
        <v>1688</v>
      </c>
      <c r="AA895" s="535" t="s">
        <v>1686</v>
      </c>
      <c r="AB895" s="536" t="s">
        <v>5703</v>
      </c>
    </row>
    <row r="896" spans="1:28" ht="24" customHeight="1">
      <c r="A896" s="584"/>
      <c r="B896" s="460" t="s">
        <v>675</v>
      </c>
      <c r="C896" s="458" t="s">
        <v>2493</v>
      </c>
      <c r="D896" s="510" t="s">
        <v>2494</v>
      </c>
      <c r="E896" s="497">
        <f t="shared" si="71"/>
        <v>130</v>
      </c>
      <c r="F896" s="497">
        <v>0</v>
      </c>
      <c r="G896" s="497">
        <v>0</v>
      </c>
      <c r="H896" s="497">
        <v>130</v>
      </c>
      <c r="I896" s="497">
        <f t="shared" si="72"/>
        <v>130</v>
      </c>
      <c r="J896" s="497">
        <v>0</v>
      </c>
      <c r="K896" s="497">
        <v>0</v>
      </c>
      <c r="L896" s="721">
        <v>130</v>
      </c>
      <c r="M896" s="673">
        <v>100</v>
      </c>
      <c r="N896" s="653">
        <f>(30.9*I896*M896)*1/1000</f>
        <v>401.7</v>
      </c>
      <c r="O896" s="735" t="s">
        <v>2495</v>
      </c>
      <c r="P896" s="535" t="s">
        <v>7427</v>
      </c>
      <c r="Q896" s="842">
        <v>0</v>
      </c>
      <c r="R896" s="842">
        <v>0</v>
      </c>
      <c r="S896" s="842">
        <v>0</v>
      </c>
      <c r="T896" s="842">
        <v>0</v>
      </c>
      <c r="U896" s="535" t="s">
        <v>5705</v>
      </c>
      <c r="V896" s="535" t="s">
        <v>2496</v>
      </c>
      <c r="W896" s="498">
        <v>496</v>
      </c>
      <c r="X896" s="535" t="s">
        <v>1862</v>
      </c>
      <c r="Y896" s="535" t="s">
        <v>5756</v>
      </c>
      <c r="Z896" s="535" t="s">
        <v>1689</v>
      </c>
      <c r="AA896" s="535" t="s">
        <v>1589</v>
      </c>
      <c r="AB896" s="536" t="s">
        <v>1589</v>
      </c>
    </row>
    <row r="897" spans="1:28" ht="24" customHeight="1">
      <c r="A897" s="582" t="s">
        <v>1691</v>
      </c>
      <c r="B897" s="460" t="s">
        <v>2201</v>
      </c>
      <c r="C897" s="458" t="s">
        <v>2421</v>
      </c>
      <c r="D897" s="510" t="s">
        <v>2497</v>
      </c>
      <c r="E897" s="497">
        <f t="shared" si="71"/>
        <v>20000</v>
      </c>
      <c r="F897" s="497">
        <v>0</v>
      </c>
      <c r="G897" s="497">
        <v>20000</v>
      </c>
      <c r="H897" s="497">
        <v>0</v>
      </c>
      <c r="I897" s="497">
        <f t="shared" si="72"/>
        <v>12743</v>
      </c>
      <c r="J897" s="497">
        <v>201</v>
      </c>
      <c r="K897" s="497">
        <v>12542</v>
      </c>
      <c r="L897" s="721">
        <v>0</v>
      </c>
      <c r="M897" s="672">
        <v>93</v>
      </c>
      <c r="N897" s="498">
        <v>1237.8</v>
      </c>
      <c r="O897" s="731" t="s">
        <v>1535</v>
      </c>
      <c r="P897" s="514" t="s">
        <v>7427</v>
      </c>
      <c r="Q897" s="842">
        <v>0</v>
      </c>
      <c r="R897" s="842">
        <v>0</v>
      </c>
      <c r="S897" s="842">
        <v>20</v>
      </c>
      <c r="T897" s="842">
        <v>0</v>
      </c>
      <c r="U897" s="514" t="s">
        <v>2498</v>
      </c>
      <c r="V897" s="514">
        <v>99.1</v>
      </c>
      <c r="W897" s="498">
        <v>48785</v>
      </c>
      <c r="X897" s="514" t="s">
        <v>2276</v>
      </c>
      <c r="Y897" s="514" t="s">
        <v>1533</v>
      </c>
      <c r="Z897" s="514" t="s">
        <v>1911</v>
      </c>
      <c r="AA897" s="514" t="s">
        <v>1685</v>
      </c>
      <c r="AB897" s="531" t="s">
        <v>1596</v>
      </c>
    </row>
    <row r="898" spans="1:28" ht="24" customHeight="1">
      <c r="A898" s="584"/>
      <c r="B898" s="460" t="s">
        <v>675</v>
      </c>
      <c r="C898" s="458" t="s">
        <v>2499</v>
      </c>
      <c r="D898" s="510" t="s">
        <v>2500</v>
      </c>
      <c r="E898" s="497">
        <f t="shared" si="71"/>
        <v>55</v>
      </c>
      <c r="F898" s="497">
        <v>0</v>
      </c>
      <c r="G898" s="497">
        <v>55</v>
      </c>
      <c r="H898" s="497">
        <v>0</v>
      </c>
      <c r="I898" s="497">
        <f t="shared" si="72"/>
        <v>27</v>
      </c>
      <c r="J898" s="497">
        <v>0</v>
      </c>
      <c r="K898" s="497">
        <v>27</v>
      </c>
      <c r="L898" s="721">
        <v>0</v>
      </c>
      <c r="M898" s="672">
        <v>93</v>
      </c>
      <c r="N898" s="498">
        <v>0</v>
      </c>
      <c r="O898" s="731" t="s">
        <v>2501</v>
      </c>
      <c r="P898" s="514" t="s">
        <v>7427</v>
      </c>
      <c r="Q898" s="842">
        <v>0</v>
      </c>
      <c r="R898" s="842">
        <v>0</v>
      </c>
      <c r="S898" s="842">
        <v>0</v>
      </c>
      <c r="T898" s="842">
        <v>0</v>
      </c>
      <c r="U898" s="514" t="s">
        <v>2502</v>
      </c>
      <c r="V898" s="514">
        <v>0.12</v>
      </c>
      <c r="W898" s="498">
        <v>334</v>
      </c>
      <c r="X898" s="514" t="s">
        <v>1532</v>
      </c>
      <c r="Y898" s="514" t="s">
        <v>1533</v>
      </c>
      <c r="Z898" s="514" t="s">
        <v>1911</v>
      </c>
      <c r="AA898" s="514" t="s">
        <v>1685</v>
      </c>
      <c r="AB898" s="531" t="s">
        <v>1596</v>
      </c>
    </row>
    <row r="899" spans="1:28" ht="24" customHeight="1">
      <c r="A899" s="584"/>
      <c r="B899" s="460" t="s">
        <v>675</v>
      </c>
      <c r="C899" s="458" t="s">
        <v>2503</v>
      </c>
      <c r="D899" s="510" t="s">
        <v>2504</v>
      </c>
      <c r="E899" s="497">
        <f t="shared" si="71"/>
        <v>50</v>
      </c>
      <c r="F899" s="497">
        <v>0</v>
      </c>
      <c r="G899" s="497">
        <v>50</v>
      </c>
      <c r="H899" s="497">
        <v>0</v>
      </c>
      <c r="I899" s="497">
        <f t="shared" si="72"/>
        <v>25</v>
      </c>
      <c r="J899" s="497">
        <v>0</v>
      </c>
      <c r="K899" s="497">
        <v>25</v>
      </c>
      <c r="L899" s="721">
        <v>0</v>
      </c>
      <c r="M899" s="672">
        <v>93</v>
      </c>
      <c r="N899" s="498">
        <v>0</v>
      </c>
      <c r="O899" s="731" t="s">
        <v>2505</v>
      </c>
      <c r="P899" s="514" t="s">
        <v>7427</v>
      </c>
      <c r="Q899" s="842">
        <v>0</v>
      </c>
      <c r="R899" s="842">
        <v>0</v>
      </c>
      <c r="S899" s="842">
        <v>0</v>
      </c>
      <c r="T899" s="842">
        <v>0</v>
      </c>
      <c r="U899" s="514" t="s">
        <v>2502</v>
      </c>
      <c r="V899" s="514">
        <v>99.02</v>
      </c>
      <c r="W899" s="498">
        <v>146</v>
      </c>
      <c r="X899" s="514" t="s">
        <v>1532</v>
      </c>
      <c r="Y899" s="514" t="s">
        <v>1533</v>
      </c>
      <c r="Z899" s="514"/>
      <c r="AA899" s="514" t="s">
        <v>1679</v>
      </c>
      <c r="AB899" s="531" t="s">
        <v>1596</v>
      </c>
    </row>
    <row r="900" spans="1:28" ht="24" customHeight="1">
      <c r="A900" s="584"/>
      <c r="B900" s="460" t="s">
        <v>675</v>
      </c>
      <c r="C900" s="458" t="s">
        <v>2506</v>
      </c>
      <c r="D900" s="510" t="s">
        <v>2507</v>
      </c>
      <c r="E900" s="497">
        <f t="shared" si="71"/>
        <v>81</v>
      </c>
      <c r="F900" s="497">
        <v>0</v>
      </c>
      <c r="G900" s="497">
        <v>81</v>
      </c>
      <c r="H900" s="497">
        <v>0</v>
      </c>
      <c r="I900" s="497">
        <f t="shared" si="72"/>
        <v>40</v>
      </c>
      <c r="J900" s="497">
        <v>0</v>
      </c>
      <c r="K900" s="497">
        <v>40</v>
      </c>
      <c r="L900" s="721">
        <v>0</v>
      </c>
      <c r="M900" s="672">
        <v>93</v>
      </c>
      <c r="N900" s="498">
        <v>0</v>
      </c>
      <c r="O900" s="731" t="s">
        <v>5089</v>
      </c>
      <c r="P900" s="514" t="s">
        <v>7427</v>
      </c>
      <c r="Q900" s="842">
        <v>0</v>
      </c>
      <c r="R900" s="842">
        <v>0</v>
      </c>
      <c r="S900" s="842">
        <v>0</v>
      </c>
      <c r="T900" s="842">
        <v>0</v>
      </c>
      <c r="U900" s="514" t="s">
        <v>2502</v>
      </c>
      <c r="V900" s="514">
        <v>98.1</v>
      </c>
      <c r="W900" s="498">
        <v>289</v>
      </c>
      <c r="X900" s="514" t="s">
        <v>1532</v>
      </c>
      <c r="Y900" s="514" t="s">
        <v>1533</v>
      </c>
      <c r="Z900" s="514"/>
      <c r="AA900" s="514" t="s">
        <v>1679</v>
      </c>
      <c r="AB900" s="531" t="s">
        <v>1596</v>
      </c>
    </row>
    <row r="901" spans="1:28" ht="24" customHeight="1">
      <c r="A901" s="584"/>
      <c r="B901" s="460" t="s">
        <v>675</v>
      </c>
      <c r="C901" s="458" t="s">
        <v>2508</v>
      </c>
      <c r="D901" s="510" t="s">
        <v>2509</v>
      </c>
      <c r="E901" s="497">
        <f t="shared" si="71"/>
        <v>60</v>
      </c>
      <c r="F901" s="497">
        <v>0</v>
      </c>
      <c r="G901" s="497">
        <v>60</v>
      </c>
      <c r="H901" s="497">
        <v>0</v>
      </c>
      <c r="I901" s="497">
        <f t="shared" si="72"/>
        <v>30</v>
      </c>
      <c r="J901" s="497">
        <v>0</v>
      </c>
      <c r="K901" s="497">
        <v>30</v>
      </c>
      <c r="L901" s="721">
        <v>0</v>
      </c>
      <c r="M901" s="672">
        <v>93</v>
      </c>
      <c r="N901" s="498">
        <v>0</v>
      </c>
      <c r="O901" s="731" t="s">
        <v>2505</v>
      </c>
      <c r="P901" s="514" t="s">
        <v>7427</v>
      </c>
      <c r="Q901" s="842">
        <v>0</v>
      </c>
      <c r="R901" s="842">
        <v>0</v>
      </c>
      <c r="S901" s="842">
        <v>0</v>
      </c>
      <c r="T901" s="842">
        <v>0</v>
      </c>
      <c r="U901" s="514" t="s">
        <v>2502</v>
      </c>
      <c r="V901" s="514">
        <v>98.04</v>
      </c>
      <c r="W901" s="498">
        <v>231</v>
      </c>
      <c r="X901" s="514" t="s">
        <v>1532</v>
      </c>
      <c r="Y901" s="514" t="s">
        <v>1533</v>
      </c>
      <c r="Z901" s="514"/>
      <c r="AA901" s="514" t="s">
        <v>1679</v>
      </c>
      <c r="AB901" s="531" t="s">
        <v>1596</v>
      </c>
    </row>
    <row r="902" spans="1:28" ht="24" customHeight="1">
      <c r="A902" s="584"/>
      <c r="B902" s="460" t="s">
        <v>675</v>
      </c>
      <c r="C902" s="458" t="s">
        <v>2510</v>
      </c>
      <c r="D902" s="510" t="s">
        <v>2511</v>
      </c>
      <c r="E902" s="497">
        <f t="shared" si="71"/>
        <v>50</v>
      </c>
      <c r="F902" s="497">
        <v>0</v>
      </c>
      <c r="G902" s="497">
        <v>50</v>
      </c>
      <c r="H902" s="497">
        <v>0</v>
      </c>
      <c r="I902" s="497">
        <f t="shared" si="72"/>
        <v>25</v>
      </c>
      <c r="J902" s="497">
        <v>0</v>
      </c>
      <c r="K902" s="497">
        <v>25</v>
      </c>
      <c r="L902" s="721">
        <v>0</v>
      </c>
      <c r="M902" s="672">
        <v>93</v>
      </c>
      <c r="N902" s="498">
        <v>0</v>
      </c>
      <c r="O902" s="731" t="s">
        <v>2505</v>
      </c>
      <c r="P902" s="514" t="s">
        <v>7427</v>
      </c>
      <c r="Q902" s="842">
        <v>0</v>
      </c>
      <c r="R902" s="842">
        <v>0</v>
      </c>
      <c r="S902" s="842">
        <v>0</v>
      </c>
      <c r="T902" s="842">
        <v>0</v>
      </c>
      <c r="U902" s="514" t="s">
        <v>2502</v>
      </c>
      <c r="V902" s="514">
        <v>99.01</v>
      </c>
      <c r="W902" s="498">
        <v>277</v>
      </c>
      <c r="X902" s="514" t="s">
        <v>1532</v>
      </c>
      <c r="Y902" s="514" t="s">
        <v>1533</v>
      </c>
      <c r="Z902" s="514" t="s">
        <v>2512</v>
      </c>
      <c r="AA902" s="514" t="s">
        <v>2513</v>
      </c>
      <c r="AB902" s="531" t="s">
        <v>1596</v>
      </c>
    </row>
    <row r="903" spans="1:28" ht="24" customHeight="1">
      <c r="A903" s="584"/>
      <c r="B903" s="460" t="s">
        <v>675</v>
      </c>
      <c r="C903" s="458" t="s">
        <v>2514</v>
      </c>
      <c r="D903" s="510" t="s">
        <v>2515</v>
      </c>
      <c r="E903" s="497">
        <f t="shared" si="71"/>
        <v>60</v>
      </c>
      <c r="F903" s="497">
        <v>0</v>
      </c>
      <c r="G903" s="497">
        <v>60</v>
      </c>
      <c r="H903" s="497">
        <v>0</v>
      </c>
      <c r="I903" s="497">
        <f t="shared" si="72"/>
        <v>30</v>
      </c>
      <c r="J903" s="497">
        <v>0</v>
      </c>
      <c r="K903" s="497">
        <v>30</v>
      </c>
      <c r="L903" s="721">
        <v>0</v>
      </c>
      <c r="M903" s="672">
        <v>93</v>
      </c>
      <c r="N903" s="498">
        <v>0</v>
      </c>
      <c r="O903" s="731" t="s">
        <v>2505</v>
      </c>
      <c r="P903" s="514" t="s">
        <v>7427</v>
      </c>
      <c r="Q903" s="842">
        <v>0</v>
      </c>
      <c r="R903" s="842">
        <v>0</v>
      </c>
      <c r="S903" s="842">
        <v>0</v>
      </c>
      <c r="T903" s="842">
        <v>0</v>
      </c>
      <c r="U903" s="514" t="s">
        <v>2502</v>
      </c>
      <c r="V903" s="514">
        <v>99.11</v>
      </c>
      <c r="W903" s="498">
        <v>165</v>
      </c>
      <c r="X903" s="514" t="s">
        <v>1532</v>
      </c>
      <c r="Y903" s="514" t="s">
        <v>1533</v>
      </c>
      <c r="Z903" s="514" t="s">
        <v>2512</v>
      </c>
      <c r="AA903" s="514" t="s">
        <v>1679</v>
      </c>
      <c r="AB903" s="531" t="s">
        <v>1596</v>
      </c>
    </row>
    <row r="904" spans="1:28" ht="24" customHeight="1">
      <c r="A904" s="584"/>
      <c r="B904" s="460" t="s">
        <v>675</v>
      </c>
      <c r="C904" s="458" t="s">
        <v>2516</v>
      </c>
      <c r="D904" s="510" t="s">
        <v>2517</v>
      </c>
      <c r="E904" s="497">
        <f t="shared" si="71"/>
        <v>58</v>
      </c>
      <c r="F904" s="497">
        <v>0</v>
      </c>
      <c r="G904" s="497">
        <v>58</v>
      </c>
      <c r="H904" s="497">
        <v>0</v>
      </c>
      <c r="I904" s="497">
        <f t="shared" si="72"/>
        <v>29</v>
      </c>
      <c r="J904" s="497">
        <v>0</v>
      </c>
      <c r="K904" s="497">
        <v>29</v>
      </c>
      <c r="L904" s="721">
        <v>0</v>
      </c>
      <c r="M904" s="672">
        <v>93</v>
      </c>
      <c r="N904" s="498">
        <v>0</v>
      </c>
      <c r="O904" s="731" t="s">
        <v>5089</v>
      </c>
      <c r="P904" s="514" t="s">
        <v>7427</v>
      </c>
      <c r="Q904" s="842">
        <v>0</v>
      </c>
      <c r="R904" s="842">
        <v>0</v>
      </c>
      <c r="S904" s="842">
        <v>0</v>
      </c>
      <c r="T904" s="842">
        <v>0</v>
      </c>
      <c r="U904" s="514" t="s">
        <v>2502</v>
      </c>
      <c r="V904" s="514">
        <v>99.02</v>
      </c>
      <c r="W904" s="498">
        <v>128</v>
      </c>
      <c r="X904" s="514" t="s">
        <v>1532</v>
      </c>
      <c r="Y904" s="514" t="s">
        <v>1533</v>
      </c>
      <c r="Z904" s="514"/>
      <c r="AA904" s="514" t="s">
        <v>1679</v>
      </c>
      <c r="AB904" s="531" t="s">
        <v>1596</v>
      </c>
    </row>
    <row r="905" spans="1:28" ht="24" customHeight="1">
      <c r="A905" s="584"/>
      <c r="B905" s="460" t="s">
        <v>675</v>
      </c>
      <c r="C905" s="458" t="s">
        <v>2518</v>
      </c>
      <c r="D905" s="510" t="s">
        <v>2519</v>
      </c>
      <c r="E905" s="497">
        <f t="shared" si="71"/>
        <v>50</v>
      </c>
      <c r="F905" s="497">
        <v>0</v>
      </c>
      <c r="G905" s="497">
        <v>50</v>
      </c>
      <c r="H905" s="497">
        <v>0</v>
      </c>
      <c r="I905" s="497">
        <f t="shared" si="72"/>
        <v>25</v>
      </c>
      <c r="J905" s="497">
        <v>0</v>
      </c>
      <c r="K905" s="497">
        <v>25</v>
      </c>
      <c r="L905" s="721">
        <v>0</v>
      </c>
      <c r="M905" s="672">
        <v>93</v>
      </c>
      <c r="N905" s="498">
        <v>0</v>
      </c>
      <c r="O905" s="731" t="s">
        <v>2505</v>
      </c>
      <c r="P905" s="514" t="s">
        <v>7427</v>
      </c>
      <c r="Q905" s="842">
        <v>0</v>
      </c>
      <c r="R905" s="842">
        <v>0</v>
      </c>
      <c r="S905" s="842">
        <v>0</v>
      </c>
      <c r="T905" s="842">
        <v>0</v>
      </c>
      <c r="U905" s="514" t="s">
        <v>2502</v>
      </c>
      <c r="V905" s="514">
        <v>1.1200000000000001</v>
      </c>
      <c r="W905" s="498">
        <v>281</v>
      </c>
      <c r="X905" s="514" t="s">
        <v>1532</v>
      </c>
      <c r="Y905" s="514" t="s">
        <v>1533</v>
      </c>
      <c r="Z905" s="514" t="s">
        <v>2520</v>
      </c>
      <c r="AA905" s="514" t="s">
        <v>1685</v>
      </c>
      <c r="AB905" s="531" t="s">
        <v>1596</v>
      </c>
    </row>
    <row r="906" spans="1:28" ht="24" customHeight="1">
      <c r="A906" s="584"/>
      <c r="B906" s="460" t="s">
        <v>675</v>
      </c>
      <c r="C906" s="458" t="s">
        <v>2521</v>
      </c>
      <c r="D906" s="510" t="s">
        <v>2522</v>
      </c>
      <c r="E906" s="497">
        <f t="shared" si="71"/>
        <v>175</v>
      </c>
      <c r="F906" s="497">
        <v>0</v>
      </c>
      <c r="G906" s="497">
        <v>175</v>
      </c>
      <c r="H906" s="497">
        <v>0</v>
      </c>
      <c r="I906" s="497">
        <f t="shared" si="72"/>
        <v>109</v>
      </c>
      <c r="J906" s="497">
        <v>0</v>
      </c>
      <c r="K906" s="497">
        <v>109</v>
      </c>
      <c r="L906" s="721">
        <v>0</v>
      </c>
      <c r="M906" s="672">
        <v>93</v>
      </c>
      <c r="N906" s="498">
        <v>5.3819999999999997</v>
      </c>
      <c r="O906" s="731" t="s">
        <v>2523</v>
      </c>
      <c r="P906" s="514" t="s">
        <v>7427</v>
      </c>
      <c r="Q906" s="842">
        <v>0</v>
      </c>
      <c r="R906" s="842">
        <v>0</v>
      </c>
      <c r="S906" s="842">
        <v>0</v>
      </c>
      <c r="T906" s="842">
        <v>0</v>
      </c>
      <c r="U906" s="514" t="s">
        <v>2502</v>
      </c>
      <c r="V906" s="514">
        <v>97.09</v>
      </c>
      <c r="W906" s="498"/>
      <c r="X906" s="514" t="s">
        <v>1532</v>
      </c>
      <c r="Y906" s="514" t="s">
        <v>1533</v>
      </c>
      <c r="Z906" s="514"/>
      <c r="AA906" s="514" t="s">
        <v>1679</v>
      </c>
      <c r="AB906" s="531" t="s">
        <v>1596</v>
      </c>
    </row>
    <row r="907" spans="1:28" ht="24" customHeight="1">
      <c r="A907" s="584"/>
      <c r="B907" s="460" t="s">
        <v>675</v>
      </c>
      <c r="C907" s="458" t="s">
        <v>2524</v>
      </c>
      <c r="D907" s="510" t="s">
        <v>2525</v>
      </c>
      <c r="E907" s="497">
        <f t="shared" si="71"/>
        <v>23</v>
      </c>
      <c r="F907" s="497">
        <v>0</v>
      </c>
      <c r="G907" s="497">
        <v>23</v>
      </c>
      <c r="H907" s="497">
        <v>0</v>
      </c>
      <c r="I907" s="497">
        <f t="shared" si="72"/>
        <v>12</v>
      </c>
      <c r="J907" s="497">
        <v>0</v>
      </c>
      <c r="K907" s="497">
        <v>12</v>
      </c>
      <c r="L907" s="721">
        <v>0</v>
      </c>
      <c r="M907" s="672">
        <v>93</v>
      </c>
      <c r="N907" s="498">
        <v>0</v>
      </c>
      <c r="O907" s="731" t="s">
        <v>2526</v>
      </c>
      <c r="P907" s="514" t="s">
        <v>7427</v>
      </c>
      <c r="Q907" s="842">
        <v>0</v>
      </c>
      <c r="R907" s="842">
        <v>0</v>
      </c>
      <c r="S907" s="842">
        <v>0</v>
      </c>
      <c r="T907" s="842">
        <v>0</v>
      </c>
      <c r="U907" s="514" t="s">
        <v>2502</v>
      </c>
      <c r="V907" s="537" t="s">
        <v>2527</v>
      </c>
      <c r="W907" s="498">
        <v>182</v>
      </c>
      <c r="X907" s="514" t="s">
        <v>1532</v>
      </c>
      <c r="Y907" s="514" t="s">
        <v>1533</v>
      </c>
      <c r="Z907" s="514"/>
      <c r="AA907" s="514" t="s">
        <v>1679</v>
      </c>
      <c r="AB907" s="531" t="s">
        <v>1596</v>
      </c>
    </row>
    <row r="908" spans="1:28" ht="24" customHeight="1">
      <c r="A908" s="584"/>
      <c r="B908" s="460" t="s">
        <v>675</v>
      </c>
      <c r="C908" s="458" t="s">
        <v>2528</v>
      </c>
      <c r="D908" s="705" t="s">
        <v>2529</v>
      </c>
      <c r="E908" s="666">
        <f t="shared" si="71"/>
        <v>23</v>
      </c>
      <c r="F908" s="497">
        <v>0</v>
      </c>
      <c r="G908" s="666">
        <v>23</v>
      </c>
      <c r="H908" s="497">
        <v>0</v>
      </c>
      <c r="I908" s="497">
        <f t="shared" si="72"/>
        <v>12</v>
      </c>
      <c r="J908" s="497">
        <v>0</v>
      </c>
      <c r="K908" s="497">
        <v>12</v>
      </c>
      <c r="L908" s="721">
        <v>0</v>
      </c>
      <c r="M908" s="672">
        <v>93</v>
      </c>
      <c r="N908" s="498">
        <v>0</v>
      </c>
      <c r="O908" s="736" t="s">
        <v>2526</v>
      </c>
      <c r="P908" s="514" t="s">
        <v>7427</v>
      </c>
      <c r="Q908" s="842">
        <v>0</v>
      </c>
      <c r="R908" s="842">
        <v>0</v>
      </c>
      <c r="S908" s="842">
        <v>0</v>
      </c>
      <c r="T908" s="842">
        <v>0</v>
      </c>
      <c r="U908" s="514" t="s">
        <v>2502</v>
      </c>
      <c r="V908" s="537" t="s">
        <v>2527</v>
      </c>
      <c r="W908" s="498">
        <v>91</v>
      </c>
      <c r="X908" s="514" t="s">
        <v>1532</v>
      </c>
      <c r="Y908" s="514" t="s">
        <v>1533</v>
      </c>
      <c r="Z908" s="514"/>
      <c r="AA908" s="514" t="s">
        <v>1679</v>
      </c>
      <c r="AB908" s="531" t="s">
        <v>1596</v>
      </c>
    </row>
    <row r="909" spans="1:28" ht="24" customHeight="1">
      <c r="A909" s="584"/>
      <c r="B909" s="460" t="s">
        <v>675</v>
      </c>
      <c r="C909" s="500" t="s">
        <v>2530</v>
      </c>
      <c r="D909" s="705" t="s">
        <v>2531</v>
      </c>
      <c r="E909" s="666">
        <f t="shared" si="71"/>
        <v>39</v>
      </c>
      <c r="F909" s="497">
        <v>0</v>
      </c>
      <c r="G909" s="666">
        <v>39</v>
      </c>
      <c r="H909" s="497">
        <v>0</v>
      </c>
      <c r="I909" s="497">
        <f t="shared" si="72"/>
        <v>19</v>
      </c>
      <c r="J909" s="497">
        <v>0</v>
      </c>
      <c r="K909" s="497">
        <v>19</v>
      </c>
      <c r="L909" s="721">
        <v>0</v>
      </c>
      <c r="M909" s="672">
        <v>93</v>
      </c>
      <c r="N909" s="498">
        <v>0</v>
      </c>
      <c r="O909" s="736" t="s">
        <v>2526</v>
      </c>
      <c r="P909" s="514" t="s">
        <v>7427</v>
      </c>
      <c r="Q909" s="842">
        <v>0</v>
      </c>
      <c r="R909" s="842">
        <v>0</v>
      </c>
      <c r="S909" s="842">
        <v>0</v>
      </c>
      <c r="T909" s="842">
        <v>0</v>
      </c>
      <c r="U909" s="514" t="s">
        <v>2502</v>
      </c>
      <c r="V909" s="537" t="s">
        <v>2532</v>
      </c>
      <c r="W909" s="498">
        <v>114</v>
      </c>
      <c r="X909" s="514" t="s">
        <v>1532</v>
      </c>
      <c r="Y909" s="514" t="s">
        <v>1533</v>
      </c>
      <c r="Z909" s="514"/>
      <c r="AA909" s="514" t="s">
        <v>1679</v>
      </c>
      <c r="AB909" s="531" t="s">
        <v>1596</v>
      </c>
    </row>
    <row r="910" spans="1:28" ht="24" customHeight="1">
      <c r="A910" s="584"/>
      <c r="B910" s="460" t="s">
        <v>675</v>
      </c>
      <c r="C910" s="500" t="s">
        <v>2533</v>
      </c>
      <c r="D910" s="705" t="s">
        <v>2534</v>
      </c>
      <c r="E910" s="666">
        <f t="shared" si="71"/>
        <v>40</v>
      </c>
      <c r="F910" s="497">
        <v>0</v>
      </c>
      <c r="G910" s="666">
        <v>40</v>
      </c>
      <c r="H910" s="497">
        <v>0</v>
      </c>
      <c r="I910" s="497">
        <f t="shared" si="72"/>
        <v>20</v>
      </c>
      <c r="J910" s="497">
        <v>0</v>
      </c>
      <c r="K910" s="497">
        <v>20</v>
      </c>
      <c r="L910" s="721">
        <v>0</v>
      </c>
      <c r="M910" s="672">
        <v>93</v>
      </c>
      <c r="N910" s="498">
        <v>0</v>
      </c>
      <c r="O910" s="736" t="s">
        <v>2535</v>
      </c>
      <c r="P910" s="514" t="s">
        <v>7427</v>
      </c>
      <c r="Q910" s="842">
        <v>0</v>
      </c>
      <c r="R910" s="842">
        <v>0</v>
      </c>
      <c r="S910" s="842">
        <v>0</v>
      </c>
      <c r="T910" s="842">
        <v>0</v>
      </c>
      <c r="U910" s="514" t="s">
        <v>2502</v>
      </c>
      <c r="V910" s="538" t="s">
        <v>2536</v>
      </c>
      <c r="W910" s="498">
        <v>525</v>
      </c>
      <c r="X910" s="514" t="s">
        <v>1532</v>
      </c>
      <c r="Y910" s="514" t="s">
        <v>1533</v>
      </c>
      <c r="Z910" s="514"/>
      <c r="AA910" s="514" t="s">
        <v>1679</v>
      </c>
      <c r="AB910" s="531" t="s">
        <v>1596</v>
      </c>
    </row>
    <row r="911" spans="1:28" ht="24" customHeight="1">
      <c r="A911" s="584"/>
      <c r="B911" s="460" t="s">
        <v>675</v>
      </c>
      <c r="C911" s="500" t="s">
        <v>2537</v>
      </c>
      <c r="D911" s="705" t="s">
        <v>2538</v>
      </c>
      <c r="E911" s="666">
        <f t="shared" si="71"/>
        <v>20</v>
      </c>
      <c r="F911" s="497">
        <v>0</v>
      </c>
      <c r="G911" s="666">
        <v>20</v>
      </c>
      <c r="H911" s="497">
        <v>0</v>
      </c>
      <c r="I911" s="497">
        <f t="shared" si="72"/>
        <v>10</v>
      </c>
      <c r="J911" s="497">
        <v>0</v>
      </c>
      <c r="K911" s="497">
        <v>10</v>
      </c>
      <c r="L911" s="721">
        <v>0</v>
      </c>
      <c r="M911" s="672">
        <v>93</v>
      </c>
      <c r="N911" s="498">
        <v>0</v>
      </c>
      <c r="O911" s="736" t="s">
        <v>2539</v>
      </c>
      <c r="P911" s="514" t="s">
        <v>7427</v>
      </c>
      <c r="Q911" s="842">
        <v>0</v>
      </c>
      <c r="R911" s="842">
        <v>0</v>
      </c>
      <c r="S911" s="842">
        <v>0</v>
      </c>
      <c r="T911" s="842">
        <v>0</v>
      </c>
      <c r="U911" s="514" t="s">
        <v>2502</v>
      </c>
      <c r="V911" s="538" t="s">
        <v>2540</v>
      </c>
      <c r="W911" s="498">
        <v>140</v>
      </c>
      <c r="X911" s="514" t="s">
        <v>1532</v>
      </c>
      <c r="Y911" s="514" t="s">
        <v>1533</v>
      </c>
      <c r="Z911" s="514"/>
      <c r="AA911" s="514" t="s">
        <v>1685</v>
      </c>
      <c r="AB911" s="531" t="s">
        <v>1596</v>
      </c>
    </row>
    <row r="912" spans="1:28" ht="24" customHeight="1">
      <c r="A912" s="584"/>
      <c r="B912" s="460" t="s">
        <v>675</v>
      </c>
      <c r="C912" s="500" t="s">
        <v>2541</v>
      </c>
      <c r="D912" s="705" t="s">
        <v>2542</v>
      </c>
      <c r="E912" s="666">
        <f t="shared" si="71"/>
        <v>15</v>
      </c>
      <c r="F912" s="497">
        <v>0</v>
      </c>
      <c r="G912" s="666">
        <v>15</v>
      </c>
      <c r="H912" s="497">
        <v>0</v>
      </c>
      <c r="I912" s="497">
        <f t="shared" si="72"/>
        <v>8</v>
      </c>
      <c r="J912" s="497">
        <v>0</v>
      </c>
      <c r="K912" s="497">
        <v>8</v>
      </c>
      <c r="L912" s="721">
        <v>0</v>
      </c>
      <c r="M912" s="672">
        <v>93</v>
      </c>
      <c r="N912" s="498">
        <v>0</v>
      </c>
      <c r="O912" s="736" t="s">
        <v>1030</v>
      </c>
      <c r="P912" s="514" t="s">
        <v>7427</v>
      </c>
      <c r="Q912" s="842">
        <v>0</v>
      </c>
      <c r="R912" s="842">
        <v>0</v>
      </c>
      <c r="S912" s="842">
        <v>0</v>
      </c>
      <c r="T912" s="842">
        <v>0</v>
      </c>
      <c r="U912" s="514" t="s">
        <v>2502</v>
      </c>
      <c r="V912" s="537" t="s">
        <v>2543</v>
      </c>
      <c r="W912" s="498">
        <v>140</v>
      </c>
      <c r="X912" s="514" t="s">
        <v>1532</v>
      </c>
      <c r="Y912" s="514" t="s">
        <v>1533</v>
      </c>
      <c r="Z912" s="514"/>
      <c r="AA912" s="514" t="s">
        <v>1685</v>
      </c>
      <c r="AB912" s="531" t="s">
        <v>1596</v>
      </c>
    </row>
    <row r="913" spans="1:28" ht="24" customHeight="1">
      <c r="A913" s="584"/>
      <c r="B913" s="460" t="s">
        <v>675</v>
      </c>
      <c r="C913" s="500" t="s">
        <v>2544</v>
      </c>
      <c r="D913" s="705" t="s">
        <v>2545</v>
      </c>
      <c r="E913" s="666">
        <f t="shared" si="71"/>
        <v>23</v>
      </c>
      <c r="F913" s="497">
        <v>0</v>
      </c>
      <c r="G913" s="666">
        <v>23</v>
      </c>
      <c r="H913" s="497">
        <v>0</v>
      </c>
      <c r="I913" s="497">
        <f t="shared" si="72"/>
        <v>12</v>
      </c>
      <c r="J913" s="497">
        <v>0</v>
      </c>
      <c r="K913" s="497">
        <v>12</v>
      </c>
      <c r="L913" s="721">
        <v>0</v>
      </c>
      <c r="M913" s="672">
        <v>93</v>
      </c>
      <c r="N913" s="498">
        <v>0</v>
      </c>
      <c r="O913" s="736" t="s">
        <v>2526</v>
      </c>
      <c r="P913" s="514" t="s">
        <v>7427</v>
      </c>
      <c r="Q913" s="842">
        <v>0</v>
      </c>
      <c r="R913" s="842">
        <v>0</v>
      </c>
      <c r="S913" s="842">
        <v>0</v>
      </c>
      <c r="T913" s="842">
        <v>0</v>
      </c>
      <c r="U913" s="514" t="s">
        <v>2502</v>
      </c>
      <c r="V913" s="537" t="s">
        <v>2546</v>
      </c>
      <c r="W913" s="498">
        <v>112</v>
      </c>
      <c r="X913" s="514" t="s">
        <v>1532</v>
      </c>
      <c r="Y913" s="514" t="s">
        <v>1533</v>
      </c>
      <c r="Z913" s="514" t="s">
        <v>2512</v>
      </c>
      <c r="AA913" s="514" t="s">
        <v>1685</v>
      </c>
      <c r="AB913" s="531" t="s">
        <v>1596</v>
      </c>
    </row>
    <row r="914" spans="1:28" ht="24" customHeight="1">
      <c r="A914" s="584"/>
      <c r="B914" s="460" t="s">
        <v>675</v>
      </c>
      <c r="C914" s="500" t="s">
        <v>2547</v>
      </c>
      <c r="D914" s="705" t="s">
        <v>2548</v>
      </c>
      <c r="E914" s="666">
        <f t="shared" si="71"/>
        <v>23</v>
      </c>
      <c r="F914" s="497">
        <v>0</v>
      </c>
      <c r="G914" s="666">
        <v>23</v>
      </c>
      <c r="H914" s="497">
        <v>0</v>
      </c>
      <c r="I914" s="497">
        <f t="shared" si="72"/>
        <v>11</v>
      </c>
      <c r="J914" s="497">
        <v>0</v>
      </c>
      <c r="K914" s="497">
        <v>11</v>
      </c>
      <c r="L914" s="721">
        <v>0</v>
      </c>
      <c r="M914" s="672">
        <v>93</v>
      </c>
      <c r="N914" s="498">
        <v>0</v>
      </c>
      <c r="O914" s="736" t="s">
        <v>2526</v>
      </c>
      <c r="P914" s="514" t="s">
        <v>7427</v>
      </c>
      <c r="Q914" s="842">
        <v>0</v>
      </c>
      <c r="R914" s="842">
        <v>0</v>
      </c>
      <c r="S914" s="842">
        <v>0</v>
      </c>
      <c r="T914" s="842">
        <v>0</v>
      </c>
      <c r="U914" s="514" t="s">
        <v>2502</v>
      </c>
      <c r="V914" s="537" t="s">
        <v>2546</v>
      </c>
      <c r="W914" s="498">
        <v>112</v>
      </c>
      <c r="X914" s="514" t="s">
        <v>1532</v>
      </c>
      <c r="Y914" s="514" t="s">
        <v>1533</v>
      </c>
      <c r="Z914" s="514" t="s">
        <v>2512</v>
      </c>
      <c r="AA914" s="514" t="s">
        <v>1685</v>
      </c>
      <c r="AB914" s="531" t="s">
        <v>1596</v>
      </c>
    </row>
    <row r="915" spans="1:28" ht="24" customHeight="1">
      <c r="A915" s="584"/>
      <c r="B915" s="460" t="s">
        <v>675</v>
      </c>
      <c r="C915" s="500" t="s">
        <v>2549</v>
      </c>
      <c r="D915" s="705" t="s">
        <v>2550</v>
      </c>
      <c r="E915" s="666">
        <f t="shared" si="71"/>
        <v>34</v>
      </c>
      <c r="F915" s="497">
        <v>0</v>
      </c>
      <c r="G915" s="666">
        <v>34</v>
      </c>
      <c r="H915" s="497">
        <v>0</v>
      </c>
      <c r="I915" s="497">
        <f t="shared" si="72"/>
        <v>17</v>
      </c>
      <c r="J915" s="497">
        <v>0</v>
      </c>
      <c r="K915" s="497">
        <v>17</v>
      </c>
      <c r="L915" s="721">
        <v>0</v>
      </c>
      <c r="M915" s="672">
        <v>93</v>
      </c>
      <c r="N915" s="498">
        <v>0</v>
      </c>
      <c r="O915" s="736" t="s">
        <v>5177</v>
      </c>
      <c r="P915" s="514" t="s">
        <v>7427</v>
      </c>
      <c r="Q915" s="842">
        <v>0</v>
      </c>
      <c r="R915" s="842">
        <v>0</v>
      </c>
      <c r="S915" s="842">
        <v>0</v>
      </c>
      <c r="T915" s="842">
        <v>0</v>
      </c>
      <c r="U915" s="514" t="s">
        <v>2502</v>
      </c>
      <c r="V915" s="537" t="s">
        <v>2331</v>
      </c>
      <c r="W915" s="498">
        <v>84</v>
      </c>
      <c r="X915" s="514" t="s">
        <v>1532</v>
      </c>
      <c r="Y915" s="514" t="s">
        <v>1533</v>
      </c>
      <c r="Z915" s="514" t="s">
        <v>2512</v>
      </c>
      <c r="AA915" s="514" t="s">
        <v>1685</v>
      </c>
      <c r="AB915" s="531" t="s">
        <v>1596</v>
      </c>
    </row>
    <row r="916" spans="1:28" ht="24" customHeight="1">
      <c r="A916" s="584"/>
      <c r="B916" s="460" t="s">
        <v>675</v>
      </c>
      <c r="C916" s="500" t="s">
        <v>2551</v>
      </c>
      <c r="D916" s="705" t="s">
        <v>2552</v>
      </c>
      <c r="E916" s="666">
        <f t="shared" si="71"/>
        <v>40</v>
      </c>
      <c r="F916" s="497">
        <v>0</v>
      </c>
      <c r="G916" s="666">
        <v>40</v>
      </c>
      <c r="H916" s="497">
        <v>0</v>
      </c>
      <c r="I916" s="497">
        <f t="shared" si="72"/>
        <v>20</v>
      </c>
      <c r="J916" s="497">
        <v>0</v>
      </c>
      <c r="K916" s="497">
        <v>20</v>
      </c>
      <c r="L916" s="721">
        <v>0</v>
      </c>
      <c r="M916" s="672">
        <v>93</v>
      </c>
      <c r="N916" s="498">
        <v>0</v>
      </c>
      <c r="O916" s="736" t="s">
        <v>2553</v>
      </c>
      <c r="P916" s="514" t="s">
        <v>7427</v>
      </c>
      <c r="Q916" s="842">
        <v>0</v>
      </c>
      <c r="R916" s="842">
        <v>0</v>
      </c>
      <c r="S916" s="842">
        <v>0</v>
      </c>
      <c r="T916" s="842">
        <v>0</v>
      </c>
      <c r="U916" s="514" t="s">
        <v>2502</v>
      </c>
      <c r="V916" s="537" t="s">
        <v>2554</v>
      </c>
      <c r="W916" s="498">
        <v>228</v>
      </c>
      <c r="X916" s="514" t="s">
        <v>1532</v>
      </c>
      <c r="Y916" s="514" t="s">
        <v>1533</v>
      </c>
      <c r="Z916" s="514" t="s">
        <v>2512</v>
      </c>
      <c r="AA916" s="514" t="s">
        <v>1685</v>
      </c>
      <c r="AB916" s="531" t="s">
        <v>1596</v>
      </c>
    </row>
    <row r="917" spans="1:28" ht="24" customHeight="1">
      <c r="A917" s="584"/>
      <c r="B917" s="460" t="s">
        <v>675</v>
      </c>
      <c r="C917" s="500" t="s">
        <v>2555</v>
      </c>
      <c r="D917" s="705" t="s">
        <v>2556</v>
      </c>
      <c r="E917" s="666">
        <f t="shared" si="71"/>
        <v>48</v>
      </c>
      <c r="F917" s="497">
        <v>0</v>
      </c>
      <c r="G917" s="666">
        <v>48</v>
      </c>
      <c r="H917" s="497">
        <v>0</v>
      </c>
      <c r="I917" s="497">
        <f t="shared" si="72"/>
        <v>24</v>
      </c>
      <c r="J917" s="497">
        <v>0</v>
      </c>
      <c r="K917" s="497">
        <v>24</v>
      </c>
      <c r="L917" s="721">
        <v>0</v>
      </c>
      <c r="M917" s="672">
        <v>93</v>
      </c>
      <c r="N917" s="498">
        <v>0</v>
      </c>
      <c r="O917" s="736" t="s">
        <v>5698</v>
      </c>
      <c r="P917" s="514" t="s">
        <v>7427</v>
      </c>
      <c r="Q917" s="842">
        <v>0</v>
      </c>
      <c r="R917" s="842">
        <v>0</v>
      </c>
      <c r="S917" s="842">
        <v>0</v>
      </c>
      <c r="T917" s="842">
        <v>0</v>
      </c>
      <c r="U917" s="514" t="s">
        <v>2502</v>
      </c>
      <c r="V917" s="538" t="s">
        <v>2557</v>
      </c>
      <c r="W917" s="498">
        <v>444</v>
      </c>
      <c r="X917" s="514" t="s">
        <v>1532</v>
      </c>
      <c r="Y917" s="514" t="s">
        <v>1533</v>
      </c>
      <c r="Z917" s="514"/>
      <c r="AA917" s="514" t="s">
        <v>1679</v>
      </c>
      <c r="AB917" s="531" t="s">
        <v>1596</v>
      </c>
    </row>
    <row r="918" spans="1:28" ht="24" customHeight="1">
      <c r="A918" s="584"/>
      <c r="B918" s="460" t="s">
        <v>675</v>
      </c>
      <c r="C918" s="500" t="s">
        <v>2558</v>
      </c>
      <c r="D918" s="705" t="s">
        <v>2559</v>
      </c>
      <c r="E918" s="666">
        <f t="shared" si="71"/>
        <v>25</v>
      </c>
      <c r="F918" s="497">
        <v>0</v>
      </c>
      <c r="G918" s="666">
        <v>25</v>
      </c>
      <c r="H918" s="497">
        <v>0</v>
      </c>
      <c r="I918" s="497">
        <f t="shared" si="72"/>
        <v>13</v>
      </c>
      <c r="J918" s="497">
        <v>0</v>
      </c>
      <c r="K918" s="497">
        <v>13</v>
      </c>
      <c r="L918" s="721">
        <v>0</v>
      </c>
      <c r="M918" s="672">
        <v>93</v>
      </c>
      <c r="N918" s="498">
        <v>0</v>
      </c>
      <c r="O918" s="736" t="s">
        <v>2560</v>
      </c>
      <c r="P918" s="514" t="s">
        <v>7427</v>
      </c>
      <c r="Q918" s="842">
        <v>0</v>
      </c>
      <c r="R918" s="842">
        <v>0</v>
      </c>
      <c r="S918" s="842">
        <v>0</v>
      </c>
      <c r="T918" s="842">
        <v>0</v>
      </c>
      <c r="U918" s="514" t="s">
        <v>2502</v>
      </c>
      <c r="V918" s="537" t="s">
        <v>2561</v>
      </c>
      <c r="W918" s="498">
        <v>140</v>
      </c>
      <c r="X918" s="514" t="s">
        <v>1532</v>
      </c>
      <c r="Y918" s="514" t="s">
        <v>1533</v>
      </c>
      <c r="Z918" s="514"/>
      <c r="AA918" s="514" t="s">
        <v>1685</v>
      </c>
      <c r="AB918" s="531" t="s">
        <v>1596</v>
      </c>
    </row>
    <row r="919" spans="1:28" ht="24" customHeight="1">
      <c r="A919" s="584"/>
      <c r="B919" s="460" t="s">
        <v>675</v>
      </c>
      <c r="C919" s="500" t="s">
        <v>2562</v>
      </c>
      <c r="D919" s="705" t="s">
        <v>2563</v>
      </c>
      <c r="E919" s="666">
        <f t="shared" si="71"/>
        <v>25</v>
      </c>
      <c r="F919" s="497">
        <v>0</v>
      </c>
      <c r="G919" s="666">
        <v>25</v>
      </c>
      <c r="H919" s="497">
        <v>0</v>
      </c>
      <c r="I919" s="497">
        <f t="shared" si="72"/>
        <v>13</v>
      </c>
      <c r="J919" s="497">
        <v>0</v>
      </c>
      <c r="K919" s="497">
        <v>13</v>
      </c>
      <c r="L919" s="721">
        <v>0</v>
      </c>
      <c r="M919" s="672">
        <v>93</v>
      </c>
      <c r="N919" s="498">
        <v>0</v>
      </c>
      <c r="O919" s="736" t="s">
        <v>2564</v>
      </c>
      <c r="P919" s="514" t="s">
        <v>7427</v>
      </c>
      <c r="Q919" s="842">
        <v>0</v>
      </c>
      <c r="R919" s="842">
        <v>0</v>
      </c>
      <c r="S919" s="842">
        <v>0</v>
      </c>
      <c r="T919" s="842">
        <v>0</v>
      </c>
      <c r="U919" s="514" t="s">
        <v>2502</v>
      </c>
      <c r="V919" s="537" t="s">
        <v>2565</v>
      </c>
      <c r="W919" s="498">
        <v>69</v>
      </c>
      <c r="X919" s="514" t="s">
        <v>1532</v>
      </c>
      <c r="Y919" s="514" t="s">
        <v>1533</v>
      </c>
      <c r="Z919" s="514" t="s">
        <v>1911</v>
      </c>
      <c r="AA919" s="514" t="s">
        <v>1685</v>
      </c>
      <c r="AB919" s="531" t="s">
        <v>1596</v>
      </c>
    </row>
    <row r="920" spans="1:28" ht="24" customHeight="1">
      <c r="A920" s="584"/>
      <c r="B920" s="460" t="s">
        <v>675</v>
      </c>
      <c r="C920" s="500" t="s">
        <v>2566</v>
      </c>
      <c r="D920" s="705" t="s">
        <v>2567</v>
      </c>
      <c r="E920" s="666">
        <f t="shared" si="71"/>
        <v>40</v>
      </c>
      <c r="F920" s="497">
        <v>0</v>
      </c>
      <c r="G920" s="666">
        <v>40</v>
      </c>
      <c r="H920" s="497">
        <v>0</v>
      </c>
      <c r="I920" s="497">
        <f t="shared" si="72"/>
        <v>20</v>
      </c>
      <c r="J920" s="497">
        <v>0</v>
      </c>
      <c r="K920" s="497">
        <v>20</v>
      </c>
      <c r="L920" s="721">
        <v>0</v>
      </c>
      <c r="M920" s="672">
        <v>93</v>
      </c>
      <c r="N920" s="498">
        <v>0</v>
      </c>
      <c r="O920" s="736" t="s">
        <v>2535</v>
      </c>
      <c r="P920" s="514" t="s">
        <v>7427</v>
      </c>
      <c r="Q920" s="842">
        <v>0</v>
      </c>
      <c r="R920" s="842">
        <v>0</v>
      </c>
      <c r="S920" s="842">
        <v>0</v>
      </c>
      <c r="T920" s="842">
        <v>0</v>
      </c>
      <c r="U920" s="514" t="s">
        <v>2502</v>
      </c>
      <c r="V920" s="538" t="s">
        <v>2568</v>
      </c>
      <c r="W920" s="498">
        <v>182</v>
      </c>
      <c r="X920" s="514" t="s">
        <v>1532</v>
      </c>
      <c r="Y920" s="514" t="s">
        <v>1533</v>
      </c>
      <c r="Z920" s="514"/>
      <c r="AA920" s="514" t="s">
        <v>1679</v>
      </c>
      <c r="AB920" s="531" t="s">
        <v>1596</v>
      </c>
    </row>
    <row r="921" spans="1:28" ht="24" customHeight="1">
      <c r="A921" s="584"/>
      <c r="B921" s="460" t="s">
        <v>675</v>
      </c>
      <c r="C921" s="500" t="s">
        <v>2569</v>
      </c>
      <c r="D921" s="705" t="s">
        <v>2570</v>
      </c>
      <c r="E921" s="666">
        <f t="shared" si="71"/>
        <v>12</v>
      </c>
      <c r="F921" s="497">
        <v>0</v>
      </c>
      <c r="G921" s="666">
        <v>12</v>
      </c>
      <c r="H921" s="497">
        <v>0</v>
      </c>
      <c r="I921" s="497">
        <f t="shared" si="72"/>
        <v>7</v>
      </c>
      <c r="J921" s="497">
        <v>0</v>
      </c>
      <c r="K921" s="497">
        <v>7</v>
      </c>
      <c r="L921" s="721">
        <v>0</v>
      </c>
      <c r="M921" s="672">
        <v>93</v>
      </c>
      <c r="N921" s="498">
        <v>0</v>
      </c>
      <c r="O921" s="736" t="s">
        <v>2526</v>
      </c>
      <c r="P921" s="514" t="s">
        <v>7427</v>
      </c>
      <c r="Q921" s="842">
        <v>0</v>
      </c>
      <c r="R921" s="842">
        <v>0</v>
      </c>
      <c r="S921" s="842">
        <v>0</v>
      </c>
      <c r="T921" s="842">
        <v>0</v>
      </c>
      <c r="U921" s="514" t="s">
        <v>2502</v>
      </c>
      <c r="V921" s="537" t="s">
        <v>2571</v>
      </c>
      <c r="W921" s="498">
        <v>28</v>
      </c>
      <c r="X921" s="514" t="s">
        <v>1532</v>
      </c>
      <c r="Y921" s="514" t="s">
        <v>1533</v>
      </c>
      <c r="Z921" s="514"/>
      <c r="AA921" s="514" t="s">
        <v>1679</v>
      </c>
      <c r="AB921" s="531" t="s">
        <v>1596</v>
      </c>
    </row>
    <row r="922" spans="1:28" ht="24" customHeight="1">
      <c r="A922" s="584"/>
      <c r="B922" s="460" t="s">
        <v>675</v>
      </c>
      <c r="C922" s="500" t="s">
        <v>2572</v>
      </c>
      <c r="D922" s="705" t="s">
        <v>2573</v>
      </c>
      <c r="E922" s="666">
        <f t="shared" si="71"/>
        <v>35</v>
      </c>
      <c r="F922" s="497">
        <v>0</v>
      </c>
      <c r="G922" s="666">
        <v>35</v>
      </c>
      <c r="H922" s="497">
        <v>0</v>
      </c>
      <c r="I922" s="497">
        <f t="shared" si="72"/>
        <v>17</v>
      </c>
      <c r="J922" s="497">
        <v>0</v>
      </c>
      <c r="K922" s="497">
        <v>17</v>
      </c>
      <c r="L922" s="721">
        <v>0</v>
      </c>
      <c r="M922" s="672">
        <v>93</v>
      </c>
      <c r="N922" s="498">
        <v>0</v>
      </c>
      <c r="O922" s="736" t="s">
        <v>2574</v>
      </c>
      <c r="P922" s="514" t="s">
        <v>7427</v>
      </c>
      <c r="Q922" s="842">
        <v>0</v>
      </c>
      <c r="R922" s="842">
        <v>0</v>
      </c>
      <c r="S922" s="842">
        <v>0</v>
      </c>
      <c r="T922" s="842">
        <v>0</v>
      </c>
      <c r="U922" s="514" t="s">
        <v>2502</v>
      </c>
      <c r="V922" s="538" t="s">
        <v>2575</v>
      </c>
      <c r="W922" s="498">
        <v>140</v>
      </c>
      <c r="X922" s="514" t="s">
        <v>1532</v>
      </c>
      <c r="Y922" s="514" t="s">
        <v>1533</v>
      </c>
      <c r="Z922" s="514"/>
      <c r="AA922" s="514" t="s">
        <v>1679</v>
      </c>
      <c r="AB922" s="531" t="s">
        <v>1596</v>
      </c>
    </row>
    <row r="923" spans="1:28" ht="24" customHeight="1">
      <c r="A923" s="584"/>
      <c r="B923" s="460" t="s">
        <v>675</v>
      </c>
      <c r="C923" s="500" t="s">
        <v>2576</v>
      </c>
      <c r="D923" s="705" t="s">
        <v>2577</v>
      </c>
      <c r="E923" s="666">
        <f t="shared" si="71"/>
        <v>22</v>
      </c>
      <c r="F923" s="497">
        <v>0</v>
      </c>
      <c r="G923" s="666">
        <v>22</v>
      </c>
      <c r="H923" s="497">
        <v>0</v>
      </c>
      <c r="I923" s="497">
        <f t="shared" si="72"/>
        <v>11</v>
      </c>
      <c r="J923" s="497">
        <v>0</v>
      </c>
      <c r="K923" s="497">
        <v>11</v>
      </c>
      <c r="L923" s="721">
        <v>0</v>
      </c>
      <c r="M923" s="672">
        <v>93</v>
      </c>
      <c r="N923" s="498">
        <v>0</v>
      </c>
      <c r="O923" s="736" t="s">
        <v>5737</v>
      </c>
      <c r="P923" s="514" t="s">
        <v>7427</v>
      </c>
      <c r="Q923" s="842">
        <v>0</v>
      </c>
      <c r="R923" s="842">
        <v>0</v>
      </c>
      <c r="S923" s="842">
        <v>0</v>
      </c>
      <c r="T923" s="842">
        <v>0</v>
      </c>
      <c r="U923" s="514" t="s">
        <v>2502</v>
      </c>
      <c r="V923" s="537" t="s">
        <v>2578</v>
      </c>
      <c r="W923" s="498">
        <v>80</v>
      </c>
      <c r="X923" s="514" t="s">
        <v>1532</v>
      </c>
      <c r="Y923" s="514" t="s">
        <v>1533</v>
      </c>
      <c r="Z923" s="514"/>
      <c r="AA923" s="514" t="s">
        <v>1679</v>
      </c>
      <c r="AB923" s="531" t="s">
        <v>1596</v>
      </c>
    </row>
    <row r="924" spans="1:28" ht="24" customHeight="1">
      <c r="A924" s="584"/>
      <c r="B924" s="460" t="s">
        <v>675</v>
      </c>
      <c r="C924" s="500" t="s">
        <v>2579</v>
      </c>
      <c r="D924" s="705" t="s">
        <v>2580</v>
      </c>
      <c r="E924" s="666">
        <f t="shared" si="71"/>
        <v>30</v>
      </c>
      <c r="F924" s="497">
        <v>0</v>
      </c>
      <c r="G924" s="666">
        <v>30</v>
      </c>
      <c r="H924" s="497">
        <v>0</v>
      </c>
      <c r="I924" s="497">
        <f t="shared" si="72"/>
        <v>15</v>
      </c>
      <c r="J924" s="497">
        <v>0</v>
      </c>
      <c r="K924" s="497">
        <v>15</v>
      </c>
      <c r="L924" s="721">
        <v>0</v>
      </c>
      <c r="M924" s="672">
        <v>93</v>
      </c>
      <c r="N924" s="498">
        <v>0</v>
      </c>
      <c r="O924" s="736" t="s">
        <v>2581</v>
      </c>
      <c r="P924" s="514" t="s">
        <v>7427</v>
      </c>
      <c r="Q924" s="842">
        <v>0</v>
      </c>
      <c r="R924" s="842">
        <v>0</v>
      </c>
      <c r="S924" s="842">
        <v>0</v>
      </c>
      <c r="T924" s="842">
        <v>0</v>
      </c>
      <c r="U924" s="514" t="s">
        <v>2502</v>
      </c>
      <c r="V924" s="538" t="s">
        <v>2582</v>
      </c>
      <c r="W924" s="498">
        <v>512</v>
      </c>
      <c r="X924" s="514" t="s">
        <v>1532</v>
      </c>
      <c r="Y924" s="514" t="s">
        <v>1533</v>
      </c>
      <c r="Z924" s="514"/>
      <c r="AA924" s="514" t="s">
        <v>1685</v>
      </c>
      <c r="AB924" s="531" t="s">
        <v>1596</v>
      </c>
    </row>
    <row r="925" spans="1:28" ht="24" customHeight="1">
      <c r="A925" s="584"/>
      <c r="B925" s="460" t="s">
        <v>675</v>
      </c>
      <c r="C925" s="500" t="s">
        <v>2583</v>
      </c>
      <c r="D925" s="705" t="s">
        <v>2584</v>
      </c>
      <c r="E925" s="666">
        <f t="shared" si="71"/>
        <v>40</v>
      </c>
      <c r="F925" s="497">
        <v>0</v>
      </c>
      <c r="G925" s="666">
        <v>40</v>
      </c>
      <c r="H925" s="497">
        <v>0</v>
      </c>
      <c r="I925" s="497">
        <f t="shared" si="72"/>
        <v>20</v>
      </c>
      <c r="J925" s="497">
        <v>0</v>
      </c>
      <c r="K925" s="497">
        <v>20</v>
      </c>
      <c r="L925" s="721">
        <v>0</v>
      </c>
      <c r="M925" s="672">
        <v>93</v>
      </c>
      <c r="N925" s="498">
        <v>0</v>
      </c>
      <c r="O925" s="736" t="s">
        <v>2585</v>
      </c>
      <c r="P925" s="514" t="s">
        <v>7427</v>
      </c>
      <c r="Q925" s="842">
        <v>0</v>
      </c>
      <c r="R925" s="842">
        <v>0</v>
      </c>
      <c r="S925" s="842">
        <v>0</v>
      </c>
      <c r="T925" s="842">
        <v>0</v>
      </c>
      <c r="U925" s="514" t="s">
        <v>2502</v>
      </c>
      <c r="V925" s="537" t="s">
        <v>2110</v>
      </c>
      <c r="W925" s="498">
        <v>219</v>
      </c>
      <c r="X925" s="514" t="s">
        <v>1532</v>
      </c>
      <c r="Y925" s="514" t="s">
        <v>1533</v>
      </c>
      <c r="Z925" s="514"/>
      <c r="AA925" s="514" t="s">
        <v>1679</v>
      </c>
      <c r="AB925" s="531" t="s">
        <v>1596</v>
      </c>
    </row>
    <row r="926" spans="1:28" ht="24" customHeight="1">
      <c r="A926" s="584"/>
      <c r="B926" s="460" t="s">
        <v>675</v>
      </c>
      <c r="C926" s="500" t="s">
        <v>2586</v>
      </c>
      <c r="D926" s="705" t="s">
        <v>2587</v>
      </c>
      <c r="E926" s="666">
        <f t="shared" si="71"/>
        <v>35</v>
      </c>
      <c r="F926" s="497">
        <v>0</v>
      </c>
      <c r="G926" s="666">
        <v>35</v>
      </c>
      <c r="H926" s="497">
        <v>0</v>
      </c>
      <c r="I926" s="497">
        <f t="shared" si="72"/>
        <v>17</v>
      </c>
      <c r="J926" s="497">
        <v>0</v>
      </c>
      <c r="K926" s="497">
        <v>17</v>
      </c>
      <c r="L926" s="721">
        <v>0</v>
      </c>
      <c r="M926" s="672">
        <v>93</v>
      </c>
      <c r="N926" s="498">
        <v>0</v>
      </c>
      <c r="O926" s="736" t="s">
        <v>2535</v>
      </c>
      <c r="P926" s="514" t="s">
        <v>7427</v>
      </c>
      <c r="Q926" s="842">
        <v>0</v>
      </c>
      <c r="R926" s="842">
        <v>0</v>
      </c>
      <c r="S926" s="842">
        <v>0</v>
      </c>
      <c r="T926" s="842">
        <v>0</v>
      </c>
      <c r="U926" s="514" t="s">
        <v>2502</v>
      </c>
      <c r="V926" s="538" t="s">
        <v>2588</v>
      </c>
      <c r="W926" s="498">
        <v>495</v>
      </c>
      <c r="X926" s="514" t="s">
        <v>1532</v>
      </c>
      <c r="Y926" s="514" t="s">
        <v>1533</v>
      </c>
      <c r="Z926" s="514"/>
      <c r="AA926" s="514" t="s">
        <v>1679</v>
      </c>
      <c r="AB926" s="531" t="s">
        <v>1596</v>
      </c>
    </row>
    <row r="927" spans="1:28" ht="24" customHeight="1">
      <c r="A927" s="584"/>
      <c r="B927" s="460" t="s">
        <v>675</v>
      </c>
      <c r="C927" s="500" t="s">
        <v>2589</v>
      </c>
      <c r="D927" s="705" t="s">
        <v>2590</v>
      </c>
      <c r="E927" s="666">
        <f t="shared" ref="E927:E950" si="73">F927+G927+H927</f>
        <v>30</v>
      </c>
      <c r="F927" s="497">
        <v>0</v>
      </c>
      <c r="G927" s="666">
        <v>30</v>
      </c>
      <c r="H927" s="497">
        <v>0</v>
      </c>
      <c r="I927" s="497">
        <f t="shared" si="72"/>
        <v>15</v>
      </c>
      <c r="J927" s="497">
        <v>0</v>
      </c>
      <c r="K927" s="497">
        <v>15</v>
      </c>
      <c r="L927" s="721">
        <v>0</v>
      </c>
      <c r="M927" s="672">
        <v>93</v>
      </c>
      <c r="N927" s="498">
        <v>0</v>
      </c>
      <c r="O927" s="736" t="s">
        <v>2591</v>
      </c>
      <c r="P927" s="514" t="s">
        <v>7427</v>
      </c>
      <c r="Q927" s="842">
        <v>0</v>
      </c>
      <c r="R927" s="842">
        <v>0</v>
      </c>
      <c r="S927" s="842">
        <v>0</v>
      </c>
      <c r="T927" s="842">
        <v>0</v>
      </c>
      <c r="U927" s="514" t="s">
        <v>2502</v>
      </c>
      <c r="V927" s="538" t="s">
        <v>2588</v>
      </c>
      <c r="W927" s="498">
        <v>132</v>
      </c>
      <c r="X927" s="514" t="s">
        <v>1532</v>
      </c>
      <c r="Y927" s="514" t="s">
        <v>1533</v>
      </c>
      <c r="Z927" s="514" t="s">
        <v>1911</v>
      </c>
      <c r="AA927" s="514" t="s">
        <v>1685</v>
      </c>
      <c r="AB927" s="531" t="s">
        <v>1596</v>
      </c>
    </row>
    <row r="928" spans="1:28" ht="24" customHeight="1">
      <c r="A928" s="584"/>
      <c r="B928" s="460" t="s">
        <v>675</v>
      </c>
      <c r="C928" s="500" t="s">
        <v>2592</v>
      </c>
      <c r="D928" s="705" t="s">
        <v>2593</v>
      </c>
      <c r="E928" s="666">
        <f t="shared" si="73"/>
        <v>25</v>
      </c>
      <c r="F928" s="497">
        <v>0</v>
      </c>
      <c r="G928" s="666">
        <v>25</v>
      </c>
      <c r="H928" s="497">
        <v>0</v>
      </c>
      <c r="I928" s="497">
        <f t="shared" si="72"/>
        <v>13</v>
      </c>
      <c r="J928" s="497">
        <v>0</v>
      </c>
      <c r="K928" s="497">
        <v>13</v>
      </c>
      <c r="L928" s="721">
        <v>0</v>
      </c>
      <c r="M928" s="672">
        <v>93</v>
      </c>
      <c r="N928" s="498">
        <v>0</v>
      </c>
      <c r="O928" s="736" t="s">
        <v>2594</v>
      </c>
      <c r="P928" s="514" t="s">
        <v>7427</v>
      </c>
      <c r="Q928" s="842">
        <v>0</v>
      </c>
      <c r="R928" s="842">
        <v>0</v>
      </c>
      <c r="S928" s="842">
        <v>0</v>
      </c>
      <c r="T928" s="842">
        <v>0</v>
      </c>
      <c r="U928" s="514" t="s">
        <v>2502</v>
      </c>
      <c r="V928" s="537" t="s">
        <v>2595</v>
      </c>
      <c r="W928" s="498">
        <v>90</v>
      </c>
      <c r="X928" s="514" t="s">
        <v>1532</v>
      </c>
      <c r="Y928" s="514" t="s">
        <v>1533</v>
      </c>
      <c r="Z928" s="514"/>
      <c r="AA928" s="514" t="s">
        <v>1679</v>
      </c>
      <c r="AB928" s="531" t="s">
        <v>1596</v>
      </c>
    </row>
    <row r="929" spans="1:28" ht="24" customHeight="1">
      <c r="A929" s="584"/>
      <c r="B929" s="460" t="s">
        <v>675</v>
      </c>
      <c r="C929" s="500" t="s">
        <v>2596</v>
      </c>
      <c r="D929" s="705" t="s">
        <v>2597</v>
      </c>
      <c r="E929" s="666">
        <f t="shared" si="73"/>
        <v>45</v>
      </c>
      <c r="F929" s="497">
        <v>0</v>
      </c>
      <c r="G929" s="666">
        <v>45</v>
      </c>
      <c r="H929" s="497">
        <v>0</v>
      </c>
      <c r="I929" s="497">
        <f t="shared" si="72"/>
        <v>23</v>
      </c>
      <c r="J929" s="497">
        <v>0</v>
      </c>
      <c r="K929" s="497">
        <v>23</v>
      </c>
      <c r="L929" s="721">
        <v>0</v>
      </c>
      <c r="M929" s="672">
        <v>93</v>
      </c>
      <c r="N929" s="498">
        <v>0</v>
      </c>
      <c r="O929" s="736" t="s">
        <v>2598</v>
      </c>
      <c r="P929" s="514" t="s">
        <v>7427</v>
      </c>
      <c r="Q929" s="842">
        <v>0</v>
      </c>
      <c r="R929" s="842">
        <v>0</v>
      </c>
      <c r="S929" s="842">
        <v>0</v>
      </c>
      <c r="T929" s="842">
        <v>0</v>
      </c>
      <c r="U929" s="514" t="s">
        <v>2502</v>
      </c>
      <c r="V929" s="537">
        <v>38896</v>
      </c>
      <c r="W929" s="498">
        <v>478</v>
      </c>
      <c r="X929" s="514" t="s">
        <v>1532</v>
      </c>
      <c r="Y929" s="514" t="s">
        <v>1533</v>
      </c>
      <c r="Z929" s="514"/>
      <c r="AA929" s="514" t="s">
        <v>1679</v>
      </c>
      <c r="AB929" s="531" t="s">
        <v>1596</v>
      </c>
    </row>
    <row r="930" spans="1:28" ht="24" customHeight="1">
      <c r="A930" s="584"/>
      <c r="B930" s="460" t="s">
        <v>675</v>
      </c>
      <c r="C930" s="500" t="s">
        <v>2599</v>
      </c>
      <c r="D930" s="705" t="s">
        <v>2600</v>
      </c>
      <c r="E930" s="666">
        <f t="shared" si="73"/>
        <v>35</v>
      </c>
      <c r="F930" s="497">
        <v>0</v>
      </c>
      <c r="G930" s="666">
        <v>35</v>
      </c>
      <c r="H930" s="497">
        <v>0</v>
      </c>
      <c r="I930" s="497">
        <f t="shared" si="72"/>
        <v>18</v>
      </c>
      <c r="J930" s="497">
        <v>0</v>
      </c>
      <c r="K930" s="497">
        <v>18</v>
      </c>
      <c r="L930" s="721">
        <v>0</v>
      </c>
      <c r="M930" s="672">
        <v>93</v>
      </c>
      <c r="N930" s="498">
        <v>0</v>
      </c>
      <c r="O930" s="736" t="s">
        <v>2601</v>
      </c>
      <c r="P930" s="514" t="s">
        <v>7427</v>
      </c>
      <c r="Q930" s="842">
        <v>0</v>
      </c>
      <c r="R930" s="842">
        <v>0</v>
      </c>
      <c r="S930" s="842">
        <v>0</v>
      </c>
      <c r="T930" s="842">
        <v>0</v>
      </c>
      <c r="U930" s="514" t="s">
        <v>2502</v>
      </c>
      <c r="V930" s="537" t="s">
        <v>2602</v>
      </c>
      <c r="W930" s="498">
        <v>109</v>
      </c>
      <c r="X930" s="514" t="s">
        <v>1532</v>
      </c>
      <c r="Y930" s="514" t="s">
        <v>1533</v>
      </c>
      <c r="Z930" s="514" t="s">
        <v>2512</v>
      </c>
      <c r="AA930" s="514" t="s">
        <v>1685</v>
      </c>
      <c r="AB930" s="531" t="s">
        <v>1596</v>
      </c>
    </row>
    <row r="931" spans="1:28" ht="24" customHeight="1">
      <c r="A931" s="584"/>
      <c r="B931" s="460" t="s">
        <v>675</v>
      </c>
      <c r="C931" s="500" t="s">
        <v>2603</v>
      </c>
      <c r="D931" s="705" t="s">
        <v>2604</v>
      </c>
      <c r="E931" s="666">
        <f t="shared" si="73"/>
        <v>80</v>
      </c>
      <c r="F931" s="497">
        <v>0</v>
      </c>
      <c r="G931" s="666">
        <v>80</v>
      </c>
      <c r="H931" s="497">
        <v>0</v>
      </c>
      <c r="I931" s="497">
        <f t="shared" si="72"/>
        <v>40</v>
      </c>
      <c r="J931" s="497">
        <v>0</v>
      </c>
      <c r="K931" s="497">
        <v>40</v>
      </c>
      <c r="L931" s="721">
        <v>0</v>
      </c>
      <c r="M931" s="672">
        <v>93</v>
      </c>
      <c r="N931" s="498">
        <v>0</v>
      </c>
      <c r="O931" s="736" t="s">
        <v>1270</v>
      </c>
      <c r="P931" s="514" t="s">
        <v>7427</v>
      </c>
      <c r="Q931" s="842">
        <v>0</v>
      </c>
      <c r="R931" s="842">
        <v>0</v>
      </c>
      <c r="S931" s="842">
        <v>0</v>
      </c>
      <c r="T931" s="842">
        <v>0</v>
      </c>
      <c r="U931" s="514" t="s">
        <v>2502</v>
      </c>
      <c r="V931" s="537" t="s">
        <v>2605</v>
      </c>
      <c r="W931" s="498">
        <v>295</v>
      </c>
      <c r="X931" s="514" t="s">
        <v>1532</v>
      </c>
      <c r="Y931" s="514" t="s">
        <v>1533</v>
      </c>
      <c r="Z931" s="514" t="s">
        <v>2512</v>
      </c>
      <c r="AA931" s="514" t="s">
        <v>1685</v>
      </c>
      <c r="AB931" s="531" t="s">
        <v>1596</v>
      </c>
    </row>
    <row r="932" spans="1:28" ht="24" customHeight="1">
      <c r="A932" s="584"/>
      <c r="B932" s="460" t="s">
        <v>675</v>
      </c>
      <c r="C932" s="500" t="s">
        <v>2606</v>
      </c>
      <c r="D932" s="705" t="s">
        <v>2607</v>
      </c>
      <c r="E932" s="666">
        <f t="shared" si="73"/>
        <v>40</v>
      </c>
      <c r="F932" s="497">
        <v>0</v>
      </c>
      <c r="G932" s="666">
        <v>40</v>
      </c>
      <c r="H932" s="497">
        <v>0</v>
      </c>
      <c r="I932" s="497">
        <f t="shared" si="72"/>
        <v>20</v>
      </c>
      <c r="J932" s="497">
        <v>0</v>
      </c>
      <c r="K932" s="497">
        <v>20</v>
      </c>
      <c r="L932" s="721">
        <v>0</v>
      </c>
      <c r="M932" s="672">
        <v>93</v>
      </c>
      <c r="N932" s="498">
        <v>0</v>
      </c>
      <c r="O932" s="736" t="s">
        <v>5089</v>
      </c>
      <c r="P932" s="514" t="s">
        <v>7427</v>
      </c>
      <c r="Q932" s="842">
        <v>0</v>
      </c>
      <c r="R932" s="842">
        <v>0</v>
      </c>
      <c r="S932" s="842">
        <v>0</v>
      </c>
      <c r="T932" s="842">
        <v>0</v>
      </c>
      <c r="U932" s="514" t="s">
        <v>2502</v>
      </c>
      <c r="V932" s="537" t="s">
        <v>2608</v>
      </c>
      <c r="W932" s="498">
        <v>212</v>
      </c>
      <c r="X932" s="514" t="s">
        <v>1532</v>
      </c>
      <c r="Y932" s="514" t="s">
        <v>1533</v>
      </c>
      <c r="Z932" s="514" t="s">
        <v>2512</v>
      </c>
      <c r="AA932" s="514" t="s">
        <v>1685</v>
      </c>
      <c r="AB932" s="531" t="s">
        <v>1596</v>
      </c>
    </row>
    <row r="933" spans="1:28" ht="24" customHeight="1">
      <c r="A933" s="584"/>
      <c r="B933" s="460" t="s">
        <v>675</v>
      </c>
      <c r="C933" s="500" t="s">
        <v>2609</v>
      </c>
      <c r="D933" s="705" t="s">
        <v>2610</v>
      </c>
      <c r="E933" s="666">
        <f t="shared" si="73"/>
        <v>30</v>
      </c>
      <c r="F933" s="497">
        <v>0</v>
      </c>
      <c r="G933" s="666">
        <v>30</v>
      </c>
      <c r="H933" s="497">
        <v>0</v>
      </c>
      <c r="I933" s="497">
        <f t="shared" si="72"/>
        <v>15</v>
      </c>
      <c r="J933" s="497">
        <v>0</v>
      </c>
      <c r="K933" s="497">
        <v>15</v>
      </c>
      <c r="L933" s="721">
        <v>0</v>
      </c>
      <c r="M933" s="672">
        <v>93</v>
      </c>
      <c r="N933" s="498">
        <v>0</v>
      </c>
      <c r="O933" s="736" t="s">
        <v>5698</v>
      </c>
      <c r="P933" s="514" t="s">
        <v>7427</v>
      </c>
      <c r="Q933" s="842">
        <v>0</v>
      </c>
      <c r="R933" s="842">
        <v>0</v>
      </c>
      <c r="S933" s="842">
        <v>0</v>
      </c>
      <c r="T933" s="842">
        <v>0</v>
      </c>
      <c r="U933" s="514" t="s">
        <v>2502</v>
      </c>
      <c r="V933" s="537" t="s">
        <v>2611</v>
      </c>
      <c r="W933" s="498">
        <v>324</v>
      </c>
      <c r="X933" s="514" t="s">
        <v>1532</v>
      </c>
      <c r="Y933" s="514" t="s">
        <v>1533</v>
      </c>
      <c r="Z933" s="514"/>
      <c r="AA933" s="514" t="s">
        <v>1679</v>
      </c>
      <c r="AB933" s="531" t="s">
        <v>1596</v>
      </c>
    </row>
    <row r="934" spans="1:28" ht="24" customHeight="1">
      <c r="A934" s="584"/>
      <c r="B934" s="460" t="s">
        <v>675</v>
      </c>
      <c r="C934" s="500" t="s">
        <v>2612</v>
      </c>
      <c r="D934" s="705" t="s">
        <v>2613</v>
      </c>
      <c r="E934" s="666">
        <f t="shared" si="73"/>
        <v>20</v>
      </c>
      <c r="F934" s="497">
        <v>0</v>
      </c>
      <c r="G934" s="666">
        <v>20</v>
      </c>
      <c r="H934" s="497">
        <v>0</v>
      </c>
      <c r="I934" s="497">
        <f t="shared" si="72"/>
        <v>10</v>
      </c>
      <c r="J934" s="497">
        <v>0</v>
      </c>
      <c r="K934" s="497">
        <v>10</v>
      </c>
      <c r="L934" s="721">
        <v>0</v>
      </c>
      <c r="M934" s="672">
        <v>93</v>
      </c>
      <c r="N934" s="498">
        <v>0</v>
      </c>
      <c r="O934" s="736" t="s">
        <v>2614</v>
      </c>
      <c r="P934" s="514" t="s">
        <v>7427</v>
      </c>
      <c r="Q934" s="842">
        <v>0</v>
      </c>
      <c r="R934" s="842">
        <v>0</v>
      </c>
      <c r="S934" s="842">
        <v>0</v>
      </c>
      <c r="T934" s="842">
        <v>0</v>
      </c>
      <c r="U934" s="514" t="s">
        <v>2502</v>
      </c>
      <c r="V934" s="537" t="s">
        <v>2615</v>
      </c>
      <c r="W934" s="498">
        <v>72</v>
      </c>
      <c r="X934" s="514" t="s">
        <v>1532</v>
      </c>
      <c r="Y934" s="514" t="s">
        <v>1533</v>
      </c>
      <c r="Z934" s="514" t="s">
        <v>2512</v>
      </c>
      <c r="AA934" s="514" t="s">
        <v>1685</v>
      </c>
      <c r="AB934" s="531" t="s">
        <v>1596</v>
      </c>
    </row>
    <row r="935" spans="1:28" ht="24" customHeight="1">
      <c r="A935" s="584"/>
      <c r="B935" s="460" t="s">
        <v>675</v>
      </c>
      <c r="C935" s="500" t="s">
        <v>2616</v>
      </c>
      <c r="D935" s="705" t="s">
        <v>2617</v>
      </c>
      <c r="E935" s="666">
        <f t="shared" si="73"/>
        <v>51</v>
      </c>
      <c r="F935" s="497">
        <v>0</v>
      </c>
      <c r="G935" s="666">
        <v>51</v>
      </c>
      <c r="H935" s="497">
        <v>0</v>
      </c>
      <c r="I935" s="497">
        <f t="shared" si="72"/>
        <v>26</v>
      </c>
      <c r="J935" s="497">
        <v>0</v>
      </c>
      <c r="K935" s="497">
        <v>26</v>
      </c>
      <c r="L935" s="721">
        <v>0</v>
      </c>
      <c r="M935" s="672">
        <v>93</v>
      </c>
      <c r="N935" s="498">
        <v>0</v>
      </c>
      <c r="O935" s="736" t="s">
        <v>938</v>
      </c>
      <c r="P935" s="514" t="s">
        <v>7427</v>
      </c>
      <c r="Q935" s="842">
        <v>0</v>
      </c>
      <c r="R935" s="842">
        <v>0</v>
      </c>
      <c r="S935" s="842">
        <v>0</v>
      </c>
      <c r="T935" s="842">
        <v>0</v>
      </c>
      <c r="U935" s="514" t="s">
        <v>2502</v>
      </c>
      <c r="V935" s="537" t="s">
        <v>2618</v>
      </c>
      <c r="W935" s="498">
        <v>140</v>
      </c>
      <c r="X935" s="514" t="s">
        <v>1532</v>
      </c>
      <c r="Y935" s="514" t="s">
        <v>1533</v>
      </c>
      <c r="Z935" s="514" t="s">
        <v>2512</v>
      </c>
      <c r="AA935" s="514" t="s">
        <v>1685</v>
      </c>
      <c r="AB935" s="531" t="s">
        <v>1596</v>
      </c>
    </row>
    <row r="936" spans="1:28" ht="24" customHeight="1">
      <c r="A936" s="584"/>
      <c r="B936" s="460" t="s">
        <v>675</v>
      </c>
      <c r="C936" s="500" t="s">
        <v>2619</v>
      </c>
      <c r="D936" s="705" t="s">
        <v>2620</v>
      </c>
      <c r="E936" s="666">
        <f t="shared" si="73"/>
        <v>45</v>
      </c>
      <c r="F936" s="497">
        <v>0</v>
      </c>
      <c r="G936" s="666">
        <v>45</v>
      </c>
      <c r="H936" s="497">
        <v>0</v>
      </c>
      <c r="I936" s="497">
        <f t="shared" si="72"/>
        <v>23</v>
      </c>
      <c r="J936" s="497">
        <v>0</v>
      </c>
      <c r="K936" s="497">
        <v>23</v>
      </c>
      <c r="L936" s="721">
        <v>0</v>
      </c>
      <c r="M936" s="672">
        <v>93</v>
      </c>
      <c r="N936" s="498">
        <v>0</v>
      </c>
      <c r="O936" s="736" t="s">
        <v>938</v>
      </c>
      <c r="P936" s="514" t="s">
        <v>7427</v>
      </c>
      <c r="Q936" s="842">
        <v>0</v>
      </c>
      <c r="R936" s="842">
        <v>0</v>
      </c>
      <c r="S936" s="842">
        <v>0</v>
      </c>
      <c r="T936" s="842">
        <v>0</v>
      </c>
      <c r="U936" s="514" t="s">
        <v>2502</v>
      </c>
      <c r="V936" s="537" t="s">
        <v>2618</v>
      </c>
      <c r="W936" s="498">
        <v>204</v>
      </c>
      <c r="X936" s="514" t="s">
        <v>1532</v>
      </c>
      <c r="Y936" s="514" t="s">
        <v>1533</v>
      </c>
      <c r="Z936" s="514" t="s">
        <v>2512</v>
      </c>
      <c r="AA936" s="514" t="s">
        <v>1685</v>
      </c>
      <c r="AB936" s="531" t="s">
        <v>1596</v>
      </c>
    </row>
    <row r="937" spans="1:28" ht="24" customHeight="1">
      <c r="A937" s="584"/>
      <c r="B937" s="460" t="s">
        <v>675</v>
      </c>
      <c r="C937" s="500" t="s">
        <v>2621</v>
      </c>
      <c r="D937" s="705" t="s">
        <v>2622</v>
      </c>
      <c r="E937" s="666">
        <f t="shared" si="73"/>
        <v>40</v>
      </c>
      <c r="F937" s="497">
        <v>0</v>
      </c>
      <c r="G937" s="666">
        <v>40</v>
      </c>
      <c r="H937" s="497">
        <v>0</v>
      </c>
      <c r="I937" s="497">
        <f t="shared" si="72"/>
        <v>20</v>
      </c>
      <c r="J937" s="497">
        <v>0</v>
      </c>
      <c r="K937" s="497">
        <v>20</v>
      </c>
      <c r="L937" s="721">
        <v>0</v>
      </c>
      <c r="M937" s="672">
        <v>93</v>
      </c>
      <c r="N937" s="498">
        <v>0</v>
      </c>
      <c r="O937" s="736" t="s">
        <v>5737</v>
      </c>
      <c r="P937" s="514" t="s">
        <v>7427</v>
      </c>
      <c r="Q937" s="842">
        <v>0</v>
      </c>
      <c r="R937" s="842">
        <v>0</v>
      </c>
      <c r="S937" s="842">
        <v>0</v>
      </c>
      <c r="T937" s="842">
        <v>0</v>
      </c>
      <c r="U937" s="514" t="s">
        <v>2502</v>
      </c>
      <c r="V937" s="537" t="s">
        <v>2605</v>
      </c>
      <c r="W937" s="498">
        <v>98</v>
      </c>
      <c r="X937" s="514" t="s">
        <v>1532</v>
      </c>
      <c r="Y937" s="514" t="s">
        <v>1533</v>
      </c>
      <c r="Z937" s="514" t="s">
        <v>2512</v>
      </c>
      <c r="AA937" s="514" t="s">
        <v>1685</v>
      </c>
      <c r="AB937" s="531" t="s">
        <v>1596</v>
      </c>
    </row>
    <row r="938" spans="1:28" ht="24" customHeight="1">
      <c r="A938" s="584"/>
      <c r="B938" s="460" t="s">
        <v>675</v>
      </c>
      <c r="C938" s="500" t="s">
        <v>2623</v>
      </c>
      <c r="D938" s="705" t="s">
        <v>2624</v>
      </c>
      <c r="E938" s="666">
        <f t="shared" si="73"/>
        <v>40</v>
      </c>
      <c r="F938" s="497">
        <v>0</v>
      </c>
      <c r="G938" s="666">
        <v>40</v>
      </c>
      <c r="H938" s="497">
        <v>0</v>
      </c>
      <c r="I938" s="497">
        <f t="shared" si="72"/>
        <v>20</v>
      </c>
      <c r="J938" s="497">
        <v>0</v>
      </c>
      <c r="K938" s="497">
        <v>20</v>
      </c>
      <c r="L938" s="721">
        <v>0</v>
      </c>
      <c r="M938" s="672">
        <v>93</v>
      </c>
      <c r="N938" s="498">
        <v>0</v>
      </c>
      <c r="O938" s="736" t="s">
        <v>5089</v>
      </c>
      <c r="P938" s="514" t="s">
        <v>7427</v>
      </c>
      <c r="Q938" s="842">
        <v>0</v>
      </c>
      <c r="R938" s="842">
        <v>0</v>
      </c>
      <c r="S938" s="842">
        <v>0</v>
      </c>
      <c r="T938" s="842">
        <v>0</v>
      </c>
      <c r="U938" s="514" t="s">
        <v>2502</v>
      </c>
      <c r="V938" s="537" t="s">
        <v>5204</v>
      </c>
      <c r="W938" s="498">
        <v>132</v>
      </c>
      <c r="X938" s="514" t="s">
        <v>1532</v>
      </c>
      <c r="Y938" s="514" t="s">
        <v>1533</v>
      </c>
      <c r="Z938" s="514" t="s">
        <v>2512</v>
      </c>
      <c r="AA938" s="514" t="s">
        <v>1685</v>
      </c>
      <c r="AB938" s="531" t="s">
        <v>1596</v>
      </c>
    </row>
    <row r="939" spans="1:28" ht="24" customHeight="1">
      <c r="A939" s="584"/>
      <c r="B939" s="460" t="s">
        <v>675</v>
      </c>
      <c r="C939" s="500" t="s">
        <v>2625</v>
      </c>
      <c r="D939" s="705" t="s">
        <v>2626</v>
      </c>
      <c r="E939" s="666">
        <f t="shared" si="73"/>
        <v>25</v>
      </c>
      <c r="F939" s="497">
        <v>0</v>
      </c>
      <c r="G939" s="666">
        <v>25</v>
      </c>
      <c r="H939" s="497">
        <v>0</v>
      </c>
      <c r="I939" s="497">
        <f t="shared" si="72"/>
        <v>12</v>
      </c>
      <c r="J939" s="497">
        <v>0</v>
      </c>
      <c r="K939" s="497">
        <v>12</v>
      </c>
      <c r="L939" s="721">
        <v>0</v>
      </c>
      <c r="M939" s="672">
        <v>93</v>
      </c>
      <c r="N939" s="498">
        <v>0</v>
      </c>
      <c r="O939" s="736" t="s">
        <v>2627</v>
      </c>
      <c r="P939" s="514" t="s">
        <v>7427</v>
      </c>
      <c r="Q939" s="842">
        <v>0</v>
      </c>
      <c r="R939" s="842">
        <v>0</v>
      </c>
      <c r="S939" s="842">
        <v>0</v>
      </c>
      <c r="T939" s="842">
        <v>0</v>
      </c>
      <c r="U939" s="514" t="s">
        <v>2502</v>
      </c>
      <c r="V939" s="537" t="s">
        <v>2628</v>
      </c>
      <c r="W939" s="498">
        <v>176</v>
      </c>
      <c r="X939" s="514" t="s">
        <v>1532</v>
      </c>
      <c r="Y939" s="514" t="s">
        <v>1533</v>
      </c>
      <c r="Z939" s="514" t="s">
        <v>2512</v>
      </c>
      <c r="AA939" s="514" t="s">
        <v>1685</v>
      </c>
      <c r="AB939" s="531" t="s">
        <v>1596</v>
      </c>
    </row>
    <row r="940" spans="1:28" ht="24" customHeight="1">
      <c r="A940" s="584"/>
      <c r="B940" s="460" t="s">
        <v>675</v>
      </c>
      <c r="C940" s="500" t="s">
        <v>2629</v>
      </c>
      <c r="D940" s="705" t="s">
        <v>2630</v>
      </c>
      <c r="E940" s="666">
        <f t="shared" si="73"/>
        <v>25</v>
      </c>
      <c r="F940" s="497">
        <v>0</v>
      </c>
      <c r="G940" s="666">
        <v>25</v>
      </c>
      <c r="H940" s="497">
        <v>0</v>
      </c>
      <c r="I940" s="497">
        <f t="shared" ref="I940:I950" si="74">J940+K940+L940</f>
        <v>13</v>
      </c>
      <c r="J940" s="497">
        <v>0</v>
      </c>
      <c r="K940" s="497">
        <v>13</v>
      </c>
      <c r="L940" s="721">
        <v>0</v>
      </c>
      <c r="M940" s="672">
        <v>93</v>
      </c>
      <c r="N940" s="498">
        <v>0</v>
      </c>
      <c r="O940" s="736" t="s">
        <v>2631</v>
      </c>
      <c r="P940" s="514" t="s">
        <v>7427</v>
      </c>
      <c r="Q940" s="842">
        <v>0</v>
      </c>
      <c r="R940" s="842">
        <v>0</v>
      </c>
      <c r="S940" s="842">
        <v>0</v>
      </c>
      <c r="T940" s="842">
        <v>0</v>
      </c>
      <c r="U940" s="514" t="s">
        <v>2502</v>
      </c>
      <c r="V940" s="537" t="s">
        <v>3619</v>
      </c>
      <c r="W940" s="498">
        <v>132</v>
      </c>
      <c r="X940" s="514" t="s">
        <v>1532</v>
      </c>
      <c r="Y940" s="514" t="s">
        <v>1533</v>
      </c>
      <c r="Z940" s="514" t="s">
        <v>2512</v>
      </c>
      <c r="AA940" s="514" t="s">
        <v>1685</v>
      </c>
      <c r="AB940" s="531" t="s">
        <v>1596</v>
      </c>
    </row>
    <row r="941" spans="1:28" ht="24" customHeight="1">
      <c r="A941" s="584"/>
      <c r="B941" s="460" t="s">
        <v>675</v>
      </c>
      <c r="C941" s="500" t="s">
        <v>2632</v>
      </c>
      <c r="D941" s="705" t="s">
        <v>2633</v>
      </c>
      <c r="E941" s="666">
        <f t="shared" si="73"/>
        <v>46</v>
      </c>
      <c r="F941" s="497">
        <v>0</v>
      </c>
      <c r="G941" s="666">
        <v>46</v>
      </c>
      <c r="H941" s="497">
        <v>0</v>
      </c>
      <c r="I941" s="497">
        <f t="shared" si="74"/>
        <v>23</v>
      </c>
      <c r="J941" s="497">
        <v>0</v>
      </c>
      <c r="K941" s="497">
        <v>23</v>
      </c>
      <c r="L941" s="721">
        <v>0</v>
      </c>
      <c r="M941" s="672">
        <v>93</v>
      </c>
      <c r="N941" s="498">
        <v>0</v>
      </c>
      <c r="O941" s="736" t="s">
        <v>2526</v>
      </c>
      <c r="P941" s="514" t="s">
        <v>7427</v>
      </c>
      <c r="Q941" s="842">
        <v>0</v>
      </c>
      <c r="R941" s="842">
        <v>0</v>
      </c>
      <c r="S941" s="842">
        <v>0</v>
      </c>
      <c r="T941" s="842">
        <v>0</v>
      </c>
      <c r="U941" s="514" t="s">
        <v>2502</v>
      </c>
      <c r="V941" s="537" t="s">
        <v>2634</v>
      </c>
      <c r="W941" s="498">
        <v>128</v>
      </c>
      <c r="X941" s="514" t="s">
        <v>1532</v>
      </c>
      <c r="Y941" s="514" t="s">
        <v>1533</v>
      </c>
      <c r="Z941" s="514" t="s">
        <v>2520</v>
      </c>
      <c r="AA941" s="514" t="s">
        <v>1685</v>
      </c>
      <c r="AB941" s="531" t="s">
        <v>1596</v>
      </c>
    </row>
    <row r="942" spans="1:28" ht="24" customHeight="1">
      <c r="A942" s="584"/>
      <c r="B942" s="460" t="s">
        <v>675</v>
      </c>
      <c r="C942" s="500" t="s">
        <v>2635</v>
      </c>
      <c r="D942" s="705" t="s">
        <v>2636</v>
      </c>
      <c r="E942" s="666">
        <f t="shared" si="73"/>
        <v>30</v>
      </c>
      <c r="F942" s="497">
        <v>0</v>
      </c>
      <c r="G942" s="666">
        <v>30</v>
      </c>
      <c r="H942" s="497">
        <v>0</v>
      </c>
      <c r="I942" s="497">
        <f t="shared" si="74"/>
        <v>15</v>
      </c>
      <c r="J942" s="497">
        <v>0</v>
      </c>
      <c r="K942" s="497">
        <v>15</v>
      </c>
      <c r="L942" s="721">
        <v>0</v>
      </c>
      <c r="M942" s="672">
        <v>93</v>
      </c>
      <c r="N942" s="498">
        <v>0</v>
      </c>
      <c r="O942" s="736" t="s">
        <v>2535</v>
      </c>
      <c r="P942" s="514" t="s">
        <v>7427</v>
      </c>
      <c r="Q942" s="842">
        <v>0</v>
      </c>
      <c r="R942" s="842">
        <v>0</v>
      </c>
      <c r="S942" s="842">
        <v>0</v>
      </c>
      <c r="T942" s="842">
        <v>0</v>
      </c>
      <c r="U942" s="514" t="s">
        <v>2502</v>
      </c>
      <c r="V942" s="537" t="s">
        <v>3843</v>
      </c>
      <c r="W942" s="498">
        <v>178</v>
      </c>
      <c r="X942" s="514" t="s">
        <v>1532</v>
      </c>
      <c r="Y942" s="514" t="s">
        <v>1533</v>
      </c>
      <c r="Z942" s="514" t="s">
        <v>2520</v>
      </c>
      <c r="AA942" s="514" t="s">
        <v>1685</v>
      </c>
      <c r="AB942" s="531" t="s">
        <v>1596</v>
      </c>
    </row>
    <row r="943" spans="1:28" ht="24" customHeight="1">
      <c r="A943" s="584"/>
      <c r="B943" s="460" t="s">
        <v>675</v>
      </c>
      <c r="C943" s="500" t="s">
        <v>2637</v>
      </c>
      <c r="D943" s="705" t="s">
        <v>2638</v>
      </c>
      <c r="E943" s="666">
        <f t="shared" si="73"/>
        <v>25</v>
      </c>
      <c r="F943" s="497">
        <v>0</v>
      </c>
      <c r="G943" s="666">
        <v>25</v>
      </c>
      <c r="H943" s="497">
        <v>0</v>
      </c>
      <c r="I943" s="497">
        <f t="shared" si="74"/>
        <v>12</v>
      </c>
      <c r="J943" s="497">
        <v>0</v>
      </c>
      <c r="K943" s="497">
        <v>12</v>
      </c>
      <c r="L943" s="721">
        <v>0</v>
      </c>
      <c r="M943" s="672">
        <v>93</v>
      </c>
      <c r="N943" s="498">
        <v>0</v>
      </c>
      <c r="O943" s="736" t="s">
        <v>2639</v>
      </c>
      <c r="P943" s="514" t="s">
        <v>7427</v>
      </c>
      <c r="Q943" s="842">
        <v>0</v>
      </c>
      <c r="R943" s="842">
        <v>0</v>
      </c>
      <c r="S943" s="842">
        <v>0</v>
      </c>
      <c r="T943" s="842">
        <v>0</v>
      </c>
      <c r="U943" s="514" t="s">
        <v>2502</v>
      </c>
      <c r="V943" s="537" t="s">
        <v>2640</v>
      </c>
      <c r="W943" s="498">
        <v>194</v>
      </c>
      <c r="X943" s="514" t="s">
        <v>1532</v>
      </c>
      <c r="Y943" s="514" t="s">
        <v>1533</v>
      </c>
      <c r="Z943" s="514" t="s">
        <v>2520</v>
      </c>
      <c r="AA943" s="514" t="s">
        <v>1685</v>
      </c>
      <c r="AB943" s="531" t="s">
        <v>1596</v>
      </c>
    </row>
    <row r="944" spans="1:28" ht="24" customHeight="1">
      <c r="A944" s="584"/>
      <c r="B944" s="460" t="s">
        <v>675</v>
      </c>
      <c r="C944" s="500" t="s">
        <v>2641</v>
      </c>
      <c r="D944" s="705" t="s">
        <v>2642</v>
      </c>
      <c r="E944" s="666">
        <f t="shared" si="73"/>
        <v>25</v>
      </c>
      <c r="F944" s="497">
        <v>0</v>
      </c>
      <c r="G944" s="666">
        <v>25</v>
      </c>
      <c r="H944" s="497">
        <v>0</v>
      </c>
      <c r="I944" s="497">
        <f t="shared" si="74"/>
        <v>12</v>
      </c>
      <c r="J944" s="497">
        <v>0</v>
      </c>
      <c r="K944" s="497">
        <v>12</v>
      </c>
      <c r="L944" s="721">
        <v>0</v>
      </c>
      <c r="M944" s="672">
        <v>93</v>
      </c>
      <c r="N944" s="498">
        <v>0</v>
      </c>
      <c r="O944" s="736" t="s">
        <v>2639</v>
      </c>
      <c r="P944" s="514" t="s">
        <v>7427</v>
      </c>
      <c r="Q944" s="842">
        <v>0</v>
      </c>
      <c r="R944" s="842">
        <v>0</v>
      </c>
      <c r="S944" s="842">
        <v>0</v>
      </c>
      <c r="T944" s="842">
        <v>0</v>
      </c>
      <c r="U944" s="514" t="s">
        <v>2502</v>
      </c>
      <c r="V944" s="537" t="s">
        <v>2640</v>
      </c>
      <c r="W944" s="498">
        <v>194</v>
      </c>
      <c r="X944" s="514" t="s">
        <v>1532</v>
      </c>
      <c r="Y944" s="514" t="s">
        <v>1533</v>
      </c>
      <c r="Z944" s="514" t="s">
        <v>2520</v>
      </c>
      <c r="AA944" s="514" t="s">
        <v>1685</v>
      </c>
      <c r="AB944" s="531" t="s">
        <v>1596</v>
      </c>
    </row>
    <row r="945" spans="1:28" ht="24" customHeight="1">
      <c r="A945" s="584"/>
      <c r="B945" s="460" t="s">
        <v>675</v>
      </c>
      <c r="C945" s="500" t="s">
        <v>2643</v>
      </c>
      <c r="D945" s="705" t="s">
        <v>2644</v>
      </c>
      <c r="E945" s="666">
        <f t="shared" si="73"/>
        <v>46</v>
      </c>
      <c r="F945" s="497">
        <v>0</v>
      </c>
      <c r="G945" s="666">
        <v>46</v>
      </c>
      <c r="H945" s="497">
        <v>0</v>
      </c>
      <c r="I945" s="497">
        <f t="shared" si="74"/>
        <v>23</v>
      </c>
      <c r="J945" s="497">
        <v>0</v>
      </c>
      <c r="K945" s="497">
        <v>23</v>
      </c>
      <c r="L945" s="721">
        <v>0</v>
      </c>
      <c r="M945" s="672">
        <v>93</v>
      </c>
      <c r="N945" s="498">
        <v>0</v>
      </c>
      <c r="O945" s="736" t="s">
        <v>2526</v>
      </c>
      <c r="P945" s="514" t="s">
        <v>7427</v>
      </c>
      <c r="Q945" s="842">
        <v>0</v>
      </c>
      <c r="R945" s="842">
        <v>0</v>
      </c>
      <c r="S945" s="842">
        <v>0</v>
      </c>
      <c r="T945" s="842">
        <v>0</v>
      </c>
      <c r="U945" s="514" t="s">
        <v>2502</v>
      </c>
      <c r="V945" s="538" t="s">
        <v>2331</v>
      </c>
      <c r="W945" s="498">
        <v>140</v>
      </c>
      <c r="X945" s="514" t="s">
        <v>1532</v>
      </c>
      <c r="Y945" s="514" t="s">
        <v>1533</v>
      </c>
      <c r="Z945" s="514" t="s">
        <v>2520</v>
      </c>
      <c r="AA945" s="514" t="s">
        <v>1685</v>
      </c>
      <c r="AB945" s="531" t="s">
        <v>1596</v>
      </c>
    </row>
    <row r="946" spans="1:28" ht="24" customHeight="1">
      <c r="A946" s="584"/>
      <c r="B946" s="460" t="s">
        <v>675</v>
      </c>
      <c r="C946" s="500" t="s">
        <v>2645</v>
      </c>
      <c r="D946" s="705" t="s">
        <v>2646</v>
      </c>
      <c r="E946" s="666">
        <f t="shared" si="73"/>
        <v>40</v>
      </c>
      <c r="F946" s="497">
        <v>0</v>
      </c>
      <c r="G946" s="666">
        <v>40</v>
      </c>
      <c r="H946" s="497">
        <v>0</v>
      </c>
      <c r="I946" s="497">
        <f t="shared" si="74"/>
        <v>20</v>
      </c>
      <c r="J946" s="497">
        <v>0</v>
      </c>
      <c r="K946" s="497">
        <v>20</v>
      </c>
      <c r="L946" s="721">
        <v>0</v>
      </c>
      <c r="M946" s="672">
        <v>93</v>
      </c>
      <c r="N946" s="498">
        <v>0</v>
      </c>
      <c r="O946" s="736" t="s">
        <v>5737</v>
      </c>
      <c r="P946" s="514" t="s">
        <v>7427</v>
      </c>
      <c r="Q946" s="842">
        <v>0</v>
      </c>
      <c r="R946" s="842">
        <v>0</v>
      </c>
      <c r="S946" s="842">
        <v>0</v>
      </c>
      <c r="T946" s="842">
        <v>0</v>
      </c>
      <c r="U946" s="514" t="s">
        <v>2502</v>
      </c>
      <c r="V946" s="537" t="s">
        <v>2647</v>
      </c>
      <c r="W946" s="498">
        <v>198</v>
      </c>
      <c r="X946" s="514" t="s">
        <v>1532</v>
      </c>
      <c r="Y946" s="514" t="s">
        <v>1533</v>
      </c>
      <c r="Z946" s="514" t="s">
        <v>2512</v>
      </c>
      <c r="AA946" s="514" t="s">
        <v>1685</v>
      </c>
      <c r="AB946" s="531" t="s">
        <v>1596</v>
      </c>
    </row>
    <row r="947" spans="1:28" ht="24" customHeight="1">
      <c r="A947" s="584"/>
      <c r="B947" s="460" t="s">
        <v>675</v>
      </c>
      <c r="C947" s="500" t="s">
        <v>2648</v>
      </c>
      <c r="D947" s="705" t="s">
        <v>2649</v>
      </c>
      <c r="E947" s="666">
        <f t="shared" si="73"/>
        <v>30</v>
      </c>
      <c r="F947" s="497">
        <v>0</v>
      </c>
      <c r="G947" s="666">
        <v>30</v>
      </c>
      <c r="H947" s="497">
        <v>0</v>
      </c>
      <c r="I947" s="497">
        <f t="shared" si="74"/>
        <v>15</v>
      </c>
      <c r="J947" s="497">
        <v>0</v>
      </c>
      <c r="K947" s="497">
        <v>15</v>
      </c>
      <c r="L947" s="721">
        <v>0</v>
      </c>
      <c r="M947" s="672">
        <v>93</v>
      </c>
      <c r="N947" s="498">
        <v>0</v>
      </c>
      <c r="O947" s="736" t="s">
        <v>2564</v>
      </c>
      <c r="P947" s="514" t="s">
        <v>7427</v>
      </c>
      <c r="Q947" s="842">
        <v>0</v>
      </c>
      <c r="R947" s="842">
        <v>0</v>
      </c>
      <c r="S947" s="842">
        <v>0</v>
      </c>
      <c r="T947" s="842">
        <v>0</v>
      </c>
      <c r="U947" s="514" t="s">
        <v>2502</v>
      </c>
      <c r="V947" s="537" t="s">
        <v>2650</v>
      </c>
      <c r="W947" s="498">
        <v>414</v>
      </c>
      <c r="X947" s="514" t="s">
        <v>1532</v>
      </c>
      <c r="Y947" s="514" t="s">
        <v>1533</v>
      </c>
      <c r="Z947" s="514" t="s">
        <v>2520</v>
      </c>
      <c r="AA947" s="514" t="s">
        <v>1685</v>
      </c>
      <c r="AB947" s="531" t="s">
        <v>1596</v>
      </c>
    </row>
    <row r="948" spans="1:28" ht="24" customHeight="1">
      <c r="A948" s="584"/>
      <c r="B948" s="460" t="s">
        <v>675</v>
      </c>
      <c r="C948" s="500" t="s">
        <v>2651</v>
      </c>
      <c r="D948" s="705" t="s">
        <v>2652</v>
      </c>
      <c r="E948" s="666">
        <f t="shared" si="73"/>
        <v>39</v>
      </c>
      <c r="F948" s="497">
        <v>0</v>
      </c>
      <c r="G948" s="666">
        <v>39</v>
      </c>
      <c r="H948" s="497">
        <v>0</v>
      </c>
      <c r="I948" s="497">
        <f t="shared" si="74"/>
        <v>20</v>
      </c>
      <c r="J948" s="497">
        <v>0</v>
      </c>
      <c r="K948" s="497">
        <v>20</v>
      </c>
      <c r="L948" s="721">
        <v>0</v>
      </c>
      <c r="M948" s="672">
        <v>93</v>
      </c>
      <c r="N948" s="498">
        <v>0</v>
      </c>
      <c r="O948" s="736" t="s">
        <v>2526</v>
      </c>
      <c r="P948" s="514" t="s">
        <v>7427</v>
      </c>
      <c r="Q948" s="842">
        <v>0</v>
      </c>
      <c r="R948" s="842">
        <v>0</v>
      </c>
      <c r="S948" s="842">
        <v>0</v>
      </c>
      <c r="T948" s="842">
        <v>0</v>
      </c>
      <c r="U948" s="514" t="s">
        <v>2502</v>
      </c>
      <c r="V948" s="537" t="s">
        <v>2653</v>
      </c>
      <c r="W948" s="498">
        <v>104</v>
      </c>
      <c r="X948" s="514" t="s">
        <v>1532</v>
      </c>
      <c r="Y948" s="514" t="s">
        <v>1533</v>
      </c>
      <c r="Z948" s="514" t="s">
        <v>1911</v>
      </c>
      <c r="AA948" s="514" t="s">
        <v>1685</v>
      </c>
      <c r="AB948" s="531" t="s">
        <v>1596</v>
      </c>
    </row>
    <row r="949" spans="1:28" ht="24" customHeight="1">
      <c r="A949" s="584"/>
      <c r="B949" s="460" t="s">
        <v>675</v>
      </c>
      <c r="C949" s="500" t="s">
        <v>2654</v>
      </c>
      <c r="D949" s="705" t="s">
        <v>2655</v>
      </c>
      <c r="E949" s="666">
        <f t="shared" si="73"/>
        <v>40</v>
      </c>
      <c r="F949" s="497">
        <v>0</v>
      </c>
      <c r="G949" s="666">
        <v>40</v>
      </c>
      <c r="H949" s="497">
        <v>0</v>
      </c>
      <c r="I949" s="497">
        <f t="shared" si="74"/>
        <v>20</v>
      </c>
      <c r="J949" s="497">
        <v>0</v>
      </c>
      <c r="K949" s="497">
        <v>20</v>
      </c>
      <c r="L949" s="721">
        <v>0</v>
      </c>
      <c r="M949" s="672">
        <v>93</v>
      </c>
      <c r="N949" s="498">
        <v>0</v>
      </c>
      <c r="O949" s="736" t="s">
        <v>2656</v>
      </c>
      <c r="P949" s="514" t="s">
        <v>7427</v>
      </c>
      <c r="Q949" s="842">
        <v>0</v>
      </c>
      <c r="R949" s="842">
        <v>0</v>
      </c>
      <c r="S949" s="842">
        <v>0</v>
      </c>
      <c r="T949" s="842">
        <v>0</v>
      </c>
      <c r="U949" s="514" t="s">
        <v>2502</v>
      </c>
      <c r="V949" s="537" t="s">
        <v>2657</v>
      </c>
      <c r="W949" s="498">
        <v>282</v>
      </c>
      <c r="X949" s="514" t="s">
        <v>1532</v>
      </c>
      <c r="Y949" s="514" t="s">
        <v>1533</v>
      </c>
      <c r="Z949" s="514" t="s">
        <v>2512</v>
      </c>
      <c r="AA949" s="514" t="s">
        <v>1685</v>
      </c>
      <c r="AB949" s="531" t="s">
        <v>1596</v>
      </c>
    </row>
    <row r="950" spans="1:28" ht="24" customHeight="1">
      <c r="A950" s="583"/>
      <c r="B950" s="460" t="s">
        <v>675</v>
      </c>
      <c r="C950" s="500" t="s">
        <v>2658</v>
      </c>
      <c r="D950" s="705" t="s">
        <v>2659</v>
      </c>
      <c r="E950" s="666">
        <f t="shared" si="73"/>
        <v>30</v>
      </c>
      <c r="F950" s="497">
        <v>0</v>
      </c>
      <c r="G950" s="666">
        <v>30</v>
      </c>
      <c r="H950" s="497">
        <v>0</v>
      </c>
      <c r="I950" s="497">
        <f t="shared" si="74"/>
        <v>15</v>
      </c>
      <c r="J950" s="497">
        <v>0</v>
      </c>
      <c r="K950" s="497">
        <v>15</v>
      </c>
      <c r="L950" s="721">
        <v>0</v>
      </c>
      <c r="M950" s="672">
        <v>93</v>
      </c>
      <c r="N950" s="498">
        <v>0</v>
      </c>
      <c r="O950" s="736" t="s">
        <v>2660</v>
      </c>
      <c r="P950" s="514" t="s">
        <v>7427</v>
      </c>
      <c r="Q950" s="842">
        <v>0</v>
      </c>
      <c r="R950" s="842">
        <v>0</v>
      </c>
      <c r="S950" s="842">
        <v>0</v>
      </c>
      <c r="T950" s="842">
        <v>0</v>
      </c>
      <c r="U950" s="514" t="s">
        <v>2502</v>
      </c>
      <c r="V950" s="537" t="s">
        <v>2661</v>
      </c>
      <c r="W950" s="498">
        <v>217</v>
      </c>
      <c r="X950" s="514" t="s">
        <v>1532</v>
      </c>
      <c r="Y950" s="514" t="s">
        <v>1533</v>
      </c>
      <c r="Z950" s="514" t="s">
        <v>1911</v>
      </c>
      <c r="AA950" s="514" t="s">
        <v>1685</v>
      </c>
      <c r="AB950" s="531" t="s">
        <v>1596</v>
      </c>
    </row>
    <row r="951" spans="1:28" ht="24" customHeight="1">
      <c r="A951" s="584" t="s">
        <v>1616</v>
      </c>
      <c r="B951" s="458" t="s">
        <v>6037</v>
      </c>
      <c r="C951" s="579"/>
      <c r="D951" s="579"/>
      <c r="E951" s="498" t="s">
        <v>6216</v>
      </c>
      <c r="F951" s="498">
        <v>0</v>
      </c>
      <c r="G951" s="498" t="s">
        <v>6217</v>
      </c>
      <c r="H951" s="498" t="s">
        <v>6218</v>
      </c>
      <c r="I951" s="498" t="s">
        <v>6219</v>
      </c>
      <c r="J951" s="498">
        <v>0</v>
      </c>
      <c r="K951" s="498" t="s">
        <v>6220</v>
      </c>
      <c r="L951" s="668" t="s">
        <v>6221</v>
      </c>
      <c r="M951" s="672">
        <v>0</v>
      </c>
      <c r="N951" s="498" t="s">
        <v>6222</v>
      </c>
      <c r="O951" s="669">
        <v>0</v>
      </c>
      <c r="P951" s="463" t="s">
        <v>7427</v>
      </c>
      <c r="Q951" s="672" t="s">
        <v>6223</v>
      </c>
      <c r="R951" s="672" t="s">
        <v>6224</v>
      </c>
      <c r="S951" s="672" t="s">
        <v>6225</v>
      </c>
      <c r="T951" s="672">
        <v>0</v>
      </c>
      <c r="U951" s="463"/>
      <c r="V951" s="463"/>
      <c r="W951" s="498">
        <f>SUM(W952:W1108)</f>
        <v>230017</v>
      </c>
      <c r="X951" s="463"/>
      <c r="Y951" s="463"/>
      <c r="Z951" s="463"/>
      <c r="AA951" s="463"/>
      <c r="AB951" s="459"/>
    </row>
    <row r="952" spans="1:28" ht="24" customHeight="1">
      <c r="A952" s="582" t="s">
        <v>1692</v>
      </c>
      <c r="B952" s="460" t="s">
        <v>2201</v>
      </c>
      <c r="C952" s="458" t="s">
        <v>2422</v>
      </c>
      <c r="D952" s="510" t="s">
        <v>2662</v>
      </c>
      <c r="E952" s="497">
        <v>32000</v>
      </c>
      <c r="F952" s="497">
        <v>0</v>
      </c>
      <c r="G952" s="497">
        <v>32000</v>
      </c>
      <c r="H952" s="497">
        <v>0</v>
      </c>
      <c r="I952" s="497">
        <f t="shared" ref="I952:I1004" si="75">J952+K952+L952</f>
        <v>15642</v>
      </c>
      <c r="J952" s="497">
        <v>0</v>
      </c>
      <c r="K952" s="497">
        <v>15642</v>
      </c>
      <c r="L952" s="721">
        <v>0</v>
      </c>
      <c r="M952" s="672">
        <v>89</v>
      </c>
      <c r="N952" s="498">
        <f>(125.2*15443*0.89)/1000</f>
        <v>1720.782604</v>
      </c>
      <c r="O952" s="731" t="s">
        <v>1535</v>
      </c>
      <c r="P952" s="514" t="s">
        <v>7427</v>
      </c>
      <c r="Q952" s="842">
        <v>46.5</v>
      </c>
      <c r="R952" s="842">
        <v>78.099999999999994</v>
      </c>
      <c r="S952" s="842">
        <v>6.8</v>
      </c>
      <c r="T952" s="842">
        <v>0</v>
      </c>
      <c r="U952" s="514" t="s">
        <v>2663</v>
      </c>
      <c r="V952" s="534" t="s">
        <v>2664</v>
      </c>
      <c r="W952" s="498">
        <v>37902</v>
      </c>
      <c r="X952" s="514" t="s">
        <v>2276</v>
      </c>
      <c r="Y952" s="514" t="s">
        <v>1533</v>
      </c>
      <c r="Z952" s="514"/>
      <c r="AA952" s="514" t="s">
        <v>1592</v>
      </c>
      <c r="AB952" s="531" t="s">
        <v>1592</v>
      </c>
    </row>
    <row r="953" spans="1:28" ht="24" customHeight="1">
      <c r="A953" s="584"/>
      <c r="B953" s="460" t="s">
        <v>675</v>
      </c>
      <c r="C953" s="458" t="s">
        <v>2665</v>
      </c>
      <c r="D953" s="510" t="s">
        <v>2666</v>
      </c>
      <c r="E953" s="497">
        <v>130</v>
      </c>
      <c r="F953" s="497">
        <v>0</v>
      </c>
      <c r="G953" s="497">
        <v>130</v>
      </c>
      <c r="H953" s="497">
        <v>0</v>
      </c>
      <c r="I953" s="497">
        <f t="shared" si="75"/>
        <v>38.4</v>
      </c>
      <c r="J953" s="497">
        <v>0</v>
      </c>
      <c r="K953" s="497">
        <v>38.4</v>
      </c>
      <c r="L953" s="721">
        <v>0</v>
      </c>
      <c r="M953" s="672">
        <v>80</v>
      </c>
      <c r="N953" s="498">
        <f>(51.9*38.4*0.8)/1000</f>
        <v>1.594368</v>
      </c>
      <c r="O953" s="731" t="s">
        <v>5635</v>
      </c>
      <c r="P953" s="514" t="s">
        <v>7427</v>
      </c>
      <c r="Q953" s="842">
        <v>0</v>
      </c>
      <c r="R953" s="842">
        <v>0</v>
      </c>
      <c r="S953" s="842">
        <v>0</v>
      </c>
      <c r="T953" s="842">
        <v>0</v>
      </c>
      <c r="U953" s="514"/>
      <c r="V953" s="514" t="s">
        <v>2667</v>
      </c>
      <c r="W953" s="498">
        <v>371</v>
      </c>
      <c r="X953" s="514" t="s">
        <v>2276</v>
      </c>
      <c r="Y953" s="514" t="s">
        <v>1533</v>
      </c>
      <c r="Z953" s="514"/>
      <c r="AA953" s="514" t="s">
        <v>1679</v>
      </c>
      <c r="AB953" s="531" t="s">
        <v>1679</v>
      </c>
    </row>
    <row r="954" spans="1:28" ht="24" customHeight="1">
      <c r="A954" s="584"/>
      <c r="B954" s="460" t="s">
        <v>675</v>
      </c>
      <c r="C954" s="458" t="s">
        <v>2668</v>
      </c>
      <c r="D954" s="510" t="s">
        <v>2669</v>
      </c>
      <c r="E954" s="497">
        <v>50</v>
      </c>
      <c r="F954" s="497">
        <v>0</v>
      </c>
      <c r="G954" s="497">
        <v>50</v>
      </c>
      <c r="H954" s="497">
        <v>0</v>
      </c>
      <c r="I954" s="497">
        <f t="shared" si="75"/>
        <v>36.869999999999997</v>
      </c>
      <c r="J954" s="497">
        <v>0</v>
      </c>
      <c r="K954" s="497">
        <v>36.869999999999997</v>
      </c>
      <c r="L954" s="721">
        <v>0</v>
      </c>
      <c r="M954" s="672">
        <v>89</v>
      </c>
      <c r="N954" s="498">
        <f>(75.5*36.87*0.89)/1000</f>
        <v>2.4774796499999998</v>
      </c>
      <c r="O954" s="731" t="s">
        <v>2670</v>
      </c>
      <c r="P954" s="514" t="s">
        <v>7427</v>
      </c>
      <c r="Q954" s="842">
        <v>0</v>
      </c>
      <c r="R954" s="842">
        <v>0</v>
      </c>
      <c r="S954" s="842">
        <v>0</v>
      </c>
      <c r="T954" s="842">
        <v>0</v>
      </c>
      <c r="U954" s="514"/>
      <c r="V954" s="514" t="s">
        <v>2671</v>
      </c>
      <c r="W954" s="498">
        <v>185</v>
      </c>
      <c r="X954" s="514" t="s">
        <v>2276</v>
      </c>
      <c r="Y954" s="514" t="s">
        <v>1533</v>
      </c>
      <c r="Z954" s="514"/>
      <c r="AA954" s="514" t="s">
        <v>1679</v>
      </c>
      <c r="AB954" s="531" t="s">
        <v>1679</v>
      </c>
    </row>
    <row r="955" spans="1:28" ht="24" customHeight="1">
      <c r="A955" s="584"/>
      <c r="B955" s="460" t="s">
        <v>675</v>
      </c>
      <c r="C955" s="458" t="s">
        <v>907</v>
      </c>
      <c r="D955" s="510" t="s">
        <v>2672</v>
      </c>
      <c r="E955" s="497">
        <v>175</v>
      </c>
      <c r="F955" s="497">
        <v>0</v>
      </c>
      <c r="G955" s="497">
        <v>175</v>
      </c>
      <c r="H955" s="497">
        <v>0</v>
      </c>
      <c r="I955" s="497">
        <f t="shared" si="75"/>
        <v>74.5</v>
      </c>
      <c r="J955" s="497">
        <v>0</v>
      </c>
      <c r="K955" s="497">
        <v>74.5</v>
      </c>
      <c r="L955" s="721">
        <v>0</v>
      </c>
      <c r="M955" s="672">
        <v>77</v>
      </c>
      <c r="N955" s="498">
        <f>(44.3*63.1*0.77)/1000</f>
        <v>2.1524041</v>
      </c>
      <c r="O955" s="731" t="s">
        <v>5635</v>
      </c>
      <c r="P955" s="514" t="s">
        <v>7427</v>
      </c>
      <c r="Q955" s="842">
        <v>0</v>
      </c>
      <c r="R955" s="842">
        <v>0</v>
      </c>
      <c r="S955" s="842">
        <v>0</v>
      </c>
      <c r="T955" s="842">
        <v>0</v>
      </c>
      <c r="U955" s="514"/>
      <c r="V955" s="514" t="s">
        <v>5331</v>
      </c>
      <c r="W955" s="498">
        <v>384</v>
      </c>
      <c r="X955" s="514" t="s">
        <v>2276</v>
      </c>
      <c r="Y955" s="514" t="s">
        <v>1533</v>
      </c>
      <c r="Z955" s="514"/>
      <c r="AA955" s="514" t="s">
        <v>1679</v>
      </c>
      <c r="AB955" s="531" t="s">
        <v>1679</v>
      </c>
    </row>
    <row r="956" spans="1:28" ht="24" customHeight="1">
      <c r="A956" s="584"/>
      <c r="B956" s="460" t="s">
        <v>675</v>
      </c>
      <c r="C956" s="458" t="s">
        <v>2673</v>
      </c>
      <c r="D956" s="510" t="s">
        <v>2674</v>
      </c>
      <c r="E956" s="497">
        <v>100</v>
      </c>
      <c r="F956" s="497">
        <v>0</v>
      </c>
      <c r="G956" s="497">
        <v>0</v>
      </c>
      <c r="H956" s="497">
        <v>100</v>
      </c>
      <c r="I956" s="497">
        <f t="shared" si="75"/>
        <v>63.1</v>
      </c>
      <c r="J956" s="497">
        <v>0</v>
      </c>
      <c r="K956" s="497">
        <v>0</v>
      </c>
      <c r="L956" s="721">
        <v>63.1</v>
      </c>
      <c r="M956" s="672">
        <v>88</v>
      </c>
      <c r="N956" s="498">
        <f>(63.4*100*0.88)/1000</f>
        <v>5.5792000000000002</v>
      </c>
      <c r="O956" s="731" t="s">
        <v>2675</v>
      </c>
      <c r="P956" s="514" t="s">
        <v>7427</v>
      </c>
      <c r="Q956" s="842">
        <v>0</v>
      </c>
      <c r="R956" s="842">
        <v>0</v>
      </c>
      <c r="S956" s="842">
        <v>0</v>
      </c>
      <c r="T956" s="842">
        <v>0</v>
      </c>
      <c r="U956" s="514"/>
      <c r="V956" s="514" t="s">
        <v>2676</v>
      </c>
      <c r="W956" s="498">
        <v>585</v>
      </c>
      <c r="X956" s="514" t="s">
        <v>2276</v>
      </c>
      <c r="Y956" s="514" t="s">
        <v>3336</v>
      </c>
      <c r="Z956" s="514"/>
      <c r="AA956" s="514" t="s">
        <v>1679</v>
      </c>
      <c r="AB956" s="531" t="s">
        <v>1679</v>
      </c>
    </row>
    <row r="957" spans="1:28" ht="24" customHeight="1">
      <c r="A957" s="584"/>
      <c r="B957" s="460" t="s">
        <v>675</v>
      </c>
      <c r="C957" s="458" t="s">
        <v>2677</v>
      </c>
      <c r="D957" s="510" t="s">
        <v>2678</v>
      </c>
      <c r="E957" s="497">
        <v>60</v>
      </c>
      <c r="F957" s="497">
        <v>0</v>
      </c>
      <c r="G957" s="497">
        <v>0</v>
      </c>
      <c r="H957" s="497">
        <v>60</v>
      </c>
      <c r="I957" s="497">
        <f t="shared" si="75"/>
        <v>62.1</v>
      </c>
      <c r="J957" s="497">
        <v>0</v>
      </c>
      <c r="K957" s="497">
        <v>0</v>
      </c>
      <c r="L957" s="721">
        <v>62.1</v>
      </c>
      <c r="M957" s="672">
        <v>87</v>
      </c>
      <c r="N957" s="498">
        <f>(69.8*60*0.87)/1000</f>
        <v>3.6435599999999999</v>
      </c>
      <c r="O957" s="731" t="s">
        <v>5635</v>
      </c>
      <c r="P957" s="514" t="s">
        <v>7427</v>
      </c>
      <c r="Q957" s="842">
        <v>0</v>
      </c>
      <c r="R957" s="842">
        <v>0</v>
      </c>
      <c r="S957" s="842">
        <v>0</v>
      </c>
      <c r="T957" s="842">
        <v>0</v>
      </c>
      <c r="U957" s="514"/>
      <c r="V957" s="514" t="s">
        <v>2679</v>
      </c>
      <c r="W957" s="498">
        <v>182</v>
      </c>
      <c r="X957" s="514" t="s">
        <v>2276</v>
      </c>
      <c r="Y957" s="514" t="s">
        <v>1533</v>
      </c>
      <c r="Z957" s="514"/>
      <c r="AA957" s="514" t="s">
        <v>1679</v>
      </c>
      <c r="AB957" s="531" t="s">
        <v>1679</v>
      </c>
    </row>
    <row r="958" spans="1:28" ht="24" customHeight="1">
      <c r="A958" s="584"/>
      <c r="B958" s="460" t="s">
        <v>675</v>
      </c>
      <c r="C958" s="458" t="s">
        <v>2680</v>
      </c>
      <c r="D958" s="510" t="s">
        <v>2681</v>
      </c>
      <c r="E958" s="497">
        <v>90</v>
      </c>
      <c r="F958" s="497">
        <v>0</v>
      </c>
      <c r="G958" s="497">
        <v>90</v>
      </c>
      <c r="H958" s="497">
        <v>0</v>
      </c>
      <c r="I958" s="497">
        <f t="shared" si="75"/>
        <v>62.91</v>
      </c>
      <c r="J958" s="497">
        <v>0</v>
      </c>
      <c r="K958" s="497">
        <v>62.91</v>
      </c>
      <c r="L958" s="721">
        <v>0</v>
      </c>
      <c r="M958" s="672">
        <v>85</v>
      </c>
      <c r="N958" s="498">
        <f>(56.3*62.91*0.85)/1000</f>
        <v>3.0105580499999998</v>
      </c>
      <c r="O958" s="731" t="s">
        <v>5635</v>
      </c>
      <c r="P958" s="514" t="s">
        <v>7427</v>
      </c>
      <c r="Q958" s="842">
        <v>0</v>
      </c>
      <c r="R958" s="842">
        <v>0</v>
      </c>
      <c r="S958" s="842">
        <v>0</v>
      </c>
      <c r="T958" s="842">
        <v>0</v>
      </c>
      <c r="U958" s="514"/>
      <c r="V958" s="514" t="s">
        <v>2682</v>
      </c>
      <c r="W958" s="498">
        <v>318</v>
      </c>
      <c r="X958" s="514" t="s">
        <v>2276</v>
      </c>
      <c r="Y958" s="514" t="s">
        <v>1533</v>
      </c>
      <c r="Z958" s="514"/>
      <c r="AA958" s="514" t="s">
        <v>1679</v>
      </c>
      <c r="AB958" s="531" t="s">
        <v>1679</v>
      </c>
    </row>
    <row r="959" spans="1:28" ht="24" customHeight="1">
      <c r="A959" s="584"/>
      <c r="B959" s="460" t="s">
        <v>675</v>
      </c>
      <c r="C959" s="458" t="s">
        <v>2683</v>
      </c>
      <c r="D959" s="510" t="s">
        <v>2684</v>
      </c>
      <c r="E959" s="497">
        <v>40</v>
      </c>
      <c r="F959" s="497">
        <v>0</v>
      </c>
      <c r="G959" s="497">
        <v>40</v>
      </c>
      <c r="H959" s="497">
        <v>0</v>
      </c>
      <c r="I959" s="497">
        <f t="shared" si="75"/>
        <v>13.67</v>
      </c>
      <c r="J959" s="497">
        <v>0</v>
      </c>
      <c r="K959" s="497">
        <v>13.67</v>
      </c>
      <c r="L959" s="721">
        <v>0</v>
      </c>
      <c r="M959" s="672">
        <v>79</v>
      </c>
      <c r="N959" s="498">
        <f>(53.8*13.67*0.79)/1000</f>
        <v>0.58100233999999995</v>
      </c>
      <c r="O959" s="731" t="s">
        <v>5694</v>
      </c>
      <c r="P959" s="514" t="s">
        <v>7427</v>
      </c>
      <c r="Q959" s="842">
        <v>0</v>
      </c>
      <c r="R959" s="842">
        <v>0</v>
      </c>
      <c r="S959" s="842">
        <v>0</v>
      </c>
      <c r="T959" s="842">
        <v>0</v>
      </c>
      <c r="U959" s="514"/>
      <c r="V959" s="514" t="s">
        <v>2093</v>
      </c>
      <c r="W959" s="498">
        <v>98</v>
      </c>
      <c r="X959" s="514" t="s">
        <v>2276</v>
      </c>
      <c r="Y959" s="514" t="s">
        <v>1533</v>
      </c>
      <c r="Z959" s="514"/>
      <c r="AA959" s="514" t="s">
        <v>1679</v>
      </c>
      <c r="AB959" s="531" t="s">
        <v>1679</v>
      </c>
    </row>
    <row r="960" spans="1:28" ht="24" customHeight="1">
      <c r="A960" s="584"/>
      <c r="B960" s="460" t="s">
        <v>675</v>
      </c>
      <c r="C960" s="458" t="s">
        <v>1263</v>
      </c>
      <c r="D960" s="510" t="s">
        <v>2685</v>
      </c>
      <c r="E960" s="497">
        <v>15</v>
      </c>
      <c r="F960" s="497">
        <v>0</v>
      </c>
      <c r="G960" s="497">
        <v>15</v>
      </c>
      <c r="H960" s="497">
        <v>0</v>
      </c>
      <c r="I960" s="497">
        <f t="shared" si="75"/>
        <v>0</v>
      </c>
      <c r="J960" s="497">
        <v>0</v>
      </c>
      <c r="K960" s="497">
        <v>0</v>
      </c>
      <c r="L960" s="721">
        <v>0</v>
      </c>
      <c r="M960" s="672">
        <v>0</v>
      </c>
      <c r="N960" s="498">
        <v>0</v>
      </c>
      <c r="O960" s="731" t="s">
        <v>5640</v>
      </c>
      <c r="P960" s="514" t="s">
        <v>7427</v>
      </c>
      <c r="Q960" s="842">
        <v>0</v>
      </c>
      <c r="R960" s="842">
        <v>0</v>
      </c>
      <c r="S960" s="842">
        <v>0</v>
      </c>
      <c r="T960" s="842">
        <v>0</v>
      </c>
      <c r="U960" s="514"/>
      <c r="V960" s="514" t="s">
        <v>2686</v>
      </c>
      <c r="W960" s="498">
        <v>59</v>
      </c>
      <c r="X960" s="514" t="s">
        <v>2276</v>
      </c>
      <c r="Y960" s="514" t="s">
        <v>1533</v>
      </c>
      <c r="Z960" s="514"/>
      <c r="AA960" s="514" t="s">
        <v>1679</v>
      </c>
      <c r="AB960" s="531" t="s">
        <v>1679</v>
      </c>
    </row>
    <row r="961" spans="1:28" ht="24" customHeight="1">
      <c r="A961" s="584"/>
      <c r="B961" s="460" t="s">
        <v>675</v>
      </c>
      <c r="C961" s="458" t="s">
        <v>2687</v>
      </c>
      <c r="D961" s="510" t="s">
        <v>2688</v>
      </c>
      <c r="E961" s="497">
        <v>40</v>
      </c>
      <c r="F961" s="497">
        <v>0</v>
      </c>
      <c r="G961" s="497">
        <v>40</v>
      </c>
      <c r="H961" s="497">
        <v>0</v>
      </c>
      <c r="I961" s="497">
        <f t="shared" si="75"/>
        <v>31.1</v>
      </c>
      <c r="J961" s="497">
        <v>0</v>
      </c>
      <c r="K961" s="497">
        <v>31.1</v>
      </c>
      <c r="L961" s="721">
        <v>0</v>
      </c>
      <c r="M961" s="672">
        <v>86</v>
      </c>
      <c r="N961" s="498">
        <f>(57.9*31.1*0.86)/1000</f>
        <v>1.5485933999999999</v>
      </c>
      <c r="O961" s="731" t="s">
        <v>2526</v>
      </c>
      <c r="P961" s="514" t="s">
        <v>7427</v>
      </c>
      <c r="Q961" s="842">
        <v>0</v>
      </c>
      <c r="R961" s="842">
        <v>0</v>
      </c>
      <c r="S961" s="842">
        <v>0</v>
      </c>
      <c r="T961" s="842">
        <v>0</v>
      </c>
      <c r="U961" s="514"/>
      <c r="V961" s="514" t="s">
        <v>2689</v>
      </c>
      <c r="W961" s="498">
        <v>193</v>
      </c>
      <c r="X961" s="514" t="s">
        <v>2276</v>
      </c>
      <c r="Y961" s="514" t="s">
        <v>1533</v>
      </c>
      <c r="Z961" s="514"/>
      <c r="AA961" s="514" t="s">
        <v>1679</v>
      </c>
      <c r="AB961" s="531" t="s">
        <v>1679</v>
      </c>
    </row>
    <row r="962" spans="1:28" ht="24" customHeight="1">
      <c r="A962" s="584"/>
      <c r="B962" s="460" t="s">
        <v>675</v>
      </c>
      <c r="C962" s="458" t="s">
        <v>2690</v>
      </c>
      <c r="D962" s="510" t="s">
        <v>2691</v>
      </c>
      <c r="E962" s="497">
        <v>45</v>
      </c>
      <c r="F962" s="497">
        <v>0</v>
      </c>
      <c r="G962" s="497">
        <v>45</v>
      </c>
      <c r="H962" s="497">
        <v>0</v>
      </c>
      <c r="I962" s="497">
        <f t="shared" si="75"/>
        <v>0</v>
      </c>
      <c r="J962" s="497">
        <v>0</v>
      </c>
      <c r="K962" s="497">
        <v>0</v>
      </c>
      <c r="L962" s="721">
        <v>0</v>
      </c>
      <c r="M962" s="672">
        <v>0</v>
      </c>
      <c r="N962" s="498">
        <v>0</v>
      </c>
      <c r="O962" s="731" t="s">
        <v>2526</v>
      </c>
      <c r="P962" s="514" t="s">
        <v>7427</v>
      </c>
      <c r="Q962" s="842">
        <v>0</v>
      </c>
      <c r="R962" s="842">
        <v>0</v>
      </c>
      <c r="S962" s="842">
        <v>0</v>
      </c>
      <c r="T962" s="842">
        <v>0</v>
      </c>
      <c r="U962" s="514"/>
      <c r="V962" s="514" t="s">
        <v>2692</v>
      </c>
      <c r="W962" s="498">
        <v>97</v>
      </c>
      <c r="X962" s="514" t="s">
        <v>2276</v>
      </c>
      <c r="Y962" s="514" t="s">
        <v>1533</v>
      </c>
      <c r="Z962" s="514"/>
      <c r="AA962" s="514" t="s">
        <v>1679</v>
      </c>
      <c r="AB962" s="531" t="s">
        <v>1679</v>
      </c>
    </row>
    <row r="963" spans="1:28" ht="24" customHeight="1">
      <c r="A963" s="584"/>
      <c r="B963" s="460" t="s">
        <v>675</v>
      </c>
      <c r="C963" s="458" t="s">
        <v>2693</v>
      </c>
      <c r="D963" s="510" t="s">
        <v>2694</v>
      </c>
      <c r="E963" s="497">
        <v>12</v>
      </c>
      <c r="F963" s="497">
        <v>0</v>
      </c>
      <c r="G963" s="497">
        <v>12</v>
      </c>
      <c r="H963" s="497">
        <v>0</v>
      </c>
      <c r="I963" s="497">
        <f t="shared" si="75"/>
        <v>0</v>
      </c>
      <c r="J963" s="497">
        <v>0</v>
      </c>
      <c r="K963" s="497">
        <v>0</v>
      </c>
      <c r="L963" s="721">
        <v>0</v>
      </c>
      <c r="M963" s="672">
        <v>0</v>
      </c>
      <c r="N963" s="498">
        <v>0</v>
      </c>
      <c r="O963" s="731" t="s">
        <v>2695</v>
      </c>
      <c r="P963" s="514" t="s">
        <v>7427</v>
      </c>
      <c r="Q963" s="842">
        <v>0</v>
      </c>
      <c r="R963" s="842">
        <v>0</v>
      </c>
      <c r="S963" s="842">
        <v>0</v>
      </c>
      <c r="T963" s="842">
        <v>0</v>
      </c>
      <c r="U963" s="514"/>
      <c r="V963" s="514" t="s">
        <v>2696</v>
      </c>
      <c r="W963" s="498">
        <v>38</v>
      </c>
      <c r="X963" s="514" t="s">
        <v>2276</v>
      </c>
      <c r="Y963" s="514" t="s">
        <v>1533</v>
      </c>
      <c r="Z963" s="514"/>
      <c r="AA963" s="514" t="s">
        <v>1679</v>
      </c>
      <c r="AB963" s="531" t="s">
        <v>1679</v>
      </c>
    </row>
    <row r="964" spans="1:28" ht="24" customHeight="1">
      <c r="A964" s="584"/>
      <c r="B964" s="460" t="s">
        <v>675</v>
      </c>
      <c r="C964" s="458" t="s">
        <v>2697</v>
      </c>
      <c r="D964" s="510" t="s">
        <v>2698</v>
      </c>
      <c r="E964" s="497">
        <v>22</v>
      </c>
      <c r="F964" s="497">
        <v>0</v>
      </c>
      <c r="G964" s="497">
        <v>22</v>
      </c>
      <c r="H964" s="497">
        <v>0</v>
      </c>
      <c r="I964" s="497">
        <f t="shared" si="75"/>
        <v>0</v>
      </c>
      <c r="J964" s="497">
        <v>0</v>
      </c>
      <c r="K964" s="497">
        <v>0</v>
      </c>
      <c r="L964" s="721">
        <v>0</v>
      </c>
      <c r="M964" s="672">
        <v>0</v>
      </c>
      <c r="N964" s="498">
        <v>0</v>
      </c>
      <c r="O964" s="731" t="s">
        <v>2526</v>
      </c>
      <c r="P964" s="514" t="s">
        <v>7427</v>
      </c>
      <c r="Q964" s="842">
        <v>0</v>
      </c>
      <c r="R964" s="842">
        <v>0</v>
      </c>
      <c r="S964" s="842">
        <v>0</v>
      </c>
      <c r="T964" s="842">
        <v>0</v>
      </c>
      <c r="U964" s="514"/>
      <c r="V964" s="514" t="s">
        <v>2362</v>
      </c>
      <c r="W964" s="498">
        <v>39</v>
      </c>
      <c r="X964" s="514" t="s">
        <v>2276</v>
      </c>
      <c r="Y964" s="514" t="s">
        <v>1533</v>
      </c>
      <c r="Z964" s="514"/>
      <c r="AA964" s="514" t="s">
        <v>1679</v>
      </c>
      <c r="AB964" s="531" t="s">
        <v>1679</v>
      </c>
    </row>
    <row r="965" spans="1:28" ht="24" customHeight="1">
      <c r="A965" s="584"/>
      <c r="B965" s="460" t="s">
        <v>675</v>
      </c>
      <c r="C965" s="458" t="s">
        <v>2699</v>
      </c>
      <c r="D965" s="510" t="s">
        <v>2700</v>
      </c>
      <c r="E965" s="497">
        <v>45</v>
      </c>
      <c r="F965" s="497">
        <v>0</v>
      </c>
      <c r="G965" s="497">
        <v>45</v>
      </c>
      <c r="H965" s="497">
        <v>0</v>
      </c>
      <c r="I965" s="497">
        <f t="shared" si="75"/>
        <v>36.35</v>
      </c>
      <c r="J965" s="497">
        <v>0</v>
      </c>
      <c r="K965" s="497">
        <v>36.35</v>
      </c>
      <c r="L965" s="721">
        <v>0</v>
      </c>
      <c r="M965" s="672">
        <v>91</v>
      </c>
      <c r="N965" s="498">
        <f>(105.1*36.35*0.91)/1000</f>
        <v>3.4765503500000001</v>
      </c>
      <c r="O965" s="731" t="s">
        <v>5640</v>
      </c>
      <c r="P965" s="514" t="s">
        <v>7427</v>
      </c>
      <c r="Q965" s="842">
        <v>0</v>
      </c>
      <c r="R965" s="842">
        <v>0</v>
      </c>
      <c r="S965" s="842">
        <v>0</v>
      </c>
      <c r="T965" s="842">
        <v>0</v>
      </c>
      <c r="U965" s="514"/>
      <c r="V965" s="514" t="s">
        <v>2701</v>
      </c>
      <c r="W965" s="498">
        <v>237</v>
      </c>
      <c r="X965" s="514" t="s">
        <v>2276</v>
      </c>
      <c r="Y965" s="514" t="s">
        <v>1533</v>
      </c>
      <c r="Z965" s="514"/>
      <c r="AA965" s="514" t="s">
        <v>1679</v>
      </c>
      <c r="AB965" s="531" t="s">
        <v>1679</v>
      </c>
    </row>
    <row r="966" spans="1:28" ht="24" customHeight="1">
      <c r="A966" s="584"/>
      <c r="B966" s="460" t="s">
        <v>675</v>
      </c>
      <c r="C966" s="458" t="s">
        <v>2240</v>
      </c>
      <c r="D966" s="510" t="s">
        <v>2702</v>
      </c>
      <c r="E966" s="497">
        <v>40</v>
      </c>
      <c r="F966" s="497">
        <v>0</v>
      </c>
      <c r="G966" s="497">
        <v>40</v>
      </c>
      <c r="H966" s="497">
        <v>0</v>
      </c>
      <c r="I966" s="497">
        <f t="shared" si="75"/>
        <v>21.27</v>
      </c>
      <c r="J966" s="497">
        <v>0</v>
      </c>
      <c r="K966" s="497">
        <v>21.27</v>
      </c>
      <c r="L966" s="721">
        <v>0</v>
      </c>
      <c r="M966" s="672">
        <v>76</v>
      </c>
      <c r="N966" s="498">
        <f>(58.9*21.27*0.76)/1000</f>
        <v>0.95213028</v>
      </c>
      <c r="O966" s="731" t="s">
        <v>5694</v>
      </c>
      <c r="P966" s="514" t="s">
        <v>7427</v>
      </c>
      <c r="Q966" s="842">
        <v>0</v>
      </c>
      <c r="R966" s="842">
        <v>0</v>
      </c>
      <c r="S966" s="842">
        <v>0</v>
      </c>
      <c r="T966" s="842">
        <v>0</v>
      </c>
      <c r="U966" s="514"/>
      <c r="V966" s="514" t="s">
        <v>2703</v>
      </c>
      <c r="W966" s="498">
        <v>284</v>
      </c>
      <c r="X966" s="514" t="s">
        <v>2276</v>
      </c>
      <c r="Y966" s="514" t="s">
        <v>1533</v>
      </c>
      <c r="Z966" s="514"/>
      <c r="AA966" s="514" t="s">
        <v>1679</v>
      </c>
      <c r="AB966" s="531" t="s">
        <v>1679</v>
      </c>
    </row>
    <row r="967" spans="1:28" ht="24" customHeight="1">
      <c r="A967" s="584"/>
      <c r="B967" s="460" t="s">
        <v>675</v>
      </c>
      <c r="C967" s="458" t="s">
        <v>2704</v>
      </c>
      <c r="D967" s="510" t="s">
        <v>2705</v>
      </c>
      <c r="E967" s="497">
        <v>30</v>
      </c>
      <c r="F967" s="497">
        <v>0</v>
      </c>
      <c r="G967" s="497">
        <v>30</v>
      </c>
      <c r="H967" s="497">
        <v>0</v>
      </c>
      <c r="I967" s="497">
        <f t="shared" si="75"/>
        <v>0</v>
      </c>
      <c r="J967" s="497">
        <v>0</v>
      </c>
      <c r="K967" s="497">
        <v>0</v>
      </c>
      <c r="L967" s="721">
        <v>0</v>
      </c>
      <c r="M967" s="672">
        <v>0</v>
      </c>
      <c r="N967" s="498">
        <v>0</v>
      </c>
      <c r="O967" s="731" t="s">
        <v>5640</v>
      </c>
      <c r="P967" s="514" t="s">
        <v>7427</v>
      </c>
      <c r="Q967" s="842">
        <v>0</v>
      </c>
      <c r="R967" s="842">
        <v>0</v>
      </c>
      <c r="S967" s="842">
        <v>0</v>
      </c>
      <c r="T967" s="842">
        <v>0</v>
      </c>
      <c r="U967" s="514"/>
      <c r="V967" s="514" t="s">
        <v>2706</v>
      </c>
      <c r="W967" s="498">
        <v>177</v>
      </c>
      <c r="X967" s="514" t="s">
        <v>2276</v>
      </c>
      <c r="Y967" s="514" t="s">
        <v>1533</v>
      </c>
      <c r="Z967" s="514"/>
      <c r="AA967" s="514" t="s">
        <v>1679</v>
      </c>
      <c r="AB967" s="531" t="s">
        <v>1679</v>
      </c>
    </row>
    <row r="968" spans="1:28" ht="24" customHeight="1">
      <c r="A968" s="584"/>
      <c r="B968" s="460" t="s">
        <v>675</v>
      </c>
      <c r="C968" s="458" t="s">
        <v>2707</v>
      </c>
      <c r="D968" s="510" t="s">
        <v>2708</v>
      </c>
      <c r="E968" s="497">
        <v>45</v>
      </c>
      <c r="F968" s="497">
        <v>0</v>
      </c>
      <c r="G968" s="497">
        <v>45</v>
      </c>
      <c r="H968" s="497">
        <v>0</v>
      </c>
      <c r="I968" s="497">
        <f t="shared" si="75"/>
        <v>10.49</v>
      </c>
      <c r="J968" s="497">
        <v>0</v>
      </c>
      <c r="K968" s="497">
        <v>10.49</v>
      </c>
      <c r="L968" s="721">
        <v>0</v>
      </c>
      <c r="M968" s="672">
        <v>79</v>
      </c>
      <c r="N968" s="498">
        <f>(50.8*10.49*0.79)/1000</f>
        <v>0.42098467999999994</v>
      </c>
      <c r="O968" s="731" t="s">
        <v>5663</v>
      </c>
      <c r="P968" s="514" t="s">
        <v>7427</v>
      </c>
      <c r="Q968" s="842">
        <v>0</v>
      </c>
      <c r="R968" s="842">
        <v>0</v>
      </c>
      <c r="S968" s="842">
        <v>0</v>
      </c>
      <c r="T968" s="842">
        <v>0</v>
      </c>
      <c r="U968" s="514"/>
      <c r="V968" s="514" t="s">
        <v>2709</v>
      </c>
      <c r="W968" s="498">
        <v>95</v>
      </c>
      <c r="X968" s="514" t="s">
        <v>2276</v>
      </c>
      <c r="Y968" s="514" t="s">
        <v>1533</v>
      </c>
      <c r="Z968" s="514"/>
      <c r="AA968" s="514" t="s">
        <v>1679</v>
      </c>
      <c r="AB968" s="531" t="s">
        <v>1679</v>
      </c>
    </row>
    <row r="969" spans="1:28" ht="24" customHeight="1">
      <c r="A969" s="584"/>
      <c r="B969" s="460" t="s">
        <v>675</v>
      </c>
      <c r="C969" s="458" t="s">
        <v>2036</v>
      </c>
      <c r="D969" s="510" t="s">
        <v>2710</v>
      </c>
      <c r="E969" s="497">
        <v>50</v>
      </c>
      <c r="F969" s="497">
        <v>0</v>
      </c>
      <c r="G969" s="497">
        <v>50</v>
      </c>
      <c r="H969" s="497">
        <v>0</v>
      </c>
      <c r="I969" s="497">
        <f t="shared" si="75"/>
        <v>0</v>
      </c>
      <c r="J969" s="497">
        <v>0</v>
      </c>
      <c r="K969" s="497">
        <v>0</v>
      </c>
      <c r="L969" s="721">
        <v>0</v>
      </c>
      <c r="M969" s="672">
        <v>0</v>
      </c>
      <c r="N969" s="498">
        <v>0</v>
      </c>
      <c r="O969" s="731" t="s">
        <v>5177</v>
      </c>
      <c r="P969" s="514" t="s">
        <v>7427</v>
      </c>
      <c r="Q969" s="842">
        <v>0</v>
      </c>
      <c r="R969" s="842">
        <v>0</v>
      </c>
      <c r="S969" s="842">
        <v>0</v>
      </c>
      <c r="T969" s="842">
        <v>0</v>
      </c>
      <c r="U969" s="514"/>
      <c r="V969" s="514" t="s">
        <v>757</v>
      </c>
      <c r="W969" s="498">
        <v>208</v>
      </c>
      <c r="X969" s="514" t="s">
        <v>2276</v>
      </c>
      <c r="Y969" s="514" t="s">
        <v>1533</v>
      </c>
      <c r="Z969" s="514"/>
      <c r="AA969" s="514" t="s">
        <v>1679</v>
      </c>
      <c r="AB969" s="531" t="s">
        <v>1679</v>
      </c>
    </row>
    <row r="970" spans="1:28" ht="24" customHeight="1">
      <c r="A970" s="584"/>
      <c r="B970" s="460" t="s">
        <v>675</v>
      </c>
      <c r="C970" s="458" t="s">
        <v>2711</v>
      </c>
      <c r="D970" s="510" t="s">
        <v>2712</v>
      </c>
      <c r="E970" s="497">
        <v>35</v>
      </c>
      <c r="F970" s="497">
        <v>0</v>
      </c>
      <c r="G970" s="497">
        <v>35</v>
      </c>
      <c r="H970" s="497">
        <v>0</v>
      </c>
      <c r="I970" s="497">
        <f t="shared" si="75"/>
        <v>0</v>
      </c>
      <c r="J970" s="497">
        <v>0</v>
      </c>
      <c r="K970" s="497">
        <v>0</v>
      </c>
      <c r="L970" s="721">
        <v>0</v>
      </c>
      <c r="M970" s="672">
        <v>0</v>
      </c>
      <c r="N970" s="498">
        <v>0</v>
      </c>
      <c r="O970" s="731" t="s">
        <v>2526</v>
      </c>
      <c r="P970" s="514" t="s">
        <v>7427</v>
      </c>
      <c r="Q970" s="842">
        <v>0</v>
      </c>
      <c r="R970" s="842">
        <v>0</v>
      </c>
      <c r="S970" s="842">
        <v>0</v>
      </c>
      <c r="T970" s="842">
        <v>0</v>
      </c>
      <c r="U970" s="514"/>
      <c r="V970" s="514" t="s">
        <v>757</v>
      </c>
      <c r="W970" s="498">
        <v>164</v>
      </c>
      <c r="X970" s="514" t="s">
        <v>2276</v>
      </c>
      <c r="Y970" s="514" t="s">
        <v>1533</v>
      </c>
      <c r="Z970" s="514"/>
      <c r="AA970" s="514" t="s">
        <v>1679</v>
      </c>
      <c r="AB970" s="531" t="s">
        <v>1679</v>
      </c>
    </row>
    <row r="971" spans="1:28" ht="24" customHeight="1">
      <c r="A971" s="584"/>
      <c r="B971" s="460" t="s">
        <v>675</v>
      </c>
      <c r="C971" s="458" t="s">
        <v>2713</v>
      </c>
      <c r="D971" s="510" t="s">
        <v>2714</v>
      </c>
      <c r="E971" s="497">
        <v>20</v>
      </c>
      <c r="F971" s="497">
        <v>0</v>
      </c>
      <c r="G971" s="497">
        <v>20</v>
      </c>
      <c r="H971" s="497">
        <v>0</v>
      </c>
      <c r="I971" s="497">
        <f t="shared" si="75"/>
        <v>0</v>
      </c>
      <c r="J971" s="497">
        <v>0</v>
      </c>
      <c r="K971" s="497">
        <v>0</v>
      </c>
      <c r="L971" s="721">
        <v>0</v>
      </c>
      <c r="M971" s="672">
        <v>0</v>
      </c>
      <c r="N971" s="498">
        <v>0</v>
      </c>
      <c r="O971" s="731" t="s">
        <v>2526</v>
      </c>
      <c r="P971" s="514" t="s">
        <v>7427</v>
      </c>
      <c r="Q971" s="842">
        <v>0</v>
      </c>
      <c r="R971" s="842">
        <v>0</v>
      </c>
      <c r="S971" s="842">
        <v>0</v>
      </c>
      <c r="T971" s="842">
        <v>0</v>
      </c>
      <c r="U971" s="514"/>
      <c r="V971" s="514" t="s">
        <v>2715</v>
      </c>
      <c r="W971" s="498">
        <v>95</v>
      </c>
      <c r="X971" s="514" t="s">
        <v>2276</v>
      </c>
      <c r="Y971" s="514" t="s">
        <v>1533</v>
      </c>
      <c r="Z971" s="514"/>
      <c r="AA971" s="514" t="s">
        <v>1679</v>
      </c>
      <c r="AB971" s="531" t="s">
        <v>1679</v>
      </c>
    </row>
    <row r="972" spans="1:28" ht="24" customHeight="1">
      <c r="A972" s="582" t="s">
        <v>1693</v>
      </c>
      <c r="B972" s="460" t="s">
        <v>2201</v>
      </c>
      <c r="C972" s="458" t="s">
        <v>2423</v>
      </c>
      <c r="D972" s="510" t="s">
        <v>2716</v>
      </c>
      <c r="E972" s="497">
        <f>F972+G972+H972</f>
        <v>3000</v>
      </c>
      <c r="F972" s="497">
        <v>0</v>
      </c>
      <c r="G972" s="497">
        <v>0</v>
      </c>
      <c r="H972" s="497">
        <v>3000</v>
      </c>
      <c r="I972" s="497">
        <f t="shared" si="75"/>
        <v>2833</v>
      </c>
      <c r="J972" s="497">
        <v>0</v>
      </c>
      <c r="K972" s="497">
        <v>0</v>
      </c>
      <c r="L972" s="721">
        <v>2833</v>
      </c>
      <c r="M972" s="672">
        <f>I972/E972*100</f>
        <v>94.433333333333337</v>
      </c>
      <c r="N972" s="686">
        <v>185.66556553333336</v>
      </c>
      <c r="O972" s="731" t="s">
        <v>3347</v>
      </c>
      <c r="P972" s="514" t="s">
        <v>3347</v>
      </c>
      <c r="Q972" s="842">
        <v>0</v>
      </c>
      <c r="R972" s="842">
        <v>0</v>
      </c>
      <c r="S972" s="842">
        <v>0</v>
      </c>
      <c r="T972" s="842">
        <v>0</v>
      </c>
      <c r="U972" s="514" t="s">
        <v>2717</v>
      </c>
      <c r="V972" s="514">
        <v>2003.8</v>
      </c>
      <c r="W972" s="498">
        <v>13000</v>
      </c>
      <c r="X972" s="514" t="s">
        <v>2276</v>
      </c>
      <c r="Y972" s="514" t="s">
        <v>3336</v>
      </c>
      <c r="Z972" s="514" t="s">
        <v>2718</v>
      </c>
      <c r="AA972" s="514" t="s">
        <v>1592</v>
      </c>
      <c r="AB972" s="531" t="s">
        <v>1592</v>
      </c>
    </row>
    <row r="973" spans="1:28" ht="24" customHeight="1">
      <c r="A973" s="584"/>
      <c r="B973" s="460" t="s">
        <v>675</v>
      </c>
      <c r="C973" s="458" t="s">
        <v>2719</v>
      </c>
      <c r="D973" s="510" t="s">
        <v>2720</v>
      </c>
      <c r="E973" s="497">
        <f t="shared" ref="E973:E1004" si="76">F973+G973+H973</f>
        <v>50</v>
      </c>
      <c r="F973" s="497">
        <v>0</v>
      </c>
      <c r="G973" s="497">
        <v>0</v>
      </c>
      <c r="H973" s="497">
        <v>50</v>
      </c>
      <c r="I973" s="497">
        <f t="shared" si="75"/>
        <v>41</v>
      </c>
      <c r="J973" s="497">
        <v>0</v>
      </c>
      <c r="K973" s="497">
        <v>0</v>
      </c>
      <c r="L973" s="721">
        <v>41</v>
      </c>
      <c r="M973" s="672">
        <f t="shared" ref="M973:M1004" si="77">I973/E973*100</f>
        <v>82</v>
      </c>
      <c r="N973" s="686">
        <v>0.57153999999999994</v>
      </c>
      <c r="O973" s="731" t="s">
        <v>2721</v>
      </c>
      <c r="P973" s="514" t="s">
        <v>2721</v>
      </c>
      <c r="Q973" s="842">
        <v>0</v>
      </c>
      <c r="R973" s="842">
        <v>0</v>
      </c>
      <c r="S973" s="842">
        <v>0</v>
      </c>
      <c r="T973" s="842">
        <v>0</v>
      </c>
      <c r="U973" s="514" t="s">
        <v>2717</v>
      </c>
      <c r="V973" s="514">
        <v>2001.5</v>
      </c>
      <c r="W973" s="498">
        <v>219</v>
      </c>
      <c r="X973" s="514" t="s">
        <v>2276</v>
      </c>
      <c r="Y973" s="514" t="s">
        <v>3232</v>
      </c>
      <c r="Z973" s="514" t="s">
        <v>2718</v>
      </c>
      <c r="AA973" s="514" t="s">
        <v>1592</v>
      </c>
      <c r="AB973" s="531" t="s">
        <v>1592</v>
      </c>
    </row>
    <row r="974" spans="1:28" ht="24" customHeight="1">
      <c r="A974" s="584"/>
      <c r="B974" s="460" t="s">
        <v>675</v>
      </c>
      <c r="C974" s="458" t="s">
        <v>2722</v>
      </c>
      <c r="D974" s="510" t="s">
        <v>2723</v>
      </c>
      <c r="E974" s="497">
        <f t="shared" si="76"/>
        <v>250</v>
      </c>
      <c r="F974" s="497">
        <v>0</v>
      </c>
      <c r="G974" s="497">
        <v>0</v>
      </c>
      <c r="H974" s="497">
        <v>250</v>
      </c>
      <c r="I974" s="497">
        <f t="shared" si="75"/>
        <v>194</v>
      </c>
      <c r="J974" s="497">
        <v>0</v>
      </c>
      <c r="K974" s="497">
        <v>0</v>
      </c>
      <c r="L974" s="721">
        <v>194</v>
      </c>
      <c r="M974" s="672">
        <f t="shared" si="77"/>
        <v>77.600000000000009</v>
      </c>
      <c r="N974" s="686">
        <v>7.9186143999999992</v>
      </c>
      <c r="O974" s="731" t="s">
        <v>3494</v>
      </c>
      <c r="P974" s="514" t="s">
        <v>3494</v>
      </c>
      <c r="Q974" s="842">
        <v>0</v>
      </c>
      <c r="R974" s="842">
        <v>0</v>
      </c>
      <c r="S974" s="842">
        <v>0</v>
      </c>
      <c r="T974" s="842">
        <v>0</v>
      </c>
      <c r="U974" s="514" t="s">
        <v>2717</v>
      </c>
      <c r="V974" s="514">
        <v>2007.12</v>
      </c>
      <c r="W974" s="498">
        <v>3930</v>
      </c>
      <c r="X974" s="514" t="s">
        <v>2276</v>
      </c>
      <c r="Y974" s="514" t="s">
        <v>3336</v>
      </c>
      <c r="Z974" s="514" t="s">
        <v>2724</v>
      </c>
      <c r="AA974" s="514" t="s">
        <v>1592</v>
      </c>
      <c r="AB974" s="531" t="s">
        <v>1592</v>
      </c>
    </row>
    <row r="975" spans="1:28" ht="24" customHeight="1">
      <c r="A975" s="584"/>
      <c r="B975" s="460" t="s">
        <v>675</v>
      </c>
      <c r="C975" s="458" t="s">
        <v>2725</v>
      </c>
      <c r="D975" s="510" t="s">
        <v>2726</v>
      </c>
      <c r="E975" s="497">
        <f t="shared" si="76"/>
        <v>25</v>
      </c>
      <c r="F975" s="497">
        <v>0</v>
      </c>
      <c r="G975" s="497">
        <v>25</v>
      </c>
      <c r="H975" s="497">
        <v>0</v>
      </c>
      <c r="I975" s="497">
        <f t="shared" si="75"/>
        <v>20</v>
      </c>
      <c r="J975" s="497">
        <v>0</v>
      </c>
      <c r="K975" s="497">
        <v>20</v>
      </c>
      <c r="L975" s="721">
        <v>0</v>
      </c>
      <c r="M975" s="672">
        <f t="shared" si="77"/>
        <v>80</v>
      </c>
      <c r="N975" s="686">
        <v>1.5807999999999998</v>
      </c>
      <c r="O975" s="731" t="s">
        <v>2727</v>
      </c>
      <c r="P975" s="514" t="s">
        <v>2727</v>
      </c>
      <c r="Q975" s="842">
        <v>0</v>
      </c>
      <c r="R975" s="842">
        <v>0</v>
      </c>
      <c r="S975" s="842">
        <v>0</v>
      </c>
      <c r="T975" s="842">
        <v>0</v>
      </c>
      <c r="U975" s="514" t="s">
        <v>2728</v>
      </c>
      <c r="V975" s="514">
        <v>2001.7</v>
      </c>
      <c r="W975" s="498">
        <v>163</v>
      </c>
      <c r="X975" s="514" t="s">
        <v>2193</v>
      </c>
      <c r="Y975" s="514" t="s">
        <v>3232</v>
      </c>
      <c r="Z975" s="514" t="s">
        <v>2729</v>
      </c>
      <c r="AA975" s="514" t="s">
        <v>1592</v>
      </c>
      <c r="AB975" s="531" t="s">
        <v>1592</v>
      </c>
    </row>
    <row r="976" spans="1:28" ht="24" customHeight="1">
      <c r="A976" s="584"/>
      <c r="B976" s="460" t="s">
        <v>675</v>
      </c>
      <c r="C976" s="458" t="s">
        <v>2183</v>
      </c>
      <c r="D976" s="510" t="s">
        <v>2730</v>
      </c>
      <c r="E976" s="497">
        <f t="shared" si="76"/>
        <v>112</v>
      </c>
      <c r="F976" s="497">
        <v>0</v>
      </c>
      <c r="G976" s="497">
        <v>112</v>
      </c>
      <c r="H976" s="497">
        <v>0</v>
      </c>
      <c r="I976" s="497">
        <f t="shared" si="75"/>
        <v>98</v>
      </c>
      <c r="J976" s="497">
        <v>0</v>
      </c>
      <c r="K976" s="497">
        <v>98</v>
      </c>
      <c r="L976" s="721">
        <v>0</v>
      </c>
      <c r="M976" s="672">
        <f t="shared" si="77"/>
        <v>87.5</v>
      </c>
      <c r="N976" s="686">
        <v>0.41159999999999997</v>
      </c>
      <c r="O976" s="731" t="s">
        <v>2731</v>
      </c>
      <c r="P976" s="514" t="s">
        <v>2731</v>
      </c>
      <c r="Q976" s="842">
        <v>0</v>
      </c>
      <c r="R976" s="842">
        <v>0</v>
      </c>
      <c r="S976" s="842">
        <v>0</v>
      </c>
      <c r="T976" s="842">
        <v>0</v>
      </c>
      <c r="U976" s="514" t="s">
        <v>2717</v>
      </c>
      <c r="V976" s="514">
        <v>1998.9</v>
      </c>
      <c r="W976" s="498">
        <v>450</v>
      </c>
      <c r="X976" s="514" t="s">
        <v>2276</v>
      </c>
      <c r="Y976" s="514" t="s">
        <v>3232</v>
      </c>
      <c r="Z976" s="514" t="s">
        <v>2732</v>
      </c>
      <c r="AA976" s="514" t="s">
        <v>1592</v>
      </c>
      <c r="AB976" s="531" t="s">
        <v>1592</v>
      </c>
    </row>
    <row r="977" spans="1:28" ht="24" customHeight="1">
      <c r="A977" s="584"/>
      <c r="B977" s="460" t="s">
        <v>675</v>
      </c>
      <c r="C977" s="458" t="s">
        <v>2733</v>
      </c>
      <c r="D977" s="510" t="s">
        <v>2734</v>
      </c>
      <c r="E977" s="497">
        <f>F977+G977+H977</f>
        <v>115</v>
      </c>
      <c r="F977" s="497">
        <v>0</v>
      </c>
      <c r="G977" s="497">
        <v>115</v>
      </c>
      <c r="H977" s="497">
        <v>0</v>
      </c>
      <c r="I977" s="497">
        <f t="shared" si="75"/>
        <v>102</v>
      </c>
      <c r="J977" s="497">
        <v>0</v>
      </c>
      <c r="K977" s="497">
        <v>102</v>
      </c>
      <c r="L977" s="721">
        <v>0</v>
      </c>
      <c r="M977" s="672">
        <f>I977/E977*100</f>
        <v>88.695652173913047</v>
      </c>
      <c r="N977" s="686">
        <v>12.122921739130433</v>
      </c>
      <c r="O977" s="731" t="s">
        <v>2731</v>
      </c>
      <c r="P977" s="514" t="s">
        <v>2731</v>
      </c>
      <c r="Q977" s="842">
        <v>0</v>
      </c>
      <c r="R977" s="842">
        <v>0</v>
      </c>
      <c r="S977" s="842">
        <v>0</v>
      </c>
      <c r="T977" s="842">
        <v>0</v>
      </c>
      <c r="U977" s="514" t="s">
        <v>2717</v>
      </c>
      <c r="V977" s="514">
        <v>1997</v>
      </c>
      <c r="W977" s="498">
        <v>300</v>
      </c>
      <c r="X977" s="514" t="s">
        <v>2276</v>
      </c>
      <c r="Y977" s="514" t="s">
        <v>3232</v>
      </c>
      <c r="Z977" s="514" t="s">
        <v>2735</v>
      </c>
      <c r="AA977" s="514" t="s">
        <v>1592</v>
      </c>
      <c r="AB977" s="531" t="s">
        <v>1592</v>
      </c>
    </row>
    <row r="978" spans="1:28" ht="24" customHeight="1">
      <c r="A978" s="584"/>
      <c r="B978" s="460" t="s">
        <v>675</v>
      </c>
      <c r="C978" s="458" t="s">
        <v>2736</v>
      </c>
      <c r="D978" s="510" t="s">
        <v>2734</v>
      </c>
      <c r="E978" s="497">
        <f>F978+G978+H978</f>
        <v>10</v>
      </c>
      <c r="F978" s="497">
        <v>0</v>
      </c>
      <c r="G978" s="497">
        <v>0</v>
      </c>
      <c r="H978" s="497">
        <v>10</v>
      </c>
      <c r="I978" s="497">
        <f>J978+K978+L978</f>
        <v>4</v>
      </c>
      <c r="J978" s="497">
        <v>0</v>
      </c>
      <c r="K978" s="497">
        <v>0</v>
      </c>
      <c r="L978" s="721">
        <v>4</v>
      </c>
      <c r="M978" s="672">
        <f>I978/E978*100</f>
        <v>40</v>
      </c>
      <c r="N978" s="686">
        <v>0.14255999999999999</v>
      </c>
      <c r="O978" s="731" t="s">
        <v>2721</v>
      </c>
      <c r="P978" s="514" t="s">
        <v>2721</v>
      </c>
      <c r="Q978" s="842">
        <v>0</v>
      </c>
      <c r="R978" s="842">
        <v>0</v>
      </c>
      <c r="S978" s="842">
        <v>0</v>
      </c>
      <c r="T978" s="842">
        <v>0</v>
      </c>
      <c r="U978" s="514" t="s">
        <v>2728</v>
      </c>
      <c r="V978" s="514">
        <v>2001</v>
      </c>
      <c r="W978" s="498">
        <v>56</v>
      </c>
      <c r="X978" s="514" t="s">
        <v>1532</v>
      </c>
      <c r="Y978" s="514" t="s">
        <v>3232</v>
      </c>
      <c r="Z978" s="514" t="s">
        <v>2735</v>
      </c>
      <c r="AA978" s="514" t="s">
        <v>1592</v>
      </c>
      <c r="AB978" s="531" t="s">
        <v>1592</v>
      </c>
    </row>
    <row r="979" spans="1:28" ht="24" customHeight="1">
      <c r="A979" s="584"/>
      <c r="B979" s="460" t="s">
        <v>675</v>
      </c>
      <c r="C979" s="458" t="s">
        <v>2737</v>
      </c>
      <c r="D979" s="510" t="s">
        <v>2738</v>
      </c>
      <c r="E979" s="497">
        <f t="shared" si="76"/>
        <v>120</v>
      </c>
      <c r="F979" s="497">
        <v>0</v>
      </c>
      <c r="G979" s="497">
        <v>0</v>
      </c>
      <c r="H979" s="497">
        <v>120</v>
      </c>
      <c r="I979" s="497">
        <f t="shared" si="75"/>
        <v>95</v>
      </c>
      <c r="J979" s="497">
        <v>0</v>
      </c>
      <c r="K979" s="497">
        <v>0</v>
      </c>
      <c r="L979" s="721">
        <v>95</v>
      </c>
      <c r="M979" s="672">
        <f t="shared" si="77"/>
        <v>79.166666666666657</v>
      </c>
      <c r="N979" s="686">
        <v>2.940645833333333</v>
      </c>
      <c r="O979" s="731" t="s">
        <v>3494</v>
      </c>
      <c r="P979" s="514" t="s">
        <v>3494</v>
      </c>
      <c r="Q979" s="842">
        <v>0</v>
      </c>
      <c r="R979" s="842">
        <v>0</v>
      </c>
      <c r="S979" s="842">
        <v>0</v>
      </c>
      <c r="T979" s="842">
        <v>0</v>
      </c>
      <c r="U979" s="514" t="s">
        <v>2717</v>
      </c>
      <c r="V979" s="514">
        <v>2007.12</v>
      </c>
      <c r="W979" s="498">
        <v>2645</v>
      </c>
      <c r="X979" s="514" t="s">
        <v>2276</v>
      </c>
      <c r="Y979" s="514" t="s">
        <v>3336</v>
      </c>
      <c r="Z979" s="514" t="s">
        <v>2739</v>
      </c>
      <c r="AA979" s="514" t="s">
        <v>1592</v>
      </c>
      <c r="AB979" s="531" t="s">
        <v>1592</v>
      </c>
    </row>
    <row r="980" spans="1:28" ht="24" customHeight="1">
      <c r="A980" s="584"/>
      <c r="B980" s="460" t="s">
        <v>675</v>
      </c>
      <c r="C980" s="458" t="s">
        <v>2740</v>
      </c>
      <c r="D980" s="510" t="s">
        <v>2741</v>
      </c>
      <c r="E980" s="497">
        <f t="shared" si="76"/>
        <v>250</v>
      </c>
      <c r="F980" s="497">
        <v>0</v>
      </c>
      <c r="G980" s="497">
        <v>0</v>
      </c>
      <c r="H980" s="497">
        <v>250</v>
      </c>
      <c r="I980" s="497">
        <f t="shared" si="75"/>
        <v>230</v>
      </c>
      <c r="J980" s="497">
        <v>0</v>
      </c>
      <c r="K980" s="497">
        <v>0</v>
      </c>
      <c r="L980" s="721">
        <v>230</v>
      </c>
      <c r="M980" s="672">
        <f t="shared" si="77"/>
        <v>92</v>
      </c>
      <c r="N980" s="686">
        <v>7.8715199999999994</v>
      </c>
      <c r="O980" s="731" t="s">
        <v>2742</v>
      </c>
      <c r="P980" s="514" t="s">
        <v>2742</v>
      </c>
      <c r="Q980" s="842">
        <v>0</v>
      </c>
      <c r="R980" s="842">
        <v>0</v>
      </c>
      <c r="S980" s="842">
        <v>0</v>
      </c>
      <c r="T980" s="842">
        <v>0</v>
      </c>
      <c r="U980" s="514" t="s">
        <v>2717</v>
      </c>
      <c r="V980" s="514">
        <v>2005.1</v>
      </c>
      <c r="W980" s="498">
        <v>4872</v>
      </c>
      <c r="X980" s="514" t="s">
        <v>2276</v>
      </c>
      <c r="Y980" s="514" t="s">
        <v>3336</v>
      </c>
      <c r="Z980" s="514" t="s">
        <v>2743</v>
      </c>
      <c r="AA980" s="514" t="s">
        <v>1592</v>
      </c>
      <c r="AB980" s="531" t="s">
        <v>1592</v>
      </c>
    </row>
    <row r="981" spans="1:28" ht="24" customHeight="1">
      <c r="A981" s="584"/>
      <c r="B981" s="460" t="s">
        <v>675</v>
      </c>
      <c r="C981" s="458" t="s">
        <v>2744</v>
      </c>
      <c r="D981" s="510" t="s">
        <v>2745</v>
      </c>
      <c r="E981" s="497">
        <f t="shared" si="76"/>
        <v>20</v>
      </c>
      <c r="F981" s="497">
        <v>0</v>
      </c>
      <c r="G981" s="497">
        <v>20</v>
      </c>
      <c r="H981" s="497">
        <v>0</v>
      </c>
      <c r="I981" s="497">
        <f t="shared" si="75"/>
        <v>16</v>
      </c>
      <c r="J981" s="497">
        <v>0</v>
      </c>
      <c r="K981" s="497">
        <v>16</v>
      </c>
      <c r="L981" s="721">
        <v>0</v>
      </c>
      <c r="M981" s="672">
        <f t="shared" si="77"/>
        <v>80</v>
      </c>
      <c r="N981" s="686">
        <v>1.4208000000000001</v>
      </c>
      <c r="O981" s="731" t="s">
        <v>2746</v>
      </c>
      <c r="P981" s="514" t="s">
        <v>2746</v>
      </c>
      <c r="Q981" s="842">
        <v>0</v>
      </c>
      <c r="R981" s="842">
        <v>0</v>
      </c>
      <c r="S981" s="842">
        <v>0</v>
      </c>
      <c r="T981" s="842">
        <v>0</v>
      </c>
      <c r="U981" s="514" t="s">
        <v>2728</v>
      </c>
      <c r="V981" s="514">
        <v>2005.11</v>
      </c>
      <c r="W981" s="498">
        <v>150</v>
      </c>
      <c r="X981" s="514" t="s">
        <v>1532</v>
      </c>
      <c r="Y981" s="514" t="s">
        <v>3232</v>
      </c>
      <c r="Z981" s="514" t="s">
        <v>2747</v>
      </c>
      <c r="AA981" s="514" t="s">
        <v>1592</v>
      </c>
      <c r="AB981" s="531" t="s">
        <v>1592</v>
      </c>
    </row>
    <row r="982" spans="1:28" ht="24" customHeight="1">
      <c r="A982" s="584"/>
      <c r="B982" s="460" t="s">
        <v>675</v>
      </c>
      <c r="C982" s="458" t="s">
        <v>2748</v>
      </c>
      <c r="D982" s="510" t="s">
        <v>2749</v>
      </c>
      <c r="E982" s="497">
        <f t="shared" si="76"/>
        <v>23</v>
      </c>
      <c r="F982" s="497">
        <v>0</v>
      </c>
      <c r="G982" s="497">
        <v>23</v>
      </c>
      <c r="H982" s="497">
        <v>0</v>
      </c>
      <c r="I982" s="497">
        <f t="shared" si="75"/>
        <v>19</v>
      </c>
      <c r="J982" s="497">
        <v>0</v>
      </c>
      <c r="K982" s="497">
        <v>19</v>
      </c>
      <c r="L982" s="721">
        <v>0</v>
      </c>
      <c r="M982" s="672">
        <f t="shared" si="77"/>
        <v>82.608695652173907</v>
      </c>
      <c r="N982" s="686">
        <v>1.5334652173913041</v>
      </c>
      <c r="O982" s="731" t="s">
        <v>2750</v>
      </c>
      <c r="P982" s="514" t="s">
        <v>2750</v>
      </c>
      <c r="Q982" s="842">
        <v>0</v>
      </c>
      <c r="R982" s="842">
        <v>0</v>
      </c>
      <c r="S982" s="842">
        <v>0</v>
      </c>
      <c r="T982" s="842">
        <v>0</v>
      </c>
      <c r="U982" s="514" t="s">
        <v>2728</v>
      </c>
      <c r="V982" s="514">
        <v>2005.11</v>
      </c>
      <c r="W982" s="498">
        <v>115</v>
      </c>
      <c r="X982" s="514" t="s">
        <v>1532</v>
      </c>
      <c r="Y982" s="514" t="s">
        <v>3232</v>
      </c>
      <c r="Z982" s="514" t="s">
        <v>2751</v>
      </c>
      <c r="AA982" s="514" t="s">
        <v>1592</v>
      </c>
      <c r="AB982" s="531" t="s">
        <v>1592</v>
      </c>
    </row>
    <row r="983" spans="1:28" ht="24" customHeight="1">
      <c r="A983" s="584"/>
      <c r="B983" s="460" t="s">
        <v>675</v>
      </c>
      <c r="C983" s="458" t="s">
        <v>5735</v>
      </c>
      <c r="D983" s="510" t="s">
        <v>2752</v>
      </c>
      <c r="E983" s="497">
        <f>F983+G983+H983</f>
        <v>40</v>
      </c>
      <c r="F983" s="497">
        <v>0</v>
      </c>
      <c r="G983" s="497">
        <v>40</v>
      </c>
      <c r="H983" s="497">
        <v>0</v>
      </c>
      <c r="I983" s="497">
        <f>J983+K983+L983</f>
        <v>36</v>
      </c>
      <c r="J983" s="497">
        <v>0</v>
      </c>
      <c r="K983" s="497">
        <v>36</v>
      </c>
      <c r="L983" s="721">
        <v>0</v>
      </c>
      <c r="M983" s="672">
        <f>I983/E983*100</f>
        <v>90</v>
      </c>
      <c r="N983" s="686">
        <v>0.81</v>
      </c>
      <c r="O983" s="731" t="s">
        <v>5255</v>
      </c>
      <c r="P983" s="514" t="s">
        <v>5255</v>
      </c>
      <c r="Q983" s="842">
        <v>0</v>
      </c>
      <c r="R983" s="842">
        <v>0</v>
      </c>
      <c r="S983" s="842">
        <v>0</v>
      </c>
      <c r="T983" s="842">
        <v>0</v>
      </c>
      <c r="U983" s="514" t="s">
        <v>2728</v>
      </c>
      <c r="V983" s="514">
        <v>2001</v>
      </c>
      <c r="W983" s="498">
        <v>156</v>
      </c>
      <c r="X983" s="514" t="s">
        <v>1532</v>
      </c>
      <c r="Y983" s="514" t="s">
        <v>3232</v>
      </c>
      <c r="Z983" s="514" t="s">
        <v>1868</v>
      </c>
      <c r="AA983" s="514" t="s">
        <v>1592</v>
      </c>
      <c r="AB983" s="531" t="s">
        <v>1592</v>
      </c>
    </row>
    <row r="984" spans="1:28" ht="24" customHeight="1">
      <c r="A984" s="584"/>
      <c r="B984" s="460" t="s">
        <v>675</v>
      </c>
      <c r="C984" s="458" t="s">
        <v>2139</v>
      </c>
      <c r="D984" s="510" t="s">
        <v>2749</v>
      </c>
      <c r="E984" s="497">
        <f>F984+G984+H984</f>
        <v>10</v>
      </c>
      <c r="F984" s="497">
        <v>0</v>
      </c>
      <c r="G984" s="497">
        <v>0</v>
      </c>
      <c r="H984" s="497">
        <v>10</v>
      </c>
      <c r="I984" s="497">
        <f>J984+K984+L984</f>
        <v>8</v>
      </c>
      <c r="J984" s="497">
        <v>0</v>
      </c>
      <c r="K984" s="497">
        <v>0</v>
      </c>
      <c r="L984" s="721">
        <v>8</v>
      </c>
      <c r="M984" s="672">
        <f>I984/E984*100</f>
        <v>80</v>
      </c>
      <c r="N984" s="686">
        <v>0.38400000000000001</v>
      </c>
      <c r="O984" s="731" t="s">
        <v>2721</v>
      </c>
      <c r="P984" s="514" t="s">
        <v>2721</v>
      </c>
      <c r="Q984" s="842">
        <v>0</v>
      </c>
      <c r="R984" s="842">
        <v>0</v>
      </c>
      <c r="S984" s="842">
        <v>0</v>
      </c>
      <c r="T984" s="842">
        <v>0</v>
      </c>
      <c r="U984" s="514" t="s">
        <v>2728</v>
      </c>
      <c r="V984" s="514">
        <v>2001</v>
      </c>
      <c r="W984" s="498">
        <v>60</v>
      </c>
      <c r="X984" s="514" t="s">
        <v>1532</v>
      </c>
      <c r="Y984" s="514" t="s">
        <v>3232</v>
      </c>
      <c r="Z984" s="514" t="s">
        <v>2751</v>
      </c>
      <c r="AA984" s="514" t="s">
        <v>1592</v>
      </c>
      <c r="AB984" s="531" t="s">
        <v>1592</v>
      </c>
    </row>
    <row r="985" spans="1:28" ht="24" customHeight="1">
      <c r="A985" s="584"/>
      <c r="B985" s="460" t="s">
        <v>675</v>
      </c>
      <c r="C985" s="458" t="s">
        <v>2753</v>
      </c>
      <c r="D985" s="510" t="s">
        <v>2745</v>
      </c>
      <c r="E985" s="497">
        <f t="shared" si="76"/>
        <v>110</v>
      </c>
      <c r="F985" s="497">
        <v>0</v>
      </c>
      <c r="G985" s="497">
        <v>110</v>
      </c>
      <c r="H985" s="497">
        <v>0</v>
      </c>
      <c r="I985" s="497">
        <f t="shared" si="75"/>
        <v>102</v>
      </c>
      <c r="J985" s="497">
        <v>0</v>
      </c>
      <c r="K985" s="497">
        <v>102</v>
      </c>
      <c r="L985" s="721">
        <v>0</v>
      </c>
      <c r="M985" s="672">
        <f t="shared" si="77"/>
        <v>92.72727272727272</v>
      </c>
      <c r="N985" s="686">
        <v>2.5631672727272727</v>
      </c>
      <c r="O985" s="731" t="s">
        <v>5177</v>
      </c>
      <c r="P985" s="514" t="s">
        <v>5177</v>
      </c>
      <c r="Q985" s="842">
        <v>0</v>
      </c>
      <c r="R985" s="842">
        <v>0</v>
      </c>
      <c r="S985" s="842">
        <v>0</v>
      </c>
      <c r="T985" s="842">
        <v>0</v>
      </c>
      <c r="U985" s="514" t="s">
        <v>2717</v>
      </c>
      <c r="V985" s="514">
        <v>1999.7</v>
      </c>
      <c r="W985" s="498">
        <v>375</v>
      </c>
      <c r="X985" s="514" t="s">
        <v>2276</v>
      </c>
      <c r="Y985" s="514" t="s">
        <v>3232</v>
      </c>
      <c r="Z985" s="514" t="s">
        <v>2747</v>
      </c>
      <c r="AA985" s="514" t="s">
        <v>1592</v>
      </c>
      <c r="AB985" s="531" t="s">
        <v>1592</v>
      </c>
    </row>
    <row r="986" spans="1:28" ht="24" customHeight="1">
      <c r="A986" s="584"/>
      <c r="B986" s="460" t="s">
        <v>675</v>
      </c>
      <c r="C986" s="458" t="s">
        <v>2754</v>
      </c>
      <c r="D986" s="510" t="s">
        <v>2755</v>
      </c>
      <c r="E986" s="497">
        <f t="shared" si="76"/>
        <v>20</v>
      </c>
      <c r="F986" s="497">
        <v>0</v>
      </c>
      <c r="G986" s="497">
        <v>20</v>
      </c>
      <c r="H986" s="497">
        <v>0</v>
      </c>
      <c r="I986" s="497">
        <f t="shared" si="75"/>
        <v>18</v>
      </c>
      <c r="J986" s="497">
        <v>0</v>
      </c>
      <c r="K986" s="497">
        <v>18</v>
      </c>
      <c r="L986" s="721">
        <v>0</v>
      </c>
      <c r="M986" s="672">
        <f t="shared" si="77"/>
        <v>90</v>
      </c>
      <c r="N986" s="686">
        <v>0.65610000000000002</v>
      </c>
      <c r="O986" s="731" t="s">
        <v>3752</v>
      </c>
      <c r="P986" s="514" t="s">
        <v>3752</v>
      </c>
      <c r="Q986" s="842">
        <v>0</v>
      </c>
      <c r="R986" s="842">
        <v>0</v>
      </c>
      <c r="S986" s="842">
        <v>0</v>
      </c>
      <c r="T986" s="842">
        <v>0</v>
      </c>
      <c r="U986" s="514" t="s">
        <v>2717</v>
      </c>
      <c r="V986" s="514">
        <v>2002.5</v>
      </c>
      <c r="W986" s="498">
        <v>156</v>
      </c>
      <c r="X986" s="514" t="s">
        <v>1532</v>
      </c>
      <c r="Y986" s="514" t="s">
        <v>3232</v>
      </c>
      <c r="Z986" s="514" t="s">
        <v>1686</v>
      </c>
      <c r="AA986" s="514" t="s">
        <v>1686</v>
      </c>
      <c r="AB986" s="531" t="s">
        <v>1686</v>
      </c>
    </row>
    <row r="987" spans="1:28" ht="24" customHeight="1">
      <c r="A987" s="584"/>
      <c r="B987" s="460" t="s">
        <v>675</v>
      </c>
      <c r="C987" s="458" t="s">
        <v>2756</v>
      </c>
      <c r="D987" s="510" t="s">
        <v>2757</v>
      </c>
      <c r="E987" s="497">
        <f t="shared" si="76"/>
        <v>50</v>
      </c>
      <c r="F987" s="497">
        <v>0</v>
      </c>
      <c r="G987" s="497">
        <v>0</v>
      </c>
      <c r="H987" s="497">
        <v>50</v>
      </c>
      <c r="I987" s="497">
        <f t="shared" si="75"/>
        <v>40</v>
      </c>
      <c r="J987" s="497">
        <v>0</v>
      </c>
      <c r="K987" s="497">
        <v>0</v>
      </c>
      <c r="L987" s="721">
        <v>40</v>
      </c>
      <c r="M987" s="672">
        <f t="shared" si="77"/>
        <v>80</v>
      </c>
      <c r="N987" s="686">
        <v>1.5007999999999999</v>
      </c>
      <c r="O987" s="731" t="s">
        <v>2721</v>
      </c>
      <c r="P987" s="514" t="s">
        <v>2721</v>
      </c>
      <c r="Q987" s="842">
        <v>0</v>
      </c>
      <c r="R987" s="842">
        <v>0</v>
      </c>
      <c r="S987" s="842">
        <v>0</v>
      </c>
      <c r="T987" s="842">
        <v>0</v>
      </c>
      <c r="U987" s="514" t="s">
        <v>2717</v>
      </c>
      <c r="V987" s="514">
        <v>2003.1</v>
      </c>
      <c r="W987" s="498">
        <v>710</v>
      </c>
      <c r="X987" s="514" t="s">
        <v>2276</v>
      </c>
      <c r="Y987" s="514" t="s">
        <v>3232</v>
      </c>
      <c r="Z987" s="514" t="s">
        <v>2758</v>
      </c>
      <c r="AA987" s="514" t="s">
        <v>1686</v>
      </c>
      <c r="AB987" s="531" t="s">
        <v>1686</v>
      </c>
    </row>
    <row r="988" spans="1:28" ht="24" customHeight="1">
      <c r="A988" s="584"/>
      <c r="B988" s="460" t="s">
        <v>675</v>
      </c>
      <c r="C988" s="458" t="s">
        <v>2350</v>
      </c>
      <c r="D988" s="510" t="s">
        <v>2759</v>
      </c>
      <c r="E988" s="497">
        <f t="shared" si="76"/>
        <v>40</v>
      </c>
      <c r="F988" s="497">
        <v>0</v>
      </c>
      <c r="G988" s="497">
        <v>0</v>
      </c>
      <c r="H988" s="497">
        <v>40</v>
      </c>
      <c r="I988" s="497">
        <f t="shared" si="75"/>
        <v>38</v>
      </c>
      <c r="J988" s="497">
        <v>0</v>
      </c>
      <c r="K988" s="497">
        <v>0</v>
      </c>
      <c r="L988" s="721">
        <v>38</v>
      </c>
      <c r="M988" s="672">
        <f t="shared" si="77"/>
        <v>95</v>
      </c>
      <c r="N988" s="686">
        <v>1.1949099999999999</v>
      </c>
      <c r="O988" s="731" t="s">
        <v>2760</v>
      </c>
      <c r="P988" s="514" t="s">
        <v>2760</v>
      </c>
      <c r="Q988" s="842">
        <v>0</v>
      </c>
      <c r="R988" s="842">
        <v>0</v>
      </c>
      <c r="S988" s="842">
        <v>0</v>
      </c>
      <c r="T988" s="842">
        <v>0</v>
      </c>
      <c r="U988" s="514" t="s">
        <v>2728</v>
      </c>
      <c r="V988" s="514">
        <v>2003</v>
      </c>
      <c r="W988" s="498">
        <v>655</v>
      </c>
      <c r="X988" s="514" t="s">
        <v>1532</v>
      </c>
      <c r="Y988" s="514" t="s">
        <v>3232</v>
      </c>
      <c r="Z988" s="514" t="s">
        <v>1686</v>
      </c>
      <c r="AA988" s="514" t="s">
        <v>1686</v>
      </c>
      <c r="AB988" s="531" t="s">
        <v>1686</v>
      </c>
    </row>
    <row r="989" spans="1:28" ht="24" customHeight="1">
      <c r="A989" s="584"/>
      <c r="B989" s="460" t="s">
        <v>675</v>
      </c>
      <c r="C989" s="458" t="s">
        <v>2761</v>
      </c>
      <c r="D989" s="510" t="s">
        <v>2757</v>
      </c>
      <c r="E989" s="497">
        <f t="shared" si="76"/>
        <v>50</v>
      </c>
      <c r="F989" s="497">
        <v>0</v>
      </c>
      <c r="G989" s="497">
        <v>0</v>
      </c>
      <c r="H989" s="497">
        <v>50</v>
      </c>
      <c r="I989" s="497">
        <f t="shared" si="75"/>
        <v>46</v>
      </c>
      <c r="J989" s="497">
        <v>0</v>
      </c>
      <c r="K989" s="497">
        <v>0</v>
      </c>
      <c r="L989" s="721">
        <v>46</v>
      </c>
      <c r="M989" s="672">
        <f t="shared" si="77"/>
        <v>92</v>
      </c>
      <c r="N989" s="686">
        <v>1.2865279999999999</v>
      </c>
      <c r="O989" s="731" t="s">
        <v>2762</v>
      </c>
      <c r="P989" s="514" t="s">
        <v>2762</v>
      </c>
      <c r="Q989" s="842">
        <v>0</v>
      </c>
      <c r="R989" s="842">
        <v>0</v>
      </c>
      <c r="S989" s="842">
        <v>0</v>
      </c>
      <c r="T989" s="842">
        <v>0</v>
      </c>
      <c r="U989" s="514" t="s">
        <v>2728</v>
      </c>
      <c r="V989" s="514">
        <v>2006</v>
      </c>
      <c r="W989" s="498">
        <v>1046</v>
      </c>
      <c r="X989" s="514" t="s">
        <v>1532</v>
      </c>
      <c r="Y989" s="514" t="s">
        <v>3232</v>
      </c>
      <c r="Z989" s="514" t="s">
        <v>1686</v>
      </c>
      <c r="AA989" s="514" t="s">
        <v>1686</v>
      </c>
      <c r="AB989" s="531" t="s">
        <v>1686</v>
      </c>
    </row>
    <row r="990" spans="1:28" ht="24" customHeight="1">
      <c r="A990" s="584"/>
      <c r="B990" s="460" t="s">
        <v>675</v>
      </c>
      <c r="C990" s="458" t="s">
        <v>2763</v>
      </c>
      <c r="D990" s="510" t="s">
        <v>2764</v>
      </c>
      <c r="E990" s="497">
        <f t="shared" si="76"/>
        <v>20</v>
      </c>
      <c r="F990" s="497">
        <v>0</v>
      </c>
      <c r="G990" s="497">
        <v>0</v>
      </c>
      <c r="H990" s="497">
        <v>20</v>
      </c>
      <c r="I990" s="497">
        <f t="shared" si="75"/>
        <v>19</v>
      </c>
      <c r="J990" s="497">
        <v>0</v>
      </c>
      <c r="K990" s="497">
        <v>0</v>
      </c>
      <c r="L990" s="721">
        <v>19</v>
      </c>
      <c r="M990" s="672">
        <f t="shared" si="77"/>
        <v>95</v>
      </c>
      <c r="N990" s="686">
        <v>0.81586000000000014</v>
      </c>
      <c r="O990" s="731" t="s">
        <v>2765</v>
      </c>
      <c r="P990" s="514" t="s">
        <v>2765</v>
      </c>
      <c r="Q990" s="842">
        <v>0</v>
      </c>
      <c r="R990" s="842">
        <v>0</v>
      </c>
      <c r="S990" s="842">
        <v>0</v>
      </c>
      <c r="T990" s="842">
        <v>0</v>
      </c>
      <c r="U990" s="514" t="s">
        <v>2728</v>
      </c>
      <c r="V990" s="514">
        <v>2001</v>
      </c>
      <c r="W990" s="498">
        <v>56</v>
      </c>
      <c r="X990" s="514" t="s">
        <v>1532</v>
      </c>
      <c r="Y990" s="514" t="s">
        <v>3336</v>
      </c>
      <c r="Z990" s="514" t="s">
        <v>1686</v>
      </c>
      <c r="AA990" s="514" t="s">
        <v>1686</v>
      </c>
      <c r="AB990" s="531" t="s">
        <v>1686</v>
      </c>
    </row>
    <row r="991" spans="1:28" ht="24" customHeight="1">
      <c r="A991" s="584"/>
      <c r="B991" s="460" t="s">
        <v>675</v>
      </c>
      <c r="C991" s="458" t="s">
        <v>2766</v>
      </c>
      <c r="D991" s="510" t="s">
        <v>2767</v>
      </c>
      <c r="E991" s="497">
        <f>F991+G991+H991</f>
        <v>20</v>
      </c>
      <c r="F991" s="497">
        <v>0</v>
      </c>
      <c r="G991" s="497">
        <v>0</v>
      </c>
      <c r="H991" s="497">
        <v>20</v>
      </c>
      <c r="I991" s="497">
        <f>J991+K991+L991</f>
        <v>16</v>
      </c>
      <c r="J991" s="497">
        <v>0</v>
      </c>
      <c r="K991" s="497">
        <v>0</v>
      </c>
      <c r="L991" s="721">
        <v>16</v>
      </c>
      <c r="M991" s="672">
        <f>I991/E991*100</f>
        <v>80</v>
      </c>
      <c r="N991" s="686">
        <v>0.57856000000000007</v>
      </c>
      <c r="O991" s="731" t="s">
        <v>2721</v>
      </c>
      <c r="P991" s="514" t="s">
        <v>2721</v>
      </c>
      <c r="Q991" s="842">
        <v>0</v>
      </c>
      <c r="R991" s="842">
        <v>0</v>
      </c>
      <c r="S991" s="842">
        <v>0</v>
      </c>
      <c r="T991" s="842">
        <v>0</v>
      </c>
      <c r="U991" s="514" t="s">
        <v>2728</v>
      </c>
      <c r="V991" s="514">
        <v>2003</v>
      </c>
      <c r="W991" s="498">
        <v>58</v>
      </c>
      <c r="X991" s="514" t="s">
        <v>1532</v>
      </c>
      <c r="Y991" s="514" t="s">
        <v>3232</v>
      </c>
      <c r="Z991" s="514" t="s">
        <v>2768</v>
      </c>
      <c r="AA991" s="514" t="s">
        <v>1592</v>
      </c>
      <c r="AB991" s="531" t="s">
        <v>1592</v>
      </c>
    </row>
    <row r="992" spans="1:28" ht="24" customHeight="1">
      <c r="A992" s="584"/>
      <c r="B992" s="460" t="s">
        <v>675</v>
      </c>
      <c r="C992" s="458" t="s">
        <v>2769</v>
      </c>
      <c r="D992" s="510" t="s">
        <v>2767</v>
      </c>
      <c r="E992" s="497">
        <f t="shared" si="76"/>
        <v>40</v>
      </c>
      <c r="F992" s="497">
        <v>0</v>
      </c>
      <c r="G992" s="497">
        <v>40</v>
      </c>
      <c r="H992" s="497">
        <v>0</v>
      </c>
      <c r="I992" s="497">
        <f t="shared" si="75"/>
        <v>38</v>
      </c>
      <c r="J992" s="497">
        <v>0</v>
      </c>
      <c r="K992" s="497">
        <v>38</v>
      </c>
      <c r="L992" s="721">
        <v>0</v>
      </c>
      <c r="M992" s="672">
        <f t="shared" si="77"/>
        <v>95</v>
      </c>
      <c r="N992" s="686">
        <v>2.3862099999999997</v>
      </c>
      <c r="O992" s="731" t="s">
        <v>2770</v>
      </c>
      <c r="P992" s="514" t="s">
        <v>2770</v>
      </c>
      <c r="Q992" s="842">
        <v>0</v>
      </c>
      <c r="R992" s="842">
        <v>0</v>
      </c>
      <c r="S992" s="842">
        <v>0</v>
      </c>
      <c r="T992" s="842">
        <v>0</v>
      </c>
      <c r="U992" s="514" t="s">
        <v>2717</v>
      </c>
      <c r="V992" s="514">
        <v>2000.1</v>
      </c>
      <c r="W992" s="498">
        <v>205</v>
      </c>
      <c r="X992" s="514" t="s">
        <v>2276</v>
      </c>
      <c r="Y992" s="514" t="s">
        <v>3232</v>
      </c>
      <c r="Z992" s="514" t="s">
        <v>2768</v>
      </c>
      <c r="AA992" s="514" t="s">
        <v>1592</v>
      </c>
      <c r="AB992" s="531" t="s">
        <v>1592</v>
      </c>
    </row>
    <row r="993" spans="1:28" ht="24" customHeight="1">
      <c r="A993" s="584"/>
      <c r="B993" s="460" t="s">
        <v>675</v>
      </c>
      <c r="C993" s="458" t="s">
        <v>2771</v>
      </c>
      <c r="D993" s="510" t="s">
        <v>2772</v>
      </c>
      <c r="E993" s="497">
        <f t="shared" si="76"/>
        <v>300</v>
      </c>
      <c r="F993" s="497">
        <v>0</v>
      </c>
      <c r="G993" s="497">
        <v>0</v>
      </c>
      <c r="H993" s="497">
        <v>300</v>
      </c>
      <c r="I993" s="497">
        <f t="shared" si="75"/>
        <v>260</v>
      </c>
      <c r="J993" s="497">
        <v>0</v>
      </c>
      <c r="K993" s="497">
        <v>0</v>
      </c>
      <c r="L993" s="721">
        <v>260</v>
      </c>
      <c r="M993" s="672">
        <f t="shared" si="77"/>
        <v>86.666666666666671</v>
      </c>
      <c r="N993" s="686">
        <v>8.4725333333333328</v>
      </c>
      <c r="O993" s="731" t="s">
        <v>2742</v>
      </c>
      <c r="P993" s="514" t="s">
        <v>2742</v>
      </c>
      <c r="Q993" s="842">
        <v>0</v>
      </c>
      <c r="R993" s="842">
        <v>0</v>
      </c>
      <c r="S993" s="842">
        <v>0</v>
      </c>
      <c r="T993" s="842">
        <v>0</v>
      </c>
      <c r="U993" s="514" t="s">
        <v>2717</v>
      </c>
      <c r="V993" s="514">
        <v>2005.1</v>
      </c>
      <c r="W993" s="498">
        <v>4779</v>
      </c>
      <c r="X993" s="514" t="s">
        <v>2276</v>
      </c>
      <c r="Y993" s="514" t="s">
        <v>3336</v>
      </c>
      <c r="Z993" s="514" t="s">
        <v>2768</v>
      </c>
      <c r="AA993" s="514" t="s">
        <v>1592</v>
      </c>
      <c r="AB993" s="531" t="s">
        <v>1592</v>
      </c>
    </row>
    <row r="994" spans="1:28" ht="24" customHeight="1">
      <c r="A994" s="584"/>
      <c r="B994" s="460" t="s">
        <v>675</v>
      </c>
      <c r="C994" s="458" t="s">
        <v>2773</v>
      </c>
      <c r="D994" s="510" t="s">
        <v>2774</v>
      </c>
      <c r="E994" s="497">
        <f t="shared" si="76"/>
        <v>30</v>
      </c>
      <c r="F994" s="497">
        <v>0</v>
      </c>
      <c r="G994" s="497">
        <v>0</v>
      </c>
      <c r="H994" s="497">
        <v>30</v>
      </c>
      <c r="I994" s="497">
        <f t="shared" si="75"/>
        <v>30</v>
      </c>
      <c r="J994" s="497">
        <v>0</v>
      </c>
      <c r="K994" s="497">
        <v>0</v>
      </c>
      <c r="L994" s="721">
        <v>30</v>
      </c>
      <c r="M994" s="672">
        <f t="shared" si="77"/>
        <v>100</v>
      </c>
      <c r="N994" s="686">
        <v>2.7539999999999996</v>
      </c>
      <c r="O994" s="731" t="s">
        <v>2770</v>
      </c>
      <c r="P994" s="514" t="s">
        <v>2770</v>
      </c>
      <c r="Q994" s="842">
        <v>0</v>
      </c>
      <c r="R994" s="842">
        <v>0</v>
      </c>
      <c r="S994" s="842">
        <v>0</v>
      </c>
      <c r="T994" s="842">
        <v>0</v>
      </c>
      <c r="U994" s="514" t="s">
        <v>2728</v>
      </c>
      <c r="V994" s="514">
        <v>2005.12</v>
      </c>
      <c r="W994" s="498">
        <v>1000</v>
      </c>
      <c r="X994" s="514" t="s">
        <v>1532</v>
      </c>
      <c r="Y994" s="514" t="s">
        <v>3336</v>
      </c>
      <c r="Z994" s="514" t="s">
        <v>2768</v>
      </c>
      <c r="AA994" s="514" t="s">
        <v>1592</v>
      </c>
      <c r="AB994" s="531" t="s">
        <v>1592</v>
      </c>
    </row>
    <row r="995" spans="1:28" ht="24" customHeight="1">
      <c r="A995" s="584"/>
      <c r="B995" s="460" t="s">
        <v>675</v>
      </c>
      <c r="C995" s="458" t="s">
        <v>2775</v>
      </c>
      <c r="D995" s="510" t="s">
        <v>2776</v>
      </c>
      <c r="E995" s="497">
        <f t="shared" si="76"/>
        <v>20</v>
      </c>
      <c r="F995" s="497">
        <v>0</v>
      </c>
      <c r="G995" s="497">
        <v>0</v>
      </c>
      <c r="H995" s="497">
        <v>20</v>
      </c>
      <c r="I995" s="497">
        <f t="shared" si="75"/>
        <v>17</v>
      </c>
      <c r="J995" s="497">
        <v>0</v>
      </c>
      <c r="K995" s="497">
        <v>0</v>
      </c>
      <c r="L995" s="721">
        <v>17</v>
      </c>
      <c r="M995" s="672">
        <f t="shared" si="77"/>
        <v>85</v>
      </c>
      <c r="N995" s="686">
        <v>1.1271</v>
      </c>
      <c r="O995" s="731" t="s">
        <v>2777</v>
      </c>
      <c r="P995" s="514" t="s">
        <v>2777</v>
      </c>
      <c r="Q995" s="842">
        <v>0</v>
      </c>
      <c r="R995" s="842">
        <v>0</v>
      </c>
      <c r="S995" s="842">
        <v>0</v>
      </c>
      <c r="T995" s="842">
        <v>0</v>
      </c>
      <c r="U995" s="514" t="s">
        <v>2728</v>
      </c>
      <c r="V995" s="514">
        <v>2002</v>
      </c>
      <c r="W995" s="498">
        <v>142</v>
      </c>
      <c r="X995" s="514" t="s">
        <v>1532</v>
      </c>
      <c r="Y995" s="514" t="s">
        <v>3336</v>
      </c>
      <c r="Z995" s="514" t="s">
        <v>2768</v>
      </c>
      <c r="AA995" s="514" t="s">
        <v>1592</v>
      </c>
      <c r="AB995" s="531" t="s">
        <v>1592</v>
      </c>
    </row>
    <row r="996" spans="1:28" ht="24" customHeight="1">
      <c r="A996" s="584"/>
      <c r="B996" s="460" t="s">
        <v>675</v>
      </c>
      <c r="C996" s="458" t="s">
        <v>2778</v>
      </c>
      <c r="D996" s="510" t="s">
        <v>2779</v>
      </c>
      <c r="E996" s="497">
        <f t="shared" si="76"/>
        <v>30</v>
      </c>
      <c r="F996" s="497">
        <v>0</v>
      </c>
      <c r="G996" s="497">
        <v>0</v>
      </c>
      <c r="H996" s="497">
        <v>30</v>
      </c>
      <c r="I996" s="497">
        <f t="shared" si="75"/>
        <v>26</v>
      </c>
      <c r="J996" s="497">
        <v>0</v>
      </c>
      <c r="K996" s="497">
        <v>0</v>
      </c>
      <c r="L996" s="721">
        <v>26</v>
      </c>
      <c r="M996" s="672">
        <f t="shared" si="77"/>
        <v>86.666666666666671</v>
      </c>
      <c r="N996" s="686">
        <v>1.1582133333333333</v>
      </c>
      <c r="O996" s="731" t="s">
        <v>2780</v>
      </c>
      <c r="P996" s="514" t="s">
        <v>2780</v>
      </c>
      <c r="Q996" s="842">
        <v>0</v>
      </c>
      <c r="R996" s="842">
        <v>0</v>
      </c>
      <c r="S996" s="842">
        <v>0</v>
      </c>
      <c r="T996" s="842">
        <v>0</v>
      </c>
      <c r="U996" s="514" t="s">
        <v>2728</v>
      </c>
      <c r="V996" s="514">
        <v>2002</v>
      </c>
      <c r="W996" s="498">
        <v>170</v>
      </c>
      <c r="X996" s="514" t="s">
        <v>1532</v>
      </c>
      <c r="Y996" s="514" t="s">
        <v>3336</v>
      </c>
      <c r="Z996" s="514" t="s">
        <v>2781</v>
      </c>
      <c r="AA996" s="514" t="s">
        <v>1592</v>
      </c>
      <c r="AB996" s="531" t="s">
        <v>1592</v>
      </c>
    </row>
    <row r="997" spans="1:28" ht="24" customHeight="1">
      <c r="A997" s="584"/>
      <c r="B997" s="460" t="s">
        <v>675</v>
      </c>
      <c r="C997" s="458" t="s">
        <v>2782</v>
      </c>
      <c r="D997" s="510" t="s">
        <v>2776</v>
      </c>
      <c r="E997" s="497">
        <f t="shared" si="76"/>
        <v>35</v>
      </c>
      <c r="F997" s="497">
        <v>0</v>
      </c>
      <c r="G997" s="497">
        <v>0</v>
      </c>
      <c r="H997" s="497">
        <v>35</v>
      </c>
      <c r="I997" s="497">
        <f t="shared" si="75"/>
        <v>30</v>
      </c>
      <c r="J997" s="497">
        <v>0</v>
      </c>
      <c r="K997" s="497">
        <v>0</v>
      </c>
      <c r="L997" s="721">
        <v>30</v>
      </c>
      <c r="M997" s="672">
        <f t="shared" si="77"/>
        <v>85.714285714285708</v>
      </c>
      <c r="N997" s="686">
        <v>0.59914285714285709</v>
      </c>
      <c r="O997" s="731" t="s">
        <v>5255</v>
      </c>
      <c r="P997" s="514" t="s">
        <v>5255</v>
      </c>
      <c r="Q997" s="842">
        <v>0</v>
      </c>
      <c r="R997" s="842">
        <v>0</v>
      </c>
      <c r="S997" s="842">
        <v>0</v>
      </c>
      <c r="T997" s="842">
        <v>0</v>
      </c>
      <c r="U997" s="514" t="s">
        <v>2728</v>
      </c>
      <c r="V997" s="514">
        <v>2002</v>
      </c>
      <c r="W997" s="498">
        <v>210</v>
      </c>
      <c r="X997" s="514" t="s">
        <v>1532</v>
      </c>
      <c r="Y997" s="514" t="s">
        <v>3336</v>
      </c>
      <c r="Z997" s="514" t="s">
        <v>2768</v>
      </c>
      <c r="AA997" s="514" t="s">
        <v>1592</v>
      </c>
      <c r="AB997" s="531" t="s">
        <v>1592</v>
      </c>
    </row>
    <row r="998" spans="1:28" ht="24" customHeight="1">
      <c r="A998" s="584"/>
      <c r="B998" s="460" t="s">
        <v>675</v>
      </c>
      <c r="C998" s="458" t="s">
        <v>2783</v>
      </c>
      <c r="D998" s="510" t="s">
        <v>2784</v>
      </c>
      <c r="E998" s="497">
        <f t="shared" si="76"/>
        <v>40</v>
      </c>
      <c r="F998" s="497">
        <v>0</v>
      </c>
      <c r="G998" s="497">
        <v>0</v>
      </c>
      <c r="H998" s="497">
        <v>40</v>
      </c>
      <c r="I998" s="497">
        <f t="shared" si="75"/>
        <v>40</v>
      </c>
      <c r="J998" s="497">
        <v>0</v>
      </c>
      <c r="K998" s="497">
        <v>0</v>
      </c>
      <c r="L998" s="721">
        <v>40</v>
      </c>
      <c r="M998" s="672">
        <f t="shared" si="77"/>
        <v>100</v>
      </c>
      <c r="N998" s="686">
        <v>0.86</v>
      </c>
      <c r="O998" s="731" t="s">
        <v>2765</v>
      </c>
      <c r="P998" s="514" t="s">
        <v>2765</v>
      </c>
      <c r="Q998" s="842">
        <v>0</v>
      </c>
      <c r="R998" s="842">
        <v>0</v>
      </c>
      <c r="S998" s="842">
        <v>0</v>
      </c>
      <c r="T998" s="842">
        <v>0</v>
      </c>
      <c r="U998" s="514" t="s">
        <v>2728</v>
      </c>
      <c r="V998" s="514">
        <v>2005.12</v>
      </c>
      <c r="W998" s="498">
        <v>523</v>
      </c>
      <c r="X998" s="514" t="s">
        <v>1532</v>
      </c>
      <c r="Y998" s="514" t="s">
        <v>3336</v>
      </c>
      <c r="Z998" s="514" t="s">
        <v>2785</v>
      </c>
      <c r="AA998" s="514" t="s">
        <v>1592</v>
      </c>
      <c r="AB998" s="531" t="s">
        <v>1592</v>
      </c>
    </row>
    <row r="999" spans="1:28" ht="24" customHeight="1">
      <c r="A999" s="584"/>
      <c r="B999" s="460" t="s">
        <v>675</v>
      </c>
      <c r="C999" s="458" t="s">
        <v>2786</v>
      </c>
      <c r="D999" s="510" t="s">
        <v>2784</v>
      </c>
      <c r="E999" s="497">
        <f t="shared" si="76"/>
        <v>130</v>
      </c>
      <c r="F999" s="497">
        <v>0</v>
      </c>
      <c r="G999" s="497">
        <v>130</v>
      </c>
      <c r="H999" s="497">
        <v>0</v>
      </c>
      <c r="I999" s="497">
        <f t="shared" si="75"/>
        <v>120</v>
      </c>
      <c r="J999" s="497">
        <v>0</v>
      </c>
      <c r="K999" s="497">
        <v>120</v>
      </c>
      <c r="L999" s="721">
        <v>0</v>
      </c>
      <c r="M999" s="672">
        <f t="shared" si="77"/>
        <v>92.307692307692307</v>
      </c>
      <c r="N999" s="686">
        <v>4.2424615384615381</v>
      </c>
      <c r="O999" s="731" t="s">
        <v>2787</v>
      </c>
      <c r="P999" s="514" t="s">
        <v>5177</v>
      </c>
      <c r="Q999" s="842">
        <v>0</v>
      </c>
      <c r="R999" s="842">
        <v>0</v>
      </c>
      <c r="S999" s="842">
        <v>0</v>
      </c>
      <c r="T999" s="842">
        <v>0</v>
      </c>
      <c r="U999" s="514" t="s">
        <v>2717</v>
      </c>
      <c r="V999" s="514">
        <v>1999.7</v>
      </c>
      <c r="W999" s="498">
        <v>375</v>
      </c>
      <c r="X999" s="514" t="s">
        <v>2276</v>
      </c>
      <c r="Y999" s="514" t="s">
        <v>3232</v>
      </c>
      <c r="Z999" s="514" t="s">
        <v>2785</v>
      </c>
      <c r="AA999" s="514" t="s">
        <v>1592</v>
      </c>
      <c r="AB999" s="531" t="s">
        <v>1592</v>
      </c>
    </row>
    <row r="1000" spans="1:28" ht="24" customHeight="1">
      <c r="A1000" s="584"/>
      <c r="B1000" s="460" t="s">
        <v>675</v>
      </c>
      <c r="C1000" s="458" t="s">
        <v>2788</v>
      </c>
      <c r="D1000" s="510" t="s">
        <v>2789</v>
      </c>
      <c r="E1000" s="497">
        <f t="shared" si="76"/>
        <v>15</v>
      </c>
      <c r="F1000" s="497">
        <v>0</v>
      </c>
      <c r="G1000" s="497">
        <v>0</v>
      </c>
      <c r="H1000" s="497">
        <v>15</v>
      </c>
      <c r="I1000" s="497">
        <f t="shared" si="75"/>
        <v>14</v>
      </c>
      <c r="J1000" s="497">
        <v>0</v>
      </c>
      <c r="K1000" s="497">
        <v>0</v>
      </c>
      <c r="L1000" s="721">
        <v>14</v>
      </c>
      <c r="M1000" s="672">
        <f t="shared" si="77"/>
        <v>93.333333333333329</v>
      </c>
      <c r="N1000" s="686">
        <v>0.84933333333333338</v>
      </c>
      <c r="O1000" s="731" t="s">
        <v>2721</v>
      </c>
      <c r="P1000" s="514" t="s">
        <v>2721</v>
      </c>
      <c r="Q1000" s="842">
        <v>0</v>
      </c>
      <c r="R1000" s="842">
        <v>0</v>
      </c>
      <c r="S1000" s="842">
        <v>0</v>
      </c>
      <c r="T1000" s="842">
        <v>0</v>
      </c>
      <c r="U1000" s="514" t="s">
        <v>2728</v>
      </c>
      <c r="V1000" s="514">
        <v>2001</v>
      </c>
      <c r="W1000" s="498">
        <v>75</v>
      </c>
      <c r="X1000" s="514" t="s">
        <v>1532</v>
      </c>
      <c r="Y1000" s="514" t="s">
        <v>3336</v>
      </c>
      <c r="Z1000" s="514" t="s">
        <v>2729</v>
      </c>
      <c r="AA1000" s="514" t="s">
        <v>1592</v>
      </c>
      <c r="AB1000" s="531" t="s">
        <v>1592</v>
      </c>
    </row>
    <row r="1001" spans="1:28" ht="24" customHeight="1">
      <c r="A1001" s="584"/>
      <c r="B1001" s="460" t="s">
        <v>675</v>
      </c>
      <c r="C1001" s="458" t="s">
        <v>2036</v>
      </c>
      <c r="D1001" s="510" t="s">
        <v>2790</v>
      </c>
      <c r="E1001" s="497">
        <f t="shared" si="76"/>
        <v>35</v>
      </c>
      <c r="F1001" s="497">
        <v>0</v>
      </c>
      <c r="G1001" s="497">
        <v>0</v>
      </c>
      <c r="H1001" s="497">
        <v>35</v>
      </c>
      <c r="I1001" s="497">
        <f t="shared" si="75"/>
        <v>32</v>
      </c>
      <c r="J1001" s="497">
        <v>0</v>
      </c>
      <c r="K1001" s="497">
        <v>0</v>
      </c>
      <c r="L1001" s="721">
        <v>32</v>
      </c>
      <c r="M1001" s="672">
        <f t="shared" si="77"/>
        <v>91.428571428571431</v>
      </c>
      <c r="N1001" s="686">
        <v>0.47104000000000001</v>
      </c>
      <c r="O1001" s="731" t="s">
        <v>2780</v>
      </c>
      <c r="P1001" s="514" t="s">
        <v>2780</v>
      </c>
      <c r="Q1001" s="842">
        <v>0</v>
      </c>
      <c r="R1001" s="842">
        <v>0</v>
      </c>
      <c r="S1001" s="842">
        <v>0</v>
      </c>
      <c r="T1001" s="842">
        <v>0</v>
      </c>
      <c r="U1001" s="514" t="s">
        <v>2728</v>
      </c>
      <c r="V1001" s="514">
        <v>2002</v>
      </c>
      <c r="W1001" s="498">
        <v>186</v>
      </c>
      <c r="X1001" s="514" t="s">
        <v>1532</v>
      </c>
      <c r="Y1001" s="514" t="s">
        <v>3336</v>
      </c>
      <c r="Z1001" s="514" t="s">
        <v>2791</v>
      </c>
      <c r="AA1001" s="514" t="s">
        <v>1592</v>
      </c>
      <c r="AB1001" s="531" t="s">
        <v>1592</v>
      </c>
    </row>
    <row r="1002" spans="1:28" ht="24" customHeight="1">
      <c r="A1002" s="584"/>
      <c r="B1002" s="460" t="s">
        <v>675</v>
      </c>
      <c r="C1002" s="458" t="s">
        <v>2792</v>
      </c>
      <c r="D1002" s="510" t="s">
        <v>2793</v>
      </c>
      <c r="E1002" s="497">
        <f t="shared" si="76"/>
        <v>40</v>
      </c>
      <c r="F1002" s="497">
        <v>0</v>
      </c>
      <c r="G1002" s="497">
        <v>0</v>
      </c>
      <c r="H1002" s="497">
        <v>40</v>
      </c>
      <c r="I1002" s="497">
        <f t="shared" si="75"/>
        <v>39</v>
      </c>
      <c r="J1002" s="497">
        <v>0</v>
      </c>
      <c r="K1002" s="497">
        <v>0</v>
      </c>
      <c r="L1002" s="721">
        <v>39</v>
      </c>
      <c r="M1002" s="672">
        <f t="shared" si="77"/>
        <v>97.5</v>
      </c>
      <c r="N1002" s="686">
        <v>3.4146449999999997</v>
      </c>
      <c r="O1002" s="731" t="s">
        <v>2721</v>
      </c>
      <c r="P1002" s="514" t="s">
        <v>2721</v>
      </c>
      <c r="Q1002" s="842">
        <v>0</v>
      </c>
      <c r="R1002" s="842">
        <v>0</v>
      </c>
      <c r="S1002" s="842">
        <v>0</v>
      </c>
      <c r="T1002" s="842">
        <v>0</v>
      </c>
      <c r="U1002" s="514" t="s">
        <v>2728</v>
      </c>
      <c r="V1002" s="514">
        <v>2005.12</v>
      </c>
      <c r="W1002" s="498">
        <v>462</v>
      </c>
      <c r="X1002" s="514" t="s">
        <v>1532</v>
      </c>
      <c r="Y1002" s="514" t="s">
        <v>3336</v>
      </c>
      <c r="Z1002" s="514" t="s">
        <v>2794</v>
      </c>
      <c r="AA1002" s="514" t="s">
        <v>1592</v>
      </c>
      <c r="AB1002" s="531" t="s">
        <v>1592</v>
      </c>
    </row>
    <row r="1003" spans="1:28" ht="24" customHeight="1">
      <c r="A1003" s="584"/>
      <c r="B1003" s="460" t="s">
        <v>675</v>
      </c>
      <c r="C1003" s="458" t="s">
        <v>2795</v>
      </c>
      <c r="D1003" s="510" t="s">
        <v>2789</v>
      </c>
      <c r="E1003" s="497">
        <f t="shared" si="76"/>
        <v>300</v>
      </c>
      <c r="F1003" s="497">
        <v>0</v>
      </c>
      <c r="G1003" s="497">
        <v>0</v>
      </c>
      <c r="H1003" s="497">
        <v>300</v>
      </c>
      <c r="I1003" s="497">
        <f t="shared" si="75"/>
        <v>270</v>
      </c>
      <c r="J1003" s="497">
        <v>0</v>
      </c>
      <c r="K1003" s="497">
        <v>0</v>
      </c>
      <c r="L1003" s="721">
        <v>270</v>
      </c>
      <c r="M1003" s="672">
        <f t="shared" si="77"/>
        <v>90</v>
      </c>
      <c r="N1003" s="686">
        <v>10.199999999999999</v>
      </c>
      <c r="O1003" s="731" t="s">
        <v>2742</v>
      </c>
      <c r="P1003" s="514" t="s">
        <v>2742</v>
      </c>
      <c r="Q1003" s="842">
        <v>0</v>
      </c>
      <c r="R1003" s="842">
        <v>0</v>
      </c>
      <c r="S1003" s="842">
        <v>0</v>
      </c>
      <c r="T1003" s="842">
        <v>0</v>
      </c>
      <c r="U1003" s="514" t="s">
        <v>2717</v>
      </c>
      <c r="V1003" s="514">
        <v>2005.1</v>
      </c>
      <c r="W1003" s="498">
        <v>4826</v>
      </c>
      <c r="X1003" s="514" t="s">
        <v>2276</v>
      </c>
      <c r="Y1003" s="514" t="s">
        <v>3336</v>
      </c>
      <c r="Z1003" s="514" t="s">
        <v>2729</v>
      </c>
      <c r="AA1003" s="514" t="s">
        <v>1592</v>
      </c>
      <c r="AB1003" s="531" t="s">
        <v>1592</v>
      </c>
    </row>
    <row r="1004" spans="1:28" ht="24" customHeight="1">
      <c r="A1004" s="584"/>
      <c r="B1004" s="460" t="s">
        <v>675</v>
      </c>
      <c r="C1004" s="458" t="s">
        <v>2796</v>
      </c>
      <c r="D1004" s="510" t="s">
        <v>2797</v>
      </c>
      <c r="E1004" s="497">
        <f t="shared" si="76"/>
        <v>45</v>
      </c>
      <c r="F1004" s="497">
        <v>0</v>
      </c>
      <c r="G1004" s="497">
        <v>0</v>
      </c>
      <c r="H1004" s="497">
        <v>45</v>
      </c>
      <c r="I1004" s="497">
        <f t="shared" si="75"/>
        <v>45</v>
      </c>
      <c r="J1004" s="497">
        <v>0</v>
      </c>
      <c r="K1004" s="497">
        <v>0</v>
      </c>
      <c r="L1004" s="721">
        <v>45</v>
      </c>
      <c r="M1004" s="672">
        <f t="shared" si="77"/>
        <v>100</v>
      </c>
      <c r="N1004" s="686">
        <v>2.3624999999999998</v>
      </c>
      <c r="O1004" s="731" t="s">
        <v>3419</v>
      </c>
      <c r="P1004" s="514" t="s">
        <v>3419</v>
      </c>
      <c r="Q1004" s="842">
        <v>0</v>
      </c>
      <c r="R1004" s="842">
        <v>0</v>
      </c>
      <c r="S1004" s="842">
        <v>0</v>
      </c>
      <c r="T1004" s="842">
        <v>0</v>
      </c>
      <c r="U1004" s="514" t="s">
        <v>2728</v>
      </c>
      <c r="V1004" s="514">
        <v>2005.12</v>
      </c>
      <c r="W1004" s="498">
        <v>1000</v>
      </c>
      <c r="X1004" s="514" t="s">
        <v>1532</v>
      </c>
      <c r="Y1004" s="514" t="s">
        <v>3336</v>
      </c>
      <c r="Z1004" s="514" t="s">
        <v>2798</v>
      </c>
      <c r="AA1004" s="514" t="s">
        <v>1592</v>
      </c>
      <c r="AB1004" s="531" t="s">
        <v>1592</v>
      </c>
    </row>
    <row r="1005" spans="1:28" ht="24" customHeight="1">
      <c r="A1005" s="582" t="s">
        <v>1695</v>
      </c>
      <c r="B1005" s="460" t="s">
        <v>2201</v>
      </c>
      <c r="C1005" s="458" t="s">
        <v>2424</v>
      </c>
      <c r="D1005" s="510" t="s">
        <v>2799</v>
      </c>
      <c r="E1005" s="497">
        <f>SUM(F1005:H1005)</f>
        <v>3000</v>
      </c>
      <c r="F1005" s="497">
        <v>0</v>
      </c>
      <c r="G1005" s="497">
        <v>3000</v>
      </c>
      <c r="H1005" s="497">
        <v>0</v>
      </c>
      <c r="I1005" s="497">
        <f t="shared" ref="I1005:I1029" si="78">SUM(J1005:L1005)</f>
        <v>3000</v>
      </c>
      <c r="J1005" s="497">
        <v>0</v>
      </c>
      <c r="K1005" s="497">
        <v>3000</v>
      </c>
      <c r="L1005" s="721">
        <v>0</v>
      </c>
      <c r="M1005" s="672">
        <f>I1005/E1005*100</f>
        <v>100</v>
      </c>
      <c r="N1005" s="498">
        <v>13500</v>
      </c>
      <c r="O1005" s="731" t="s">
        <v>2800</v>
      </c>
      <c r="P1005" s="514" t="s">
        <v>2800</v>
      </c>
      <c r="Q1005" s="842">
        <v>10</v>
      </c>
      <c r="R1005" s="842">
        <v>10</v>
      </c>
      <c r="S1005" s="842">
        <v>0</v>
      </c>
      <c r="T1005" s="842">
        <v>0</v>
      </c>
      <c r="U1005" s="464" t="s">
        <v>2306</v>
      </c>
      <c r="V1005" s="514" t="s">
        <v>2801</v>
      </c>
      <c r="W1005" s="653">
        <v>16807</v>
      </c>
      <c r="X1005" s="514" t="s">
        <v>1532</v>
      </c>
      <c r="Y1005" s="514" t="s">
        <v>3336</v>
      </c>
      <c r="Z1005" s="514" t="s">
        <v>1602</v>
      </c>
      <c r="AA1005" s="514" t="s">
        <v>1592</v>
      </c>
      <c r="AB1005" s="531" t="s">
        <v>1592</v>
      </c>
    </row>
    <row r="1006" spans="1:28" ht="24" customHeight="1">
      <c r="A1006" s="584"/>
      <c r="B1006" s="460" t="s">
        <v>675</v>
      </c>
      <c r="C1006" s="458" t="s">
        <v>2802</v>
      </c>
      <c r="D1006" s="510" t="s">
        <v>2803</v>
      </c>
      <c r="E1006" s="497">
        <f>SUM(F1006:H1006)</f>
        <v>30</v>
      </c>
      <c r="F1006" s="497">
        <v>0</v>
      </c>
      <c r="G1006" s="497">
        <v>30</v>
      </c>
      <c r="H1006" s="497">
        <v>0</v>
      </c>
      <c r="I1006" s="497">
        <f t="shared" si="78"/>
        <v>30</v>
      </c>
      <c r="J1006" s="497">
        <v>0</v>
      </c>
      <c r="K1006" s="497">
        <v>30</v>
      </c>
      <c r="L1006" s="721">
        <v>0</v>
      </c>
      <c r="M1006" s="672">
        <v>95</v>
      </c>
      <c r="N1006" s="498">
        <v>2.6</v>
      </c>
      <c r="O1006" s="731" t="s">
        <v>2804</v>
      </c>
      <c r="P1006" s="514" t="s">
        <v>2804</v>
      </c>
      <c r="Q1006" s="842">
        <v>0</v>
      </c>
      <c r="R1006" s="842">
        <v>0</v>
      </c>
      <c r="S1006" s="842">
        <v>0</v>
      </c>
      <c r="T1006" s="842">
        <v>0</v>
      </c>
      <c r="U1006" s="464" t="s">
        <v>2306</v>
      </c>
      <c r="V1006" s="514" t="s">
        <v>2801</v>
      </c>
      <c r="W1006" s="498">
        <v>240</v>
      </c>
      <c r="X1006" s="514" t="s">
        <v>1532</v>
      </c>
      <c r="Y1006" s="514" t="s">
        <v>2805</v>
      </c>
      <c r="Z1006" s="514" t="s">
        <v>1602</v>
      </c>
      <c r="AA1006" s="514" t="s">
        <v>1592</v>
      </c>
      <c r="AB1006" s="531" t="s">
        <v>1592</v>
      </c>
    </row>
    <row r="1007" spans="1:28" ht="24" customHeight="1">
      <c r="A1007" s="584"/>
      <c r="B1007" s="460" t="s">
        <v>675</v>
      </c>
      <c r="C1007" s="458" t="s">
        <v>2240</v>
      </c>
      <c r="D1007" s="510" t="s">
        <v>2806</v>
      </c>
      <c r="E1007" s="497">
        <f>SUM(F1007:H1007)</f>
        <v>70</v>
      </c>
      <c r="F1007" s="497">
        <v>0</v>
      </c>
      <c r="G1007" s="497">
        <v>70</v>
      </c>
      <c r="H1007" s="497">
        <v>0</v>
      </c>
      <c r="I1007" s="497">
        <f t="shared" si="78"/>
        <v>70</v>
      </c>
      <c r="J1007" s="497">
        <v>0</v>
      </c>
      <c r="K1007" s="497">
        <v>70</v>
      </c>
      <c r="L1007" s="721">
        <v>0</v>
      </c>
      <c r="M1007" s="672">
        <v>89</v>
      </c>
      <c r="N1007" s="498">
        <v>2.87</v>
      </c>
      <c r="O1007" s="731" t="s">
        <v>2804</v>
      </c>
      <c r="P1007" s="514" t="s">
        <v>2804</v>
      </c>
      <c r="Q1007" s="842">
        <v>0</v>
      </c>
      <c r="R1007" s="842">
        <v>0</v>
      </c>
      <c r="S1007" s="842">
        <v>0</v>
      </c>
      <c r="T1007" s="842">
        <v>0</v>
      </c>
      <c r="U1007" s="464" t="s">
        <v>2306</v>
      </c>
      <c r="V1007" s="514" t="s">
        <v>2807</v>
      </c>
      <c r="W1007" s="498">
        <v>300</v>
      </c>
      <c r="X1007" s="514" t="s">
        <v>1532</v>
      </c>
      <c r="Y1007" s="514" t="s">
        <v>2805</v>
      </c>
      <c r="Z1007" s="514" t="s">
        <v>1602</v>
      </c>
      <c r="AA1007" s="514" t="s">
        <v>1592</v>
      </c>
      <c r="AB1007" s="531" t="s">
        <v>1592</v>
      </c>
    </row>
    <row r="1008" spans="1:28" ht="24" customHeight="1">
      <c r="A1008" s="584"/>
      <c r="B1008" s="460" t="s">
        <v>675</v>
      </c>
      <c r="C1008" s="458" t="s">
        <v>2808</v>
      </c>
      <c r="D1008" s="510" t="s">
        <v>2809</v>
      </c>
      <c r="E1008" s="497">
        <v>50</v>
      </c>
      <c r="F1008" s="497">
        <v>0</v>
      </c>
      <c r="G1008" s="497">
        <v>50</v>
      </c>
      <c r="H1008" s="497">
        <v>0</v>
      </c>
      <c r="I1008" s="497">
        <f t="shared" si="78"/>
        <v>30</v>
      </c>
      <c r="J1008" s="497">
        <v>0</v>
      </c>
      <c r="K1008" s="497">
        <v>30</v>
      </c>
      <c r="L1008" s="721">
        <v>0</v>
      </c>
      <c r="M1008" s="672">
        <v>98</v>
      </c>
      <c r="N1008" s="498">
        <v>6.86</v>
      </c>
      <c r="O1008" s="731" t="s">
        <v>2804</v>
      </c>
      <c r="P1008" s="514" t="s">
        <v>2804</v>
      </c>
      <c r="Q1008" s="842">
        <v>0</v>
      </c>
      <c r="R1008" s="842">
        <v>0</v>
      </c>
      <c r="S1008" s="842">
        <v>0</v>
      </c>
      <c r="T1008" s="842">
        <v>0</v>
      </c>
      <c r="U1008" s="464" t="s">
        <v>2306</v>
      </c>
      <c r="V1008" s="514" t="s">
        <v>2098</v>
      </c>
      <c r="W1008" s="498">
        <v>240</v>
      </c>
      <c r="X1008" s="514" t="s">
        <v>1532</v>
      </c>
      <c r="Y1008" s="514" t="s">
        <v>2805</v>
      </c>
      <c r="Z1008" s="514" t="s">
        <v>1602</v>
      </c>
      <c r="AA1008" s="514" t="s">
        <v>1592</v>
      </c>
      <c r="AB1008" s="531" t="s">
        <v>1592</v>
      </c>
    </row>
    <row r="1009" spans="1:28" ht="24" customHeight="1">
      <c r="A1009" s="584"/>
      <c r="B1009" s="460" t="s">
        <v>675</v>
      </c>
      <c r="C1009" s="458" t="s">
        <v>2810</v>
      </c>
      <c r="D1009" s="510" t="s">
        <v>2811</v>
      </c>
      <c r="E1009" s="497">
        <f>SUM(F1009:H1009)</f>
        <v>30</v>
      </c>
      <c r="F1009" s="497">
        <v>0</v>
      </c>
      <c r="G1009" s="497">
        <v>30</v>
      </c>
      <c r="H1009" s="497">
        <v>0</v>
      </c>
      <c r="I1009" s="497">
        <f t="shared" si="78"/>
        <v>30</v>
      </c>
      <c r="J1009" s="497">
        <v>0</v>
      </c>
      <c r="K1009" s="497">
        <v>30</v>
      </c>
      <c r="L1009" s="721">
        <v>0</v>
      </c>
      <c r="M1009" s="672">
        <v>97</v>
      </c>
      <c r="N1009" s="498">
        <v>4.25</v>
      </c>
      <c r="O1009" s="731" t="s">
        <v>2812</v>
      </c>
      <c r="P1009" s="514" t="s">
        <v>2812</v>
      </c>
      <c r="Q1009" s="842">
        <v>0</v>
      </c>
      <c r="R1009" s="842">
        <v>0</v>
      </c>
      <c r="S1009" s="842">
        <v>0</v>
      </c>
      <c r="T1009" s="842">
        <v>0</v>
      </c>
      <c r="U1009" s="464" t="s">
        <v>2306</v>
      </c>
      <c r="V1009" s="514" t="s">
        <v>2813</v>
      </c>
      <c r="W1009" s="498">
        <v>240</v>
      </c>
      <c r="X1009" s="514" t="s">
        <v>1532</v>
      </c>
      <c r="Y1009" s="514" t="s">
        <v>2805</v>
      </c>
      <c r="Z1009" s="514" t="s">
        <v>1602</v>
      </c>
      <c r="AA1009" s="514" t="s">
        <v>1592</v>
      </c>
      <c r="AB1009" s="531" t="s">
        <v>1592</v>
      </c>
    </row>
    <row r="1010" spans="1:28" ht="24" customHeight="1">
      <c r="A1010" s="584"/>
      <c r="B1010" s="460" t="s">
        <v>675</v>
      </c>
      <c r="C1010" s="458" t="s">
        <v>2068</v>
      </c>
      <c r="D1010" s="510" t="s">
        <v>2814</v>
      </c>
      <c r="E1010" s="497">
        <v>40</v>
      </c>
      <c r="F1010" s="497">
        <v>0</v>
      </c>
      <c r="G1010" s="497">
        <v>40</v>
      </c>
      <c r="H1010" s="497">
        <v>0</v>
      </c>
      <c r="I1010" s="497">
        <f t="shared" si="78"/>
        <v>30</v>
      </c>
      <c r="J1010" s="497">
        <v>0</v>
      </c>
      <c r="K1010" s="497">
        <v>30</v>
      </c>
      <c r="L1010" s="721">
        <v>0</v>
      </c>
      <c r="M1010" s="672">
        <v>96</v>
      </c>
      <c r="N1010" s="498">
        <v>3.82</v>
      </c>
      <c r="O1010" s="731" t="s">
        <v>5663</v>
      </c>
      <c r="P1010" s="514" t="s">
        <v>5663</v>
      </c>
      <c r="Q1010" s="842">
        <v>0</v>
      </c>
      <c r="R1010" s="842">
        <v>0</v>
      </c>
      <c r="S1010" s="842">
        <v>0</v>
      </c>
      <c r="T1010" s="842">
        <v>0</v>
      </c>
      <c r="U1010" s="464" t="s">
        <v>2306</v>
      </c>
      <c r="V1010" s="514" t="s">
        <v>2815</v>
      </c>
      <c r="W1010" s="498">
        <v>188</v>
      </c>
      <c r="X1010" s="514" t="s">
        <v>1532</v>
      </c>
      <c r="Y1010" s="514" t="s">
        <v>2805</v>
      </c>
      <c r="Z1010" s="514" t="s">
        <v>1602</v>
      </c>
      <c r="AA1010" s="514" t="s">
        <v>1592</v>
      </c>
      <c r="AB1010" s="531" t="s">
        <v>1592</v>
      </c>
    </row>
    <row r="1011" spans="1:28" ht="24" customHeight="1">
      <c r="A1011" s="584"/>
      <c r="B1011" s="460" t="s">
        <v>675</v>
      </c>
      <c r="C1011" s="458" t="s">
        <v>2816</v>
      </c>
      <c r="D1011" s="510" t="s">
        <v>2817</v>
      </c>
      <c r="E1011" s="497">
        <v>40</v>
      </c>
      <c r="F1011" s="497">
        <v>0</v>
      </c>
      <c r="G1011" s="497">
        <v>40</v>
      </c>
      <c r="H1011" s="497">
        <v>0</v>
      </c>
      <c r="I1011" s="497">
        <f t="shared" si="78"/>
        <v>30</v>
      </c>
      <c r="J1011" s="497">
        <v>0</v>
      </c>
      <c r="K1011" s="497">
        <v>30</v>
      </c>
      <c r="L1011" s="721">
        <v>0</v>
      </c>
      <c r="M1011" s="672">
        <v>95</v>
      </c>
      <c r="N1011" s="498">
        <v>2.6</v>
      </c>
      <c r="O1011" s="731" t="s">
        <v>2804</v>
      </c>
      <c r="P1011" s="514" t="s">
        <v>2804</v>
      </c>
      <c r="Q1011" s="842">
        <v>0</v>
      </c>
      <c r="R1011" s="842">
        <v>0</v>
      </c>
      <c r="S1011" s="842">
        <v>0</v>
      </c>
      <c r="T1011" s="842">
        <v>0</v>
      </c>
      <c r="U1011" s="464" t="s">
        <v>2306</v>
      </c>
      <c r="V1011" s="514" t="s">
        <v>2815</v>
      </c>
      <c r="W1011" s="498">
        <v>188</v>
      </c>
      <c r="X1011" s="514" t="s">
        <v>1532</v>
      </c>
      <c r="Y1011" s="514" t="s">
        <v>2805</v>
      </c>
      <c r="Z1011" s="514" t="s">
        <v>1602</v>
      </c>
      <c r="AA1011" s="514" t="s">
        <v>1592</v>
      </c>
      <c r="AB1011" s="531" t="s">
        <v>1592</v>
      </c>
    </row>
    <row r="1012" spans="1:28" ht="24" customHeight="1">
      <c r="A1012" s="584"/>
      <c r="B1012" s="460" t="s">
        <v>675</v>
      </c>
      <c r="C1012" s="458" t="s">
        <v>3310</v>
      </c>
      <c r="D1012" s="510" t="s">
        <v>2818</v>
      </c>
      <c r="E1012" s="497">
        <v>35</v>
      </c>
      <c r="F1012" s="497">
        <v>0</v>
      </c>
      <c r="G1012" s="497">
        <v>35</v>
      </c>
      <c r="H1012" s="497">
        <v>0</v>
      </c>
      <c r="I1012" s="497">
        <f t="shared" si="78"/>
        <v>35</v>
      </c>
      <c r="J1012" s="497">
        <v>0</v>
      </c>
      <c r="K1012" s="497">
        <v>35</v>
      </c>
      <c r="L1012" s="721">
        <v>0</v>
      </c>
      <c r="M1012" s="672">
        <v>94</v>
      </c>
      <c r="N1012" s="498">
        <v>7.4</v>
      </c>
      <c r="O1012" s="731" t="s">
        <v>2819</v>
      </c>
      <c r="P1012" s="514" t="s">
        <v>2819</v>
      </c>
      <c r="Q1012" s="842">
        <v>0</v>
      </c>
      <c r="R1012" s="842">
        <v>0</v>
      </c>
      <c r="S1012" s="842">
        <v>0</v>
      </c>
      <c r="T1012" s="842">
        <v>0</v>
      </c>
      <c r="U1012" s="464" t="s">
        <v>2306</v>
      </c>
      <c r="V1012" s="534" t="s">
        <v>2820</v>
      </c>
      <c r="W1012" s="498">
        <v>107</v>
      </c>
      <c r="X1012" s="514" t="s">
        <v>1532</v>
      </c>
      <c r="Y1012" s="514" t="s">
        <v>2805</v>
      </c>
      <c r="Z1012" s="514" t="s">
        <v>2821</v>
      </c>
      <c r="AA1012" s="514" t="s">
        <v>1592</v>
      </c>
      <c r="AB1012" s="531" t="s">
        <v>1592</v>
      </c>
    </row>
    <row r="1013" spans="1:28" ht="24" customHeight="1">
      <c r="A1013" s="584"/>
      <c r="B1013" s="460" t="s">
        <v>675</v>
      </c>
      <c r="C1013" s="458" t="s">
        <v>2822</v>
      </c>
      <c r="D1013" s="510" t="s">
        <v>2823</v>
      </c>
      <c r="E1013" s="497">
        <v>43</v>
      </c>
      <c r="F1013" s="497">
        <v>0</v>
      </c>
      <c r="G1013" s="497">
        <v>43</v>
      </c>
      <c r="H1013" s="497">
        <v>0</v>
      </c>
      <c r="I1013" s="497">
        <f t="shared" si="78"/>
        <v>43</v>
      </c>
      <c r="J1013" s="497">
        <v>0</v>
      </c>
      <c r="K1013" s="497">
        <v>43</v>
      </c>
      <c r="L1013" s="721">
        <v>0</v>
      </c>
      <c r="M1013" s="672">
        <v>95</v>
      </c>
      <c r="N1013" s="498">
        <v>7.35</v>
      </c>
      <c r="O1013" s="731" t="s">
        <v>5582</v>
      </c>
      <c r="P1013" s="514" t="s">
        <v>5582</v>
      </c>
      <c r="Q1013" s="842">
        <v>0</v>
      </c>
      <c r="R1013" s="842">
        <v>0</v>
      </c>
      <c r="S1013" s="842">
        <v>0</v>
      </c>
      <c r="T1013" s="842">
        <v>0</v>
      </c>
      <c r="U1013" s="464" t="s">
        <v>2306</v>
      </c>
      <c r="V1013" s="534" t="s">
        <v>3250</v>
      </c>
      <c r="W1013" s="498">
        <v>200</v>
      </c>
      <c r="X1013" s="514" t="s">
        <v>1532</v>
      </c>
      <c r="Y1013" s="514" t="s">
        <v>2805</v>
      </c>
      <c r="Z1013" s="514" t="s">
        <v>1602</v>
      </c>
      <c r="AA1013" s="514" t="s">
        <v>1592</v>
      </c>
      <c r="AB1013" s="531" t="s">
        <v>1592</v>
      </c>
    </row>
    <row r="1014" spans="1:28" ht="24" customHeight="1">
      <c r="A1014" s="584"/>
      <c r="B1014" s="460" t="s">
        <v>675</v>
      </c>
      <c r="C1014" s="458" t="s">
        <v>2824</v>
      </c>
      <c r="D1014" s="510" t="s">
        <v>2825</v>
      </c>
      <c r="E1014" s="497">
        <v>20</v>
      </c>
      <c r="F1014" s="497">
        <v>0</v>
      </c>
      <c r="G1014" s="497">
        <v>20</v>
      </c>
      <c r="H1014" s="497">
        <v>0</v>
      </c>
      <c r="I1014" s="497">
        <f t="shared" si="78"/>
        <v>20</v>
      </c>
      <c r="J1014" s="497">
        <v>0</v>
      </c>
      <c r="K1014" s="497">
        <v>20</v>
      </c>
      <c r="L1014" s="721">
        <v>0</v>
      </c>
      <c r="M1014" s="672">
        <v>95</v>
      </c>
      <c r="N1014" s="498">
        <v>7.35</v>
      </c>
      <c r="O1014" s="731" t="s">
        <v>3451</v>
      </c>
      <c r="P1014" s="514" t="s">
        <v>3451</v>
      </c>
      <c r="Q1014" s="842">
        <v>0</v>
      </c>
      <c r="R1014" s="842">
        <v>0</v>
      </c>
      <c r="S1014" s="842">
        <v>0</v>
      </c>
      <c r="T1014" s="842">
        <v>0</v>
      </c>
      <c r="U1014" s="464" t="s">
        <v>2306</v>
      </c>
      <c r="V1014" s="534" t="s">
        <v>2826</v>
      </c>
      <c r="W1014" s="498">
        <v>220</v>
      </c>
      <c r="X1014" s="514" t="s">
        <v>1532</v>
      </c>
      <c r="Y1014" s="514" t="s">
        <v>2805</v>
      </c>
      <c r="Z1014" s="514" t="s">
        <v>1602</v>
      </c>
      <c r="AA1014" s="514" t="s">
        <v>1592</v>
      </c>
      <c r="AB1014" s="531" t="s">
        <v>1592</v>
      </c>
    </row>
    <row r="1015" spans="1:28" ht="24" customHeight="1">
      <c r="A1015" s="584"/>
      <c r="B1015" s="460" t="s">
        <v>675</v>
      </c>
      <c r="C1015" s="458" t="s">
        <v>2827</v>
      </c>
      <c r="D1015" s="510" t="s">
        <v>2828</v>
      </c>
      <c r="E1015" s="497">
        <v>30</v>
      </c>
      <c r="F1015" s="497">
        <v>0</v>
      </c>
      <c r="G1015" s="497">
        <v>30</v>
      </c>
      <c r="H1015" s="497">
        <v>0</v>
      </c>
      <c r="I1015" s="497">
        <f t="shared" si="78"/>
        <v>30</v>
      </c>
      <c r="J1015" s="497">
        <v>0</v>
      </c>
      <c r="K1015" s="497">
        <v>30</v>
      </c>
      <c r="L1015" s="721">
        <v>0</v>
      </c>
      <c r="M1015" s="672">
        <v>95</v>
      </c>
      <c r="N1015" s="498">
        <v>7.35</v>
      </c>
      <c r="O1015" s="731" t="s">
        <v>2285</v>
      </c>
      <c r="P1015" s="514" t="s">
        <v>2285</v>
      </c>
      <c r="Q1015" s="842">
        <v>0</v>
      </c>
      <c r="R1015" s="842">
        <v>0</v>
      </c>
      <c r="S1015" s="842">
        <v>0</v>
      </c>
      <c r="T1015" s="842">
        <v>0</v>
      </c>
      <c r="U1015" s="464" t="s">
        <v>2306</v>
      </c>
      <c r="V1015" s="534" t="s">
        <v>2701</v>
      </c>
      <c r="W1015" s="498">
        <v>464</v>
      </c>
      <c r="X1015" s="514" t="s">
        <v>1532</v>
      </c>
      <c r="Y1015" s="514" t="s">
        <v>2805</v>
      </c>
      <c r="Z1015" s="514" t="s">
        <v>1602</v>
      </c>
      <c r="AA1015" s="514" t="s">
        <v>1592</v>
      </c>
      <c r="AB1015" s="531" t="s">
        <v>1592</v>
      </c>
    </row>
    <row r="1016" spans="1:28" ht="24" customHeight="1">
      <c r="A1016" s="584"/>
      <c r="B1016" s="460" t="s">
        <v>675</v>
      </c>
      <c r="C1016" s="458" t="s">
        <v>2829</v>
      </c>
      <c r="D1016" s="510" t="s">
        <v>2830</v>
      </c>
      <c r="E1016" s="497">
        <v>30</v>
      </c>
      <c r="F1016" s="497">
        <v>0</v>
      </c>
      <c r="G1016" s="497">
        <v>30</v>
      </c>
      <c r="H1016" s="497">
        <v>0</v>
      </c>
      <c r="I1016" s="497">
        <f t="shared" si="78"/>
        <v>30</v>
      </c>
      <c r="J1016" s="497">
        <v>0</v>
      </c>
      <c r="K1016" s="497">
        <v>30</v>
      </c>
      <c r="L1016" s="721">
        <v>0</v>
      </c>
      <c r="M1016" s="672">
        <v>95</v>
      </c>
      <c r="N1016" s="498">
        <v>7.35</v>
      </c>
      <c r="O1016" s="731" t="s">
        <v>2831</v>
      </c>
      <c r="P1016" s="514" t="s">
        <v>2831</v>
      </c>
      <c r="Q1016" s="842">
        <v>0</v>
      </c>
      <c r="R1016" s="842">
        <v>0</v>
      </c>
      <c r="S1016" s="842">
        <v>0</v>
      </c>
      <c r="T1016" s="842">
        <v>0</v>
      </c>
      <c r="U1016" s="464" t="s">
        <v>2306</v>
      </c>
      <c r="V1016" s="534" t="s">
        <v>2832</v>
      </c>
      <c r="W1016" s="498">
        <v>464</v>
      </c>
      <c r="X1016" s="514" t="s">
        <v>1532</v>
      </c>
      <c r="Y1016" s="514" t="s">
        <v>2805</v>
      </c>
      <c r="Z1016" s="514" t="s">
        <v>1602</v>
      </c>
      <c r="AA1016" s="514" t="s">
        <v>1592</v>
      </c>
      <c r="AB1016" s="531" t="s">
        <v>1592</v>
      </c>
    </row>
    <row r="1017" spans="1:28" ht="24" customHeight="1">
      <c r="A1017" s="584"/>
      <c r="B1017" s="460" t="s">
        <v>675</v>
      </c>
      <c r="C1017" s="458" t="s">
        <v>2833</v>
      </c>
      <c r="D1017" s="510" t="s">
        <v>2834</v>
      </c>
      <c r="E1017" s="497">
        <v>60</v>
      </c>
      <c r="F1017" s="497">
        <v>0</v>
      </c>
      <c r="G1017" s="497">
        <v>60</v>
      </c>
      <c r="H1017" s="497">
        <v>0</v>
      </c>
      <c r="I1017" s="497">
        <f t="shared" si="78"/>
        <v>60</v>
      </c>
      <c r="J1017" s="497">
        <v>0</v>
      </c>
      <c r="K1017" s="497">
        <v>60</v>
      </c>
      <c r="L1017" s="721">
        <v>0</v>
      </c>
      <c r="M1017" s="672">
        <v>95</v>
      </c>
      <c r="N1017" s="498">
        <v>7.35</v>
      </c>
      <c r="O1017" s="731" t="s">
        <v>5582</v>
      </c>
      <c r="P1017" s="514" t="s">
        <v>5582</v>
      </c>
      <c r="Q1017" s="842">
        <v>0</v>
      </c>
      <c r="R1017" s="842">
        <v>0</v>
      </c>
      <c r="S1017" s="842">
        <v>0</v>
      </c>
      <c r="T1017" s="842">
        <v>0</v>
      </c>
      <c r="U1017" s="464" t="s">
        <v>2306</v>
      </c>
      <c r="V1017" s="534" t="s">
        <v>2835</v>
      </c>
      <c r="W1017" s="498">
        <v>904</v>
      </c>
      <c r="X1017" s="514" t="s">
        <v>1532</v>
      </c>
      <c r="Y1017" s="514" t="s">
        <v>2805</v>
      </c>
      <c r="Z1017" s="514" t="s">
        <v>2836</v>
      </c>
      <c r="AA1017" s="514" t="s">
        <v>1592</v>
      </c>
      <c r="AB1017" s="531" t="s">
        <v>1592</v>
      </c>
    </row>
    <row r="1018" spans="1:28" ht="24" customHeight="1">
      <c r="A1018" s="584"/>
      <c r="B1018" s="460" t="s">
        <v>675</v>
      </c>
      <c r="C1018" s="458" t="s">
        <v>884</v>
      </c>
      <c r="D1018" s="510" t="s">
        <v>2837</v>
      </c>
      <c r="E1018" s="497">
        <v>120</v>
      </c>
      <c r="F1018" s="497">
        <v>0</v>
      </c>
      <c r="G1018" s="497">
        <v>120</v>
      </c>
      <c r="H1018" s="497">
        <v>0</v>
      </c>
      <c r="I1018" s="497">
        <f t="shared" si="78"/>
        <v>120</v>
      </c>
      <c r="J1018" s="497">
        <v>0</v>
      </c>
      <c r="K1018" s="497">
        <v>120</v>
      </c>
      <c r="L1018" s="721">
        <v>0</v>
      </c>
      <c r="M1018" s="672">
        <v>95</v>
      </c>
      <c r="N1018" s="498">
        <v>7.35</v>
      </c>
      <c r="O1018" s="731" t="s">
        <v>3451</v>
      </c>
      <c r="P1018" s="514" t="s">
        <v>3451</v>
      </c>
      <c r="Q1018" s="842">
        <v>0</v>
      </c>
      <c r="R1018" s="842">
        <v>0</v>
      </c>
      <c r="S1018" s="842">
        <v>0</v>
      </c>
      <c r="T1018" s="842">
        <v>0</v>
      </c>
      <c r="U1018" s="464" t="s">
        <v>2306</v>
      </c>
      <c r="V1018" s="534" t="s">
        <v>2215</v>
      </c>
      <c r="W1018" s="498">
        <v>1166</v>
      </c>
      <c r="X1018" s="514" t="s">
        <v>1532</v>
      </c>
      <c r="Y1018" s="514" t="s">
        <v>2805</v>
      </c>
      <c r="Z1018" s="514" t="s">
        <v>2838</v>
      </c>
      <c r="AA1018" s="514" t="s">
        <v>1592</v>
      </c>
      <c r="AB1018" s="531" t="s">
        <v>1592</v>
      </c>
    </row>
    <row r="1019" spans="1:28" ht="24" customHeight="1">
      <c r="A1019" s="584"/>
      <c r="B1019" s="460" t="s">
        <v>675</v>
      </c>
      <c r="C1019" s="458" t="s">
        <v>2839</v>
      </c>
      <c r="D1019" s="510" t="s">
        <v>2840</v>
      </c>
      <c r="E1019" s="497">
        <v>20</v>
      </c>
      <c r="F1019" s="497">
        <v>0</v>
      </c>
      <c r="G1019" s="497">
        <v>20</v>
      </c>
      <c r="H1019" s="497">
        <v>0</v>
      </c>
      <c r="I1019" s="497">
        <f t="shared" si="78"/>
        <v>20</v>
      </c>
      <c r="J1019" s="497">
        <v>0</v>
      </c>
      <c r="K1019" s="497">
        <v>20</v>
      </c>
      <c r="L1019" s="721">
        <v>0</v>
      </c>
      <c r="M1019" s="672">
        <v>95</v>
      </c>
      <c r="N1019" s="498">
        <v>7.35</v>
      </c>
      <c r="O1019" s="731" t="s">
        <v>5582</v>
      </c>
      <c r="P1019" s="514" t="s">
        <v>5582</v>
      </c>
      <c r="Q1019" s="842">
        <v>0</v>
      </c>
      <c r="R1019" s="842">
        <v>0</v>
      </c>
      <c r="S1019" s="842">
        <v>0</v>
      </c>
      <c r="T1019" s="842">
        <v>0</v>
      </c>
      <c r="U1019" s="464" t="s">
        <v>2306</v>
      </c>
      <c r="V1019" s="534" t="s">
        <v>2835</v>
      </c>
      <c r="W1019" s="498">
        <v>560</v>
      </c>
      <c r="X1019" s="514" t="s">
        <v>1532</v>
      </c>
      <c r="Y1019" s="514" t="s">
        <v>2805</v>
      </c>
      <c r="Z1019" s="514" t="s">
        <v>1602</v>
      </c>
      <c r="AA1019" s="514" t="s">
        <v>1592</v>
      </c>
      <c r="AB1019" s="531" t="s">
        <v>1592</v>
      </c>
    </row>
    <row r="1020" spans="1:28" ht="24" customHeight="1">
      <c r="A1020" s="582" t="s">
        <v>1696</v>
      </c>
      <c r="B1020" s="521" t="s">
        <v>2201</v>
      </c>
      <c r="C1020" s="522" t="s">
        <v>2425</v>
      </c>
      <c r="D1020" s="524" t="s">
        <v>2841</v>
      </c>
      <c r="E1020" s="497">
        <f>F1020+G1020+H1020</f>
        <v>2000</v>
      </c>
      <c r="F1020" s="497">
        <v>0</v>
      </c>
      <c r="G1020" s="497">
        <v>2000</v>
      </c>
      <c r="H1020" s="497">
        <v>0</v>
      </c>
      <c r="I1020" s="497">
        <f t="shared" si="78"/>
        <v>1090</v>
      </c>
      <c r="J1020" s="497">
        <v>0</v>
      </c>
      <c r="K1020" s="497">
        <v>1090</v>
      </c>
      <c r="L1020" s="721">
        <v>0</v>
      </c>
      <c r="M1020" s="672">
        <f>I1020/E1020*100</f>
        <v>54.500000000000007</v>
      </c>
      <c r="N1020" s="498">
        <f>102.6*I1020*M1020/1000</f>
        <v>6094.9530000000013</v>
      </c>
      <c r="O1020" s="733" t="s">
        <v>3173</v>
      </c>
      <c r="P1020" s="514" t="s">
        <v>1588</v>
      </c>
      <c r="Q1020" s="842">
        <v>0</v>
      </c>
      <c r="R1020" s="842">
        <v>0</v>
      </c>
      <c r="S1020" s="842">
        <v>0</v>
      </c>
      <c r="T1020" s="842">
        <v>0</v>
      </c>
      <c r="U1020" s="514" t="s">
        <v>2842</v>
      </c>
      <c r="V1020" s="514" t="s">
        <v>2843</v>
      </c>
      <c r="W1020" s="498">
        <v>8700</v>
      </c>
      <c r="X1020" s="514" t="s">
        <v>2276</v>
      </c>
      <c r="Y1020" s="514" t="s">
        <v>3336</v>
      </c>
      <c r="Z1020" s="514" t="s">
        <v>1697</v>
      </c>
      <c r="AA1020" s="514" t="s">
        <v>1592</v>
      </c>
      <c r="AB1020" s="531" t="s">
        <v>1592</v>
      </c>
    </row>
    <row r="1021" spans="1:28" ht="24" customHeight="1">
      <c r="A1021" s="584"/>
      <c r="B1021" s="521" t="s">
        <v>2201</v>
      </c>
      <c r="C1021" s="522" t="s">
        <v>2844</v>
      </c>
      <c r="D1021" s="524" t="s">
        <v>2845</v>
      </c>
      <c r="E1021" s="497">
        <f t="shared" ref="E1021:E1038" si="79">F1021+G1021+H1021</f>
        <v>2000</v>
      </c>
      <c r="F1021" s="497">
        <v>0</v>
      </c>
      <c r="G1021" s="497">
        <v>0</v>
      </c>
      <c r="H1021" s="497">
        <v>2000</v>
      </c>
      <c r="I1021" s="497">
        <f t="shared" si="78"/>
        <v>1063</v>
      </c>
      <c r="J1021" s="497">
        <v>0</v>
      </c>
      <c r="K1021" s="497">
        <v>0</v>
      </c>
      <c r="L1021" s="721">
        <v>1063</v>
      </c>
      <c r="M1021" s="672">
        <f>I1021/E1021*100</f>
        <v>53.15</v>
      </c>
      <c r="N1021" s="498">
        <f>95.6*I1021*M1021/1000</f>
        <v>5401.2518199999995</v>
      </c>
      <c r="O1021" s="733" t="s">
        <v>5427</v>
      </c>
      <c r="P1021" s="514" t="s">
        <v>1588</v>
      </c>
      <c r="Q1021" s="842">
        <v>0</v>
      </c>
      <c r="R1021" s="842">
        <v>0</v>
      </c>
      <c r="S1021" s="842">
        <v>0</v>
      </c>
      <c r="T1021" s="842">
        <v>0</v>
      </c>
      <c r="U1021" s="514" t="s">
        <v>2846</v>
      </c>
      <c r="V1021" s="514" t="s">
        <v>2847</v>
      </c>
      <c r="W1021" s="498">
        <v>15500</v>
      </c>
      <c r="X1021" s="514" t="s">
        <v>2276</v>
      </c>
      <c r="Y1021" s="514" t="s">
        <v>3336</v>
      </c>
      <c r="Z1021" s="514" t="s">
        <v>1699</v>
      </c>
      <c r="AA1021" s="514" t="s">
        <v>1592</v>
      </c>
      <c r="AB1021" s="531" t="s">
        <v>1592</v>
      </c>
    </row>
    <row r="1022" spans="1:28" ht="24" customHeight="1">
      <c r="A1022" s="584"/>
      <c r="B1022" s="460" t="s">
        <v>675</v>
      </c>
      <c r="C1022" s="522" t="s">
        <v>2848</v>
      </c>
      <c r="D1022" s="524" t="s">
        <v>2849</v>
      </c>
      <c r="E1022" s="497">
        <f t="shared" si="79"/>
        <v>60</v>
      </c>
      <c r="F1022" s="497">
        <v>0</v>
      </c>
      <c r="G1022" s="497">
        <v>60</v>
      </c>
      <c r="H1022" s="497">
        <v>0</v>
      </c>
      <c r="I1022" s="497">
        <f t="shared" si="78"/>
        <v>6</v>
      </c>
      <c r="J1022" s="497">
        <v>0</v>
      </c>
      <c r="K1022" s="497">
        <v>6</v>
      </c>
      <c r="L1022" s="721">
        <v>0</v>
      </c>
      <c r="M1022" s="672">
        <f>I1022/E1022*100</f>
        <v>10</v>
      </c>
      <c r="N1022" s="498">
        <f>63.9*I1022*M1022/1000</f>
        <v>3.8340000000000001</v>
      </c>
      <c r="O1022" s="731" t="s">
        <v>2850</v>
      </c>
      <c r="P1022" s="514" t="s">
        <v>1588</v>
      </c>
      <c r="Q1022" s="842">
        <v>0</v>
      </c>
      <c r="R1022" s="842">
        <v>0</v>
      </c>
      <c r="S1022" s="842">
        <v>0</v>
      </c>
      <c r="T1022" s="842">
        <v>0</v>
      </c>
      <c r="U1022" s="532" t="s">
        <v>2842</v>
      </c>
      <c r="V1022" s="534" t="s">
        <v>5454</v>
      </c>
      <c r="W1022" s="498">
        <v>310</v>
      </c>
      <c r="X1022" s="514" t="s">
        <v>2276</v>
      </c>
      <c r="Y1022" s="514" t="s">
        <v>3336</v>
      </c>
      <c r="Z1022" s="514" t="s">
        <v>1697</v>
      </c>
      <c r="AA1022" s="514" t="s">
        <v>1592</v>
      </c>
      <c r="AB1022" s="531" t="s">
        <v>1592</v>
      </c>
    </row>
    <row r="1023" spans="1:28" ht="24" customHeight="1">
      <c r="A1023" s="584"/>
      <c r="B1023" s="521" t="s">
        <v>675</v>
      </c>
      <c r="C1023" s="522" t="s">
        <v>2851</v>
      </c>
      <c r="D1023" s="524" t="s">
        <v>2852</v>
      </c>
      <c r="E1023" s="497">
        <f t="shared" si="79"/>
        <v>50</v>
      </c>
      <c r="F1023" s="497">
        <v>0</v>
      </c>
      <c r="G1023" s="497">
        <v>50</v>
      </c>
      <c r="H1023" s="497">
        <v>0</v>
      </c>
      <c r="I1023" s="497">
        <f t="shared" si="78"/>
        <v>57</v>
      </c>
      <c r="J1023" s="497">
        <v>0</v>
      </c>
      <c r="K1023" s="497">
        <v>57</v>
      </c>
      <c r="L1023" s="721">
        <v>0</v>
      </c>
      <c r="M1023" s="672">
        <f t="shared" ref="M1023:M1038" si="80">I1023/E1023*100</f>
        <v>113.99999999999999</v>
      </c>
      <c r="N1023" s="498">
        <f>37.7*I1023*M1023/1000</f>
        <v>244.97459999999998</v>
      </c>
      <c r="O1023" s="731" t="s">
        <v>2853</v>
      </c>
      <c r="P1023" s="514" t="s">
        <v>1588</v>
      </c>
      <c r="Q1023" s="842">
        <v>0</v>
      </c>
      <c r="R1023" s="842">
        <v>0</v>
      </c>
      <c r="S1023" s="842">
        <v>0</v>
      </c>
      <c r="T1023" s="842">
        <v>0</v>
      </c>
      <c r="U1023" s="532" t="s">
        <v>2842</v>
      </c>
      <c r="V1023" s="534" t="s">
        <v>2367</v>
      </c>
      <c r="W1023" s="498">
        <v>186</v>
      </c>
      <c r="X1023" s="514" t="s">
        <v>2276</v>
      </c>
      <c r="Y1023" s="514" t="s">
        <v>3336</v>
      </c>
      <c r="Z1023" s="514" t="s">
        <v>1697</v>
      </c>
      <c r="AA1023" s="514" t="s">
        <v>1592</v>
      </c>
      <c r="AB1023" s="531" t="s">
        <v>1592</v>
      </c>
    </row>
    <row r="1024" spans="1:28" ht="24" customHeight="1">
      <c r="A1024" s="584"/>
      <c r="B1024" s="460" t="s">
        <v>675</v>
      </c>
      <c r="C1024" s="522" t="s">
        <v>2854</v>
      </c>
      <c r="D1024" s="524" t="s">
        <v>2855</v>
      </c>
      <c r="E1024" s="497">
        <f t="shared" si="79"/>
        <v>50</v>
      </c>
      <c r="F1024" s="497">
        <v>0</v>
      </c>
      <c r="G1024" s="497">
        <v>50</v>
      </c>
      <c r="H1024" s="497">
        <v>0</v>
      </c>
      <c r="I1024" s="497">
        <f t="shared" si="78"/>
        <v>26</v>
      </c>
      <c r="J1024" s="497">
        <v>0</v>
      </c>
      <c r="K1024" s="497">
        <v>26</v>
      </c>
      <c r="L1024" s="721">
        <v>0</v>
      </c>
      <c r="M1024" s="672">
        <f t="shared" si="80"/>
        <v>52</v>
      </c>
      <c r="N1024" s="498">
        <f>45.6*I1024*M1024/1000</f>
        <v>61.651200000000003</v>
      </c>
      <c r="O1024" s="731" t="s">
        <v>5663</v>
      </c>
      <c r="P1024" s="514" t="s">
        <v>1588</v>
      </c>
      <c r="Q1024" s="842">
        <v>0</v>
      </c>
      <c r="R1024" s="842">
        <v>0</v>
      </c>
      <c r="S1024" s="842">
        <v>0</v>
      </c>
      <c r="T1024" s="842">
        <v>0</v>
      </c>
      <c r="U1024" s="532" t="s">
        <v>2856</v>
      </c>
      <c r="V1024" s="534" t="s">
        <v>2074</v>
      </c>
      <c r="W1024" s="498">
        <v>229</v>
      </c>
      <c r="X1024" s="514" t="s">
        <v>2276</v>
      </c>
      <c r="Y1024" s="514" t="s">
        <v>3336</v>
      </c>
      <c r="Z1024" s="514" t="s">
        <v>1697</v>
      </c>
      <c r="AA1024" s="514" t="s">
        <v>1592</v>
      </c>
      <c r="AB1024" s="531" t="s">
        <v>1592</v>
      </c>
    </row>
    <row r="1025" spans="1:28" ht="24" customHeight="1">
      <c r="A1025" s="584"/>
      <c r="B1025" s="460" t="s">
        <v>675</v>
      </c>
      <c r="C1025" s="522" t="s">
        <v>4957</v>
      </c>
      <c r="D1025" s="524" t="s">
        <v>2857</v>
      </c>
      <c r="E1025" s="497">
        <f t="shared" si="79"/>
        <v>25</v>
      </c>
      <c r="F1025" s="497">
        <v>0</v>
      </c>
      <c r="G1025" s="497">
        <v>25</v>
      </c>
      <c r="H1025" s="497">
        <v>0</v>
      </c>
      <c r="I1025" s="497">
        <f t="shared" si="78"/>
        <v>39</v>
      </c>
      <c r="J1025" s="497">
        <v>0</v>
      </c>
      <c r="K1025" s="497">
        <v>39</v>
      </c>
      <c r="L1025" s="721">
        <v>0</v>
      </c>
      <c r="M1025" s="672">
        <f t="shared" si="80"/>
        <v>156</v>
      </c>
      <c r="N1025" s="498">
        <f>56.3*I1025*M1025/1000</f>
        <v>342.52919999999995</v>
      </c>
      <c r="O1025" s="731" t="s">
        <v>2853</v>
      </c>
      <c r="P1025" s="514" t="s">
        <v>1588</v>
      </c>
      <c r="Q1025" s="842">
        <v>0</v>
      </c>
      <c r="R1025" s="842">
        <v>0</v>
      </c>
      <c r="S1025" s="842">
        <v>0</v>
      </c>
      <c r="T1025" s="842">
        <v>0</v>
      </c>
      <c r="U1025" s="532" t="s">
        <v>2856</v>
      </c>
      <c r="V1025" s="534" t="s">
        <v>5435</v>
      </c>
      <c r="W1025" s="498">
        <v>126</v>
      </c>
      <c r="X1025" s="514" t="s">
        <v>2276</v>
      </c>
      <c r="Y1025" s="514" t="s">
        <v>3336</v>
      </c>
      <c r="Z1025" s="514" t="s">
        <v>2858</v>
      </c>
      <c r="AA1025" s="514" t="s">
        <v>1688</v>
      </c>
      <c r="AB1025" s="531" t="s">
        <v>1686</v>
      </c>
    </row>
    <row r="1026" spans="1:28" ht="24" customHeight="1">
      <c r="A1026" s="584"/>
      <c r="B1026" s="521" t="s">
        <v>675</v>
      </c>
      <c r="C1026" s="522" t="s">
        <v>2859</v>
      </c>
      <c r="D1026" s="524" t="s">
        <v>2860</v>
      </c>
      <c r="E1026" s="497">
        <f t="shared" si="79"/>
        <v>34</v>
      </c>
      <c r="F1026" s="497">
        <v>0</v>
      </c>
      <c r="G1026" s="497">
        <v>34</v>
      </c>
      <c r="H1026" s="497">
        <v>0</v>
      </c>
      <c r="I1026" s="497">
        <f t="shared" si="78"/>
        <v>15</v>
      </c>
      <c r="J1026" s="497">
        <v>0</v>
      </c>
      <c r="K1026" s="497">
        <v>15</v>
      </c>
      <c r="L1026" s="721">
        <v>0</v>
      </c>
      <c r="M1026" s="672">
        <f t="shared" si="80"/>
        <v>44.117647058823529</v>
      </c>
      <c r="N1026" s="498">
        <f>68.7*I1026*M1026/1000</f>
        <v>45.463235294117645</v>
      </c>
      <c r="O1026" s="731" t="s">
        <v>5177</v>
      </c>
      <c r="P1026" s="514" t="s">
        <v>1588</v>
      </c>
      <c r="Q1026" s="842">
        <v>0</v>
      </c>
      <c r="R1026" s="842">
        <v>0</v>
      </c>
      <c r="S1026" s="842">
        <v>0</v>
      </c>
      <c r="T1026" s="842">
        <v>0</v>
      </c>
      <c r="U1026" s="532" t="s">
        <v>2856</v>
      </c>
      <c r="V1026" s="534" t="s">
        <v>2367</v>
      </c>
      <c r="W1026" s="498">
        <v>167</v>
      </c>
      <c r="X1026" s="514" t="s">
        <v>2276</v>
      </c>
      <c r="Y1026" s="514" t="s">
        <v>3336</v>
      </c>
      <c r="Z1026" s="514" t="s">
        <v>2861</v>
      </c>
      <c r="AA1026" s="514" t="s">
        <v>1688</v>
      </c>
      <c r="AB1026" s="531" t="s">
        <v>1686</v>
      </c>
    </row>
    <row r="1027" spans="1:28" ht="24" customHeight="1">
      <c r="A1027" s="584"/>
      <c r="B1027" s="460" t="s">
        <v>675</v>
      </c>
      <c r="C1027" s="522" t="s">
        <v>2862</v>
      </c>
      <c r="D1027" s="524" t="s">
        <v>2863</v>
      </c>
      <c r="E1027" s="497">
        <f t="shared" si="79"/>
        <v>57</v>
      </c>
      <c r="F1027" s="497">
        <v>0</v>
      </c>
      <c r="G1027" s="497">
        <v>57</v>
      </c>
      <c r="H1027" s="497">
        <v>0</v>
      </c>
      <c r="I1027" s="497">
        <f t="shared" si="78"/>
        <v>174</v>
      </c>
      <c r="J1027" s="497">
        <v>0</v>
      </c>
      <c r="K1027" s="497">
        <v>174</v>
      </c>
      <c r="L1027" s="721">
        <v>0</v>
      </c>
      <c r="M1027" s="672">
        <f t="shared" si="80"/>
        <v>305.26315789473688</v>
      </c>
      <c r="N1027" s="498">
        <f>19.5*I1027*M1027/1000</f>
        <v>1035.7578947368422</v>
      </c>
      <c r="O1027" s="731" t="s">
        <v>2853</v>
      </c>
      <c r="P1027" s="514" t="s">
        <v>1588</v>
      </c>
      <c r="Q1027" s="842">
        <v>0</v>
      </c>
      <c r="R1027" s="842">
        <v>0</v>
      </c>
      <c r="S1027" s="842">
        <v>0</v>
      </c>
      <c r="T1027" s="842">
        <v>0</v>
      </c>
      <c r="U1027" s="532" t="s">
        <v>2856</v>
      </c>
      <c r="V1027" s="534" t="s">
        <v>2027</v>
      </c>
      <c r="W1027" s="498">
        <v>240</v>
      </c>
      <c r="X1027" s="514" t="s">
        <v>2276</v>
      </c>
      <c r="Y1027" s="514" t="s">
        <v>3336</v>
      </c>
      <c r="Z1027" s="514" t="s">
        <v>2861</v>
      </c>
      <c r="AA1027" s="514" t="s">
        <v>1688</v>
      </c>
      <c r="AB1027" s="531" t="s">
        <v>1686</v>
      </c>
    </row>
    <row r="1028" spans="1:28" ht="24" customHeight="1">
      <c r="A1028" s="584"/>
      <c r="B1028" s="460" t="s">
        <v>675</v>
      </c>
      <c r="C1028" s="522" t="s">
        <v>2187</v>
      </c>
      <c r="D1028" s="524" t="s">
        <v>2864</v>
      </c>
      <c r="E1028" s="497">
        <f t="shared" si="79"/>
        <v>48</v>
      </c>
      <c r="F1028" s="497">
        <v>0</v>
      </c>
      <c r="G1028" s="497">
        <v>48</v>
      </c>
      <c r="H1028" s="497">
        <v>0</v>
      </c>
      <c r="I1028" s="497">
        <f t="shared" si="78"/>
        <v>80</v>
      </c>
      <c r="J1028" s="497">
        <v>0</v>
      </c>
      <c r="K1028" s="497">
        <v>80</v>
      </c>
      <c r="L1028" s="721">
        <v>0</v>
      </c>
      <c r="M1028" s="672">
        <f t="shared" si="80"/>
        <v>166.66666666666669</v>
      </c>
      <c r="N1028" s="498">
        <f>71.5*I1028*M1028/1000</f>
        <v>953.33333333333348</v>
      </c>
      <c r="O1028" s="731" t="s">
        <v>2865</v>
      </c>
      <c r="P1028" s="514" t="s">
        <v>1588</v>
      </c>
      <c r="Q1028" s="842">
        <v>0</v>
      </c>
      <c r="R1028" s="842">
        <v>0</v>
      </c>
      <c r="S1028" s="842">
        <v>0</v>
      </c>
      <c r="T1028" s="842">
        <v>0</v>
      </c>
      <c r="U1028" s="532" t="s">
        <v>2856</v>
      </c>
      <c r="V1028" s="534" t="s">
        <v>2866</v>
      </c>
      <c r="W1028" s="498">
        <v>253</v>
      </c>
      <c r="X1028" s="514" t="s">
        <v>2276</v>
      </c>
      <c r="Y1028" s="514" t="s">
        <v>3336</v>
      </c>
      <c r="Z1028" s="514" t="s">
        <v>2861</v>
      </c>
      <c r="AA1028" s="514" t="s">
        <v>1688</v>
      </c>
      <c r="AB1028" s="531" t="s">
        <v>1686</v>
      </c>
    </row>
    <row r="1029" spans="1:28" ht="24" customHeight="1">
      <c r="A1029" s="584"/>
      <c r="B1029" s="460" t="s">
        <v>675</v>
      </c>
      <c r="C1029" s="522" t="s">
        <v>1662</v>
      </c>
      <c r="D1029" s="524" t="s">
        <v>2867</v>
      </c>
      <c r="E1029" s="497">
        <f t="shared" si="79"/>
        <v>40</v>
      </c>
      <c r="F1029" s="497">
        <v>0</v>
      </c>
      <c r="G1029" s="497">
        <v>40</v>
      </c>
      <c r="H1029" s="497">
        <v>0</v>
      </c>
      <c r="I1029" s="497">
        <f t="shared" si="78"/>
        <v>28</v>
      </c>
      <c r="J1029" s="497">
        <v>0</v>
      </c>
      <c r="K1029" s="497">
        <f>40*0.7</f>
        <v>28</v>
      </c>
      <c r="L1029" s="721">
        <v>0</v>
      </c>
      <c r="M1029" s="672">
        <f t="shared" si="80"/>
        <v>70</v>
      </c>
      <c r="N1029" s="498">
        <f>28.9*I1029*M1029/1000</f>
        <v>56.643999999999991</v>
      </c>
      <c r="O1029" s="731" t="s">
        <v>5663</v>
      </c>
      <c r="P1029" s="514" t="s">
        <v>1588</v>
      </c>
      <c r="Q1029" s="842">
        <v>0</v>
      </c>
      <c r="R1029" s="842">
        <v>0</v>
      </c>
      <c r="S1029" s="842">
        <v>0</v>
      </c>
      <c r="T1029" s="842">
        <v>0</v>
      </c>
      <c r="U1029" s="532" t="s">
        <v>2856</v>
      </c>
      <c r="V1029" s="534" t="s">
        <v>2868</v>
      </c>
      <c r="W1029" s="498">
        <v>494</v>
      </c>
      <c r="X1029" s="514" t="s">
        <v>2276</v>
      </c>
      <c r="Y1029" s="514" t="s">
        <v>3336</v>
      </c>
      <c r="Z1029" s="514" t="s">
        <v>2869</v>
      </c>
      <c r="AA1029" s="514" t="s">
        <v>1688</v>
      </c>
      <c r="AB1029" s="531" t="s">
        <v>1686</v>
      </c>
    </row>
    <row r="1030" spans="1:28" ht="24" customHeight="1">
      <c r="A1030" s="584"/>
      <c r="B1030" s="460" t="s">
        <v>675</v>
      </c>
      <c r="C1030" s="522" t="s">
        <v>2870</v>
      </c>
      <c r="D1030" s="524" t="s">
        <v>2871</v>
      </c>
      <c r="E1030" s="497">
        <f t="shared" si="79"/>
        <v>40</v>
      </c>
      <c r="F1030" s="497">
        <v>0</v>
      </c>
      <c r="G1030" s="497">
        <v>40</v>
      </c>
      <c r="H1030" s="497">
        <v>0</v>
      </c>
      <c r="I1030" s="497">
        <f t="shared" ref="I1030:I1038" si="81">SUM(J1030:L1030)</f>
        <v>119</v>
      </c>
      <c r="J1030" s="497">
        <v>0</v>
      </c>
      <c r="K1030" s="497">
        <v>119</v>
      </c>
      <c r="L1030" s="721">
        <v>0</v>
      </c>
      <c r="M1030" s="672">
        <f t="shared" si="80"/>
        <v>297.5</v>
      </c>
      <c r="N1030" s="498">
        <f>27.2*I1030*M1030/1000</f>
        <v>962.94799999999987</v>
      </c>
      <c r="O1030" s="731" t="s">
        <v>2865</v>
      </c>
      <c r="P1030" s="514" t="s">
        <v>1588</v>
      </c>
      <c r="Q1030" s="842">
        <v>0</v>
      </c>
      <c r="R1030" s="842">
        <v>0</v>
      </c>
      <c r="S1030" s="842">
        <v>0</v>
      </c>
      <c r="T1030" s="842">
        <v>0</v>
      </c>
      <c r="U1030" s="532" t="s">
        <v>2856</v>
      </c>
      <c r="V1030" s="534" t="s">
        <v>2130</v>
      </c>
      <c r="W1030" s="498">
        <v>205</v>
      </c>
      <c r="X1030" s="514" t="s">
        <v>2276</v>
      </c>
      <c r="Y1030" s="514" t="s">
        <v>3336</v>
      </c>
      <c r="Z1030" s="514" t="s">
        <v>1699</v>
      </c>
      <c r="AA1030" s="514" t="s">
        <v>1592</v>
      </c>
      <c r="AB1030" s="531" t="s">
        <v>1592</v>
      </c>
    </row>
    <row r="1031" spans="1:28" ht="24" customHeight="1">
      <c r="A1031" s="584"/>
      <c r="B1031" s="460" t="s">
        <v>675</v>
      </c>
      <c r="C1031" s="522" t="s">
        <v>2872</v>
      </c>
      <c r="D1031" s="524" t="s">
        <v>2873</v>
      </c>
      <c r="E1031" s="497">
        <f t="shared" si="79"/>
        <v>38</v>
      </c>
      <c r="F1031" s="497">
        <v>0</v>
      </c>
      <c r="G1031" s="497">
        <v>38</v>
      </c>
      <c r="H1031" s="497">
        <v>0</v>
      </c>
      <c r="I1031" s="497">
        <f t="shared" si="81"/>
        <v>32</v>
      </c>
      <c r="J1031" s="497">
        <v>0</v>
      </c>
      <c r="K1031" s="497">
        <v>32</v>
      </c>
      <c r="L1031" s="721">
        <v>0</v>
      </c>
      <c r="M1031" s="672">
        <f t="shared" si="80"/>
        <v>84.210526315789465</v>
      </c>
      <c r="N1031" s="498">
        <f>60.5*I1031*M1031/1000</f>
        <v>163.03157894736839</v>
      </c>
      <c r="O1031" s="731" t="s">
        <v>2874</v>
      </c>
      <c r="P1031" s="514" t="s">
        <v>1588</v>
      </c>
      <c r="Q1031" s="842">
        <v>0</v>
      </c>
      <c r="R1031" s="842">
        <v>0</v>
      </c>
      <c r="S1031" s="842">
        <v>0</v>
      </c>
      <c r="T1031" s="842">
        <v>0</v>
      </c>
      <c r="U1031" s="532" t="s">
        <v>2856</v>
      </c>
      <c r="V1031" s="534" t="s">
        <v>2875</v>
      </c>
      <c r="W1031" s="498">
        <v>251</v>
      </c>
      <c r="X1031" s="514" t="s">
        <v>2276</v>
      </c>
      <c r="Y1031" s="514" t="s">
        <v>3336</v>
      </c>
      <c r="Z1031" s="514" t="s">
        <v>1592</v>
      </c>
      <c r="AA1031" s="514" t="s">
        <v>1592</v>
      </c>
      <c r="AB1031" s="531" t="s">
        <v>1592</v>
      </c>
    </row>
    <row r="1032" spans="1:28" ht="24" customHeight="1">
      <c r="A1032" s="584"/>
      <c r="B1032" s="460" t="s">
        <v>675</v>
      </c>
      <c r="C1032" s="522" t="s">
        <v>746</v>
      </c>
      <c r="D1032" s="524" t="s">
        <v>2876</v>
      </c>
      <c r="E1032" s="497">
        <f t="shared" si="79"/>
        <v>45</v>
      </c>
      <c r="F1032" s="497">
        <v>0</v>
      </c>
      <c r="G1032" s="497">
        <v>45</v>
      </c>
      <c r="H1032" s="497">
        <v>0</v>
      </c>
      <c r="I1032" s="497">
        <f t="shared" si="81"/>
        <v>31.499999999999996</v>
      </c>
      <c r="J1032" s="497">
        <v>0</v>
      </c>
      <c r="K1032" s="497">
        <f>45*0.7</f>
        <v>31.499999999999996</v>
      </c>
      <c r="L1032" s="721">
        <v>0</v>
      </c>
      <c r="M1032" s="672">
        <f t="shared" si="80"/>
        <v>70</v>
      </c>
      <c r="N1032" s="498">
        <f>44.5*I1032*M1032/1000</f>
        <v>98.122499999999988</v>
      </c>
      <c r="O1032" s="731" t="s">
        <v>2874</v>
      </c>
      <c r="P1032" s="514" t="s">
        <v>1588</v>
      </c>
      <c r="Q1032" s="842">
        <v>0</v>
      </c>
      <c r="R1032" s="842">
        <v>0</v>
      </c>
      <c r="S1032" s="842">
        <v>0</v>
      </c>
      <c r="T1032" s="842">
        <v>0</v>
      </c>
      <c r="U1032" s="532" t="s">
        <v>2856</v>
      </c>
      <c r="V1032" s="534" t="s">
        <v>2074</v>
      </c>
      <c r="W1032" s="498">
        <v>245</v>
      </c>
      <c r="X1032" s="514" t="s">
        <v>2276</v>
      </c>
      <c r="Y1032" s="514" t="s">
        <v>3336</v>
      </c>
      <c r="Z1032" s="514" t="s">
        <v>1592</v>
      </c>
      <c r="AA1032" s="514" t="s">
        <v>1592</v>
      </c>
      <c r="AB1032" s="531" t="s">
        <v>1592</v>
      </c>
    </row>
    <row r="1033" spans="1:28" ht="24" customHeight="1">
      <c r="A1033" s="584"/>
      <c r="B1033" s="521" t="s">
        <v>675</v>
      </c>
      <c r="C1033" s="522" t="s">
        <v>2877</v>
      </c>
      <c r="D1033" s="524" t="s">
        <v>2878</v>
      </c>
      <c r="E1033" s="497">
        <f t="shared" si="79"/>
        <v>76</v>
      </c>
      <c r="F1033" s="497">
        <v>0</v>
      </c>
      <c r="G1033" s="497">
        <v>76</v>
      </c>
      <c r="H1033" s="497">
        <v>0</v>
      </c>
      <c r="I1033" s="497">
        <f t="shared" si="81"/>
        <v>17</v>
      </c>
      <c r="J1033" s="497">
        <v>0</v>
      </c>
      <c r="K1033" s="497">
        <v>17</v>
      </c>
      <c r="L1033" s="721">
        <v>0</v>
      </c>
      <c r="M1033" s="672">
        <f t="shared" si="80"/>
        <v>22.368421052631579</v>
      </c>
      <c r="N1033" s="498">
        <f>47.4*I1033*M1033/1000</f>
        <v>18.024473684210527</v>
      </c>
      <c r="O1033" s="731" t="s">
        <v>2853</v>
      </c>
      <c r="P1033" s="514" t="s">
        <v>1588</v>
      </c>
      <c r="Q1033" s="842">
        <v>0</v>
      </c>
      <c r="R1033" s="842">
        <v>0</v>
      </c>
      <c r="S1033" s="842">
        <v>0</v>
      </c>
      <c r="T1033" s="842">
        <v>0</v>
      </c>
      <c r="U1033" s="532" t="s">
        <v>2856</v>
      </c>
      <c r="V1033" s="534" t="s">
        <v>2027</v>
      </c>
      <c r="W1033" s="498">
        <v>190</v>
      </c>
      <c r="X1033" s="514" t="s">
        <v>2276</v>
      </c>
      <c r="Y1033" s="514" t="s">
        <v>3336</v>
      </c>
      <c r="Z1033" s="514" t="s">
        <v>1700</v>
      </c>
      <c r="AA1033" s="514" t="s">
        <v>1699</v>
      </c>
      <c r="AB1033" s="531" t="s">
        <v>1592</v>
      </c>
    </row>
    <row r="1034" spans="1:28" ht="24" customHeight="1">
      <c r="A1034" s="584"/>
      <c r="B1034" s="460" t="s">
        <v>675</v>
      </c>
      <c r="C1034" s="522" t="s">
        <v>2879</v>
      </c>
      <c r="D1034" s="524" t="s">
        <v>2880</v>
      </c>
      <c r="E1034" s="497">
        <f t="shared" si="79"/>
        <v>35</v>
      </c>
      <c r="F1034" s="497">
        <v>0</v>
      </c>
      <c r="G1034" s="497">
        <v>35</v>
      </c>
      <c r="H1034" s="497">
        <v>0</v>
      </c>
      <c r="I1034" s="497">
        <f t="shared" si="81"/>
        <v>64</v>
      </c>
      <c r="J1034" s="497">
        <v>0</v>
      </c>
      <c r="K1034" s="497">
        <v>64</v>
      </c>
      <c r="L1034" s="721">
        <v>0</v>
      </c>
      <c r="M1034" s="672">
        <f t="shared" si="80"/>
        <v>182.85714285714286</v>
      </c>
      <c r="N1034" s="498">
        <f>35.9*I1034*M1034/1000</f>
        <v>420.1325714285714</v>
      </c>
      <c r="O1034" s="731" t="s">
        <v>2881</v>
      </c>
      <c r="P1034" s="514" t="s">
        <v>1588</v>
      </c>
      <c r="Q1034" s="842">
        <v>0</v>
      </c>
      <c r="R1034" s="842">
        <v>0</v>
      </c>
      <c r="S1034" s="842">
        <v>0</v>
      </c>
      <c r="T1034" s="842">
        <v>0</v>
      </c>
      <c r="U1034" s="532" t="s">
        <v>2856</v>
      </c>
      <c r="V1034" s="534" t="s">
        <v>2882</v>
      </c>
      <c r="W1034" s="498">
        <v>171</v>
      </c>
      <c r="X1034" s="514" t="s">
        <v>2276</v>
      </c>
      <c r="Y1034" s="514" t="s">
        <v>3336</v>
      </c>
      <c r="Z1034" s="514" t="s">
        <v>1700</v>
      </c>
      <c r="AA1034" s="514" t="s">
        <v>1699</v>
      </c>
      <c r="AB1034" s="531" t="s">
        <v>1592</v>
      </c>
    </row>
    <row r="1035" spans="1:28" ht="24" customHeight="1">
      <c r="A1035" s="584"/>
      <c r="B1035" s="460" t="s">
        <v>675</v>
      </c>
      <c r="C1035" s="522" t="s">
        <v>2883</v>
      </c>
      <c r="D1035" s="524" t="s">
        <v>2884</v>
      </c>
      <c r="E1035" s="497">
        <f t="shared" si="79"/>
        <v>40</v>
      </c>
      <c r="F1035" s="497">
        <v>0</v>
      </c>
      <c r="G1035" s="497">
        <v>40</v>
      </c>
      <c r="H1035" s="497">
        <v>0</v>
      </c>
      <c r="I1035" s="497">
        <f t="shared" si="81"/>
        <v>66</v>
      </c>
      <c r="J1035" s="497">
        <v>0</v>
      </c>
      <c r="K1035" s="497">
        <v>66</v>
      </c>
      <c r="L1035" s="721">
        <v>0</v>
      </c>
      <c r="M1035" s="672">
        <f t="shared" si="80"/>
        <v>165</v>
      </c>
      <c r="N1035" s="498">
        <f>19*I1035*M1035/1000</f>
        <v>206.91</v>
      </c>
      <c r="O1035" s="731" t="s">
        <v>2865</v>
      </c>
      <c r="P1035" s="514" t="s">
        <v>1588</v>
      </c>
      <c r="Q1035" s="842">
        <v>0</v>
      </c>
      <c r="R1035" s="842">
        <v>0</v>
      </c>
      <c r="S1035" s="842">
        <v>0</v>
      </c>
      <c r="T1035" s="842">
        <v>0</v>
      </c>
      <c r="U1035" s="532" t="s">
        <v>2856</v>
      </c>
      <c r="V1035" s="534" t="s">
        <v>2875</v>
      </c>
      <c r="W1035" s="498">
        <v>233</v>
      </c>
      <c r="X1035" s="514" t="s">
        <v>2276</v>
      </c>
      <c r="Y1035" s="514" t="s">
        <v>3336</v>
      </c>
      <c r="Z1035" s="514" t="s">
        <v>1701</v>
      </c>
      <c r="AA1035" s="514" t="s">
        <v>1592</v>
      </c>
      <c r="AB1035" s="531" t="s">
        <v>1592</v>
      </c>
    </row>
    <row r="1036" spans="1:28" ht="24" customHeight="1">
      <c r="A1036" s="584"/>
      <c r="B1036" s="521" t="s">
        <v>675</v>
      </c>
      <c r="C1036" s="522" t="s">
        <v>2885</v>
      </c>
      <c r="D1036" s="524" t="s">
        <v>2886</v>
      </c>
      <c r="E1036" s="497">
        <f t="shared" si="79"/>
        <v>60</v>
      </c>
      <c r="F1036" s="497">
        <v>0</v>
      </c>
      <c r="G1036" s="497">
        <v>60</v>
      </c>
      <c r="H1036" s="497">
        <v>0</v>
      </c>
      <c r="I1036" s="497">
        <f t="shared" si="81"/>
        <v>83</v>
      </c>
      <c r="J1036" s="497">
        <v>0</v>
      </c>
      <c r="K1036" s="497">
        <v>83</v>
      </c>
      <c r="L1036" s="721">
        <v>0</v>
      </c>
      <c r="M1036" s="672">
        <f t="shared" si="80"/>
        <v>138.33333333333334</v>
      </c>
      <c r="N1036" s="498">
        <f>56.9*I1036*M1036/1000</f>
        <v>653.30683333333332</v>
      </c>
      <c r="O1036" s="731" t="s">
        <v>2865</v>
      </c>
      <c r="P1036" s="514" t="s">
        <v>1588</v>
      </c>
      <c r="Q1036" s="842">
        <v>0</v>
      </c>
      <c r="R1036" s="842">
        <v>0</v>
      </c>
      <c r="S1036" s="842">
        <v>0</v>
      </c>
      <c r="T1036" s="842">
        <v>0</v>
      </c>
      <c r="U1036" s="532" t="s">
        <v>2856</v>
      </c>
      <c r="V1036" s="534" t="s">
        <v>2875</v>
      </c>
      <c r="W1036" s="498">
        <v>395</v>
      </c>
      <c r="X1036" s="514" t="s">
        <v>2276</v>
      </c>
      <c r="Y1036" s="514" t="s">
        <v>3336</v>
      </c>
      <c r="Z1036" s="514" t="s">
        <v>1701</v>
      </c>
      <c r="AA1036" s="514" t="s">
        <v>1592</v>
      </c>
      <c r="AB1036" s="531" t="s">
        <v>1592</v>
      </c>
    </row>
    <row r="1037" spans="1:28" ht="24" customHeight="1">
      <c r="A1037" s="584"/>
      <c r="B1037" s="460" t="s">
        <v>675</v>
      </c>
      <c r="C1037" s="522" t="s">
        <v>2887</v>
      </c>
      <c r="D1037" s="524" t="s">
        <v>2888</v>
      </c>
      <c r="E1037" s="497">
        <f t="shared" si="79"/>
        <v>70</v>
      </c>
      <c r="F1037" s="497">
        <v>0</v>
      </c>
      <c r="G1037" s="497">
        <v>70</v>
      </c>
      <c r="H1037" s="497">
        <v>0</v>
      </c>
      <c r="I1037" s="497">
        <f t="shared" si="81"/>
        <v>80</v>
      </c>
      <c r="J1037" s="497">
        <v>0</v>
      </c>
      <c r="K1037" s="497">
        <v>80</v>
      </c>
      <c r="L1037" s="721">
        <v>0</v>
      </c>
      <c r="M1037" s="672">
        <f t="shared" si="80"/>
        <v>114.28571428571428</v>
      </c>
      <c r="N1037" s="498">
        <f>74.1*I1037*M1037/1000</f>
        <v>677.48571428571415</v>
      </c>
      <c r="O1037" s="731" t="s">
        <v>2865</v>
      </c>
      <c r="P1037" s="514" t="s">
        <v>1588</v>
      </c>
      <c r="Q1037" s="842">
        <v>0</v>
      </c>
      <c r="R1037" s="842">
        <v>0</v>
      </c>
      <c r="S1037" s="842">
        <v>0</v>
      </c>
      <c r="T1037" s="842">
        <v>0</v>
      </c>
      <c r="U1037" s="532" t="s">
        <v>2856</v>
      </c>
      <c r="V1037" s="534" t="s">
        <v>2889</v>
      </c>
      <c r="W1037" s="498">
        <v>494</v>
      </c>
      <c r="X1037" s="514" t="s">
        <v>2276</v>
      </c>
      <c r="Y1037" s="514" t="s">
        <v>3336</v>
      </c>
      <c r="Z1037" s="514" t="s">
        <v>1701</v>
      </c>
      <c r="AA1037" s="514" t="s">
        <v>1592</v>
      </c>
      <c r="AB1037" s="531" t="s">
        <v>1592</v>
      </c>
    </row>
    <row r="1038" spans="1:28" ht="24" customHeight="1">
      <c r="A1038" s="584"/>
      <c r="B1038" s="460" t="s">
        <v>675</v>
      </c>
      <c r="C1038" s="522" t="s">
        <v>2890</v>
      </c>
      <c r="D1038" s="524" t="s">
        <v>2891</v>
      </c>
      <c r="E1038" s="497">
        <f t="shared" si="79"/>
        <v>35</v>
      </c>
      <c r="F1038" s="497">
        <v>0</v>
      </c>
      <c r="G1038" s="497">
        <v>35</v>
      </c>
      <c r="H1038" s="497">
        <v>0</v>
      </c>
      <c r="I1038" s="497">
        <f t="shared" si="81"/>
        <v>16</v>
      </c>
      <c r="J1038" s="497">
        <v>0</v>
      </c>
      <c r="K1038" s="497">
        <v>16</v>
      </c>
      <c r="L1038" s="721">
        <v>0</v>
      </c>
      <c r="M1038" s="672">
        <f t="shared" si="80"/>
        <v>45.714285714285715</v>
      </c>
      <c r="N1038" s="498">
        <f>36.2*I1038*M1038/1000</f>
        <v>26.477714285714288</v>
      </c>
      <c r="O1038" s="731" t="s">
        <v>2892</v>
      </c>
      <c r="P1038" s="514" t="s">
        <v>1588</v>
      </c>
      <c r="Q1038" s="842">
        <v>0</v>
      </c>
      <c r="R1038" s="842">
        <v>0</v>
      </c>
      <c r="S1038" s="842">
        <v>0</v>
      </c>
      <c r="T1038" s="842">
        <v>0</v>
      </c>
      <c r="U1038" s="532" t="s">
        <v>2856</v>
      </c>
      <c r="V1038" s="534" t="s">
        <v>2074</v>
      </c>
      <c r="W1038" s="498">
        <v>168</v>
      </c>
      <c r="X1038" s="514" t="s">
        <v>2276</v>
      </c>
      <c r="Y1038" s="514" t="s">
        <v>3336</v>
      </c>
      <c r="Z1038" s="514" t="s">
        <v>1701</v>
      </c>
      <c r="AA1038" s="514" t="s">
        <v>1592</v>
      </c>
      <c r="AB1038" s="531" t="s">
        <v>1592</v>
      </c>
    </row>
    <row r="1039" spans="1:28" ht="24" customHeight="1">
      <c r="A1039" s="582" t="s">
        <v>1974</v>
      </c>
      <c r="B1039" s="460" t="s">
        <v>2201</v>
      </c>
      <c r="C1039" s="458" t="s">
        <v>2426</v>
      </c>
      <c r="D1039" s="510" t="s">
        <v>2893</v>
      </c>
      <c r="E1039" s="497">
        <v>3400</v>
      </c>
      <c r="F1039" s="497">
        <v>0</v>
      </c>
      <c r="G1039" s="497">
        <v>0</v>
      </c>
      <c r="H1039" s="497">
        <v>3400</v>
      </c>
      <c r="I1039" s="497">
        <f>SUM(J1039:L1039)</f>
        <v>1435</v>
      </c>
      <c r="J1039" s="497">
        <v>0</v>
      </c>
      <c r="K1039" s="497">
        <v>0</v>
      </c>
      <c r="L1039" s="721">
        <v>1435</v>
      </c>
      <c r="M1039" s="672">
        <v>92</v>
      </c>
      <c r="N1039" s="498">
        <v>75.515439999999998</v>
      </c>
      <c r="O1039" s="731" t="s">
        <v>2894</v>
      </c>
      <c r="P1039" s="514" t="s">
        <v>1588</v>
      </c>
      <c r="Q1039" s="842">
        <v>0</v>
      </c>
      <c r="R1039" s="842">
        <v>0</v>
      </c>
      <c r="S1039" s="842">
        <v>0</v>
      </c>
      <c r="T1039" s="842">
        <v>0</v>
      </c>
      <c r="U1039" s="514" t="s">
        <v>2895</v>
      </c>
      <c r="V1039" s="514" t="s">
        <v>1991</v>
      </c>
      <c r="W1039" s="498"/>
      <c r="X1039" s="514" t="s">
        <v>2243</v>
      </c>
      <c r="Y1039" s="514" t="s">
        <v>3336</v>
      </c>
      <c r="Z1039" s="514" t="s">
        <v>2896</v>
      </c>
      <c r="AA1039" s="514" t="s">
        <v>2897</v>
      </c>
      <c r="AB1039" s="531" t="s">
        <v>1784</v>
      </c>
    </row>
    <row r="1040" spans="1:28" ht="24" customHeight="1">
      <c r="A1040" s="584"/>
      <c r="B1040" s="460" t="s">
        <v>2201</v>
      </c>
      <c r="C1040" s="458" t="s">
        <v>1419</v>
      </c>
      <c r="D1040" s="510" t="s">
        <v>2898</v>
      </c>
      <c r="E1040" s="497">
        <v>1700</v>
      </c>
      <c r="F1040" s="497">
        <v>0</v>
      </c>
      <c r="G1040" s="497">
        <v>0</v>
      </c>
      <c r="H1040" s="497">
        <v>1700</v>
      </c>
      <c r="I1040" s="497">
        <f>SUM(J1040:L1040)</f>
        <v>740</v>
      </c>
      <c r="J1040" s="497">
        <v>0</v>
      </c>
      <c r="K1040" s="497">
        <v>0</v>
      </c>
      <c r="L1040" s="721">
        <v>740</v>
      </c>
      <c r="M1040" s="672">
        <v>90</v>
      </c>
      <c r="N1040" s="498">
        <v>70.662600000000012</v>
      </c>
      <c r="O1040" s="731" t="s">
        <v>2899</v>
      </c>
      <c r="P1040" s="514" t="s">
        <v>2900</v>
      </c>
      <c r="Q1040" s="842">
        <v>10</v>
      </c>
      <c r="R1040" s="842">
        <v>110</v>
      </c>
      <c r="S1040" s="842">
        <v>0</v>
      </c>
      <c r="T1040" s="842">
        <v>0</v>
      </c>
      <c r="U1040" s="514" t="s">
        <v>2895</v>
      </c>
      <c r="V1040" s="514" t="s">
        <v>1991</v>
      </c>
      <c r="W1040" s="498"/>
      <c r="X1040" s="514" t="s">
        <v>2243</v>
      </c>
      <c r="Y1040" s="514" t="s">
        <v>3336</v>
      </c>
      <c r="Z1040" s="514" t="s">
        <v>2901</v>
      </c>
      <c r="AA1040" s="514" t="s">
        <v>2897</v>
      </c>
      <c r="AB1040" s="531" t="s">
        <v>1784</v>
      </c>
    </row>
    <row r="1041" spans="1:28" ht="24" customHeight="1">
      <c r="A1041" s="584"/>
      <c r="B1041" s="460" t="s">
        <v>675</v>
      </c>
      <c r="C1041" s="522" t="s">
        <v>2902</v>
      </c>
      <c r="D1041" s="524" t="s">
        <v>2903</v>
      </c>
      <c r="E1041" s="657">
        <v>30</v>
      </c>
      <c r="F1041" s="657">
        <v>0</v>
      </c>
      <c r="G1041" s="657">
        <v>30</v>
      </c>
      <c r="H1041" s="657">
        <v>0</v>
      </c>
      <c r="I1041" s="497">
        <f>SUM(J1041:L1041)</f>
        <v>25</v>
      </c>
      <c r="J1041" s="657">
        <v>0</v>
      </c>
      <c r="K1041" s="657">
        <v>25</v>
      </c>
      <c r="L1041" s="732">
        <v>0</v>
      </c>
      <c r="M1041" s="673">
        <f t="shared" ref="M1041:M1055" si="82">I1041/E1041*100</f>
        <v>83.333333333333343</v>
      </c>
      <c r="N1041" s="653">
        <f t="shared" ref="N1041:N1055" si="83">(30.9*I1041*M1041)*1/1000</f>
        <v>64.375000000000014</v>
      </c>
      <c r="O1041" s="733" t="s">
        <v>2904</v>
      </c>
      <c r="P1041" s="532" t="s">
        <v>1588</v>
      </c>
      <c r="Q1041" s="843">
        <v>0</v>
      </c>
      <c r="R1041" s="843">
        <v>0</v>
      </c>
      <c r="S1041" s="843">
        <v>0</v>
      </c>
      <c r="T1041" s="843">
        <v>0</v>
      </c>
      <c r="U1041" s="532" t="s">
        <v>2307</v>
      </c>
      <c r="V1041" s="533" t="s">
        <v>2905</v>
      </c>
      <c r="W1041" s="653">
        <v>630</v>
      </c>
      <c r="X1041" s="532" t="s">
        <v>1532</v>
      </c>
      <c r="Y1041" s="532" t="s">
        <v>1533</v>
      </c>
      <c r="Z1041" s="532" t="s">
        <v>2906</v>
      </c>
      <c r="AA1041" s="532" t="s">
        <v>1686</v>
      </c>
      <c r="AB1041" s="539" t="s">
        <v>1591</v>
      </c>
    </row>
    <row r="1042" spans="1:28" ht="24" customHeight="1">
      <c r="A1042" s="584"/>
      <c r="B1042" s="521" t="s">
        <v>675</v>
      </c>
      <c r="C1042" s="522" t="s">
        <v>2907</v>
      </c>
      <c r="D1042" s="524" t="s">
        <v>2908</v>
      </c>
      <c r="E1042" s="657">
        <v>40</v>
      </c>
      <c r="F1042" s="657">
        <v>0</v>
      </c>
      <c r="G1042" s="657">
        <v>40</v>
      </c>
      <c r="H1042" s="657">
        <v>0</v>
      </c>
      <c r="I1042" s="657">
        <f t="shared" ref="I1042:I1066" si="84">SUM(J1042:L1042)</f>
        <v>36.72</v>
      </c>
      <c r="J1042" s="657">
        <v>0</v>
      </c>
      <c r="K1042" s="657">
        <v>36.72</v>
      </c>
      <c r="L1042" s="732">
        <v>0</v>
      </c>
      <c r="M1042" s="673">
        <f t="shared" si="82"/>
        <v>91.8</v>
      </c>
      <c r="N1042" s="653">
        <f t="shared" si="83"/>
        <v>104.16068639999999</v>
      </c>
      <c r="O1042" s="733" t="s">
        <v>2904</v>
      </c>
      <c r="P1042" s="532" t="s">
        <v>1588</v>
      </c>
      <c r="Q1042" s="843">
        <v>0</v>
      </c>
      <c r="R1042" s="843">
        <v>0</v>
      </c>
      <c r="S1042" s="843">
        <v>0</v>
      </c>
      <c r="T1042" s="843">
        <v>0</v>
      </c>
      <c r="U1042" s="532" t="s">
        <v>2307</v>
      </c>
      <c r="V1042" s="533" t="s">
        <v>2909</v>
      </c>
      <c r="W1042" s="653"/>
      <c r="X1042" s="532" t="s">
        <v>1532</v>
      </c>
      <c r="Y1042" s="532" t="s">
        <v>1533</v>
      </c>
      <c r="Z1042" s="532" t="s">
        <v>1865</v>
      </c>
      <c r="AA1042" s="532" t="s">
        <v>1686</v>
      </c>
      <c r="AB1042" s="539" t="s">
        <v>1591</v>
      </c>
    </row>
    <row r="1043" spans="1:28" ht="24" customHeight="1">
      <c r="A1043" s="584"/>
      <c r="B1043" s="460" t="s">
        <v>675</v>
      </c>
      <c r="C1043" s="522" t="s">
        <v>2910</v>
      </c>
      <c r="D1043" s="524" t="s">
        <v>2911</v>
      </c>
      <c r="E1043" s="657">
        <v>45</v>
      </c>
      <c r="F1043" s="657">
        <v>0</v>
      </c>
      <c r="G1043" s="657">
        <v>45</v>
      </c>
      <c r="H1043" s="657">
        <v>0</v>
      </c>
      <c r="I1043" s="657">
        <f t="shared" si="84"/>
        <v>24.3</v>
      </c>
      <c r="J1043" s="657">
        <v>0</v>
      </c>
      <c r="K1043" s="657">
        <v>24.3</v>
      </c>
      <c r="L1043" s="732">
        <v>0</v>
      </c>
      <c r="M1043" s="673">
        <f t="shared" si="82"/>
        <v>54</v>
      </c>
      <c r="N1043" s="653">
        <f t="shared" si="83"/>
        <v>40.546980000000005</v>
      </c>
      <c r="O1043" s="733" t="s">
        <v>2904</v>
      </c>
      <c r="P1043" s="532" t="s">
        <v>1588</v>
      </c>
      <c r="Q1043" s="843">
        <v>0</v>
      </c>
      <c r="R1043" s="843">
        <v>0</v>
      </c>
      <c r="S1043" s="843">
        <v>0</v>
      </c>
      <c r="T1043" s="843">
        <v>0</v>
      </c>
      <c r="U1043" s="532" t="s">
        <v>2307</v>
      </c>
      <c r="V1043" s="533" t="s">
        <v>2028</v>
      </c>
      <c r="W1043" s="653"/>
      <c r="X1043" s="532" t="s">
        <v>1532</v>
      </c>
      <c r="Y1043" s="532" t="s">
        <v>1533</v>
      </c>
      <c r="Z1043" s="532" t="s">
        <v>2912</v>
      </c>
      <c r="AA1043" s="532" t="s">
        <v>1686</v>
      </c>
      <c r="AB1043" s="539" t="s">
        <v>1591</v>
      </c>
    </row>
    <row r="1044" spans="1:28" ht="24" customHeight="1">
      <c r="A1044" s="584"/>
      <c r="B1044" s="521" t="s">
        <v>675</v>
      </c>
      <c r="C1044" s="522" t="s">
        <v>2913</v>
      </c>
      <c r="D1044" s="524" t="s">
        <v>2914</v>
      </c>
      <c r="E1044" s="657">
        <v>20</v>
      </c>
      <c r="F1044" s="657">
        <v>0</v>
      </c>
      <c r="G1044" s="657">
        <v>20</v>
      </c>
      <c r="H1044" s="657">
        <v>0</v>
      </c>
      <c r="I1044" s="657">
        <f t="shared" si="84"/>
        <v>10.06</v>
      </c>
      <c r="J1044" s="657">
        <v>0</v>
      </c>
      <c r="K1044" s="657">
        <v>10.06</v>
      </c>
      <c r="L1044" s="732">
        <v>0</v>
      </c>
      <c r="M1044" s="673">
        <f t="shared" si="82"/>
        <v>50.3</v>
      </c>
      <c r="N1044" s="653">
        <f t="shared" si="83"/>
        <v>15.635956199999999</v>
      </c>
      <c r="O1044" s="733" t="s">
        <v>2197</v>
      </c>
      <c r="P1044" s="532" t="s">
        <v>1588</v>
      </c>
      <c r="Q1044" s="843">
        <v>0</v>
      </c>
      <c r="R1044" s="843">
        <v>0</v>
      </c>
      <c r="S1044" s="843">
        <v>0</v>
      </c>
      <c r="T1044" s="843">
        <v>0</v>
      </c>
      <c r="U1044" s="532" t="s">
        <v>2307</v>
      </c>
      <c r="V1044" s="533" t="s">
        <v>2028</v>
      </c>
      <c r="W1044" s="653"/>
      <c r="X1044" s="532" t="s">
        <v>1532</v>
      </c>
      <c r="Y1044" s="532" t="s">
        <v>1533</v>
      </c>
      <c r="Z1044" s="532" t="s">
        <v>2915</v>
      </c>
      <c r="AA1044" s="532" t="s">
        <v>1686</v>
      </c>
      <c r="AB1044" s="539" t="s">
        <v>1591</v>
      </c>
    </row>
    <row r="1045" spans="1:28" ht="24" customHeight="1">
      <c r="A1045" s="584"/>
      <c r="B1045" s="460" t="s">
        <v>675</v>
      </c>
      <c r="C1045" s="522" t="s">
        <v>2916</v>
      </c>
      <c r="D1045" s="524" t="s">
        <v>2917</v>
      </c>
      <c r="E1045" s="657">
        <v>20</v>
      </c>
      <c r="F1045" s="657">
        <v>0</v>
      </c>
      <c r="G1045" s="657">
        <v>20</v>
      </c>
      <c r="H1045" s="657">
        <v>0</v>
      </c>
      <c r="I1045" s="657">
        <f t="shared" si="84"/>
        <v>11</v>
      </c>
      <c r="J1045" s="657">
        <v>0</v>
      </c>
      <c r="K1045" s="657">
        <v>11</v>
      </c>
      <c r="L1045" s="732">
        <v>0</v>
      </c>
      <c r="M1045" s="673">
        <f t="shared" si="82"/>
        <v>55.000000000000007</v>
      </c>
      <c r="N1045" s="653">
        <f t="shared" si="83"/>
        <v>18.694500000000001</v>
      </c>
      <c r="O1045" s="733" t="s">
        <v>2918</v>
      </c>
      <c r="P1045" s="532" t="s">
        <v>1588</v>
      </c>
      <c r="Q1045" s="843">
        <v>0</v>
      </c>
      <c r="R1045" s="843">
        <v>0</v>
      </c>
      <c r="S1045" s="843">
        <v>0</v>
      </c>
      <c r="T1045" s="843">
        <v>0</v>
      </c>
      <c r="U1045" s="532" t="s">
        <v>2307</v>
      </c>
      <c r="V1045" s="533" t="s">
        <v>2919</v>
      </c>
      <c r="W1045" s="653"/>
      <c r="X1045" s="532" t="s">
        <v>1532</v>
      </c>
      <c r="Y1045" s="514" t="s">
        <v>1533</v>
      </c>
      <c r="Z1045" s="532" t="s">
        <v>2920</v>
      </c>
      <c r="AA1045" s="532" t="s">
        <v>1686</v>
      </c>
      <c r="AB1045" s="539" t="s">
        <v>1591</v>
      </c>
    </row>
    <row r="1046" spans="1:28" ht="24" customHeight="1">
      <c r="A1046" s="584"/>
      <c r="B1046" s="460" t="s">
        <v>675</v>
      </c>
      <c r="C1046" s="522" t="s">
        <v>2921</v>
      </c>
      <c r="D1046" s="524" t="s">
        <v>2922</v>
      </c>
      <c r="E1046" s="657">
        <v>30</v>
      </c>
      <c r="F1046" s="657">
        <v>0</v>
      </c>
      <c r="G1046" s="657">
        <v>30</v>
      </c>
      <c r="H1046" s="657">
        <v>0</v>
      </c>
      <c r="I1046" s="657">
        <f t="shared" si="84"/>
        <v>15.7</v>
      </c>
      <c r="J1046" s="657">
        <v>0</v>
      </c>
      <c r="K1046" s="657">
        <v>15.7</v>
      </c>
      <c r="L1046" s="732">
        <v>0</v>
      </c>
      <c r="M1046" s="673">
        <f t="shared" si="82"/>
        <v>52.333333333333329</v>
      </c>
      <c r="N1046" s="653">
        <f t="shared" si="83"/>
        <v>25.388469999999995</v>
      </c>
      <c r="O1046" s="733" t="s">
        <v>3559</v>
      </c>
      <c r="P1046" s="532" t="s">
        <v>1588</v>
      </c>
      <c r="Q1046" s="843">
        <v>0</v>
      </c>
      <c r="R1046" s="843">
        <v>0</v>
      </c>
      <c r="S1046" s="843">
        <v>0</v>
      </c>
      <c r="T1046" s="843">
        <v>0</v>
      </c>
      <c r="U1046" s="532" t="s">
        <v>2307</v>
      </c>
      <c r="V1046" s="533" t="s">
        <v>2923</v>
      </c>
      <c r="W1046" s="653"/>
      <c r="X1046" s="532" t="s">
        <v>1532</v>
      </c>
      <c r="Y1046" s="532" t="s">
        <v>1533</v>
      </c>
      <c r="Z1046" s="532" t="s">
        <v>2924</v>
      </c>
      <c r="AA1046" s="532" t="s">
        <v>1686</v>
      </c>
      <c r="AB1046" s="539" t="s">
        <v>1591</v>
      </c>
    </row>
    <row r="1047" spans="1:28" ht="24" customHeight="1">
      <c r="A1047" s="584"/>
      <c r="B1047" s="521" t="s">
        <v>675</v>
      </c>
      <c r="C1047" s="522" t="s">
        <v>2925</v>
      </c>
      <c r="D1047" s="524" t="s">
        <v>2926</v>
      </c>
      <c r="E1047" s="657">
        <v>35</v>
      </c>
      <c r="F1047" s="657">
        <v>0</v>
      </c>
      <c r="G1047" s="657">
        <v>35</v>
      </c>
      <c r="H1047" s="657">
        <v>0</v>
      </c>
      <c r="I1047" s="657">
        <f t="shared" si="84"/>
        <v>29</v>
      </c>
      <c r="J1047" s="657">
        <v>0</v>
      </c>
      <c r="K1047" s="657">
        <v>29</v>
      </c>
      <c r="L1047" s="732">
        <v>0</v>
      </c>
      <c r="M1047" s="673">
        <f t="shared" si="82"/>
        <v>82.857142857142861</v>
      </c>
      <c r="N1047" s="653">
        <f t="shared" si="83"/>
        <v>74.248285714285714</v>
      </c>
      <c r="O1047" s="733" t="s">
        <v>5783</v>
      </c>
      <c r="P1047" s="532" t="s">
        <v>1588</v>
      </c>
      <c r="Q1047" s="843">
        <v>0</v>
      </c>
      <c r="R1047" s="843">
        <v>0</v>
      </c>
      <c r="S1047" s="843">
        <v>0</v>
      </c>
      <c r="T1047" s="843">
        <v>0</v>
      </c>
      <c r="U1047" s="532" t="s">
        <v>2307</v>
      </c>
      <c r="V1047" s="533" t="s">
        <v>2927</v>
      </c>
      <c r="W1047" s="653"/>
      <c r="X1047" s="532" t="s">
        <v>1532</v>
      </c>
      <c r="Y1047" s="532" t="s">
        <v>1533</v>
      </c>
      <c r="Z1047" s="532" t="s">
        <v>2906</v>
      </c>
      <c r="AA1047" s="532" t="s">
        <v>1686</v>
      </c>
      <c r="AB1047" s="539" t="s">
        <v>1591</v>
      </c>
    </row>
    <row r="1048" spans="1:28" ht="24" customHeight="1">
      <c r="A1048" s="584"/>
      <c r="B1048" s="460" t="s">
        <v>675</v>
      </c>
      <c r="C1048" s="522" t="s">
        <v>2928</v>
      </c>
      <c r="D1048" s="524" t="s">
        <v>2929</v>
      </c>
      <c r="E1048" s="657">
        <v>35</v>
      </c>
      <c r="F1048" s="657">
        <v>0</v>
      </c>
      <c r="G1048" s="657">
        <v>35</v>
      </c>
      <c r="H1048" s="657">
        <v>0</v>
      </c>
      <c r="I1048" s="657">
        <f t="shared" si="84"/>
        <v>29</v>
      </c>
      <c r="J1048" s="657">
        <v>0</v>
      </c>
      <c r="K1048" s="657">
        <v>29</v>
      </c>
      <c r="L1048" s="732">
        <v>0</v>
      </c>
      <c r="M1048" s="673">
        <f t="shared" si="82"/>
        <v>82.857142857142861</v>
      </c>
      <c r="N1048" s="653">
        <f t="shared" si="83"/>
        <v>74.248285714285714</v>
      </c>
      <c r="O1048" s="733" t="s">
        <v>2904</v>
      </c>
      <c r="P1048" s="532" t="s">
        <v>1588</v>
      </c>
      <c r="Q1048" s="843">
        <v>0</v>
      </c>
      <c r="R1048" s="843">
        <v>0</v>
      </c>
      <c r="S1048" s="843">
        <v>0</v>
      </c>
      <c r="T1048" s="843">
        <v>0</v>
      </c>
      <c r="U1048" s="532" t="s">
        <v>2307</v>
      </c>
      <c r="V1048" s="533" t="s">
        <v>2927</v>
      </c>
      <c r="W1048" s="653"/>
      <c r="X1048" s="532" t="s">
        <v>1532</v>
      </c>
      <c r="Y1048" s="532" t="s">
        <v>1533</v>
      </c>
      <c r="Z1048" s="532" t="s">
        <v>2906</v>
      </c>
      <c r="AA1048" s="532" t="s">
        <v>1686</v>
      </c>
      <c r="AB1048" s="539" t="s">
        <v>1591</v>
      </c>
    </row>
    <row r="1049" spans="1:28" ht="24" customHeight="1">
      <c r="A1049" s="584"/>
      <c r="B1049" s="521" t="s">
        <v>675</v>
      </c>
      <c r="C1049" s="522" t="s">
        <v>2930</v>
      </c>
      <c r="D1049" s="524" t="s">
        <v>2931</v>
      </c>
      <c r="E1049" s="657">
        <v>20</v>
      </c>
      <c r="F1049" s="657">
        <v>0</v>
      </c>
      <c r="G1049" s="657">
        <v>20</v>
      </c>
      <c r="H1049" s="657">
        <v>0</v>
      </c>
      <c r="I1049" s="657">
        <f t="shared" si="84"/>
        <v>17.3</v>
      </c>
      <c r="J1049" s="657">
        <v>0</v>
      </c>
      <c r="K1049" s="657">
        <v>17.3</v>
      </c>
      <c r="L1049" s="732">
        <v>0</v>
      </c>
      <c r="M1049" s="673">
        <f t="shared" si="82"/>
        <v>86.5</v>
      </c>
      <c r="N1049" s="653">
        <f t="shared" si="83"/>
        <v>46.240305000000006</v>
      </c>
      <c r="O1049" s="733" t="s">
        <v>2932</v>
      </c>
      <c r="P1049" s="532" t="s">
        <v>1588</v>
      </c>
      <c r="Q1049" s="843">
        <v>0</v>
      </c>
      <c r="R1049" s="843">
        <v>0</v>
      </c>
      <c r="S1049" s="843">
        <v>0</v>
      </c>
      <c r="T1049" s="843">
        <v>0</v>
      </c>
      <c r="U1049" s="532" t="s">
        <v>2307</v>
      </c>
      <c r="V1049" s="533" t="s">
        <v>2923</v>
      </c>
      <c r="W1049" s="653"/>
      <c r="X1049" s="532" t="s">
        <v>1532</v>
      </c>
      <c r="Y1049" s="532" t="s">
        <v>1533</v>
      </c>
      <c r="Z1049" s="532" t="s">
        <v>5615</v>
      </c>
      <c r="AA1049" s="532" t="s">
        <v>1686</v>
      </c>
      <c r="AB1049" s="539" t="s">
        <v>1591</v>
      </c>
    </row>
    <row r="1050" spans="1:28" ht="24" customHeight="1">
      <c r="A1050" s="584"/>
      <c r="B1050" s="460" t="s">
        <v>675</v>
      </c>
      <c r="C1050" s="522" t="s">
        <v>2933</v>
      </c>
      <c r="D1050" s="524" t="s">
        <v>2934</v>
      </c>
      <c r="E1050" s="657">
        <v>20</v>
      </c>
      <c r="F1050" s="657">
        <v>0</v>
      </c>
      <c r="G1050" s="657">
        <v>20</v>
      </c>
      <c r="H1050" s="657">
        <v>0</v>
      </c>
      <c r="I1050" s="657">
        <f t="shared" si="84"/>
        <v>11.6</v>
      </c>
      <c r="J1050" s="657">
        <v>0</v>
      </c>
      <c r="K1050" s="657">
        <v>11.6</v>
      </c>
      <c r="L1050" s="732">
        <v>0</v>
      </c>
      <c r="M1050" s="673">
        <f t="shared" si="82"/>
        <v>57.999999999999993</v>
      </c>
      <c r="N1050" s="653">
        <f t="shared" si="83"/>
        <v>20.789519999999996</v>
      </c>
      <c r="O1050" s="733" t="s">
        <v>2935</v>
      </c>
      <c r="P1050" s="532" t="s">
        <v>1588</v>
      </c>
      <c r="Q1050" s="843">
        <v>0</v>
      </c>
      <c r="R1050" s="843">
        <v>0</v>
      </c>
      <c r="S1050" s="843">
        <v>0</v>
      </c>
      <c r="T1050" s="843">
        <v>0</v>
      </c>
      <c r="U1050" s="532" t="s">
        <v>2307</v>
      </c>
      <c r="V1050" s="533" t="s">
        <v>2866</v>
      </c>
      <c r="W1050" s="653"/>
      <c r="X1050" s="532" t="s">
        <v>1532</v>
      </c>
      <c r="Y1050" s="532" t="s">
        <v>1533</v>
      </c>
      <c r="Z1050" s="532" t="s">
        <v>2936</v>
      </c>
      <c r="AA1050" s="532" t="s">
        <v>1686</v>
      </c>
      <c r="AB1050" s="539" t="s">
        <v>1591</v>
      </c>
    </row>
    <row r="1051" spans="1:28" ht="24" customHeight="1">
      <c r="A1051" s="584"/>
      <c r="B1051" s="460" t="s">
        <v>675</v>
      </c>
      <c r="C1051" s="522" t="s">
        <v>2937</v>
      </c>
      <c r="D1051" s="524" t="s">
        <v>2938</v>
      </c>
      <c r="E1051" s="657">
        <v>35</v>
      </c>
      <c r="F1051" s="657">
        <v>0</v>
      </c>
      <c r="G1051" s="657">
        <v>35</v>
      </c>
      <c r="H1051" s="657">
        <v>0</v>
      </c>
      <c r="I1051" s="657">
        <f t="shared" si="84"/>
        <v>32</v>
      </c>
      <c r="J1051" s="657">
        <v>0</v>
      </c>
      <c r="K1051" s="657">
        <v>32</v>
      </c>
      <c r="L1051" s="732">
        <v>0</v>
      </c>
      <c r="M1051" s="673">
        <f t="shared" si="82"/>
        <v>91.428571428571431</v>
      </c>
      <c r="N1051" s="653">
        <f t="shared" si="83"/>
        <v>90.404571428571415</v>
      </c>
      <c r="O1051" s="733" t="s">
        <v>5663</v>
      </c>
      <c r="P1051" s="532" t="s">
        <v>1588</v>
      </c>
      <c r="Q1051" s="843">
        <v>0</v>
      </c>
      <c r="R1051" s="843">
        <v>0</v>
      </c>
      <c r="S1051" s="843">
        <v>0</v>
      </c>
      <c r="T1051" s="843">
        <v>0</v>
      </c>
      <c r="U1051" s="532" t="s">
        <v>2307</v>
      </c>
      <c r="V1051" s="533" t="s">
        <v>2939</v>
      </c>
      <c r="W1051" s="653"/>
      <c r="X1051" s="532" t="s">
        <v>1532</v>
      </c>
      <c r="Y1051" s="514" t="s">
        <v>1533</v>
      </c>
      <c r="Z1051" s="532" t="s">
        <v>1865</v>
      </c>
      <c r="AA1051" s="532" t="s">
        <v>1686</v>
      </c>
      <c r="AB1051" s="539" t="s">
        <v>1591</v>
      </c>
    </row>
    <row r="1052" spans="1:28" ht="24" customHeight="1">
      <c r="A1052" s="584"/>
      <c r="B1052" s="521" t="s">
        <v>675</v>
      </c>
      <c r="C1052" s="522" t="s">
        <v>2940</v>
      </c>
      <c r="D1052" s="524" t="s">
        <v>2941</v>
      </c>
      <c r="E1052" s="657">
        <v>35</v>
      </c>
      <c r="F1052" s="657">
        <v>0</v>
      </c>
      <c r="G1052" s="657">
        <v>35</v>
      </c>
      <c r="H1052" s="657">
        <v>0</v>
      </c>
      <c r="I1052" s="657">
        <f t="shared" si="84"/>
        <v>29</v>
      </c>
      <c r="J1052" s="657">
        <v>0</v>
      </c>
      <c r="K1052" s="657">
        <v>29</v>
      </c>
      <c r="L1052" s="732">
        <v>0</v>
      </c>
      <c r="M1052" s="673">
        <f t="shared" si="82"/>
        <v>82.857142857142861</v>
      </c>
      <c r="N1052" s="653">
        <f t="shared" si="83"/>
        <v>74.248285714285714</v>
      </c>
      <c r="O1052" s="733" t="s">
        <v>5769</v>
      </c>
      <c r="P1052" s="532" t="s">
        <v>1588</v>
      </c>
      <c r="Q1052" s="843">
        <v>0</v>
      </c>
      <c r="R1052" s="843">
        <v>0</v>
      </c>
      <c r="S1052" s="843">
        <v>0</v>
      </c>
      <c r="T1052" s="843">
        <v>0</v>
      </c>
      <c r="U1052" s="532" t="s">
        <v>2307</v>
      </c>
      <c r="V1052" s="533" t="s">
        <v>2939</v>
      </c>
      <c r="W1052" s="653"/>
      <c r="X1052" s="532" t="s">
        <v>1532</v>
      </c>
      <c r="Y1052" s="532" t="s">
        <v>1533</v>
      </c>
      <c r="Z1052" s="532" t="s">
        <v>1865</v>
      </c>
      <c r="AA1052" s="532" t="s">
        <v>1686</v>
      </c>
      <c r="AB1052" s="539" t="s">
        <v>1591</v>
      </c>
    </row>
    <row r="1053" spans="1:28" ht="24" customHeight="1">
      <c r="A1053" s="584"/>
      <c r="B1053" s="460" t="s">
        <v>675</v>
      </c>
      <c r="C1053" s="522" t="s">
        <v>2942</v>
      </c>
      <c r="D1053" s="524" t="s">
        <v>2943</v>
      </c>
      <c r="E1053" s="657">
        <v>40</v>
      </c>
      <c r="F1053" s="657">
        <v>0</v>
      </c>
      <c r="G1053" s="657">
        <v>40</v>
      </c>
      <c r="H1053" s="657">
        <v>0</v>
      </c>
      <c r="I1053" s="657">
        <f t="shared" si="84"/>
        <v>29</v>
      </c>
      <c r="J1053" s="657">
        <v>0</v>
      </c>
      <c r="K1053" s="657">
        <v>29</v>
      </c>
      <c r="L1053" s="732">
        <v>0</v>
      </c>
      <c r="M1053" s="673">
        <f t="shared" si="82"/>
        <v>72.5</v>
      </c>
      <c r="N1053" s="653">
        <f t="shared" si="83"/>
        <v>64.967249999999993</v>
      </c>
      <c r="O1053" s="733" t="s">
        <v>2944</v>
      </c>
      <c r="P1053" s="532" t="s">
        <v>1588</v>
      </c>
      <c r="Q1053" s="843">
        <v>0</v>
      </c>
      <c r="R1053" s="843">
        <v>0</v>
      </c>
      <c r="S1053" s="843">
        <v>0</v>
      </c>
      <c r="T1053" s="843">
        <v>0</v>
      </c>
      <c r="U1053" s="532" t="s">
        <v>2307</v>
      </c>
      <c r="V1053" s="533" t="s">
        <v>2945</v>
      </c>
      <c r="W1053" s="653"/>
      <c r="X1053" s="532" t="s">
        <v>1532</v>
      </c>
      <c r="Y1053" s="532" t="s">
        <v>1533</v>
      </c>
      <c r="Z1053" s="532" t="s">
        <v>1865</v>
      </c>
      <c r="AA1053" s="532" t="s">
        <v>1686</v>
      </c>
      <c r="AB1053" s="539" t="s">
        <v>1591</v>
      </c>
    </row>
    <row r="1054" spans="1:28" ht="24" customHeight="1">
      <c r="A1054" s="584"/>
      <c r="B1054" s="521" t="s">
        <v>675</v>
      </c>
      <c r="C1054" s="522" t="s">
        <v>2946</v>
      </c>
      <c r="D1054" s="524" t="s">
        <v>2947</v>
      </c>
      <c r="E1054" s="657">
        <v>30</v>
      </c>
      <c r="F1054" s="657">
        <v>0</v>
      </c>
      <c r="G1054" s="657">
        <v>30</v>
      </c>
      <c r="H1054" s="657">
        <v>0</v>
      </c>
      <c r="I1054" s="657">
        <f t="shared" si="84"/>
        <v>29</v>
      </c>
      <c r="J1054" s="657">
        <v>0</v>
      </c>
      <c r="K1054" s="657">
        <v>29</v>
      </c>
      <c r="L1054" s="732">
        <v>0</v>
      </c>
      <c r="M1054" s="673">
        <f t="shared" si="82"/>
        <v>96.666666666666671</v>
      </c>
      <c r="N1054" s="653">
        <f t="shared" si="83"/>
        <v>86.623000000000005</v>
      </c>
      <c r="O1054" s="733" t="s">
        <v>2904</v>
      </c>
      <c r="P1054" s="532" t="s">
        <v>1588</v>
      </c>
      <c r="Q1054" s="843">
        <v>0</v>
      </c>
      <c r="R1054" s="843">
        <v>0</v>
      </c>
      <c r="S1054" s="843">
        <v>0</v>
      </c>
      <c r="T1054" s="843">
        <v>0</v>
      </c>
      <c r="U1054" s="532" t="s">
        <v>2307</v>
      </c>
      <c r="V1054" s="533" t="s">
        <v>2948</v>
      </c>
      <c r="W1054" s="653"/>
      <c r="X1054" s="532" t="s">
        <v>1532</v>
      </c>
      <c r="Y1054" s="532" t="s">
        <v>1533</v>
      </c>
      <c r="Z1054" s="532" t="s">
        <v>335</v>
      </c>
      <c r="AA1054" s="532" t="s">
        <v>1686</v>
      </c>
      <c r="AB1054" s="539" t="s">
        <v>1591</v>
      </c>
    </row>
    <row r="1055" spans="1:28" ht="24" customHeight="1">
      <c r="A1055" s="584"/>
      <c r="B1055" s="460" t="s">
        <v>675</v>
      </c>
      <c r="C1055" s="522" t="s">
        <v>2949</v>
      </c>
      <c r="D1055" s="524" t="s">
        <v>2950</v>
      </c>
      <c r="E1055" s="657">
        <f>SUM(F1055:H1055)</f>
        <v>50</v>
      </c>
      <c r="F1055" s="657">
        <v>0</v>
      </c>
      <c r="G1055" s="657">
        <v>50</v>
      </c>
      <c r="H1055" s="657">
        <v>0</v>
      </c>
      <c r="I1055" s="657">
        <f t="shared" si="84"/>
        <v>30</v>
      </c>
      <c r="J1055" s="657">
        <v>0</v>
      </c>
      <c r="K1055" s="657">
        <v>30</v>
      </c>
      <c r="L1055" s="732">
        <v>0</v>
      </c>
      <c r="M1055" s="673">
        <f t="shared" si="82"/>
        <v>60</v>
      </c>
      <c r="N1055" s="653">
        <f t="shared" si="83"/>
        <v>55.62</v>
      </c>
      <c r="O1055" s="733" t="s">
        <v>2951</v>
      </c>
      <c r="P1055" s="532" t="s">
        <v>1588</v>
      </c>
      <c r="Q1055" s="843">
        <v>0</v>
      </c>
      <c r="R1055" s="843">
        <v>0</v>
      </c>
      <c r="S1055" s="843">
        <v>0</v>
      </c>
      <c r="T1055" s="843">
        <v>0</v>
      </c>
      <c r="U1055" s="532" t="s">
        <v>2952</v>
      </c>
      <c r="V1055" s="533" t="s">
        <v>2077</v>
      </c>
      <c r="W1055" s="653">
        <v>343</v>
      </c>
      <c r="X1055" s="532" t="s">
        <v>1532</v>
      </c>
      <c r="Y1055" s="532" t="s">
        <v>1533</v>
      </c>
      <c r="Z1055" s="532" t="s">
        <v>1686</v>
      </c>
      <c r="AA1055" s="532" t="s">
        <v>1686</v>
      </c>
      <c r="AB1055" s="539" t="s">
        <v>1686</v>
      </c>
    </row>
    <row r="1056" spans="1:28" ht="24" customHeight="1">
      <c r="A1056" s="582" t="s">
        <v>1866</v>
      </c>
      <c r="B1056" s="460" t="s">
        <v>2201</v>
      </c>
      <c r="C1056" s="458" t="s">
        <v>2427</v>
      </c>
      <c r="D1056" s="510" t="s">
        <v>2953</v>
      </c>
      <c r="E1056" s="497">
        <f>SUM(F1056:H1056)</f>
        <v>2600</v>
      </c>
      <c r="F1056" s="497">
        <v>0</v>
      </c>
      <c r="G1056" s="497">
        <v>0</v>
      </c>
      <c r="H1056" s="497">
        <v>2600</v>
      </c>
      <c r="I1056" s="737">
        <f t="shared" si="84"/>
        <v>2442</v>
      </c>
      <c r="J1056" s="737">
        <v>0</v>
      </c>
      <c r="K1056" s="737">
        <v>0</v>
      </c>
      <c r="L1056" s="738">
        <v>2442</v>
      </c>
      <c r="M1056" s="685">
        <v>93</v>
      </c>
      <c r="N1056" s="686">
        <v>127.86</v>
      </c>
      <c r="O1056" s="731" t="s">
        <v>2954</v>
      </c>
      <c r="P1056" s="514" t="s">
        <v>1588</v>
      </c>
      <c r="Q1056" s="842">
        <v>130</v>
      </c>
      <c r="R1056" s="842">
        <v>0</v>
      </c>
      <c r="S1056" s="842">
        <v>0</v>
      </c>
      <c r="T1056" s="842">
        <v>0</v>
      </c>
      <c r="U1056" s="514"/>
      <c r="V1056" s="514" t="s">
        <v>2955</v>
      </c>
      <c r="W1056" s="498">
        <v>14250</v>
      </c>
      <c r="X1056" s="514" t="s">
        <v>2276</v>
      </c>
      <c r="Y1056" s="514" t="s">
        <v>3336</v>
      </c>
      <c r="Z1056" s="514" t="s">
        <v>1867</v>
      </c>
      <c r="AA1056" s="514" t="s">
        <v>1686</v>
      </c>
      <c r="AB1056" s="531" t="s">
        <v>1686</v>
      </c>
    </row>
    <row r="1057" spans="1:28" ht="24" customHeight="1">
      <c r="A1057" s="584"/>
      <c r="B1057" s="460" t="s">
        <v>675</v>
      </c>
      <c r="C1057" s="458" t="s">
        <v>2145</v>
      </c>
      <c r="D1057" s="510" t="s">
        <v>2956</v>
      </c>
      <c r="E1057" s="497">
        <v>60</v>
      </c>
      <c r="F1057" s="497">
        <v>0</v>
      </c>
      <c r="G1057" s="497">
        <v>0</v>
      </c>
      <c r="H1057" s="497">
        <v>60</v>
      </c>
      <c r="I1057" s="497">
        <f t="shared" si="84"/>
        <v>54</v>
      </c>
      <c r="J1057" s="497">
        <v>0</v>
      </c>
      <c r="K1057" s="497">
        <v>0</v>
      </c>
      <c r="L1057" s="721">
        <v>54</v>
      </c>
      <c r="M1057" s="672">
        <f t="shared" ref="M1057:M1075" si="85">I1057/E1057*100</f>
        <v>90</v>
      </c>
      <c r="N1057" s="498">
        <v>0</v>
      </c>
      <c r="O1057" s="731" t="s">
        <v>2957</v>
      </c>
      <c r="P1057" s="540" t="s">
        <v>1588</v>
      </c>
      <c r="Q1057" s="842">
        <v>0</v>
      </c>
      <c r="R1057" s="842">
        <v>0</v>
      </c>
      <c r="S1057" s="842">
        <v>0</v>
      </c>
      <c r="T1057" s="842">
        <v>0</v>
      </c>
      <c r="U1057" s="514" t="s">
        <v>2958</v>
      </c>
      <c r="V1057" s="514" t="s">
        <v>2959</v>
      </c>
      <c r="W1057" s="498">
        <v>189</v>
      </c>
      <c r="X1057" s="514" t="s">
        <v>1532</v>
      </c>
      <c r="Y1057" s="514" t="s">
        <v>3336</v>
      </c>
      <c r="Z1057" s="514" t="s">
        <v>1867</v>
      </c>
      <c r="AA1057" s="514" t="s">
        <v>1686</v>
      </c>
      <c r="AB1057" s="531" t="s">
        <v>1686</v>
      </c>
    </row>
    <row r="1058" spans="1:28" ht="24" customHeight="1">
      <c r="A1058" s="584"/>
      <c r="B1058" s="460" t="s">
        <v>675</v>
      </c>
      <c r="C1058" s="458" t="s">
        <v>2097</v>
      </c>
      <c r="D1058" s="510" t="s">
        <v>2960</v>
      </c>
      <c r="E1058" s="497">
        <v>50</v>
      </c>
      <c r="F1058" s="497">
        <v>0</v>
      </c>
      <c r="G1058" s="497">
        <v>0</v>
      </c>
      <c r="H1058" s="497">
        <v>50</v>
      </c>
      <c r="I1058" s="497">
        <f t="shared" si="84"/>
        <v>45</v>
      </c>
      <c r="J1058" s="497">
        <v>0</v>
      </c>
      <c r="K1058" s="497">
        <v>0</v>
      </c>
      <c r="L1058" s="721">
        <v>45</v>
      </c>
      <c r="M1058" s="672">
        <f t="shared" si="85"/>
        <v>90</v>
      </c>
      <c r="N1058" s="498">
        <v>0</v>
      </c>
      <c r="O1058" s="731" t="s">
        <v>2961</v>
      </c>
      <c r="P1058" s="514" t="s">
        <v>1588</v>
      </c>
      <c r="Q1058" s="842">
        <v>0</v>
      </c>
      <c r="R1058" s="842">
        <v>0</v>
      </c>
      <c r="S1058" s="842">
        <v>0</v>
      </c>
      <c r="T1058" s="842">
        <v>0</v>
      </c>
      <c r="U1058" s="514" t="s">
        <v>2958</v>
      </c>
      <c r="V1058" s="514" t="s">
        <v>2962</v>
      </c>
      <c r="W1058" s="498">
        <v>467</v>
      </c>
      <c r="X1058" s="514" t="s">
        <v>1532</v>
      </c>
      <c r="Y1058" s="514" t="s">
        <v>3336</v>
      </c>
      <c r="Z1058" s="514" t="s">
        <v>1868</v>
      </c>
      <c r="AA1058" s="514" t="s">
        <v>1686</v>
      </c>
      <c r="AB1058" s="531" t="s">
        <v>1686</v>
      </c>
    </row>
    <row r="1059" spans="1:28" ht="24" customHeight="1">
      <c r="A1059" s="584"/>
      <c r="B1059" s="460" t="s">
        <v>675</v>
      </c>
      <c r="C1059" s="458" t="s">
        <v>2677</v>
      </c>
      <c r="D1059" s="510" t="s">
        <v>2963</v>
      </c>
      <c r="E1059" s="497">
        <v>20</v>
      </c>
      <c r="F1059" s="497">
        <v>0</v>
      </c>
      <c r="G1059" s="497">
        <v>0</v>
      </c>
      <c r="H1059" s="497">
        <v>20</v>
      </c>
      <c r="I1059" s="497">
        <f t="shared" si="84"/>
        <v>18</v>
      </c>
      <c r="J1059" s="497">
        <v>0</v>
      </c>
      <c r="K1059" s="497">
        <v>0</v>
      </c>
      <c r="L1059" s="721">
        <v>18</v>
      </c>
      <c r="M1059" s="672">
        <f t="shared" si="85"/>
        <v>90</v>
      </c>
      <c r="N1059" s="498">
        <v>0</v>
      </c>
      <c r="O1059" s="731" t="s">
        <v>2964</v>
      </c>
      <c r="P1059" s="514" t="s">
        <v>1588</v>
      </c>
      <c r="Q1059" s="842">
        <v>0</v>
      </c>
      <c r="R1059" s="842">
        <v>0</v>
      </c>
      <c r="S1059" s="842">
        <v>0</v>
      </c>
      <c r="T1059" s="842">
        <v>0</v>
      </c>
      <c r="U1059" s="514" t="s">
        <v>2958</v>
      </c>
      <c r="V1059" s="514" t="s">
        <v>2962</v>
      </c>
      <c r="W1059" s="498">
        <v>155</v>
      </c>
      <c r="X1059" s="514" t="s">
        <v>1532</v>
      </c>
      <c r="Y1059" s="514" t="s">
        <v>3336</v>
      </c>
      <c r="Z1059" s="514" t="s">
        <v>1868</v>
      </c>
      <c r="AA1059" s="514" t="s">
        <v>1686</v>
      </c>
      <c r="AB1059" s="531" t="s">
        <v>1686</v>
      </c>
    </row>
    <row r="1060" spans="1:28" ht="24" customHeight="1">
      <c r="A1060" s="584"/>
      <c r="B1060" s="460" t="s">
        <v>675</v>
      </c>
      <c r="C1060" s="458" t="s">
        <v>2965</v>
      </c>
      <c r="D1060" s="510" t="s">
        <v>2966</v>
      </c>
      <c r="E1060" s="497">
        <v>60</v>
      </c>
      <c r="F1060" s="497">
        <v>0</v>
      </c>
      <c r="G1060" s="497" t="s">
        <v>1704</v>
      </c>
      <c r="H1060" s="497">
        <v>60</v>
      </c>
      <c r="I1060" s="497">
        <f t="shared" si="84"/>
        <v>54</v>
      </c>
      <c r="J1060" s="497">
        <v>0</v>
      </c>
      <c r="K1060" s="497">
        <v>0</v>
      </c>
      <c r="L1060" s="721">
        <v>54</v>
      </c>
      <c r="M1060" s="672">
        <f t="shared" si="85"/>
        <v>90</v>
      </c>
      <c r="N1060" s="498">
        <v>0</v>
      </c>
      <c r="O1060" s="731" t="s">
        <v>2967</v>
      </c>
      <c r="P1060" s="514" t="s">
        <v>1588</v>
      </c>
      <c r="Q1060" s="842">
        <v>0</v>
      </c>
      <c r="R1060" s="842">
        <v>0</v>
      </c>
      <c r="S1060" s="842">
        <v>0</v>
      </c>
      <c r="T1060" s="842">
        <v>0</v>
      </c>
      <c r="U1060" s="514" t="s">
        <v>2958</v>
      </c>
      <c r="V1060" s="514" t="s">
        <v>5197</v>
      </c>
      <c r="W1060" s="498">
        <v>217</v>
      </c>
      <c r="X1060" s="514" t="s">
        <v>1532</v>
      </c>
      <c r="Y1060" s="514" t="s">
        <v>3336</v>
      </c>
      <c r="Z1060" s="514" t="s">
        <v>1698</v>
      </c>
      <c r="AA1060" s="514" t="s">
        <v>1686</v>
      </c>
      <c r="AB1060" s="531" t="s">
        <v>1686</v>
      </c>
    </row>
    <row r="1061" spans="1:28" ht="24" customHeight="1">
      <c r="A1061" s="584"/>
      <c r="B1061" s="460" t="s">
        <v>675</v>
      </c>
      <c r="C1061" s="458" t="s">
        <v>3310</v>
      </c>
      <c r="D1061" s="510" t="s">
        <v>2968</v>
      </c>
      <c r="E1061" s="497">
        <v>16</v>
      </c>
      <c r="F1061" s="497">
        <v>0</v>
      </c>
      <c r="G1061" s="497">
        <v>0</v>
      </c>
      <c r="H1061" s="497">
        <v>16</v>
      </c>
      <c r="I1061" s="497">
        <f t="shared" si="84"/>
        <v>14</v>
      </c>
      <c r="J1061" s="497">
        <v>0</v>
      </c>
      <c r="K1061" s="497">
        <v>0</v>
      </c>
      <c r="L1061" s="721">
        <v>14</v>
      </c>
      <c r="M1061" s="672">
        <f t="shared" si="85"/>
        <v>87.5</v>
      </c>
      <c r="N1061" s="498">
        <v>0</v>
      </c>
      <c r="O1061" s="731" t="s">
        <v>3180</v>
      </c>
      <c r="P1061" s="514" t="s">
        <v>1588</v>
      </c>
      <c r="Q1061" s="842">
        <v>0</v>
      </c>
      <c r="R1061" s="842">
        <v>0</v>
      </c>
      <c r="S1061" s="842">
        <v>0</v>
      </c>
      <c r="T1061" s="842">
        <v>0</v>
      </c>
      <c r="U1061" s="514" t="s">
        <v>2958</v>
      </c>
      <c r="V1061" s="514" t="s">
        <v>2969</v>
      </c>
      <c r="W1061" s="498">
        <v>223</v>
      </c>
      <c r="X1061" s="514" t="s">
        <v>1532</v>
      </c>
      <c r="Y1061" s="514" t="s">
        <v>3336</v>
      </c>
      <c r="Z1061" s="514" t="s">
        <v>1698</v>
      </c>
      <c r="AA1061" s="514" t="s">
        <v>1686</v>
      </c>
      <c r="AB1061" s="531" t="s">
        <v>1686</v>
      </c>
    </row>
    <row r="1062" spans="1:28" ht="24" customHeight="1">
      <c r="A1062" s="584"/>
      <c r="B1062" s="460" t="s">
        <v>675</v>
      </c>
      <c r="C1062" s="458" t="s">
        <v>2970</v>
      </c>
      <c r="D1062" s="510" t="s">
        <v>2971</v>
      </c>
      <c r="E1062" s="497">
        <v>32</v>
      </c>
      <c r="F1062" s="497">
        <v>0</v>
      </c>
      <c r="G1062" s="497">
        <v>0</v>
      </c>
      <c r="H1062" s="497">
        <v>32</v>
      </c>
      <c r="I1062" s="497">
        <f t="shared" si="84"/>
        <v>27</v>
      </c>
      <c r="J1062" s="497">
        <v>0</v>
      </c>
      <c r="K1062" s="497">
        <v>0</v>
      </c>
      <c r="L1062" s="721">
        <v>27</v>
      </c>
      <c r="M1062" s="672">
        <f t="shared" si="85"/>
        <v>84.375</v>
      </c>
      <c r="N1062" s="498">
        <v>0</v>
      </c>
      <c r="O1062" s="731" t="s">
        <v>3752</v>
      </c>
      <c r="P1062" s="514" t="s">
        <v>1588</v>
      </c>
      <c r="Q1062" s="842">
        <v>0</v>
      </c>
      <c r="R1062" s="842">
        <v>0</v>
      </c>
      <c r="S1062" s="842">
        <v>0</v>
      </c>
      <c r="T1062" s="842">
        <v>0</v>
      </c>
      <c r="U1062" s="514" t="s">
        <v>2958</v>
      </c>
      <c r="V1062" s="514" t="s">
        <v>2962</v>
      </c>
      <c r="W1062" s="498">
        <v>159</v>
      </c>
      <c r="X1062" s="514" t="s">
        <v>1532</v>
      </c>
      <c r="Y1062" s="514" t="s">
        <v>3336</v>
      </c>
      <c r="Z1062" s="514" t="s">
        <v>1698</v>
      </c>
      <c r="AA1062" s="514" t="s">
        <v>1686</v>
      </c>
      <c r="AB1062" s="531" t="s">
        <v>1686</v>
      </c>
    </row>
    <row r="1063" spans="1:28" ht="24" customHeight="1">
      <c r="A1063" s="584"/>
      <c r="B1063" s="460" t="s">
        <v>675</v>
      </c>
      <c r="C1063" s="458" t="s">
        <v>2972</v>
      </c>
      <c r="D1063" s="510" t="s">
        <v>2973</v>
      </c>
      <c r="E1063" s="497">
        <v>70</v>
      </c>
      <c r="F1063" s="497">
        <v>0</v>
      </c>
      <c r="G1063" s="497">
        <v>0</v>
      </c>
      <c r="H1063" s="497">
        <v>70</v>
      </c>
      <c r="I1063" s="497">
        <f t="shared" si="84"/>
        <v>63</v>
      </c>
      <c r="J1063" s="497">
        <v>0</v>
      </c>
      <c r="K1063" s="497">
        <v>0</v>
      </c>
      <c r="L1063" s="721">
        <v>63</v>
      </c>
      <c r="M1063" s="672">
        <f t="shared" si="85"/>
        <v>90</v>
      </c>
      <c r="N1063" s="498">
        <v>0</v>
      </c>
      <c r="O1063" s="731" t="s">
        <v>3419</v>
      </c>
      <c r="P1063" s="514" t="s">
        <v>1588</v>
      </c>
      <c r="Q1063" s="842">
        <v>0</v>
      </c>
      <c r="R1063" s="842">
        <v>0</v>
      </c>
      <c r="S1063" s="842">
        <v>0</v>
      </c>
      <c r="T1063" s="842">
        <v>0</v>
      </c>
      <c r="U1063" s="514" t="s">
        <v>2958</v>
      </c>
      <c r="V1063" s="514" t="s">
        <v>5197</v>
      </c>
      <c r="W1063" s="498">
        <v>180</v>
      </c>
      <c r="X1063" s="514" t="s">
        <v>1532</v>
      </c>
      <c r="Y1063" s="514" t="s">
        <v>3336</v>
      </c>
      <c r="Z1063" s="514" t="s">
        <v>2974</v>
      </c>
      <c r="AA1063" s="514" t="s">
        <v>1686</v>
      </c>
      <c r="AB1063" s="531" t="s">
        <v>1686</v>
      </c>
    </row>
    <row r="1064" spans="1:28" ht="24" customHeight="1">
      <c r="A1064" s="584"/>
      <c r="B1064" s="460" t="s">
        <v>675</v>
      </c>
      <c r="C1064" s="458" t="s">
        <v>2975</v>
      </c>
      <c r="D1064" s="510" t="s">
        <v>2976</v>
      </c>
      <c r="E1064" s="497">
        <v>20</v>
      </c>
      <c r="F1064" s="497">
        <v>0</v>
      </c>
      <c r="G1064" s="497">
        <v>0</v>
      </c>
      <c r="H1064" s="497">
        <v>20</v>
      </c>
      <c r="I1064" s="497">
        <f t="shared" si="84"/>
        <v>18</v>
      </c>
      <c r="J1064" s="497">
        <v>0</v>
      </c>
      <c r="K1064" s="497">
        <v>0</v>
      </c>
      <c r="L1064" s="721">
        <v>18</v>
      </c>
      <c r="M1064" s="672">
        <f t="shared" si="85"/>
        <v>90</v>
      </c>
      <c r="N1064" s="498">
        <v>0</v>
      </c>
      <c r="O1064" s="731" t="s">
        <v>2951</v>
      </c>
      <c r="P1064" s="514" t="s">
        <v>1588</v>
      </c>
      <c r="Q1064" s="842">
        <v>0</v>
      </c>
      <c r="R1064" s="842">
        <v>0</v>
      </c>
      <c r="S1064" s="842">
        <v>0</v>
      </c>
      <c r="T1064" s="842">
        <v>0</v>
      </c>
      <c r="U1064" s="514" t="s">
        <v>2958</v>
      </c>
      <c r="V1064" s="514" t="s">
        <v>2977</v>
      </c>
      <c r="W1064" s="498">
        <v>310</v>
      </c>
      <c r="X1064" s="514" t="s">
        <v>1532</v>
      </c>
      <c r="Y1064" s="514" t="s">
        <v>3336</v>
      </c>
      <c r="Z1064" s="514" t="s">
        <v>2974</v>
      </c>
      <c r="AA1064" s="514" t="s">
        <v>1686</v>
      </c>
      <c r="AB1064" s="531" t="s">
        <v>1686</v>
      </c>
    </row>
    <row r="1065" spans="1:28" ht="24" customHeight="1">
      <c r="A1065" s="584"/>
      <c r="B1065" s="460" t="s">
        <v>675</v>
      </c>
      <c r="C1065" s="458" t="s">
        <v>2978</v>
      </c>
      <c r="D1065" s="510" t="s">
        <v>2979</v>
      </c>
      <c r="E1065" s="497">
        <v>100</v>
      </c>
      <c r="F1065" s="497">
        <v>0</v>
      </c>
      <c r="G1065" s="497">
        <v>0</v>
      </c>
      <c r="H1065" s="497">
        <v>100</v>
      </c>
      <c r="I1065" s="497">
        <f t="shared" si="84"/>
        <v>90</v>
      </c>
      <c r="J1065" s="497">
        <v>0</v>
      </c>
      <c r="K1065" s="497">
        <v>0</v>
      </c>
      <c r="L1065" s="721">
        <v>90</v>
      </c>
      <c r="M1065" s="672">
        <f t="shared" si="85"/>
        <v>90</v>
      </c>
      <c r="N1065" s="498">
        <v>0</v>
      </c>
      <c r="O1065" s="731" t="s">
        <v>2951</v>
      </c>
      <c r="P1065" s="514" t="s">
        <v>1588</v>
      </c>
      <c r="Q1065" s="842">
        <v>0</v>
      </c>
      <c r="R1065" s="842">
        <v>0</v>
      </c>
      <c r="S1065" s="842">
        <v>0</v>
      </c>
      <c r="T1065" s="842">
        <v>0</v>
      </c>
      <c r="U1065" s="514" t="s">
        <v>2958</v>
      </c>
      <c r="V1065" s="514" t="s">
        <v>5197</v>
      </c>
      <c r="W1065" s="498">
        <v>217</v>
      </c>
      <c r="X1065" s="514" t="s">
        <v>1532</v>
      </c>
      <c r="Y1065" s="514" t="s">
        <v>3336</v>
      </c>
      <c r="Z1065" s="514" t="s">
        <v>1828</v>
      </c>
      <c r="AA1065" s="514" t="s">
        <v>1686</v>
      </c>
      <c r="AB1065" s="531" t="s">
        <v>1686</v>
      </c>
    </row>
    <row r="1066" spans="1:28" ht="24" customHeight="1">
      <c r="A1066" s="584"/>
      <c r="B1066" s="460" t="s">
        <v>675</v>
      </c>
      <c r="C1066" s="458" t="s">
        <v>2980</v>
      </c>
      <c r="D1066" s="510" t="s">
        <v>2981</v>
      </c>
      <c r="E1066" s="497">
        <v>20</v>
      </c>
      <c r="F1066" s="497">
        <v>0</v>
      </c>
      <c r="G1066" s="497">
        <v>0</v>
      </c>
      <c r="H1066" s="497">
        <v>20</v>
      </c>
      <c r="I1066" s="497">
        <f t="shared" si="84"/>
        <v>18</v>
      </c>
      <c r="J1066" s="497">
        <v>0</v>
      </c>
      <c r="K1066" s="497">
        <v>0</v>
      </c>
      <c r="L1066" s="721">
        <v>18</v>
      </c>
      <c r="M1066" s="672">
        <f t="shared" si="85"/>
        <v>90</v>
      </c>
      <c r="N1066" s="498">
        <v>0</v>
      </c>
      <c r="O1066" s="731" t="s">
        <v>2967</v>
      </c>
      <c r="P1066" s="514" t="s">
        <v>1588</v>
      </c>
      <c r="Q1066" s="842">
        <v>0</v>
      </c>
      <c r="R1066" s="842">
        <v>0</v>
      </c>
      <c r="S1066" s="842">
        <v>0</v>
      </c>
      <c r="T1066" s="842">
        <v>0</v>
      </c>
      <c r="U1066" s="514" t="s">
        <v>2958</v>
      </c>
      <c r="V1066" s="514" t="s">
        <v>2982</v>
      </c>
      <c r="W1066" s="498">
        <v>486</v>
      </c>
      <c r="X1066" s="514" t="s">
        <v>1532</v>
      </c>
      <c r="Y1066" s="514" t="s">
        <v>3336</v>
      </c>
      <c r="Z1066" s="514" t="s">
        <v>1828</v>
      </c>
      <c r="AA1066" s="514" t="s">
        <v>1686</v>
      </c>
      <c r="AB1066" s="531" t="s">
        <v>1686</v>
      </c>
    </row>
    <row r="1067" spans="1:28" ht="24" customHeight="1">
      <c r="A1067" s="584"/>
      <c r="B1067" s="460" t="s">
        <v>675</v>
      </c>
      <c r="C1067" s="458" t="s">
        <v>2983</v>
      </c>
      <c r="D1067" s="510" t="s">
        <v>2984</v>
      </c>
      <c r="E1067" s="497">
        <v>30</v>
      </c>
      <c r="F1067" s="497">
        <v>0</v>
      </c>
      <c r="G1067" s="497">
        <v>0</v>
      </c>
      <c r="H1067" s="497">
        <v>30</v>
      </c>
      <c r="I1067" s="497">
        <f t="shared" ref="I1067:I1074" si="86">SUM(J1067:L1067)</f>
        <v>27</v>
      </c>
      <c r="J1067" s="497">
        <v>0</v>
      </c>
      <c r="K1067" s="497">
        <v>0</v>
      </c>
      <c r="L1067" s="721">
        <v>27</v>
      </c>
      <c r="M1067" s="672">
        <f t="shared" si="85"/>
        <v>90</v>
      </c>
      <c r="N1067" s="498">
        <v>0</v>
      </c>
      <c r="O1067" s="731" t="s">
        <v>3419</v>
      </c>
      <c r="P1067" s="514" t="s">
        <v>1588</v>
      </c>
      <c r="Q1067" s="842">
        <v>0</v>
      </c>
      <c r="R1067" s="842">
        <v>0</v>
      </c>
      <c r="S1067" s="842">
        <v>0</v>
      </c>
      <c r="T1067" s="842">
        <v>0</v>
      </c>
      <c r="U1067" s="514" t="s">
        <v>2958</v>
      </c>
      <c r="V1067" s="514" t="s">
        <v>2962</v>
      </c>
      <c r="W1067" s="498">
        <v>145</v>
      </c>
      <c r="X1067" s="514" t="s">
        <v>1532</v>
      </c>
      <c r="Y1067" s="514" t="s">
        <v>3336</v>
      </c>
      <c r="Z1067" s="514" t="s">
        <v>1828</v>
      </c>
      <c r="AA1067" s="514" t="s">
        <v>1686</v>
      </c>
      <c r="AB1067" s="531" t="s">
        <v>1686</v>
      </c>
    </row>
    <row r="1068" spans="1:28" ht="24" customHeight="1">
      <c r="A1068" s="584"/>
      <c r="B1068" s="460" t="s">
        <v>675</v>
      </c>
      <c r="C1068" s="458" t="s">
        <v>2985</v>
      </c>
      <c r="D1068" s="510" t="s">
        <v>2986</v>
      </c>
      <c r="E1068" s="497">
        <v>50</v>
      </c>
      <c r="F1068" s="497">
        <v>0</v>
      </c>
      <c r="G1068" s="497">
        <v>0</v>
      </c>
      <c r="H1068" s="497">
        <v>50</v>
      </c>
      <c r="I1068" s="497">
        <f t="shared" si="86"/>
        <v>45</v>
      </c>
      <c r="J1068" s="497">
        <v>0</v>
      </c>
      <c r="K1068" s="497">
        <v>0</v>
      </c>
      <c r="L1068" s="721">
        <v>45</v>
      </c>
      <c r="M1068" s="672">
        <f t="shared" si="85"/>
        <v>90</v>
      </c>
      <c r="N1068" s="498">
        <v>0</v>
      </c>
      <c r="O1068" s="731" t="s">
        <v>2987</v>
      </c>
      <c r="P1068" s="514" t="s">
        <v>1588</v>
      </c>
      <c r="Q1068" s="842">
        <v>0</v>
      </c>
      <c r="R1068" s="842">
        <v>0</v>
      </c>
      <c r="S1068" s="842">
        <v>0</v>
      </c>
      <c r="T1068" s="842">
        <v>0</v>
      </c>
      <c r="U1068" s="514" t="s">
        <v>2958</v>
      </c>
      <c r="V1068" s="514" t="s">
        <v>5197</v>
      </c>
      <c r="W1068" s="498">
        <v>193</v>
      </c>
      <c r="X1068" s="514" t="s">
        <v>1532</v>
      </c>
      <c r="Y1068" s="514" t="s">
        <v>3336</v>
      </c>
      <c r="Z1068" s="514" t="s">
        <v>1867</v>
      </c>
      <c r="AA1068" s="514" t="s">
        <v>1686</v>
      </c>
      <c r="AB1068" s="531" t="s">
        <v>1686</v>
      </c>
    </row>
    <row r="1069" spans="1:28" ht="24" customHeight="1">
      <c r="A1069" s="584"/>
      <c r="B1069" s="460" t="s">
        <v>675</v>
      </c>
      <c r="C1069" s="458" t="s">
        <v>2988</v>
      </c>
      <c r="D1069" s="510" t="s">
        <v>2989</v>
      </c>
      <c r="E1069" s="497">
        <v>250</v>
      </c>
      <c r="F1069" s="497">
        <v>0</v>
      </c>
      <c r="G1069" s="497">
        <v>0</v>
      </c>
      <c r="H1069" s="497">
        <v>250</v>
      </c>
      <c r="I1069" s="497">
        <f t="shared" si="86"/>
        <v>200</v>
      </c>
      <c r="J1069" s="497">
        <v>0</v>
      </c>
      <c r="K1069" s="497">
        <v>0</v>
      </c>
      <c r="L1069" s="721">
        <v>200</v>
      </c>
      <c r="M1069" s="672">
        <f t="shared" si="85"/>
        <v>80</v>
      </c>
      <c r="N1069" s="498">
        <v>0</v>
      </c>
      <c r="O1069" s="731" t="s">
        <v>2951</v>
      </c>
      <c r="P1069" s="514" t="s">
        <v>1588</v>
      </c>
      <c r="Q1069" s="842">
        <v>0</v>
      </c>
      <c r="R1069" s="842">
        <v>0</v>
      </c>
      <c r="S1069" s="842">
        <v>0</v>
      </c>
      <c r="T1069" s="842">
        <v>0</v>
      </c>
      <c r="U1069" s="514" t="s">
        <v>2309</v>
      </c>
      <c r="V1069" s="514" t="s">
        <v>2990</v>
      </c>
      <c r="W1069" s="498">
        <v>525</v>
      </c>
      <c r="X1069" s="514" t="s">
        <v>1532</v>
      </c>
      <c r="Y1069" s="514" t="s">
        <v>3336</v>
      </c>
      <c r="Z1069" s="514" t="s">
        <v>1867</v>
      </c>
      <c r="AA1069" s="514" t="s">
        <v>1686</v>
      </c>
      <c r="AB1069" s="531" t="s">
        <v>1686</v>
      </c>
    </row>
    <row r="1070" spans="1:28" ht="24" customHeight="1">
      <c r="A1070" s="584"/>
      <c r="B1070" s="460" t="s">
        <v>675</v>
      </c>
      <c r="C1070" s="458" t="s">
        <v>1985</v>
      </c>
      <c r="D1070" s="510" t="s">
        <v>2991</v>
      </c>
      <c r="E1070" s="497">
        <v>90</v>
      </c>
      <c r="F1070" s="497">
        <v>0</v>
      </c>
      <c r="G1070" s="497">
        <v>0</v>
      </c>
      <c r="H1070" s="497">
        <v>90</v>
      </c>
      <c r="I1070" s="497">
        <f t="shared" si="86"/>
        <v>81</v>
      </c>
      <c r="J1070" s="497">
        <v>0</v>
      </c>
      <c r="K1070" s="497">
        <v>0</v>
      </c>
      <c r="L1070" s="721">
        <v>81</v>
      </c>
      <c r="M1070" s="672">
        <f t="shared" si="85"/>
        <v>90</v>
      </c>
      <c r="N1070" s="498">
        <v>0</v>
      </c>
      <c r="O1070" s="731" t="s">
        <v>2987</v>
      </c>
      <c r="P1070" s="514" t="s">
        <v>1588</v>
      </c>
      <c r="Q1070" s="842">
        <v>0</v>
      </c>
      <c r="R1070" s="842">
        <v>0</v>
      </c>
      <c r="S1070" s="842">
        <v>0</v>
      </c>
      <c r="T1070" s="842">
        <v>0</v>
      </c>
      <c r="U1070" s="514" t="s">
        <v>2958</v>
      </c>
      <c r="V1070" s="514" t="s">
        <v>2992</v>
      </c>
      <c r="W1070" s="498">
        <v>209</v>
      </c>
      <c r="X1070" s="514" t="s">
        <v>1532</v>
      </c>
      <c r="Y1070" s="514" t="s">
        <v>3336</v>
      </c>
      <c r="Z1070" s="514" t="s">
        <v>1867</v>
      </c>
      <c r="AA1070" s="514" t="s">
        <v>1686</v>
      </c>
      <c r="AB1070" s="531" t="s">
        <v>1686</v>
      </c>
    </row>
    <row r="1071" spans="1:28" ht="24" customHeight="1">
      <c r="A1071" s="584"/>
      <c r="B1071" s="460" t="s">
        <v>675</v>
      </c>
      <c r="C1071" s="458" t="s">
        <v>2993</v>
      </c>
      <c r="D1071" s="510" t="s">
        <v>2994</v>
      </c>
      <c r="E1071" s="497">
        <v>30</v>
      </c>
      <c r="F1071" s="497">
        <v>0</v>
      </c>
      <c r="G1071" s="497">
        <v>0</v>
      </c>
      <c r="H1071" s="497">
        <v>30</v>
      </c>
      <c r="I1071" s="497">
        <f t="shared" si="86"/>
        <v>27</v>
      </c>
      <c r="J1071" s="497">
        <v>0</v>
      </c>
      <c r="K1071" s="497">
        <v>0</v>
      </c>
      <c r="L1071" s="721">
        <v>27</v>
      </c>
      <c r="M1071" s="672">
        <f t="shared" si="85"/>
        <v>90</v>
      </c>
      <c r="N1071" s="498">
        <v>0</v>
      </c>
      <c r="O1071" s="731" t="s">
        <v>3419</v>
      </c>
      <c r="P1071" s="514" t="s">
        <v>1588</v>
      </c>
      <c r="Q1071" s="842">
        <v>0</v>
      </c>
      <c r="R1071" s="842">
        <v>0</v>
      </c>
      <c r="S1071" s="842">
        <v>0</v>
      </c>
      <c r="T1071" s="842">
        <v>0</v>
      </c>
      <c r="U1071" s="514" t="s">
        <v>2958</v>
      </c>
      <c r="V1071" s="514" t="s">
        <v>5216</v>
      </c>
      <c r="W1071" s="498">
        <v>471</v>
      </c>
      <c r="X1071" s="514" t="s">
        <v>1532</v>
      </c>
      <c r="Y1071" s="514" t="s">
        <v>3336</v>
      </c>
      <c r="Z1071" s="514" t="s">
        <v>1867</v>
      </c>
      <c r="AA1071" s="514" t="s">
        <v>1686</v>
      </c>
      <c r="AB1071" s="531" t="s">
        <v>1686</v>
      </c>
    </row>
    <row r="1072" spans="1:28" ht="24" customHeight="1">
      <c r="A1072" s="584"/>
      <c r="B1072" s="460" t="s">
        <v>675</v>
      </c>
      <c r="C1072" s="458" t="s">
        <v>2995</v>
      </c>
      <c r="D1072" s="510" t="s">
        <v>2996</v>
      </c>
      <c r="E1072" s="497">
        <v>25</v>
      </c>
      <c r="F1072" s="497">
        <v>0</v>
      </c>
      <c r="G1072" s="497">
        <v>0</v>
      </c>
      <c r="H1072" s="497">
        <v>25</v>
      </c>
      <c r="I1072" s="497">
        <f t="shared" si="86"/>
        <v>20</v>
      </c>
      <c r="J1072" s="497">
        <v>0</v>
      </c>
      <c r="K1072" s="497">
        <v>0</v>
      </c>
      <c r="L1072" s="721">
        <v>20</v>
      </c>
      <c r="M1072" s="672">
        <f t="shared" si="85"/>
        <v>80</v>
      </c>
      <c r="N1072" s="498">
        <v>0</v>
      </c>
      <c r="O1072" s="731" t="s">
        <v>2964</v>
      </c>
      <c r="P1072" s="514" t="s">
        <v>1588</v>
      </c>
      <c r="Q1072" s="842">
        <v>0</v>
      </c>
      <c r="R1072" s="842">
        <v>0</v>
      </c>
      <c r="S1072" s="842">
        <v>0</v>
      </c>
      <c r="T1072" s="842">
        <v>0</v>
      </c>
      <c r="U1072" s="514" t="s">
        <v>2958</v>
      </c>
      <c r="V1072" s="514" t="s">
        <v>5216</v>
      </c>
      <c r="W1072" s="498">
        <v>404</v>
      </c>
      <c r="X1072" s="514" t="s">
        <v>1532</v>
      </c>
      <c r="Y1072" s="514" t="s">
        <v>3336</v>
      </c>
      <c r="Z1072" s="514" t="s">
        <v>1869</v>
      </c>
      <c r="AA1072" s="514" t="s">
        <v>1686</v>
      </c>
      <c r="AB1072" s="531" t="s">
        <v>1686</v>
      </c>
    </row>
    <row r="1073" spans="1:28" ht="24" customHeight="1">
      <c r="A1073" s="584"/>
      <c r="B1073" s="460" t="s">
        <v>675</v>
      </c>
      <c r="C1073" s="458" t="s">
        <v>2997</v>
      </c>
      <c r="D1073" s="510" t="s">
        <v>2998</v>
      </c>
      <c r="E1073" s="497">
        <v>40</v>
      </c>
      <c r="F1073" s="497">
        <v>0</v>
      </c>
      <c r="G1073" s="497">
        <v>0</v>
      </c>
      <c r="H1073" s="497">
        <v>40</v>
      </c>
      <c r="I1073" s="497">
        <f t="shared" si="86"/>
        <v>36</v>
      </c>
      <c r="J1073" s="497">
        <v>0</v>
      </c>
      <c r="K1073" s="497">
        <v>0</v>
      </c>
      <c r="L1073" s="721">
        <v>36</v>
      </c>
      <c r="M1073" s="672">
        <f t="shared" si="85"/>
        <v>90</v>
      </c>
      <c r="N1073" s="498">
        <v>0</v>
      </c>
      <c r="O1073" s="731" t="s">
        <v>2964</v>
      </c>
      <c r="P1073" s="514" t="s">
        <v>1588</v>
      </c>
      <c r="Q1073" s="842">
        <v>0</v>
      </c>
      <c r="R1073" s="842">
        <v>0</v>
      </c>
      <c r="S1073" s="842">
        <v>0</v>
      </c>
      <c r="T1073" s="842">
        <v>0</v>
      </c>
      <c r="U1073" s="514" t="s">
        <v>2958</v>
      </c>
      <c r="V1073" s="514" t="s">
        <v>2999</v>
      </c>
      <c r="W1073" s="498">
        <v>128</v>
      </c>
      <c r="X1073" s="514" t="s">
        <v>1532</v>
      </c>
      <c r="Y1073" s="514" t="s">
        <v>3336</v>
      </c>
      <c r="Z1073" s="514" t="s">
        <v>1869</v>
      </c>
      <c r="AA1073" s="514" t="s">
        <v>1686</v>
      </c>
      <c r="AB1073" s="531" t="s">
        <v>1686</v>
      </c>
    </row>
    <row r="1074" spans="1:28" ht="24" customHeight="1">
      <c r="A1074" s="584"/>
      <c r="B1074" s="460" t="s">
        <v>675</v>
      </c>
      <c r="C1074" s="458" t="s">
        <v>3000</v>
      </c>
      <c r="D1074" s="510" t="s">
        <v>3001</v>
      </c>
      <c r="E1074" s="497">
        <v>25</v>
      </c>
      <c r="F1074" s="497">
        <v>0</v>
      </c>
      <c r="G1074" s="497">
        <v>0</v>
      </c>
      <c r="H1074" s="497">
        <v>25</v>
      </c>
      <c r="I1074" s="497">
        <f t="shared" si="86"/>
        <v>20</v>
      </c>
      <c r="J1074" s="497">
        <v>0</v>
      </c>
      <c r="K1074" s="497">
        <v>0</v>
      </c>
      <c r="L1074" s="721">
        <v>20</v>
      </c>
      <c r="M1074" s="672">
        <f t="shared" si="85"/>
        <v>80</v>
      </c>
      <c r="N1074" s="498">
        <v>0</v>
      </c>
      <c r="O1074" s="731" t="s">
        <v>3002</v>
      </c>
      <c r="P1074" s="514" t="s">
        <v>1588</v>
      </c>
      <c r="Q1074" s="842">
        <v>0</v>
      </c>
      <c r="R1074" s="842">
        <v>0</v>
      </c>
      <c r="S1074" s="842">
        <v>0</v>
      </c>
      <c r="T1074" s="842">
        <v>0</v>
      </c>
      <c r="U1074" s="514" t="s">
        <v>2958</v>
      </c>
      <c r="V1074" s="514" t="s">
        <v>3003</v>
      </c>
      <c r="W1074" s="498">
        <v>462</v>
      </c>
      <c r="X1074" s="514" t="s">
        <v>1532</v>
      </c>
      <c r="Y1074" s="514" t="s">
        <v>3336</v>
      </c>
      <c r="Z1074" s="514" t="s">
        <v>3004</v>
      </c>
      <c r="AA1074" s="514" t="s">
        <v>1686</v>
      </c>
      <c r="AB1074" s="531" t="s">
        <v>1686</v>
      </c>
    </row>
    <row r="1075" spans="1:28" ht="24" customHeight="1">
      <c r="A1075" s="584"/>
      <c r="B1075" s="460" t="s">
        <v>675</v>
      </c>
      <c r="C1075" s="458" t="s">
        <v>3005</v>
      </c>
      <c r="D1075" s="510" t="s">
        <v>3006</v>
      </c>
      <c r="E1075" s="497">
        <v>40</v>
      </c>
      <c r="F1075" s="497">
        <v>0</v>
      </c>
      <c r="G1075" s="497">
        <v>0</v>
      </c>
      <c r="H1075" s="497">
        <v>40</v>
      </c>
      <c r="I1075" s="497">
        <f>L1075</f>
        <v>36</v>
      </c>
      <c r="J1075" s="497">
        <v>0</v>
      </c>
      <c r="K1075" s="497">
        <v>0</v>
      </c>
      <c r="L1075" s="721">
        <v>36</v>
      </c>
      <c r="M1075" s="672">
        <f t="shared" si="85"/>
        <v>90</v>
      </c>
      <c r="N1075" s="498">
        <v>0</v>
      </c>
      <c r="O1075" s="731" t="s">
        <v>3007</v>
      </c>
      <c r="P1075" s="514" t="s">
        <v>1588</v>
      </c>
      <c r="Q1075" s="842">
        <v>0</v>
      </c>
      <c r="R1075" s="842">
        <v>0</v>
      </c>
      <c r="S1075" s="842">
        <v>0</v>
      </c>
      <c r="T1075" s="842">
        <v>0</v>
      </c>
      <c r="U1075" s="514" t="s">
        <v>2958</v>
      </c>
      <c r="V1075" s="514" t="s">
        <v>3008</v>
      </c>
      <c r="W1075" s="498">
        <v>230</v>
      </c>
      <c r="X1075" s="514" t="s">
        <v>1532</v>
      </c>
      <c r="Y1075" s="514" t="s">
        <v>3336</v>
      </c>
      <c r="Z1075" s="514" t="s">
        <v>3004</v>
      </c>
      <c r="AA1075" s="514" t="s">
        <v>1686</v>
      </c>
      <c r="AB1075" s="531" t="s">
        <v>1686</v>
      </c>
    </row>
    <row r="1076" spans="1:28" ht="24" customHeight="1">
      <c r="A1076" s="582" t="s">
        <v>1870</v>
      </c>
      <c r="B1076" s="460" t="s">
        <v>2201</v>
      </c>
      <c r="C1076" s="458" t="s">
        <v>2428</v>
      </c>
      <c r="D1076" s="510" t="s">
        <v>3009</v>
      </c>
      <c r="E1076" s="497">
        <f>SUM(F1076:H1076)</f>
        <v>16000</v>
      </c>
      <c r="F1076" s="497">
        <v>0</v>
      </c>
      <c r="G1076" s="497">
        <v>16000</v>
      </c>
      <c r="H1076" s="497">
        <v>0</v>
      </c>
      <c r="I1076" s="497">
        <f>SUM(J1076:L1076)</f>
        <v>11343</v>
      </c>
      <c r="J1076" s="497">
        <v>0</v>
      </c>
      <c r="K1076" s="497">
        <v>11343</v>
      </c>
      <c r="L1076" s="721" t="s">
        <v>3211</v>
      </c>
      <c r="M1076" s="672">
        <v>94.5</v>
      </c>
      <c r="N1076" s="498">
        <f>84.4*11343*0.945*1/1000</f>
        <v>904.69499400000007</v>
      </c>
      <c r="O1076" s="731" t="s">
        <v>1535</v>
      </c>
      <c r="P1076" s="514" t="s">
        <v>1588</v>
      </c>
      <c r="Q1076" s="842">
        <v>0</v>
      </c>
      <c r="R1076" s="842">
        <v>0</v>
      </c>
      <c r="S1076" s="842">
        <v>15.7</v>
      </c>
      <c r="T1076" s="842">
        <v>0</v>
      </c>
      <c r="U1076" s="514" t="s">
        <v>3010</v>
      </c>
      <c r="V1076" s="514" t="s">
        <v>3011</v>
      </c>
      <c r="W1076" s="498">
        <v>23156</v>
      </c>
      <c r="X1076" s="514" t="s">
        <v>2276</v>
      </c>
      <c r="Y1076" s="514" t="s">
        <v>3507</v>
      </c>
      <c r="Z1076" s="514"/>
      <c r="AA1076" s="514" t="s">
        <v>3012</v>
      </c>
      <c r="AB1076" s="531" t="s">
        <v>1587</v>
      </c>
    </row>
    <row r="1077" spans="1:28" ht="24" customHeight="1">
      <c r="A1077" s="584"/>
      <c r="B1077" s="460" t="s">
        <v>2201</v>
      </c>
      <c r="C1077" s="458" t="s">
        <v>2407</v>
      </c>
      <c r="D1077" s="510" t="s">
        <v>3013</v>
      </c>
      <c r="E1077" s="497">
        <f>SUM(F1077:H1077)</f>
        <v>500</v>
      </c>
      <c r="F1077" s="497">
        <v>0</v>
      </c>
      <c r="G1077" s="497">
        <v>0</v>
      </c>
      <c r="H1077" s="497">
        <v>500</v>
      </c>
      <c r="I1077" s="497">
        <f>SUM(J1077:L1077)</f>
        <v>410</v>
      </c>
      <c r="J1077" s="497">
        <v>0</v>
      </c>
      <c r="K1077" s="497">
        <v>0</v>
      </c>
      <c r="L1077" s="721">
        <v>410</v>
      </c>
      <c r="M1077" s="672">
        <v>97.5</v>
      </c>
      <c r="N1077" s="498">
        <f>115.6*410*0.975*1/1000</f>
        <v>46.211100000000002</v>
      </c>
      <c r="O1077" s="731" t="s">
        <v>3014</v>
      </c>
      <c r="P1077" s="514" t="s">
        <v>1588</v>
      </c>
      <c r="Q1077" s="842">
        <v>0</v>
      </c>
      <c r="R1077" s="842">
        <v>0</v>
      </c>
      <c r="S1077" s="842">
        <v>0</v>
      </c>
      <c r="T1077" s="842">
        <v>0</v>
      </c>
      <c r="U1077" s="514" t="s">
        <v>3010</v>
      </c>
      <c r="V1077" s="534" t="s">
        <v>3015</v>
      </c>
      <c r="W1077" s="653">
        <v>7753</v>
      </c>
      <c r="X1077" s="514" t="s">
        <v>2276</v>
      </c>
      <c r="Y1077" s="514" t="s">
        <v>3016</v>
      </c>
      <c r="Z1077" s="514"/>
      <c r="AA1077" s="514" t="s">
        <v>3017</v>
      </c>
      <c r="AB1077" s="531" t="s">
        <v>1587</v>
      </c>
    </row>
    <row r="1078" spans="1:28" ht="24" customHeight="1">
      <c r="A1078" s="584"/>
      <c r="B1078" s="460" t="s">
        <v>675</v>
      </c>
      <c r="C1078" s="458" t="s">
        <v>3018</v>
      </c>
      <c r="D1078" s="510" t="s">
        <v>3019</v>
      </c>
      <c r="E1078" s="497">
        <f>SUM(F1078:H1078)</f>
        <v>154</v>
      </c>
      <c r="F1078" s="497">
        <v>0</v>
      </c>
      <c r="G1078" s="497">
        <v>154</v>
      </c>
      <c r="H1078" s="497">
        <v>0</v>
      </c>
      <c r="I1078" s="497">
        <f>SUM(J1078:L1078)</f>
        <v>41</v>
      </c>
      <c r="J1078" s="497">
        <v>0</v>
      </c>
      <c r="K1078" s="497">
        <v>41</v>
      </c>
      <c r="L1078" s="721">
        <v>0</v>
      </c>
      <c r="M1078" s="672">
        <v>72.7</v>
      </c>
      <c r="N1078" s="498">
        <f>89.9*41*0.727*1/1000</f>
        <v>2.6796492999999999</v>
      </c>
      <c r="O1078" s="731" t="s">
        <v>5089</v>
      </c>
      <c r="P1078" s="514" t="s">
        <v>1588</v>
      </c>
      <c r="Q1078" s="842">
        <v>0</v>
      </c>
      <c r="R1078" s="842">
        <v>0</v>
      </c>
      <c r="S1078" s="842">
        <v>0</v>
      </c>
      <c r="T1078" s="842">
        <v>0</v>
      </c>
      <c r="U1078" s="514" t="s">
        <v>3010</v>
      </c>
      <c r="V1078" s="534" t="s">
        <v>3020</v>
      </c>
      <c r="W1078" s="653">
        <v>400</v>
      </c>
      <c r="X1078" s="514" t="s">
        <v>2276</v>
      </c>
      <c r="Y1078" s="514" t="s">
        <v>3507</v>
      </c>
      <c r="Z1078" s="514"/>
      <c r="AA1078" s="514" t="s">
        <v>5612</v>
      </c>
      <c r="AB1078" s="531" t="s">
        <v>1592</v>
      </c>
    </row>
    <row r="1079" spans="1:28" ht="24" customHeight="1">
      <c r="A1079" s="584"/>
      <c r="B1079" s="460" t="s">
        <v>675</v>
      </c>
      <c r="C1079" s="458" t="s">
        <v>3021</v>
      </c>
      <c r="D1079" s="510" t="s">
        <v>3022</v>
      </c>
      <c r="E1079" s="497">
        <f>SUM(F1079:H1079)</f>
        <v>40</v>
      </c>
      <c r="F1079" s="497">
        <v>0</v>
      </c>
      <c r="G1079" s="497">
        <v>40</v>
      </c>
      <c r="H1079" s="497">
        <v>0</v>
      </c>
      <c r="I1079" s="497">
        <f>SUM(J1079:L1079)</f>
        <v>14</v>
      </c>
      <c r="J1079" s="497">
        <v>0</v>
      </c>
      <c r="K1079" s="497">
        <v>14</v>
      </c>
      <c r="L1079" s="721">
        <v>0</v>
      </c>
      <c r="M1079" s="672">
        <v>95</v>
      </c>
      <c r="N1079" s="498">
        <f>87.2*14*0.95*1/1000</f>
        <v>1.1597599999999999</v>
      </c>
      <c r="O1079" s="731" t="s">
        <v>2865</v>
      </c>
      <c r="P1079" s="514" t="s">
        <v>1588</v>
      </c>
      <c r="Q1079" s="842">
        <v>0</v>
      </c>
      <c r="R1079" s="842">
        <v>0</v>
      </c>
      <c r="S1079" s="842">
        <v>0</v>
      </c>
      <c r="T1079" s="842">
        <v>0</v>
      </c>
      <c r="U1079" s="514" t="s">
        <v>3010</v>
      </c>
      <c r="V1079" s="534" t="s">
        <v>2368</v>
      </c>
      <c r="W1079" s="498">
        <v>306</v>
      </c>
      <c r="X1079" s="514" t="s">
        <v>2276</v>
      </c>
      <c r="Y1079" s="514" t="s">
        <v>3507</v>
      </c>
      <c r="Z1079" s="514"/>
      <c r="AA1079" s="514" t="s">
        <v>3023</v>
      </c>
      <c r="AB1079" s="531" t="s">
        <v>1587</v>
      </c>
    </row>
    <row r="1080" spans="1:28" ht="24" customHeight="1">
      <c r="A1080" s="584"/>
      <c r="B1080" s="460" t="s">
        <v>675</v>
      </c>
      <c r="C1080" s="458" t="s">
        <v>3024</v>
      </c>
      <c r="D1080" s="510" t="s">
        <v>3025</v>
      </c>
      <c r="E1080" s="497">
        <f>SUM(F1080:H1080)</f>
        <v>40</v>
      </c>
      <c r="F1080" s="497">
        <v>0</v>
      </c>
      <c r="G1080" s="497">
        <v>40</v>
      </c>
      <c r="H1080" s="497">
        <v>0</v>
      </c>
      <c r="I1080" s="497">
        <f t="shared" ref="I1080:I1095" si="87">SUM(J1080:L1080)</f>
        <v>40</v>
      </c>
      <c r="J1080" s="497">
        <v>0</v>
      </c>
      <c r="K1080" s="497">
        <v>40</v>
      </c>
      <c r="L1080" s="721">
        <v>0</v>
      </c>
      <c r="M1080" s="672">
        <v>70.099999999999994</v>
      </c>
      <c r="N1080" s="498">
        <f>84.1*40*0.701*1/1000</f>
        <v>2.3581639999999999</v>
      </c>
      <c r="O1080" s="731" t="s">
        <v>5737</v>
      </c>
      <c r="P1080" s="514" t="s">
        <v>1588</v>
      </c>
      <c r="Q1080" s="842">
        <v>0</v>
      </c>
      <c r="R1080" s="842">
        <v>0</v>
      </c>
      <c r="S1080" s="842">
        <v>0</v>
      </c>
      <c r="T1080" s="842">
        <v>0</v>
      </c>
      <c r="U1080" s="514" t="s">
        <v>3010</v>
      </c>
      <c r="V1080" s="534" t="s">
        <v>3416</v>
      </c>
      <c r="W1080" s="498">
        <v>146</v>
      </c>
      <c r="X1080" s="514" t="s">
        <v>2276</v>
      </c>
      <c r="Y1080" s="514" t="s">
        <v>3507</v>
      </c>
      <c r="Z1080" s="514"/>
      <c r="AA1080" s="514" t="s">
        <v>5612</v>
      </c>
      <c r="AB1080" s="531" t="s">
        <v>1587</v>
      </c>
    </row>
    <row r="1081" spans="1:28" ht="24" customHeight="1">
      <c r="A1081" s="584"/>
      <c r="B1081" s="460" t="s">
        <v>675</v>
      </c>
      <c r="C1081" s="458" t="s">
        <v>3026</v>
      </c>
      <c r="D1081" s="510" t="s">
        <v>3027</v>
      </c>
      <c r="E1081" s="497">
        <v>48</v>
      </c>
      <c r="F1081" s="497">
        <v>0</v>
      </c>
      <c r="G1081" s="497">
        <v>48</v>
      </c>
      <c r="H1081" s="497">
        <v>0</v>
      </c>
      <c r="I1081" s="497">
        <f t="shared" si="87"/>
        <v>48</v>
      </c>
      <c r="J1081" s="497">
        <v>0</v>
      </c>
      <c r="K1081" s="497">
        <v>48</v>
      </c>
      <c r="L1081" s="721">
        <v>0</v>
      </c>
      <c r="M1081" s="672">
        <v>87</v>
      </c>
      <c r="N1081" s="498">
        <f>53.7*48*0.87*1/1000</f>
        <v>2.2425120000000001</v>
      </c>
      <c r="O1081" s="731" t="s">
        <v>5737</v>
      </c>
      <c r="P1081" s="514" t="s">
        <v>1588</v>
      </c>
      <c r="Q1081" s="842">
        <v>0</v>
      </c>
      <c r="R1081" s="842">
        <v>0</v>
      </c>
      <c r="S1081" s="842">
        <v>0</v>
      </c>
      <c r="T1081" s="842">
        <v>0</v>
      </c>
      <c r="U1081" s="514" t="s">
        <v>3010</v>
      </c>
      <c r="V1081" s="534" t="s">
        <v>3416</v>
      </c>
      <c r="W1081" s="498">
        <v>197</v>
      </c>
      <c r="X1081" s="514" t="s">
        <v>2276</v>
      </c>
      <c r="Y1081" s="514" t="s">
        <v>3507</v>
      </c>
      <c r="Z1081" s="514"/>
      <c r="AA1081" s="514" t="s">
        <v>3028</v>
      </c>
      <c r="AB1081" s="531" t="s">
        <v>1587</v>
      </c>
    </row>
    <row r="1082" spans="1:28" ht="24" customHeight="1">
      <c r="A1082" s="584"/>
      <c r="B1082" s="460" t="s">
        <v>675</v>
      </c>
      <c r="C1082" s="458" t="s">
        <v>3029</v>
      </c>
      <c r="D1082" s="510" t="s">
        <v>3030</v>
      </c>
      <c r="E1082" s="497">
        <v>20</v>
      </c>
      <c r="F1082" s="497">
        <v>0</v>
      </c>
      <c r="G1082" s="497">
        <v>20</v>
      </c>
      <c r="H1082" s="497">
        <v>0</v>
      </c>
      <c r="I1082" s="497">
        <f t="shared" si="87"/>
        <v>20</v>
      </c>
      <c r="J1082" s="497">
        <v>0</v>
      </c>
      <c r="K1082" s="497">
        <v>20</v>
      </c>
      <c r="L1082" s="721">
        <v>0</v>
      </c>
      <c r="M1082" s="672">
        <v>81.2</v>
      </c>
      <c r="N1082" s="498">
        <f>83.3*20*0.812*1/1000</f>
        <v>1.3527920000000002</v>
      </c>
      <c r="O1082" s="731" t="s">
        <v>5737</v>
      </c>
      <c r="P1082" s="514" t="s">
        <v>1588</v>
      </c>
      <c r="Q1082" s="842">
        <v>0</v>
      </c>
      <c r="R1082" s="842">
        <v>0</v>
      </c>
      <c r="S1082" s="842">
        <v>0</v>
      </c>
      <c r="T1082" s="842">
        <v>0</v>
      </c>
      <c r="U1082" s="514" t="s">
        <v>3010</v>
      </c>
      <c r="V1082" s="534" t="s">
        <v>2868</v>
      </c>
      <c r="W1082" s="498">
        <v>344</v>
      </c>
      <c r="X1082" s="514" t="s">
        <v>2276</v>
      </c>
      <c r="Y1082" s="514" t="s">
        <v>3507</v>
      </c>
      <c r="Z1082" s="514"/>
      <c r="AA1082" s="514" t="s">
        <v>5612</v>
      </c>
      <c r="AB1082" s="531" t="s">
        <v>1587</v>
      </c>
    </row>
    <row r="1083" spans="1:28" ht="24" customHeight="1">
      <c r="A1083" s="584"/>
      <c r="B1083" s="460" t="s">
        <v>675</v>
      </c>
      <c r="C1083" s="458" t="s">
        <v>3031</v>
      </c>
      <c r="D1083" s="510" t="s">
        <v>3032</v>
      </c>
      <c r="E1083" s="497">
        <f>SUM(F1083:H1083)</f>
        <v>20</v>
      </c>
      <c r="F1083" s="497">
        <v>0</v>
      </c>
      <c r="G1083" s="497">
        <v>20</v>
      </c>
      <c r="H1083" s="497">
        <v>0</v>
      </c>
      <c r="I1083" s="497">
        <f t="shared" si="87"/>
        <v>20</v>
      </c>
      <c r="J1083" s="497">
        <v>0</v>
      </c>
      <c r="K1083" s="497">
        <v>20</v>
      </c>
      <c r="L1083" s="721">
        <v>0</v>
      </c>
      <c r="M1083" s="672">
        <v>88.3</v>
      </c>
      <c r="N1083" s="498">
        <f>84*20*0.883*1/1000</f>
        <v>1.4834400000000001</v>
      </c>
      <c r="O1083" s="731" t="s">
        <v>2865</v>
      </c>
      <c r="P1083" s="514" t="s">
        <v>1588</v>
      </c>
      <c r="Q1083" s="842">
        <v>0</v>
      </c>
      <c r="R1083" s="842">
        <v>0</v>
      </c>
      <c r="S1083" s="842">
        <v>0</v>
      </c>
      <c r="T1083" s="842">
        <v>0</v>
      </c>
      <c r="U1083" s="514" t="s">
        <v>3010</v>
      </c>
      <c r="V1083" s="534" t="s">
        <v>5435</v>
      </c>
      <c r="W1083" s="498">
        <v>275</v>
      </c>
      <c r="X1083" s="514" t="s">
        <v>2276</v>
      </c>
      <c r="Y1083" s="514" t="s">
        <v>3507</v>
      </c>
      <c r="Z1083" s="514"/>
      <c r="AA1083" s="514" t="s">
        <v>3033</v>
      </c>
      <c r="AB1083" s="531" t="s">
        <v>1587</v>
      </c>
    </row>
    <row r="1084" spans="1:28" ht="24" customHeight="1">
      <c r="A1084" s="584"/>
      <c r="B1084" s="460" t="s">
        <v>675</v>
      </c>
      <c r="C1084" s="458" t="s">
        <v>3034</v>
      </c>
      <c r="D1084" s="510" t="s">
        <v>3035</v>
      </c>
      <c r="E1084" s="497">
        <v>20</v>
      </c>
      <c r="F1084" s="497">
        <v>0</v>
      </c>
      <c r="G1084" s="497">
        <v>20</v>
      </c>
      <c r="H1084" s="497">
        <v>0</v>
      </c>
      <c r="I1084" s="497">
        <f t="shared" si="87"/>
        <v>20</v>
      </c>
      <c r="J1084" s="497">
        <v>0</v>
      </c>
      <c r="K1084" s="497">
        <v>20</v>
      </c>
      <c r="L1084" s="721">
        <v>0</v>
      </c>
      <c r="M1084" s="672">
        <v>80.5</v>
      </c>
      <c r="N1084" s="498">
        <f>72.5*20*0.805*1/1000</f>
        <v>1.1672499999999999</v>
      </c>
      <c r="O1084" s="731" t="s">
        <v>3036</v>
      </c>
      <c r="P1084" s="514" t="s">
        <v>1588</v>
      </c>
      <c r="Q1084" s="842">
        <v>0</v>
      </c>
      <c r="R1084" s="842">
        <v>0</v>
      </c>
      <c r="S1084" s="842">
        <v>0</v>
      </c>
      <c r="T1084" s="842">
        <v>0</v>
      </c>
      <c r="U1084" s="514" t="s">
        <v>3010</v>
      </c>
      <c r="V1084" s="534" t="s">
        <v>3410</v>
      </c>
      <c r="W1084" s="498">
        <v>289</v>
      </c>
      <c r="X1084" s="514" t="s">
        <v>2276</v>
      </c>
      <c r="Y1084" s="514" t="s">
        <v>3507</v>
      </c>
      <c r="Z1084" s="514"/>
      <c r="AA1084" s="514" t="s">
        <v>2310</v>
      </c>
      <c r="AB1084" s="531" t="s">
        <v>1587</v>
      </c>
    </row>
    <row r="1085" spans="1:28" ht="24" customHeight="1">
      <c r="A1085" s="584"/>
      <c r="B1085" s="460" t="s">
        <v>675</v>
      </c>
      <c r="C1085" s="458" t="s">
        <v>3037</v>
      </c>
      <c r="D1085" s="510" t="s">
        <v>3035</v>
      </c>
      <c r="E1085" s="497">
        <v>34</v>
      </c>
      <c r="F1085" s="497">
        <v>0</v>
      </c>
      <c r="G1085" s="497">
        <v>34</v>
      </c>
      <c r="H1085" s="497">
        <v>0</v>
      </c>
      <c r="I1085" s="497">
        <f t="shared" si="87"/>
        <v>34</v>
      </c>
      <c r="J1085" s="497">
        <v>0</v>
      </c>
      <c r="K1085" s="497">
        <v>34</v>
      </c>
      <c r="L1085" s="721">
        <v>0</v>
      </c>
      <c r="M1085" s="672">
        <v>86</v>
      </c>
      <c r="N1085" s="498">
        <f>62.9*34*0.86*1/1000</f>
        <v>1.8391959999999998</v>
      </c>
      <c r="O1085" s="731" t="s">
        <v>5089</v>
      </c>
      <c r="P1085" s="514" t="s">
        <v>1588</v>
      </c>
      <c r="Q1085" s="842">
        <v>0</v>
      </c>
      <c r="R1085" s="842">
        <v>0</v>
      </c>
      <c r="S1085" s="842">
        <v>0</v>
      </c>
      <c r="T1085" s="842">
        <v>0</v>
      </c>
      <c r="U1085" s="514" t="s">
        <v>3010</v>
      </c>
      <c r="V1085" s="534" t="s">
        <v>2368</v>
      </c>
      <c r="W1085" s="498">
        <v>223</v>
      </c>
      <c r="X1085" s="514" t="s">
        <v>2276</v>
      </c>
      <c r="Y1085" s="514" t="s">
        <v>3507</v>
      </c>
      <c r="Z1085" s="514"/>
      <c r="AA1085" s="514" t="s">
        <v>3028</v>
      </c>
      <c r="AB1085" s="531" t="s">
        <v>1587</v>
      </c>
    </row>
    <row r="1086" spans="1:28" ht="24" customHeight="1">
      <c r="A1086" s="584"/>
      <c r="B1086" s="460" t="s">
        <v>675</v>
      </c>
      <c r="C1086" s="458" t="s">
        <v>3038</v>
      </c>
      <c r="D1086" s="510" t="s">
        <v>3039</v>
      </c>
      <c r="E1086" s="497">
        <v>34</v>
      </c>
      <c r="F1086" s="497">
        <v>0</v>
      </c>
      <c r="G1086" s="497">
        <v>34</v>
      </c>
      <c r="H1086" s="497">
        <v>0</v>
      </c>
      <c r="I1086" s="497">
        <f t="shared" si="87"/>
        <v>34</v>
      </c>
      <c r="J1086" s="497">
        <v>0</v>
      </c>
      <c r="K1086" s="497">
        <v>34</v>
      </c>
      <c r="L1086" s="721">
        <v>0</v>
      </c>
      <c r="M1086" s="672">
        <v>87.6</v>
      </c>
      <c r="N1086" s="498">
        <f>61.3*34*0.876*1/1000</f>
        <v>1.8257591999999998</v>
      </c>
      <c r="O1086" s="731" t="s">
        <v>5089</v>
      </c>
      <c r="P1086" s="514" t="s">
        <v>1588</v>
      </c>
      <c r="Q1086" s="842">
        <v>0</v>
      </c>
      <c r="R1086" s="842">
        <v>0</v>
      </c>
      <c r="S1086" s="842">
        <v>0</v>
      </c>
      <c r="T1086" s="842">
        <v>0</v>
      </c>
      <c r="U1086" s="514" t="s">
        <v>3010</v>
      </c>
      <c r="V1086" s="534" t="s">
        <v>2368</v>
      </c>
      <c r="W1086" s="498">
        <v>240</v>
      </c>
      <c r="X1086" s="514" t="s">
        <v>2276</v>
      </c>
      <c r="Y1086" s="514" t="s">
        <v>3507</v>
      </c>
      <c r="Z1086" s="514"/>
      <c r="AA1086" s="514" t="s">
        <v>3023</v>
      </c>
      <c r="AB1086" s="531" t="s">
        <v>1587</v>
      </c>
    </row>
    <row r="1087" spans="1:28" ht="24" customHeight="1">
      <c r="A1087" s="584"/>
      <c r="B1087" s="460" t="s">
        <v>675</v>
      </c>
      <c r="C1087" s="458" t="s">
        <v>3040</v>
      </c>
      <c r="D1087" s="510" t="s">
        <v>3041</v>
      </c>
      <c r="E1087" s="497">
        <v>27</v>
      </c>
      <c r="F1087" s="497">
        <v>0</v>
      </c>
      <c r="G1087" s="497">
        <v>27</v>
      </c>
      <c r="H1087" s="497">
        <v>0</v>
      </c>
      <c r="I1087" s="497">
        <f t="shared" si="87"/>
        <v>27</v>
      </c>
      <c r="J1087" s="497">
        <v>0</v>
      </c>
      <c r="K1087" s="497">
        <v>27</v>
      </c>
      <c r="L1087" s="721">
        <v>0</v>
      </c>
      <c r="M1087" s="672">
        <v>83.7</v>
      </c>
      <c r="N1087" s="498">
        <f>42.4*27*0.837*1/1000</f>
        <v>0.95819759999999998</v>
      </c>
      <c r="O1087" s="731" t="s">
        <v>5089</v>
      </c>
      <c r="P1087" s="514" t="s">
        <v>1588</v>
      </c>
      <c r="Q1087" s="842">
        <v>0</v>
      </c>
      <c r="R1087" s="842">
        <v>0</v>
      </c>
      <c r="S1087" s="842">
        <v>0</v>
      </c>
      <c r="T1087" s="842">
        <v>0</v>
      </c>
      <c r="U1087" s="514" t="s">
        <v>3010</v>
      </c>
      <c r="V1087" s="534" t="s">
        <v>5435</v>
      </c>
      <c r="W1087" s="498">
        <v>282</v>
      </c>
      <c r="X1087" s="514" t="s">
        <v>2276</v>
      </c>
      <c r="Y1087" s="514" t="s">
        <v>3507</v>
      </c>
      <c r="Z1087" s="514"/>
      <c r="AA1087" s="514" t="s">
        <v>3012</v>
      </c>
      <c r="AB1087" s="531" t="s">
        <v>1587</v>
      </c>
    </row>
    <row r="1088" spans="1:28" ht="24" customHeight="1">
      <c r="A1088" s="584"/>
      <c r="B1088" s="460" t="s">
        <v>675</v>
      </c>
      <c r="C1088" s="458" t="s">
        <v>3042</v>
      </c>
      <c r="D1088" s="510" t="s">
        <v>3043</v>
      </c>
      <c r="E1088" s="497">
        <v>35</v>
      </c>
      <c r="F1088" s="497">
        <v>0</v>
      </c>
      <c r="G1088" s="497">
        <v>35</v>
      </c>
      <c r="H1088" s="497">
        <v>0</v>
      </c>
      <c r="I1088" s="497">
        <f t="shared" si="87"/>
        <v>35</v>
      </c>
      <c r="J1088" s="497">
        <v>0</v>
      </c>
      <c r="K1088" s="497">
        <v>35</v>
      </c>
      <c r="L1088" s="721">
        <v>0</v>
      </c>
      <c r="M1088" s="672">
        <v>80.099999999999994</v>
      </c>
      <c r="N1088" s="498">
        <f>61.7*35*0.801*1/1000</f>
        <v>1.7297595000000001</v>
      </c>
      <c r="O1088" s="731" t="s">
        <v>5737</v>
      </c>
      <c r="P1088" s="514" t="s">
        <v>1588</v>
      </c>
      <c r="Q1088" s="842">
        <v>0</v>
      </c>
      <c r="R1088" s="842">
        <v>0</v>
      </c>
      <c r="S1088" s="842">
        <v>0</v>
      </c>
      <c r="T1088" s="842">
        <v>0</v>
      </c>
      <c r="U1088" s="514" t="s">
        <v>3010</v>
      </c>
      <c r="V1088" s="534" t="s">
        <v>5435</v>
      </c>
      <c r="W1088" s="498">
        <v>353</v>
      </c>
      <c r="X1088" s="514" t="s">
        <v>2276</v>
      </c>
      <c r="Y1088" s="514" t="s">
        <v>3507</v>
      </c>
      <c r="Z1088" s="514"/>
      <c r="AA1088" s="514" t="s">
        <v>3044</v>
      </c>
      <c r="AB1088" s="531" t="s">
        <v>1587</v>
      </c>
    </row>
    <row r="1089" spans="1:28" ht="24" customHeight="1">
      <c r="A1089" s="584"/>
      <c r="B1089" s="460" t="s">
        <v>675</v>
      </c>
      <c r="C1089" s="458" t="s">
        <v>3045</v>
      </c>
      <c r="D1089" s="510" t="s">
        <v>3046</v>
      </c>
      <c r="E1089" s="497">
        <v>35</v>
      </c>
      <c r="F1089" s="497">
        <v>0</v>
      </c>
      <c r="G1089" s="497">
        <v>35</v>
      </c>
      <c r="H1089" s="497">
        <v>0</v>
      </c>
      <c r="I1089" s="497">
        <f t="shared" si="87"/>
        <v>35</v>
      </c>
      <c r="J1089" s="497">
        <v>0</v>
      </c>
      <c r="K1089" s="497">
        <v>35</v>
      </c>
      <c r="L1089" s="721">
        <v>0</v>
      </c>
      <c r="M1089" s="672">
        <v>90.2</v>
      </c>
      <c r="N1089" s="498">
        <f>95*35*0.902*1/1000</f>
        <v>2.9991500000000002</v>
      </c>
      <c r="O1089" s="731" t="s">
        <v>3047</v>
      </c>
      <c r="P1089" s="514" t="s">
        <v>1588</v>
      </c>
      <c r="Q1089" s="842">
        <v>0</v>
      </c>
      <c r="R1089" s="842">
        <v>0</v>
      </c>
      <c r="S1089" s="842">
        <v>0</v>
      </c>
      <c r="T1089" s="842">
        <v>0</v>
      </c>
      <c r="U1089" s="514" t="s">
        <v>3010</v>
      </c>
      <c r="V1089" s="534" t="s">
        <v>3048</v>
      </c>
      <c r="W1089" s="498">
        <v>670</v>
      </c>
      <c r="X1089" s="514" t="s">
        <v>2276</v>
      </c>
      <c r="Y1089" s="514" t="s">
        <v>3507</v>
      </c>
      <c r="Z1089" s="514"/>
      <c r="AA1089" s="514" t="s">
        <v>3049</v>
      </c>
      <c r="AB1089" s="531" t="s">
        <v>1587</v>
      </c>
    </row>
    <row r="1090" spans="1:28" ht="24" customHeight="1">
      <c r="A1090" s="584"/>
      <c r="B1090" s="460" t="s">
        <v>675</v>
      </c>
      <c r="C1090" s="458" t="s">
        <v>3050</v>
      </c>
      <c r="D1090" s="510" t="s">
        <v>3051</v>
      </c>
      <c r="E1090" s="497">
        <v>30</v>
      </c>
      <c r="F1090" s="497">
        <v>0</v>
      </c>
      <c r="G1090" s="497">
        <v>30</v>
      </c>
      <c r="H1090" s="497">
        <v>0</v>
      </c>
      <c r="I1090" s="497">
        <f t="shared" si="87"/>
        <v>30</v>
      </c>
      <c r="J1090" s="497">
        <v>0</v>
      </c>
      <c r="K1090" s="497">
        <v>30</v>
      </c>
      <c r="L1090" s="721">
        <v>0</v>
      </c>
      <c r="M1090" s="672">
        <v>90.2</v>
      </c>
      <c r="N1090" s="498">
        <f>75.5*30*0.902*1/1000</f>
        <v>2.0430299999999999</v>
      </c>
      <c r="O1090" s="731" t="s">
        <v>5698</v>
      </c>
      <c r="P1090" s="514" t="s">
        <v>1588</v>
      </c>
      <c r="Q1090" s="842">
        <v>0</v>
      </c>
      <c r="R1090" s="842">
        <v>0</v>
      </c>
      <c r="S1090" s="842">
        <v>0</v>
      </c>
      <c r="T1090" s="842">
        <v>0</v>
      </c>
      <c r="U1090" s="514" t="s">
        <v>3010</v>
      </c>
      <c r="V1090" s="534" t="s">
        <v>3052</v>
      </c>
      <c r="W1090" s="498">
        <v>357</v>
      </c>
      <c r="X1090" s="514" t="s">
        <v>2276</v>
      </c>
      <c r="Y1090" s="514" t="s">
        <v>3507</v>
      </c>
      <c r="Z1090" s="514"/>
      <c r="AA1090" s="514" t="s">
        <v>3053</v>
      </c>
      <c r="AB1090" s="531" t="s">
        <v>1587</v>
      </c>
    </row>
    <row r="1091" spans="1:28" ht="24" customHeight="1">
      <c r="A1091" s="584"/>
      <c r="B1091" s="460" t="s">
        <v>675</v>
      </c>
      <c r="C1091" s="458" t="s">
        <v>3054</v>
      </c>
      <c r="D1091" s="510" t="s">
        <v>3055</v>
      </c>
      <c r="E1091" s="497">
        <v>30</v>
      </c>
      <c r="F1091" s="497">
        <v>0</v>
      </c>
      <c r="G1091" s="497">
        <v>30</v>
      </c>
      <c r="H1091" s="497">
        <v>0</v>
      </c>
      <c r="I1091" s="497">
        <f t="shared" si="87"/>
        <v>30</v>
      </c>
      <c r="J1091" s="497">
        <v>0</v>
      </c>
      <c r="K1091" s="497">
        <v>30</v>
      </c>
      <c r="L1091" s="721">
        <v>0</v>
      </c>
      <c r="M1091" s="672">
        <v>86.7</v>
      </c>
      <c r="N1091" s="498">
        <f>61.1*30*0.867*1/1000</f>
        <v>1.5892109999999999</v>
      </c>
      <c r="O1091" s="731" t="s">
        <v>5698</v>
      </c>
      <c r="P1091" s="514" t="s">
        <v>1588</v>
      </c>
      <c r="Q1091" s="842">
        <v>0</v>
      </c>
      <c r="R1091" s="842">
        <v>0</v>
      </c>
      <c r="S1091" s="842">
        <v>0</v>
      </c>
      <c r="T1091" s="842">
        <v>0</v>
      </c>
      <c r="U1091" s="514" t="s">
        <v>3010</v>
      </c>
      <c r="V1091" s="534" t="s">
        <v>3056</v>
      </c>
      <c r="W1091" s="498">
        <v>240</v>
      </c>
      <c r="X1091" s="514" t="s">
        <v>2276</v>
      </c>
      <c r="Y1091" s="514" t="s">
        <v>3507</v>
      </c>
      <c r="Z1091" s="514"/>
      <c r="AA1091" s="514" t="s">
        <v>3057</v>
      </c>
      <c r="AB1091" s="531" t="s">
        <v>1587</v>
      </c>
    </row>
    <row r="1092" spans="1:28" ht="24" customHeight="1">
      <c r="A1092" s="584"/>
      <c r="B1092" s="460" t="s">
        <v>675</v>
      </c>
      <c r="C1092" s="458" t="s">
        <v>3058</v>
      </c>
      <c r="D1092" s="510" t="s">
        <v>3059</v>
      </c>
      <c r="E1092" s="497">
        <v>30</v>
      </c>
      <c r="F1092" s="497">
        <v>0</v>
      </c>
      <c r="G1092" s="497">
        <v>30</v>
      </c>
      <c r="H1092" s="497">
        <v>0</v>
      </c>
      <c r="I1092" s="497">
        <f t="shared" si="87"/>
        <v>30</v>
      </c>
      <c r="J1092" s="497">
        <v>0</v>
      </c>
      <c r="K1092" s="497">
        <v>30</v>
      </c>
      <c r="L1092" s="721">
        <v>0</v>
      </c>
      <c r="M1092" s="672">
        <v>89.3</v>
      </c>
      <c r="N1092" s="498">
        <f>65.6*30*0.893*1/1000</f>
        <v>1.7574239999999997</v>
      </c>
      <c r="O1092" s="731" t="s">
        <v>2865</v>
      </c>
      <c r="P1092" s="514" t="s">
        <v>1588</v>
      </c>
      <c r="Q1092" s="842">
        <v>0</v>
      </c>
      <c r="R1092" s="842">
        <v>0</v>
      </c>
      <c r="S1092" s="842">
        <v>0</v>
      </c>
      <c r="T1092" s="842">
        <v>0</v>
      </c>
      <c r="U1092" s="514" t="s">
        <v>3010</v>
      </c>
      <c r="V1092" s="534" t="s">
        <v>2868</v>
      </c>
      <c r="W1092" s="498">
        <v>339</v>
      </c>
      <c r="X1092" s="514" t="s">
        <v>2276</v>
      </c>
      <c r="Y1092" s="514" t="s">
        <v>3507</v>
      </c>
      <c r="Z1092" s="514"/>
      <c r="AA1092" s="514" t="s">
        <v>3060</v>
      </c>
      <c r="AB1092" s="531" t="s">
        <v>1587</v>
      </c>
    </row>
    <row r="1093" spans="1:28" ht="24" customHeight="1">
      <c r="A1093" s="584"/>
      <c r="B1093" s="460" t="s">
        <v>675</v>
      </c>
      <c r="C1093" s="458" t="s">
        <v>3061</v>
      </c>
      <c r="D1093" s="510" t="s">
        <v>3062</v>
      </c>
      <c r="E1093" s="497">
        <v>60</v>
      </c>
      <c r="F1093" s="497">
        <v>0</v>
      </c>
      <c r="G1093" s="497">
        <v>60</v>
      </c>
      <c r="H1093" s="497">
        <v>0</v>
      </c>
      <c r="I1093" s="497">
        <f t="shared" si="87"/>
        <v>60</v>
      </c>
      <c r="J1093" s="497">
        <v>0</v>
      </c>
      <c r="K1093" s="497">
        <v>60</v>
      </c>
      <c r="L1093" s="721">
        <v>0</v>
      </c>
      <c r="M1093" s="672">
        <v>83</v>
      </c>
      <c r="N1093" s="498">
        <f>39.9*60*0.83*1/1000</f>
        <v>1.98702</v>
      </c>
      <c r="O1093" s="731" t="s">
        <v>5089</v>
      </c>
      <c r="P1093" s="514" t="s">
        <v>1588</v>
      </c>
      <c r="Q1093" s="842">
        <v>0</v>
      </c>
      <c r="R1093" s="842">
        <v>0</v>
      </c>
      <c r="S1093" s="842">
        <v>0</v>
      </c>
      <c r="T1093" s="842">
        <v>0</v>
      </c>
      <c r="U1093" s="514" t="s">
        <v>3010</v>
      </c>
      <c r="V1093" s="534" t="s">
        <v>2368</v>
      </c>
      <c r="W1093" s="498">
        <v>280</v>
      </c>
      <c r="X1093" s="514" t="s">
        <v>2276</v>
      </c>
      <c r="Y1093" s="514" t="s">
        <v>3507</v>
      </c>
      <c r="Z1093" s="514"/>
      <c r="AA1093" s="514" t="s">
        <v>3063</v>
      </c>
      <c r="AB1093" s="531" t="s">
        <v>1587</v>
      </c>
    </row>
    <row r="1094" spans="1:28" ht="24" customHeight="1">
      <c r="A1094" s="584"/>
      <c r="B1094" s="460" t="s">
        <v>675</v>
      </c>
      <c r="C1094" s="458" t="s">
        <v>3064</v>
      </c>
      <c r="D1094" s="510" t="s">
        <v>3065</v>
      </c>
      <c r="E1094" s="497">
        <v>36</v>
      </c>
      <c r="F1094" s="497">
        <v>0</v>
      </c>
      <c r="G1094" s="497">
        <v>36</v>
      </c>
      <c r="H1094" s="497">
        <v>0</v>
      </c>
      <c r="I1094" s="497">
        <f t="shared" si="87"/>
        <v>36</v>
      </c>
      <c r="J1094" s="497">
        <v>0</v>
      </c>
      <c r="K1094" s="497">
        <v>36</v>
      </c>
      <c r="L1094" s="721">
        <v>0</v>
      </c>
      <c r="M1094" s="672">
        <v>86.6</v>
      </c>
      <c r="N1094" s="498">
        <f>67.8*36*0.866*1/1000</f>
        <v>2.1137327999999997</v>
      </c>
      <c r="O1094" s="731" t="s">
        <v>5737</v>
      </c>
      <c r="P1094" s="514" t="s">
        <v>1588</v>
      </c>
      <c r="Q1094" s="842">
        <v>0</v>
      </c>
      <c r="R1094" s="842">
        <v>0</v>
      </c>
      <c r="S1094" s="842">
        <v>0</v>
      </c>
      <c r="T1094" s="842">
        <v>0</v>
      </c>
      <c r="U1094" s="514" t="s">
        <v>3010</v>
      </c>
      <c r="V1094" s="534" t="s">
        <v>3066</v>
      </c>
      <c r="W1094" s="498">
        <v>140</v>
      </c>
      <c r="X1094" s="514" t="s">
        <v>2276</v>
      </c>
      <c r="Y1094" s="514" t="s">
        <v>3507</v>
      </c>
      <c r="Z1094" s="514"/>
      <c r="AA1094" s="514" t="s">
        <v>3067</v>
      </c>
      <c r="AB1094" s="531" t="s">
        <v>1587</v>
      </c>
    </row>
    <row r="1095" spans="1:28" ht="24" customHeight="1">
      <c r="A1095" s="584"/>
      <c r="B1095" s="460" t="s">
        <v>675</v>
      </c>
      <c r="C1095" s="458" t="s">
        <v>3068</v>
      </c>
      <c r="D1095" s="510" t="s">
        <v>3069</v>
      </c>
      <c r="E1095" s="497">
        <v>60</v>
      </c>
      <c r="F1095" s="497">
        <v>0</v>
      </c>
      <c r="G1095" s="497">
        <v>60</v>
      </c>
      <c r="H1095" s="497">
        <v>0</v>
      </c>
      <c r="I1095" s="497">
        <f t="shared" si="87"/>
        <v>60</v>
      </c>
      <c r="J1095" s="497">
        <v>0</v>
      </c>
      <c r="K1095" s="497">
        <v>60</v>
      </c>
      <c r="L1095" s="721">
        <v>0</v>
      </c>
      <c r="M1095" s="672">
        <v>82.6</v>
      </c>
      <c r="N1095" s="498">
        <f>66.7*60*0.826*1/1000</f>
        <v>3.3056520000000003</v>
      </c>
      <c r="O1095" s="731" t="s">
        <v>5737</v>
      </c>
      <c r="P1095" s="514" t="s">
        <v>1588</v>
      </c>
      <c r="Q1095" s="842">
        <v>0</v>
      </c>
      <c r="R1095" s="842">
        <v>0</v>
      </c>
      <c r="S1095" s="842">
        <v>0</v>
      </c>
      <c r="T1095" s="842">
        <v>0</v>
      </c>
      <c r="U1095" s="514" t="s">
        <v>3010</v>
      </c>
      <c r="V1095" s="534" t="s">
        <v>3066</v>
      </c>
      <c r="W1095" s="498">
        <v>350</v>
      </c>
      <c r="X1095" s="514" t="s">
        <v>2276</v>
      </c>
      <c r="Y1095" s="514" t="s">
        <v>3507</v>
      </c>
      <c r="Z1095" s="514"/>
      <c r="AA1095" s="514" t="s">
        <v>3070</v>
      </c>
      <c r="AB1095" s="531" t="s">
        <v>1587</v>
      </c>
    </row>
    <row r="1096" spans="1:28" ht="24" customHeight="1">
      <c r="A1096" s="584"/>
      <c r="B1096" s="460" t="s">
        <v>675</v>
      </c>
      <c r="C1096" s="458" t="s">
        <v>3071</v>
      </c>
      <c r="D1096" s="510" t="s">
        <v>3072</v>
      </c>
      <c r="E1096" s="497">
        <v>45</v>
      </c>
      <c r="F1096" s="497">
        <v>0</v>
      </c>
      <c r="G1096" s="497">
        <v>45</v>
      </c>
      <c r="H1096" s="497">
        <v>0</v>
      </c>
      <c r="I1096" s="497">
        <f t="shared" ref="I1096:I1108" si="88">SUM(J1096:L1096)</f>
        <v>45</v>
      </c>
      <c r="J1096" s="497">
        <v>0</v>
      </c>
      <c r="K1096" s="497">
        <v>45</v>
      </c>
      <c r="L1096" s="721">
        <v>0</v>
      </c>
      <c r="M1096" s="672">
        <v>81.900000000000006</v>
      </c>
      <c r="N1096" s="498">
        <f>56.5*45*0.819*1/1000</f>
        <v>2.0823074999999998</v>
      </c>
      <c r="O1096" s="731" t="s">
        <v>5698</v>
      </c>
      <c r="P1096" s="514" t="s">
        <v>1588</v>
      </c>
      <c r="Q1096" s="842">
        <v>0</v>
      </c>
      <c r="R1096" s="842">
        <v>0</v>
      </c>
      <c r="S1096" s="842">
        <v>0</v>
      </c>
      <c r="T1096" s="842">
        <v>0</v>
      </c>
      <c r="U1096" s="514" t="s">
        <v>3010</v>
      </c>
      <c r="V1096" s="534" t="s">
        <v>5435</v>
      </c>
      <c r="W1096" s="498">
        <v>345</v>
      </c>
      <c r="X1096" s="514" t="s">
        <v>2276</v>
      </c>
      <c r="Y1096" s="514" t="s">
        <v>3507</v>
      </c>
      <c r="Z1096" s="514"/>
      <c r="AA1096" s="514" t="s">
        <v>3073</v>
      </c>
      <c r="AB1096" s="531" t="s">
        <v>1587</v>
      </c>
    </row>
    <row r="1097" spans="1:28" ht="24" customHeight="1">
      <c r="A1097" s="584"/>
      <c r="B1097" s="460" t="s">
        <v>675</v>
      </c>
      <c r="C1097" s="458" t="s">
        <v>3074</v>
      </c>
      <c r="D1097" s="510" t="s">
        <v>3069</v>
      </c>
      <c r="E1097" s="497">
        <v>30</v>
      </c>
      <c r="F1097" s="497">
        <v>0</v>
      </c>
      <c r="G1097" s="497">
        <v>30</v>
      </c>
      <c r="H1097" s="497">
        <v>0</v>
      </c>
      <c r="I1097" s="497">
        <f t="shared" si="88"/>
        <v>30</v>
      </c>
      <c r="J1097" s="497">
        <v>0</v>
      </c>
      <c r="K1097" s="497">
        <v>30</v>
      </c>
      <c r="L1097" s="721">
        <v>0</v>
      </c>
      <c r="M1097" s="672">
        <v>87.7</v>
      </c>
      <c r="N1097" s="498">
        <f>76.5*30*0.877*1/1000</f>
        <v>2.012715</v>
      </c>
      <c r="O1097" s="731" t="s">
        <v>3451</v>
      </c>
      <c r="P1097" s="514" t="s">
        <v>1588</v>
      </c>
      <c r="Q1097" s="842">
        <v>0</v>
      </c>
      <c r="R1097" s="842">
        <v>0</v>
      </c>
      <c r="S1097" s="842">
        <v>0</v>
      </c>
      <c r="T1097" s="842">
        <v>0</v>
      </c>
      <c r="U1097" s="514" t="s">
        <v>3010</v>
      </c>
      <c r="V1097" s="534" t="s">
        <v>2948</v>
      </c>
      <c r="W1097" s="498">
        <v>661</v>
      </c>
      <c r="X1097" s="514" t="s">
        <v>2276</v>
      </c>
      <c r="Y1097" s="514" t="s">
        <v>3336</v>
      </c>
      <c r="Z1097" s="514"/>
      <c r="AA1097" s="514" t="s">
        <v>3070</v>
      </c>
      <c r="AB1097" s="531" t="s">
        <v>1587</v>
      </c>
    </row>
    <row r="1098" spans="1:28" ht="24" customHeight="1">
      <c r="A1098" s="584"/>
      <c r="B1098" s="460" t="s">
        <v>675</v>
      </c>
      <c r="C1098" s="458" t="s">
        <v>3075</v>
      </c>
      <c r="D1098" s="510" t="s">
        <v>3076</v>
      </c>
      <c r="E1098" s="497">
        <v>40</v>
      </c>
      <c r="F1098" s="497">
        <v>0</v>
      </c>
      <c r="G1098" s="497">
        <v>40</v>
      </c>
      <c r="H1098" s="497">
        <v>0</v>
      </c>
      <c r="I1098" s="497">
        <f t="shared" si="88"/>
        <v>40</v>
      </c>
      <c r="J1098" s="497">
        <v>0</v>
      </c>
      <c r="K1098" s="497">
        <v>40</v>
      </c>
      <c r="L1098" s="721">
        <v>0</v>
      </c>
      <c r="M1098" s="672">
        <v>84.1</v>
      </c>
      <c r="N1098" s="498">
        <f>40.8*40*0.841*1/1000</f>
        <v>1.372512</v>
      </c>
      <c r="O1098" s="731" t="s">
        <v>780</v>
      </c>
      <c r="P1098" s="514" t="s">
        <v>1588</v>
      </c>
      <c r="Q1098" s="842">
        <v>0</v>
      </c>
      <c r="R1098" s="842">
        <v>0</v>
      </c>
      <c r="S1098" s="842">
        <v>0</v>
      </c>
      <c r="T1098" s="842">
        <v>0</v>
      </c>
      <c r="U1098" s="514" t="s">
        <v>3010</v>
      </c>
      <c r="V1098" s="534" t="s">
        <v>5236</v>
      </c>
      <c r="W1098" s="498">
        <v>10000</v>
      </c>
      <c r="X1098" s="514" t="s">
        <v>2276</v>
      </c>
      <c r="Y1098" s="514" t="s">
        <v>3336</v>
      </c>
      <c r="Z1098" s="514"/>
      <c r="AA1098" s="514" t="s">
        <v>3077</v>
      </c>
      <c r="AB1098" s="531" t="s">
        <v>1587</v>
      </c>
    </row>
    <row r="1099" spans="1:28" ht="24" customHeight="1">
      <c r="A1099" s="582" t="s">
        <v>1871</v>
      </c>
      <c r="B1099" s="460" t="s">
        <v>2201</v>
      </c>
      <c r="C1099" s="458" t="s">
        <v>2311</v>
      </c>
      <c r="D1099" s="510" t="s">
        <v>3078</v>
      </c>
      <c r="E1099" s="497">
        <f>SUM(F1099:H1099)</f>
        <v>8000</v>
      </c>
      <c r="F1099" s="497">
        <v>0</v>
      </c>
      <c r="G1099" s="497">
        <v>8000</v>
      </c>
      <c r="H1099" s="497">
        <v>0</v>
      </c>
      <c r="I1099" s="497">
        <f t="shared" si="88"/>
        <v>9522</v>
      </c>
      <c r="J1099" s="497">
        <v>0</v>
      </c>
      <c r="K1099" s="497">
        <v>9522</v>
      </c>
      <c r="L1099" s="721">
        <v>0</v>
      </c>
      <c r="M1099" s="672">
        <f t="shared" ref="M1099:M1108" si="89">(I1099/E1099)*100</f>
        <v>119.02500000000001</v>
      </c>
      <c r="N1099" s="498">
        <v>99966.2</v>
      </c>
      <c r="O1099" s="731" t="s">
        <v>3079</v>
      </c>
      <c r="P1099" s="514" t="s">
        <v>1588</v>
      </c>
      <c r="Q1099" s="842">
        <v>0</v>
      </c>
      <c r="R1099" s="842">
        <v>0</v>
      </c>
      <c r="S1099" s="842">
        <v>0</v>
      </c>
      <c r="T1099" s="842">
        <v>0</v>
      </c>
      <c r="U1099" s="514" t="s">
        <v>3080</v>
      </c>
      <c r="V1099" s="534" t="s">
        <v>3081</v>
      </c>
      <c r="W1099" s="498">
        <v>22950</v>
      </c>
      <c r="X1099" s="514" t="s">
        <v>2276</v>
      </c>
      <c r="Y1099" s="514" t="s">
        <v>3336</v>
      </c>
      <c r="Z1099" s="514" t="s">
        <v>1685</v>
      </c>
      <c r="AA1099" s="514" t="s">
        <v>1685</v>
      </c>
      <c r="AB1099" s="531" t="s">
        <v>1592</v>
      </c>
    </row>
    <row r="1100" spans="1:28" ht="24" customHeight="1">
      <c r="A1100" s="584"/>
      <c r="B1100" s="460" t="s">
        <v>675</v>
      </c>
      <c r="C1100" s="458" t="s">
        <v>2044</v>
      </c>
      <c r="D1100" s="510" t="s">
        <v>3082</v>
      </c>
      <c r="E1100" s="497">
        <v>23</v>
      </c>
      <c r="F1100" s="497">
        <v>0</v>
      </c>
      <c r="G1100" s="497">
        <v>23</v>
      </c>
      <c r="H1100" s="497">
        <v>0</v>
      </c>
      <c r="I1100" s="497">
        <f t="shared" si="88"/>
        <v>23</v>
      </c>
      <c r="J1100" s="497">
        <v>0</v>
      </c>
      <c r="K1100" s="497">
        <v>23</v>
      </c>
      <c r="L1100" s="721">
        <v>0</v>
      </c>
      <c r="M1100" s="672">
        <f t="shared" si="89"/>
        <v>100</v>
      </c>
      <c r="N1100" s="498">
        <v>276</v>
      </c>
      <c r="O1100" s="731" t="s">
        <v>3083</v>
      </c>
      <c r="P1100" s="514" t="s">
        <v>1588</v>
      </c>
      <c r="Q1100" s="842">
        <v>0</v>
      </c>
      <c r="R1100" s="842">
        <v>0</v>
      </c>
      <c r="S1100" s="842">
        <v>0</v>
      </c>
      <c r="T1100" s="842">
        <v>0</v>
      </c>
      <c r="U1100" s="514" t="s">
        <v>3084</v>
      </c>
      <c r="V1100" s="534" t="s">
        <v>3085</v>
      </c>
      <c r="W1100" s="498">
        <v>100</v>
      </c>
      <c r="X1100" s="514" t="s">
        <v>1532</v>
      </c>
      <c r="Y1100" s="514" t="s">
        <v>1533</v>
      </c>
      <c r="Z1100" s="514" t="s">
        <v>1685</v>
      </c>
      <c r="AA1100" s="514" t="s">
        <v>1685</v>
      </c>
      <c r="AB1100" s="531" t="s">
        <v>1592</v>
      </c>
    </row>
    <row r="1101" spans="1:28" ht="24" customHeight="1">
      <c r="A1101" s="584"/>
      <c r="B1101" s="460" t="s">
        <v>3837</v>
      </c>
      <c r="C1101" s="458" t="s">
        <v>3086</v>
      </c>
      <c r="D1101" s="510" t="s">
        <v>3087</v>
      </c>
      <c r="E1101" s="497">
        <f>SUM(F1101:H1101)</f>
        <v>150</v>
      </c>
      <c r="F1101" s="497">
        <v>0</v>
      </c>
      <c r="G1101" s="497">
        <v>150</v>
      </c>
      <c r="H1101" s="497">
        <v>0</v>
      </c>
      <c r="I1101" s="497">
        <f t="shared" si="88"/>
        <v>150</v>
      </c>
      <c r="J1101" s="497">
        <v>0</v>
      </c>
      <c r="K1101" s="497">
        <v>150</v>
      </c>
      <c r="L1101" s="721">
        <v>0</v>
      </c>
      <c r="M1101" s="672">
        <f t="shared" si="89"/>
        <v>100</v>
      </c>
      <c r="N1101" s="498">
        <v>423</v>
      </c>
      <c r="O1101" s="731" t="s">
        <v>5737</v>
      </c>
      <c r="P1101" s="514" t="s">
        <v>1588</v>
      </c>
      <c r="Q1101" s="842">
        <v>0</v>
      </c>
      <c r="R1101" s="842">
        <v>0</v>
      </c>
      <c r="S1101" s="842">
        <v>0</v>
      </c>
      <c r="T1101" s="842">
        <v>0</v>
      </c>
      <c r="U1101" s="514" t="s">
        <v>3088</v>
      </c>
      <c r="V1101" s="534" t="s">
        <v>3089</v>
      </c>
      <c r="W1101" s="498">
        <v>375</v>
      </c>
      <c r="X1101" s="514" t="s">
        <v>1532</v>
      </c>
      <c r="Y1101" s="514" t="s">
        <v>1533</v>
      </c>
      <c r="Z1101" s="514" t="s">
        <v>1685</v>
      </c>
      <c r="AA1101" s="514" t="s">
        <v>1685</v>
      </c>
      <c r="AB1101" s="531" t="s">
        <v>1592</v>
      </c>
    </row>
    <row r="1102" spans="1:28" ht="24" customHeight="1">
      <c r="A1102" s="584"/>
      <c r="B1102" s="460" t="s">
        <v>3837</v>
      </c>
      <c r="C1102" s="458" t="s">
        <v>3090</v>
      </c>
      <c r="D1102" s="510" t="s">
        <v>3091</v>
      </c>
      <c r="E1102" s="497">
        <v>20</v>
      </c>
      <c r="F1102" s="497">
        <v>0</v>
      </c>
      <c r="G1102" s="497">
        <v>20</v>
      </c>
      <c r="H1102" s="497">
        <v>0</v>
      </c>
      <c r="I1102" s="497">
        <f t="shared" si="88"/>
        <v>20</v>
      </c>
      <c r="J1102" s="497">
        <v>0</v>
      </c>
      <c r="K1102" s="497">
        <v>20</v>
      </c>
      <c r="L1102" s="721">
        <v>0</v>
      </c>
      <c r="M1102" s="672">
        <f t="shared" si="89"/>
        <v>100</v>
      </c>
      <c r="N1102" s="498">
        <v>180</v>
      </c>
      <c r="O1102" s="731" t="s">
        <v>3083</v>
      </c>
      <c r="P1102" s="514" t="s">
        <v>1588</v>
      </c>
      <c r="Q1102" s="842">
        <v>0</v>
      </c>
      <c r="R1102" s="842">
        <v>0</v>
      </c>
      <c r="S1102" s="842">
        <v>0</v>
      </c>
      <c r="T1102" s="842">
        <v>0</v>
      </c>
      <c r="U1102" s="514" t="s">
        <v>3084</v>
      </c>
      <c r="V1102" s="534" t="s">
        <v>3092</v>
      </c>
      <c r="W1102" s="498">
        <v>100</v>
      </c>
      <c r="X1102" s="514" t="s">
        <v>1532</v>
      </c>
      <c r="Y1102" s="514" t="s">
        <v>1533</v>
      </c>
      <c r="Z1102" s="514"/>
      <c r="AA1102" s="514"/>
      <c r="AB1102" s="531" t="s">
        <v>1592</v>
      </c>
    </row>
    <row r="1103" spans="1:28" ht="24" customHeight="1">
      <c r="A1103" s="584"/>
      <c r="B1103" s="460" t="s">
        <v>3837</v>
      </c>
      <c r="C1103" s="458" t="s">
        <v>3093</v>
      </c>
      <c r="D1103" s="510" t="s">
        <v>3094</v>
      </c>
      <c r="E1103" s="497">
        <f>SUM(F1103:H1103)</f>
        <v>60</v>
      </c>
      <c r="F1103" s="497">
        <v>0</v>
      </c>
      <c r="G1103" s="497">
        <v>60</v>
      </c>
      <c r="H1103" s="497">
        <v>0</v>
      </c>
      <c r="I1103" s="497">
        <f t="shared" si="88"/>
        <v>60</v>
      </c>
      <c r="J1103" s="497">
        <v>0</v>
      </c>
      <c r="K1103" s="497">
        <v>60</v>
      </c>
      <c r="L1103" s="721">
        <v>0</v>
      </c>
      <c r="M1103" s="672">
        <f t="shared" si="89"/>
        <v>100</v>
      </c>
      <c r="N1103" s="498">
        <v>237</v>
      </c>
      <c r="O1103" s="731" t="s">
        <v>3095</v>
      </c>
      <c r="P1103" s="514" t="s">
        <v>1588</v>
      </c>
      <c r="Q1103" s="842">
        <v>0</v>
      </c>
      <c r="R1103" s="842">
        <v>0</v>
      </c>
      <c r="S1103" s="842">
        <v>0</v>
      </c>
      <c r="T1103" s="842">
        <v>0</v>
      </c>
      <c r="U1103" s="514" t="s">
        <v>3088</v>
      </c>
      <c r="V1103" s="534" t="s">
        <v>3096</v>
      </c>
      <c r="W1103" s="498">
        <v>320</v>
      </c>
      <c r="X1103" s="514" t="s">
        <v>1532</v>
      </c>
      <c r="Y1103" s="514" t="s">
        <v>1533</v>
      </c>
      <c r="Z1103" s="514" t="s">
        <v>1685</v>
      </c>
      <c r="AA1103" s="514" t="s">
        <v>1685</v>
      </c>
      <c r="AB1103" s="531" t="s">
        <v>1592</v>
      </c>
    </row>
    <row r="1104" spans="1:28" ht="24" customHeight="1">
      <c r="A1104" s="584"/>
      <c r="B1104" s="460" t="s">
        <v>3837</v>
      </c>
      <c r="C1104" s="458" t="s">
        <v>3097</v>
      </c>
      <c r="D1104" s="510" t="s">
        <v>3098</v>
      </c>
      <c r="E1104" s="497">
        <f>SUM(F1104:H1104)</f>
        <v>45</v>
      </c>
      <c r="F1104" s="497">
        <v>0</v>
      </c>
      <c r="G1104" s="497">
        <v>45</v>
      </c>
      <c r="H1104" s="497">
        <v>0</v>
      </c>
      <c r="I1104" s="497">
        <f t="shared" si="88"/>
        <v>45</v>
      </c>
      <c r="J1104" s="497">
        <v>0</v>
      </c>
      <c r="K1104" s="497">
        <v>45</v>
      </c>
      <c r="L1104" s="721">
        <v>0</v>
      </c>
      <c r="M1104" s="672">
        <f t="shared" si="89"/>
        <v>100</v>
      </c>
      <c r="N1104" s="498">
        <v>401.4</v>
      </c>
      <c r="O1104" s="731" t="s">
        <v>3099</v>
      </c>
      <c r="P1104" s="514" t="s">
        <v>1588</v>
      </c>
      <c r="Q1104" s="842">
        <v>0</v>
      </c>
      <c r="R1104" s="842">
        <v>0</v>
      </c>
      <c r="S1104" s="842">
        <v>0</v>
      </c>
      <c r="T1104" s="842">
        <v>0</v>
      </c>
      <c r="U1104" s="514" t="s">
        <v>3100</v>
      </c>
      <c r="V1104" s="534" t="s">
        <v>3101</v>
      </c>
      <c r="W1104" s="498">
        <v>675</v>
      </c>
      <c r="X1104" s="514" t="s">
        <v>1532</v>
      </c>
      <c r="Y1104" s="514" t="s">
        <v>1404</v>
      </c>
      <c r="Z1104" s="514"/>
      <c r="AA1104" s="514"/>
      <c r="AB1104" s="531" t="s">
        <v>1997</v>
      </c>
    </row>
    <row r="1105" spans="1:28" ht="24" customHeight="1">
      <c r="A1105" s="584"/>
      <c r="B1105" s="460" t="s">
        <v>3837</v>
      </c>
      <c r="C1105" s="458" t="s">
        <v>3102</v>
      </c>
      <c r="D1105" s="510" t="s">
        <v>3103</v>
      </c>
      <c r="E1105" s="497">
        <v>30</v>
      </c>
      <c r="F1105" s="497">
        <v>0</v>
      </c>
      <c r="G1105" s="497">
        <v>30</v>
      </c>
      <c r="H1105" s="497">
        <v>0</v>
      </c>
      <c r="I1105" s="497">
        <f t="shared" si="88"/>
        <v>30</v>
      </c>
      <c r="J1105" s="497">
        <v>0</v>
      </c>
      <c r="K1105" s="497">
        <v>30</v>
      </c>
      <c r="L1105" s="721">
        <v>0</v>
      </c>
      <c r="M1105" s="672">
        <f t="shared" si="89"/>
        <v>100</v>
      </c>
      <c r="N1105" s="498">
        <v>285</v>
      </c>
      <c r="O1105" s="731" t="s">
        <v>3104</v>
      </c>
      <c r="P1105" s="514" t="s">
        <v>1588</v>
      </c>
      <c r="Q1105" s="842">
        <v>0</v>
      </c>
      <c r="R1105" s="842">
        <v>0</v>
      </c>
      <c r="S1105" s="842">
        <v>0</v>
      </c>
      <c r="T1105" s="842">
        <v>0</v>
      </c>
      <c r="U1105" s="514" t="s">
        <v>3084</v>
      </c>
      <c r="V1105" s="534" t="s">
        <v>3105</v>
      </c>
      <c r="W1105" s="498">
        <v>200</v>
      </c>
      <c r="X1105" s="514" t="s">
        <v>1532</v>
      </c>
      <c r="Y1105" s="514" t="s">
        <v>1533</v>
      </c>
      <c r="Z1105" s="514"/>
      <c r="AA1105" s="514"/>
      <c r="AB1105" s="531" t="s">
        <v>1997</v>
      </c>
    </row>
    <row r="1106" spans="1:28" ht="24" customHeight="1">
      <c r="A1106" s="584"/>
      <c r="B1106" s="460" t="s">
        <v>3837</v>
      </c>
      <c r="C1106" s="458" t="s">
        <v>3106</v>
      </c>
      <c r="D1106" s="510" t="s">
        <v>3103</v>
      </c>
      <c r="E1106" s="497">
        <f>SUM(F1106:H1106)</f>
        <v>48</v>
      </c>
      <c r="F1106" s="497">
        <v>0</v>
      </c>
      <c r="G1106" s="497">
        <v>48</v>
      </c>
      <c r="H1106" s="497">
        <v>0</v>
      </c>
      <c r="I1106" s="497">
        <f t="shared" si="88"/>
        <v>48</v>
      </c>
      <c r="J1106" s="497">
        <v>0</v>
      </c>
      <c r="K1106" s="497">
        <v>48</v>
      </c>
      <c r="L1106" s="721">
        <v>0</v>
      </c>
      <c r="M1106" s="672">
        <f t="shared" si="89"/>
        <v>100</v>
      </c>
      <c r="N1106" s="498">
        <v>633.6</v>
      </c>
      <c r="O1106" s="731" t="s">
        <v>3099</v>
      </c>
      <c r="P1106" s="514" t="s">
        <v>1588</v>
      </c>
      <c r="Q1106" s="842">
        <v>0</v>
      </c>
      <c r="R1106" s="842">
        <v>0</v>
      </c>
      <c r="S1106" s="842">
        <v>0</v>
      </c>
      <c r="T1106" s="842">
        <v>0</v>
      </c>
      <c r="U1106" s="514" t="s">
        <v>3100</v>
      </c>
      <c r="V1106" s="534" t="s">
        <v>3107</v>
      </c>
      <c r="W1106" s="498">
        <v>492</v>
      </c>
      <c r="X1106" s="514" t="s">
        <v>1532</v>
      </c>
      <c r="Y1106" s="514" t="s">
        <v>1404</v>
      </c>
      <c r="Z1106" s="514"/>
      <c r="AA1106" s="514"/>
      <c r="AB1106" s="531" t="s">
        <v>1997</v>
      </c>
    </row>
    <row r="1107" spans="1:28" ht="24" customHeight="1">
      <c r="A1107" s="584"/>
      <c r="B1107" s="460" t="s">
        <v>3837</v>
      </c>
      <c r="C1107" s="458" t="s">
        <v>3108</v>
      </c>
      <c r="D1107" s="510" t="s">
        <v>3109</v>
      </c>
      <c r="E1107" s="497">
        <f>SUM(F1107:H1107)</f>
        <v>76</v>
      </c>
      <c r="F1107" s="497">
        <v>0</v>
      </c>
      <c r="G1107" s="497">
        <v>76</v>
      </c>
      <c r="H1107" s="497">
        <v>0</v>
      </c>
      <c r="I1107" s="497">
        <f t="shared" si="88"/>
        <v>76</v>
      </c>
      <c r="J1107" s="497">
        <v>0</v>
      </c>
      <c r="K1107" s="497">
        <v>76</v>
      </c>
      <c r="L1107" s="721">
        <v>0</v>
      </c>
      <c r="M1107" s="672">
        <f t="shared" si="89"/>
        <v>100</v>
      </c>
      <c r="N1107" s="498">
        <v>262.08</v>
      </c>
      <c r="O1107" s="731" t="s">
        <v>3099</v>
      </c>
      <c r="P1107" s="514" t="s">
        <v>1588</v>
      </c>
      <c r="Q1107" s="842">
        <v>0</v>
      </c>
      <c r="R1107" s="842">
        <v>0</v>
      </c>
      <c r="S1107" s="842">
        <v>0</v>
      </c>
      <c r="T1107" s="842">
        <v>0</v>
      </c>
      <c r="U1107" s="514" t="s">
        <v>3100</v>
      </c>
      <c r="V1107" s="534" t="s">
        <v>3110</v>
      </c>
      <c r="W1107" s="498">
        <v>707</v>
      </c>
      <c r="X1107" s="514" t="s">
        <v>1532</v>
      </c>
      <c r="Y1107" s="514" t="s">
        <v>1404</v>
      </c>
      <c r="Z1107" s="514"/>
      <c r="AA1107" s="514"/>
      <c r="AB1107" s="531" t="s">
        <v>1997</v>
      </c>
    </row>
    <row r="1108" spans="1:28" ht="24" customHeight="1">
      <c r="A1108" s="583"/>
      <c r="B1108" s="460" t="s">
        <v>3837</v>
      </c>
      <c r="C1108" s="458" t="s">
        <v>4171</v>
      </c>
      <c r="D1108" s="510" t="s">
        <v>3111</v>
      </c>
      <c r="E1108" s="497">
        <f>SUM(F1108:H1108)</f>
        <v>30</v>
      </c>
      <c r="F1108" s="497">
        <v>0</v>
      </c>
      <c r="G1108" s="497">
        <v>30</v>
      </c>
      <c r="H1108" s="497">
        <v>0</v>
      </c>
      <c r="I1108" s="497">
        <f t="shared" si="88"/>
        <v>30</v>
      </c>
      <c r="J1108" s="497">
        <v>0</v>
      </c>
      <c r="K1108" s="497">
        <v>30</v>
      </c>
      <c r="L1108" s="721">
        <v>0</v>
      </c>
      <c r="M1108" s="672">
        <f t="shared" si="89"/>
        <v>100</v>
      </c>
      <c r="N1108" s="498">
        <v>195</v>
      </c>
      <c r="O1108" s="731" t="s">
        <v>3099</v>
      </c>
      <c r="P1108" s="514" t="s">
        <v>1588</v>
      </c>
      <c r="Q1108" s="842">
        <v>0</v>
      </c>
      <c r="R1108" s="842">
        <v>0</v>
      </c>
      <c r="S1108" s="842">
        <v>0</v>
      </c>
      <c r="T1108" s="842">
        <v>0</v>
      </c>
      <c r="U1108" s="514" t="s">
        <v>3100</v>
      </c>
      <c r="V1108" s="534" t="s">
        <v>3110</v>
      </c>
      <c r="W1108" s="498">
        <v>478</v>
      </c>
      <c r="X1108" s="514" t="s">
        <v>1532</v>
      </c>
      <c r="Y1108" s="514" t="s">
        <v>1404</v>
      </c>
      <c r="Z1108" s="514"/>
      <c r="AA1108" s="514"/>
      <c r="AB1108" s="531" t="s">
        <v>1997</v>
      </c>
    </row>
    <row r="1109" spans="1:28" ht="24" customHeight="1">
      <c r="A1109" s="583" t="s">
        <v>1872</v>
      </c>
      <c r="B1109" s="458" t="s">
        <v>6044</v>
      </c>
      <c r="C1109" s="458"/>
      <c r="D1109" s="510"/>
      <c r="E1109" s="498" t="s">
        <v>7372</v>
      </c>
      <c r="F1109" s="498" t="s">
        <v>6226</v>
      </c>
      <c r="G1109" s="498" t="s">
        <v>7373</v>
      </c>
      <c r="H1109" s="498" t="s">
        <v>7340</v>
      </c>
      <c r="I1109" s="498" t="s">
        <v>7598</v>
      </c>
      <c r="J1109" s="498" t="s">
        <v>6228</v>
      </c>
      <c r="K1109" s="498" t="s">
        <v>7594</v>
      </c>
      <c r="L1109" s="668" t="s">
        <v>7341</v>
      </c>
      <c r="M1109" s="672">
        <v>0</v>
      </c>
      <c r="N1109" s="498" t="s">
        <v>7342</v>
      </c>
      <c r="O1109" s="669" t="s">
        <v>1588</v>
      </c>
      <c r="P1109" s="463" t="s">
        <v>1588</v>
      </c>
      <c r="Q1109" s="672" t="s">
        <v>7343</v>
      </c>
      <c r="R1109" s="672" t="s">
        <v>7344</v>
      </c>
      <c r="S1109" s="672" t="s">
        <v>7345</v>
      </c>
      <c r="T1109" s="672">
        <v>0</v>
      </c>
      <c r="U1109" s="463"/>
      <c r="V1109" s="463"/>
      <c r="W1109" s="498">
        <f>W1110+W1226</f>
        <v>1445253</v>
      </c>
      <c r="X1109" s="463"/>
      <c r="Y1109" s="463"/>
      <c r="Z1109" s="463"/>
      <c r="AA1109" s="463"/>
      <c r="AB1109" s="459"/>
    </row>
    <row r="1110" spans="1:28" ht="24" customHeight="1">
      <c r="A1110" s="582" t="s">
        <v>1674</v>
      </c>
      <c r="B1110" s="458" t="s">
        <v>6042</v>
      </c>
      <c r="C1110" s="579"/>
      <c r="D1110" s="579"/>
      <c r="E1110" s="498" t="s">
        <v>7370</v>
      </c>
      <c r="F1110" s="498" t="s">
        <v>6226</v>
      </c>
      <c r="G1110" s="498" t="s">
        <v>7371</v>
      </c>
      <c r="H1110" s="498" t="s">
        <v>6227</v>
      </c>
      <c r="I1110" s="498" t="s">
        <v>7596</v>
      </c>
      <c r="J1110" s="498" t="s">
        <v>6228</v>
      </c>
      <c r="K1110" s="498" t="s">
        <v>7592</v>
      </c>
      <c r="L1110" s="668" t="s">
        <v>6229</v>
      </c>
      <c r="M1110" s="672">
        <v>0</v>
      </c>
      <c r="N1110" s="498" t="s">
        <v>6230</v>
      </c>
      <c r="O1110" s="669" t="s">
        <v>1588</v>
      </c>
      <c r="P1110" s="463" t="s">
        <v>1588</v>
      </c>
      <c r="Q1110" s="672" t="s">
        <v>6089</v>
      </c>
      <c r="R1110" s="672" t="s">
        <v>6231</v>
      </c>
      <c r="S1110" s="672" t="s">
        <v>6232</v>
      </c>
      <c r="T1110" s="672">
        <v>0</v>
      </c>
      <c r="U1110" s="463"/>
      <c r="V1110" s="463"/>
      <c r="W1110" s="498">
        <f>SUM(W1111:W1225)</f>
        <v>668295</v>
      </c>
      <c r="X1110" s="463"/>
      <c r="Y1110" s="463"/>
      <c r="Z1110" s="463"/>
      <c r="AA1110" s="463"/>
      <c r="AB1110" s="459"/>
    </row>
    <row r="1111" spans="1:28" ht="24" customHeight="1">
      <c r="A1111" s="600" t="s">
        <v>1873</v>
      </c>
      <c r="B1111" s="541" t="s">
        <v>2201</v>
      </c>
      <c r="C1111" s="739" t="s">
        <v>1770</v>
      </c>
      <c r="D1111" s="740" t="s">
        <v>3112</v>
      </c>
      <c r="E1111" s="658">
        <f>SUM(F1111:H1111)</f>
        <v>100000</v>
      </c>
      <c r="F1111" s="658">
        <v>0</v>
      </c>
      <c r="G1111" s="658">
        <v>100000</v>
      </c>
      <c r="H1111" s="658">
        <v>0</v>
      </c>
      <c r="I1111" s="658">
        <f>SUM(J1111:L1111)</f>
        <v>74929</v>
      </c>
      <c r="J1111" s="658">
        <v>0</v>
      </c>
      <c r="K1111" s="658">
        <v>74929</v>
      </c>
      <c r="L1111" s="741">
        <v>0</v>
      </c>
      <c r="M1111" s="687">
        <v>90</v>
      </c>
      <c r="N1111" s="659">
        <v>20000</v>
      </c>
      <c r="O1111" s="742" t="s">
        <v>3113</v>
      </c>
      <c r="P1111" s="542" t="s">
        <v>3409</v>
      </c>
      <c r="Q1111" s="844">
        <v>0</v>
      </c>
      <c r="R1111" s="844">
        <v>0</v>
      </c>
      <c r="S1111" s="844">
        <v>0</v>
      </c>
      <c r="T1111" s="844">
        <v>0</v>
      </c>
      <c r="U1111" s="542" t="s">
        <v>3114</v>
      </c>
      <c r="V1111" s="542">
        <v>98.6</v>
      </c>
      <c r="W1111" s="658">
        <v>65546</v>
      </c>
      <c r="X1111" s="542"/>
      <c r="Y1111" s="542" t="s">
        <v>3115</v>
      </c>
      <c r="Z1111" s="542"/>
      <c r="AA1111" s="542"/>
      <c r="AB1111" s="543" t="s">
        <v>1587</v>
      </c>
    </row>
    <row r="1112" spans="1:28" ht="24" customHeight="1">
      <c r="A1112" s="601"/>
      <c r="B1112" s="541" t="s">
        <v>2201</v>
      </c>
      <c r="C1112" s="739" t="s">
        <v>2034</v>
      </c>
      <c r="D1112" s="740" t="s">
        <v>3116</v>
      </c>
      <c r="E1112" s="658">
        <f>SUM(F1112:H1112)</f>
        <v>35000</v>
      </c>
      <c r="F1112" s="658">
        <v>0</v>
      </c>
      <c r="G1112" s="658">
        <v>0</v>
      </c>
      <c r="H1112" s="659">
        <v>35000</v>
      </c>
      <c r="I1112" s="658">
        <f>SUM(J1112:L1112)</f>
        <v>25698</v>
      </c>
      <c r="J1112" s="659">
        <v>0</v>
      </c>
      <c r="K1112" s="659">
        <v>0</v>
      </c>
      <c r="L1112" s="741">
        <v>25698</v>
      </c>
      <c r="M1112" s="687">
        <v>73</v>
      </c>
      <c r="N1112" s="658">
        <v>947</v>
      </c>
      <c r="O1112" s="742" t="s">
        <v>3215</v>
      </c>
      <c r="P1112" s="542" t="s">
        <v>1588</v>
      </c>
      <c r="Q1112" s="844">
        <v>184</v>
      </c>
      <c r="R1112" s="844">
        <v>0</v>
      </c>
      <c r="S1112" s="844">
        <v>136</v>
      </c>
      <c r="T1112" s="844">
        <v>0</v>
      </c>
      <c r="U1112" s="542" t="s">
        <v>3117</v>
      </c>
      <c r="V1112" s="542" t="s">
        <v>3118</v>
      </c>
      <c r="W1112" s="658">
        <v>79384</v>
      </c>
      <c r="X1112" s="542" t="s">
        <v>1532</v>
      </c>
      <c r="Y1112" s="542" t="s">
        <v>3336</v>
      </c>
      <c r="Z1112" s="542"/>
      <c r="AA1112" s="542"/>
      <c r="AB1112" s="543" t="s">
        <v>1587</v>
      </c>
    </row>
    <row r="1113" spans="1:28" ht="24" customHeight="1">
      <c r="A1113" s="603" t="s">
        <v>1874</v>
      </c>
      <c r="B1113" s="544" t="s">
        <v>2201</v>
      </c>
      <c r="C1113" s="743" t="s">
        <v>2035</v>
      </c>
      <c r="D1113" s="553" t="s">
        <v>3119</v>
      </c>
      <c r="E1113" s="659">
        <f>SUM(F1113:H1113)</f>
        <v>110000</v>
      </c>
      <c r="F1113" s="554">
        <v>0</v>
      </c>
      <c r="G1113" s="554">
        <v>0</v>
      </c>
      <c r="H1113" s="554">
        <v>110000</v>
      </c>
      <c r="I1113" s="658">
        <f t="shared" ref="I1113:I1176" si="90">SUM(J1113:L1113)</f>
        <v>49310</v>
      </c>
      <c r="J1113" s="554">
        <v>0</v>
      </c>
      <c r="K1113" s="554">
        <v>0</v>
      </c>
      <c r="L1113" s="744">
        <v>49310</v>
      </c>
      <c r="M1113" s="688">
        <v>96</v>
      </c>
      <c r="N1113" s="659">
        <v>4772</v>
      </c>
      <c r="O1113" s="745" t="s">
        <v>3120</v>
      </c>
      <c r="P1113" s="545" t="s">
        <v>1588</v>
      </c>
      <c r="Q1113" s="845">
        <v>190</v>
      </c>
      <c r="R1113" s="845">
        <v>0</v>
      </c>
      <c r="S1113" s="845">
        <v>0</v>
      </c>
      <c r="T1113" s="845">
        <v>0</v>
      </c>
      <c r="U1113" s="545" t="s">
        <v>3121</v>
      </c>
      <c r="V1113" s="545" t="s">
        <v>2153</v>
      </c>
      <c r="W1113" s="658">
        <v>197020</v>
      </c>
      <c r="X1113" s="545" t="s">
        <v>2193</v>
      </c>
      <c r="Y1113" s="545" t="s">
        <v>3161</v>
      </c>
      <c r="Z1113" s="545"/>
      <c r="AA1113" s="545"/>
      <c r="AB1113" s="546" t="s">
        <v>1934</v>
      </c>
    </row>
    <row r="1114" spans="1:28" ht="24" customHeight="1">
      <c r="A1114" s="604"/>
      <c r="B1114" s="544" t="s">
        <v>675</v>
      </c>
      <c r="C1114" s="743" t="s">
        <v>2068</v>
      </c>
      <c r="D1114" s="553" t="s">
        <v>3122</v>
      </c>
      <c r="E1114" s="659">
        <f t="shared" ref="E1114:E1177" si="91">SUM(F1114:H1114)</f>
        <v>30</v>
      </c>
      <c r="F1114" s="554" t="s">
        <v>3123</v>
      </c>
      <c r="G1114" s="554">
        <v>30</v>
      </c>
      <c r="H1114" s="554" t="s">
        <v>3123</v>
      </c>
      <c r="I1114" s="554">
        <f t="shared" si="90"/>
        <v>20</v>
      </c>
      <c r="J1114" s="554" t="s">
        <v>3123</v>
      </c>
      <c r="K1114" s="554">
        <v>20</v>
      </c>
      <c r="L1114" s="744" t="s">
        <v>3123</v>
      </c>
      <c r="M1114" s="688">
        <v>95</v>
      </c>
      <c r="N1114" s="659">
        <v>1.7</v>
      </c>
      <c r="O1114" s="745" t="s">
        <v>3124</v>
      </c>
      <c r="P1114" s="545" t="s">
        <v>1588</v>
      </c>
      <c r="Q1114" s="845" t="s">
        <v>3123</v>
      </c>
      <c r="R1114" s="845" t="s">
        <v>3123</v>
      </c>
      <c r="S1114" s="845" t="s">
        <v>3123</v>
      </c>
      <c r="T1114" s="845" t="s">
        <v>3123</v>
      </c>
      <c r="U1114" s="545" t="s">
        <v>3125</v>
      </c>
      <c r="V1114" s="545" t="s">
        <v>3126</v>
      </c>
      <c r="W1114" s="658">
        <v>234</v>
      </c>
      <c r="X1114" s="545" t="s">
        <v>2193</v>
      </c>
      <c r="Y1114" s="545" t="s">
        <v>3161</v>
      </c>
      <c r="Z1114" s="545"/>
      <c r="AA1114" s="545"/>
      <c r="AB1114" s="546" t="s">
        <v>1934</v>
      </c>
    </row>
    <row r="1115" spans="1:28" ht="24" customHeight="1">
      <c r="A1115" s="604"/>
      <c r="B1115" s="544" t="s">
        <v>675</v>
      </c>
      <c r="C1115" s="743" t="s">
        <v>3127</v>
      </c>
      <c r="D1115" s="553" t="s">
        <v>3128</v>
      </c>
      <c r="E1115" s="554">
        <f t="shared" si="91"/>
        <v>60</v>
      </c>
      <c r="F1115" s="554" t="s">
        <v>3123</v>
      </c>
      <c r="G1115" s="554">
        <v>60</v>
      </c>
      <c r="H1115" s="554" t="s">
        <v>3123</v>
      </c>
      <c r="I1115" s="554">
        <f t="shared" si="90"/>
        <v>45</v>
      </c>
      <c r="J1115" s="554" t="s">
        <v>3123</v>
      </c>
      <c r="K1115" s="554">
        <v>45</v>
      </c>
      <c r="L1115" s="744" t="s">
        <v>3123</v>
      </c>
      <c r="M1115" s="688">
        <v>95</v>
      </c>
      <c r="N1115" s="659">
        <v>3.9</v>
      </c>
      <c r="O1115" s="745" t="s">
        <v>3129</v>
      </c>
      <c r="P1115" s="545" t="s">
        <v>1588</v>
      </c>
      <c r="Q1115" s="845" t="s">
        <v>3123</v>
      </c>
      <c r="R1115" s="845" t="s">
        <v>3123</v>
      </c>
      <c r="S1115" s="845" t="s">
        <v>3123</v>
      </c>
      <c r="T1115" s="845" t="s">
        <v>3123</v>
      </c>
      <c r="U1115" s="545" t="s">
        <v>3125</v>
      </c>
      <c r="V1115" s="545" t="s">
        <v>3130</v>
      </c>
      <c r="W1115" s="658">
        <v>301</v>
      </c>
      <c r="X1115" s="545" t="s">
        <v>2193</v>
      </c>
      <c r="Y1115" s="545" t="s">
        <v>1404</v>
      </c>
      <c r="Z1115" s="545"/>
      <c r="AA1115" s="545"/>
      <c r="AB1115" s="546" t="s">
        <v>1934</v>
      </c>
    </row>
    <row r="1116" spans="1:28" ht="24" customHeight="1">
      <c r="A1116" s="604"/>
      <c r="B1116" s="544" t="s">
        <v>675</v>
      </c>
      <c r="C1116" s="743" t="s">
        <v>3131</v>
      </c>
      <c r="D1116" s="553" t="s">
        <v>3132</v>
      </c>
      <c r="E1116" s="554">
        <f t="shared" si="91"/>
        <v>180</v>
      </c>
      <c r="F1116" s="554" t="s">
        <v>3123</v>
      </c>
      <c r="G1116" s="554">
        <v>180</v>
      </c>
      <c r="H1116" s="554" t="s">
        <v>3123</v>
      </c>
      <c r="I1116" s="554">
        <f t="shared" si="90"/>
        <v>160</v>
      </c>
      <c r="J1116" s="554" t="s">
        <v>3123</v>
      </c>
      <c r="K1116" s="554">
        <v>160</v>
      </c>
      <c r="L1116" s="744" t="s">
        <v>3123</v>
      </c>
      <c r="M1116" s="688">
        <v>95</v>
      </c>
      <c r="N1116" s="659">
        <v>14</v>
      </c>
      <c r="O1116" s="745" t="s">
        <v>3133</v>
      </c>
      <c r="P1116" s="545" t="s">
        <v>1588</v>
      </c>
      <c r="Q1116" s="845" t="s">
        <v>3123</v>
      </c>
      <c r="R1116" s="845" t="s">
        <v>3123</v>
      </c>
      <c r="S1116" s="845" t="s">
        <v>3123</v>
      </c>
      <c r="T1116" s="845" t="s">
        <v>3123</v>
      </c>
      <c r="U1116" s="545" t="s">
        <v>3125</v>
      </c>
      <c r="V1116" s="545" t="s">
        <v>3134</v>
      </c>
      <c r="W1116" s="658">
        <v>395</v>
      </c>
      <c r="X1116" s="545" t="s">
        <v>2193</v>
      </c>
      <c r="Y1116" s="545" t="s">
        <v>1404</v>
      </c>
      <c r="Z1116" s="545"/>
      <c r="AA1116" s="545"/>
      <c r="AB1116" s="546" t="s">
        <v>1934</v>
      </c>
    </row>
    <row r="1117" spans="1:28" ht="24" customHeight="1">
      <c r="A1117" s="604"/>
      <c r="B1117" s="544" t="s">
        <v>675</v>
      </c>
      <c r="C1117" s="743" t="s">
        <v>3135</v>
      </c>
      <c r="D1117" s="553" t="s">
        <v>3136</v>
      </c>
      <c r="E1117" s="554">
        <f t="shared" si="91"/>
        <v>50</v>
      </c>
      <c r="F1117" s="554" t="s">
        <v>3123</v>
      </c>
      <c r="G1117" s="554">
        <v>50</v>
      </c>
      <c r="H1117" s="554" t="s">
        <v>3123</v>
      </c>
      <c r="I1117" s="554">
        <f t="shared" si="90"/>
        <v>35</v>
      </c>
      <c r="J1117" s="554" t="s">
        <v>3123</v>
      </c>
      <c r="K1117" s="554">
        <v>35</v>
      </c>
      <c r="L1117" s="744" t="s">
        <v>3123</v>
      </c>
      <c r="M1117" s="688">
        <v>95</v>
      </c>
      <c r="N1117" s="659">
        <v>3.1</v>
      </c>
      <c r="O1117" s="745" t="s">
        <v>3129</v>
      </c>
      <c r="P1117" s="545" t="s">
        <v>1588</v>
      </c>
      <c r="Q1117" s="845" t="s">
        <v>3123</v>
      </c>
      <c r="R1117" s="845" t="s">
        <v>3123</v>
      </c>
      <c r="S1117" s="845" t="s">
        <v>3123</v>
      </c>
      <c r="T1117" s="845" t="s">
        <v>3123</v>
      </c>
      <c r="U1117" s="545" t="s">
        <v>3125</v>
      </c>
      <c r="V1117" s="545" t="s">
        <v>3137</v>
      </c>
      <c r="W1117" s="658">
        <v>342</v>
      </c>
      <c r="X1117" s="545" t="s">
        <v>2193</v>
      </c>
      <c r="Y1117" s="545" t="s">
        <v>1404</v>
      </c>
      <c r="Z1117" s="545"/>
      <c r="AA1117" s="545"/>
      <c r="AB1117" s="546" t="s">
        <v>1934</v>
      </c>
    </row>
    <row r="1118" spans="1:28" ht="24" customHeight="1">
      <c r="A1118" s="604"/>
      <c r="B1118" s="544" t="s">
        <v>675</v>
      </c>
      <c r="C1118" s="743" t="s">
        <v>3138</v>
      </c>
      <c r="D1118" s="553" t="s">
        <v>3139</v>
      </c>
      <c r="E1118" s="554">
        <f t="shared" si="91"/>
        <v>100</v>
      </c>
      <c r="F1118" s="554" t="s">
        <v>3123</v>
      </c>
      <c r="G1118" s="554">
        <v>100</v>
      </c>
      <c r="H1118" s="554" t="s">
        <v>3123</v>
      </c>
      <c r="I1118" s="554">
        <f t="shared" si="90"/>
        <v>85</v>
      </c>
      <c r="J1118" s="554" t="s">
        <v>3123</v>
      </c>
      <c r="K1118" s="554">
        <v>85</v>
      </c>
      <c r="L1118" s="744" t="s">
        <v>3123</v>
      </c>
      <c r="M1118" s="688">
        <v>95</v>
      </c>
      <c r="N1118" s="659">
        <v>7.4</v>
      </c>
      <c r="O1118" s="745" t="s">
        <v>3133</v>
      </c>
      <c r="P1118" s="545" t="s">
        <v>1588</v>
      </c>
      <c r="Q1118" s="845" t="s">
        <v>3123</v>
      </c>
      <c r="R1118" s="845" t="s">
        <v>3123</v>
      </c>
      <c r="S1118" s="845" t="s">
        <v>3123</v>
      </c>
      <c r="T1118" s="845" t="s">
        <v>3123</v>
      </c>
      <c r="U1118" s="545" t="s">
        <v>3125</v>
      </c>
      <c r="V1118" s="545" t="s">
        <v>3140</v>
      </c>
      <c r="W1118" s="658">
        <v>343</v>
      </c>
      <c r="X1118" s="545" t="s">
        <v>2193</v>
      </c>
      <c r="Y1118" s="545" t="s">
        <v>1404</v>
      </c>
      <c r="Z1118" s="545"/>
      <c r="AA1118" s="545"/>
      <c r="AB1118" s="546" t="s">
        <v>1934</v>
      </c>
    </row>
    <row r="1119" spans="1:28" ht="24" customHeight="1">
      <c r="A1119" s="604"/>
      <c r="B1119" s="544" t="s">
        <v>675</v>
      </c>
      <c r="C1119" s="743" t="s">
        <v>3141</v>
      </c>
      <c r="D1119" s="553" t="s">
        <v>3142</v>
      </c>
      <c r="E1119" s="554">
        <f t="shared" si="91"/>
        <v>120</v>
      </c>
      <c r="F1119" s="554" t="s">
        <v>3123</v>
      </c>
      <c r="G1119" s="554">
        <v>120</v>
      </c>
      <c r="H1119" s="554" t="s">
        <v>3123</v>
      </c>
      <c r="I1119" s="554">
        <f t="shared" si="90"/>
        <v>105</v>
      </c>
      <c r="J1119" s="554" t="s">
        <v>3123</v>
      </c>
      <c r="K1119" s="554">
        <v>105</v>
      </c>
      <c r="L1119" s="744" t="s">
        <v>3123</v>
      </c>
      <c r="M1119" s="688">
        <v>95</v>
      </c>
      <c r="N1119" s="659">
        <v>9.1999999999999993</v>
      </c>
      <c r="O1119" s="745" t="s">
        <v>3133</v>
      </c>
      <c r="P1119" s="545" t="s">
        <v>1588</v>
      </c>
      <c r="Q1119" s="845" t="s">
        <v>3123</v>
      </c>
      <c r="R1119" s="845" t="s">
        <v>3123</v>
      </c>
      <c r="S1119" s="845" t="s">
        <v>3123</v>
      </c>
      <c r="T1119" s="845" t="s">
        <v>3123</v>
      </c>
      <c r="U1119" s="545" t="s">
        <v>3125</v>
      </c>
      <c r="V1119" s="545" t="s">
        <v>3143</v>
      </c>
      <c r="W1119" s="658">
        <v>360</v>
      </c>
      <c r="X1119" s="545" t="s">
        <v>2193</v>
      </c>
      <c r="Y1119" s="545" t="s">
        <v>1404</v>
      </c>
      <c r="Z1119" s="545"/>
      <c r="AA1119" s="545"/>
      <c r="AB1119" s="546" t="s">
        <v>1934</v>
      </c>
    </row>
    <row r="1120" spans="1:28" ht="24" customHeight="1">
      <c r="A1120" s="604"/>
      <c r="B1120" s="544" t="s">
        <v>675</v>
      </c>
      <c r="C1120" s="743" t="s">
        <v>3144</v>
      </c>
      <c r="D1120" s="553" t="s">
        <v>3145</v>
      </c>
      <c r="E1120" s="554">
        <f t="shared" si="91"/>
        <v>110</v>
      </c>
      <c r="F1120" s="554" t="s">
        <v>3123</v>
      </c>
      <c r="G1120" s="554">
        <v>110</v>
      </c>
      <c r="H1120" s="554" t="s">
        <v>3123</v>
      </c>
      <c r="I1120" s="554">
        <f t="shared" si="90"/>
        <v>90</v>
      </c>
      <c r="J1120" s="554" t="s">
        <v>3123</v>
      </c>
      <c r="K1120" s="554">
        <v>90</v>
      </c>
      <c r="L1120" s="744" t="s">
        <v>3123</v>
      </c>
      <c r="M1120" s="688">
        <v>95</v>
      </c>
      <c r="N1120" s="659">
        <v>7.9</v>
      </c>
      <c r="O1120" s="745" t="s">
        <v>3146</v>
      </c>
      <c r="P1120" s="545" t="s">
        <v>1588</v>
      </c>
      <c r="Q1120" s="845" t="s">
        <v>3123</v>
      </c>
      <c r="R1120" s="845" t="s">
        <v>3123</v>
      </c>
      <c r="S1120" s="845" t="s">
        <v>3123</v>
      </c>
      <c r="T1120" s="845" t="s">
        <v>3123</v>
      </c>
      <c r="U1120" s="545" t="s">
        <v>3125</v>
      </c>
      <c r="V1120" s="545" t="s">
        <v>3147</v>
      </c>
      <c r="W1120" s="658">
        <v>530</v>
      </c>
      <c r="X1120" s="545" t="s">
        <v>2193</v>
      </c>
      <c r="Y1120" s="545" t="s">
        <v>1404</v>
      </c>
      <c r="Z1120" s="545"/>
      <c r="AA1120" s="545"/>
      <c r="AB1120" s="546" t="s">
        <v>1934</v>
      </c>
    </row>
    <row r="1121" spans="1:28" ht="24" customHeight="1">
      <c r="A1121" s="604"/>
      <c r="B1121" s="544" t="s">
        <v>675</v>
      </c>
      <c r="C1121" s="743" t="s">
        <v>3148</v>
      </c>
      <c r="D1121" s="553" t="s">
        <v>3149</v>
      </c>
      <c r="E1121" s="554">
        <f t="shared" si="91"/>
        <v>60</v>
      </c>
      <c r="F1121" s="554" t="s">
        <v>3123</v>
      </c>
      <c r="G1121" s="554">
        <v>60</v>
      </c>
      <c r="H1121" s="554" t="s">
        <v>3123</v>
      </c>
      <c r="I1121" s="554">
        <f t="shared" si="90"/>
        <v>50</v>
      </c>
      <c r="J1121" s="554" t="s">
        <v>3123</v>
      </c>
      <c r="K1121" s="554" t="s">
        <v>3123</v>
      </c>
      <c r="L1121" s="744">
        <v>50</v>
      </c>
      <c r="M1121" s="688">
        <v>95</v>
      </c>
      <c r="N1121" s="659">
        <v>4.4000000000000004</v>
      </c>
      <c r="O1121" s="745" t="s">
        <v>3150</v>
      </c>
      <c r="P1121" s="545" t="s">
        <v>1588</v>
      </c>
      <c r="Q1121" s="845" t="s">
        <v>3123</v>
      </c>
      <c r="R1121" s="845" t="s">
        <v>3123</v>
      </c>
      <c r="S1121" s="845" t="s">
        <v>3123</v>
      </c>
      <c r="T1121" s="845" t="s">
        <v>3123</v>
      </c>
      <c r="U1121" s="545" t="s">
        <v>3125</v>
      </c>
      <c r="V1121" s="545" t="s">
        <v>3151</v>
      </c>
      <c r="W1121" s="658">
        <v>325</v>
      </c>
      <c r="X1121" s="545" t="s">
        <v>2193</v>
      </c>
      <c r="Y1121" s="545" t="s">
        <v>3161</v>
      </c>
      <c r="Z1121" s="545"/>
      <c r="AA1121" s="545"/>
      <c r="AB1121" s="546" t="s">
        <v>1934</v>
      </c>
    </row>
    <row r="1122" spans="1:28" ht="24" customHeight="1">
      <c r="A1122" s="604"/>
      <c r="B1122" s="544" t="s">
        <v>675</v>
      </c>
      <c r="C1122" s="743" t="s">
        <v>3152</v>
      </c>
      <c r="D1122" s="553" t="s">
        <v>3153</v>
      </c>
      <c r="E1122" s="554">
        <f t="shared" si="91"/>
        <v>110</v>
      </c>
      <c r="F1122" s="554" t="s">
        <v>3123</v>
      </c>
      <c r="G1122" s="554">
        <v>110</v>
      </c>
      <c r="H1122" s="554" t="s">
        <v>3123</v>
      </c>
      <c r="I1122" s="554">
        <f t="shared" si="90"/>
        <v>95</v>
      </c>
      <c r="J1122" s="554" t="s">
        <v>3123</v>
      </c>
      <c r="K1122" s="554" t="s">
        <v>3123</v>
      </c>
      <c r="L1122" s="744">
        <v>95</v>
      </c>
      <c r="M1122" s="688">
        <v>95</v>
      </c>
      <c r="N1122" s="659">
        <v>8.3000000000000007</v>
      </c>
      <c r="O1122" s="745" t="s">
        <v>3154</v>
      </c>
      <c r="P1122" s="545" t="s">
        <v>1588</v>
      </c>
      <c r="Q1122" s="845" t="s">
        <v>3123</v>
      </c>
      <c r="R1122" s="845" t="s">
        <v>3123</v>
      </c>
      <c r="S1122" s="845" t="s">
        <v>3123</v>
      </c>
      <c r="T1122" s="845" t="s">
        <v>3123</v>
      </c>
      <c r="U1122" s="545" t="s">
        <v>3125</v>
      </c>
      <c r="V1122" s="545" t="s">
        <v>3155</v>
      </c>
      <c r="W1122" s="658">
        <v>407</v>
      </c>
      <c r="X1122" s="545" t="s">
        <v>2193</v>
      </c>
      <c r="Y1122" s="545" t="s">
        <v>1404</v>
      </c>
      <c r="Z1122" s="545"/>
      <c r="AA1122" s="545"/>
      <c r="AB1122" s="546" t="s">
        <v>1934</v>
      </c>
    </row>
    <row r="1123" spans="1:28" ht="24" customHeight="1">
      <c r="A1123" s="604"/>
      <c r="B1123" s="544" t="s">
        <v>675</v>
      </c>
      <c r="C1123" s="743" t="s">
        <v>2127</v>
      </c>
      <c r="D1123" s="553" t="s">
        <v>6323</v>
      </c>
      <c r="E1123" s="554">
        <f t="shared" si="91"/>
        <v>30</v>
      </c>
      <c r="F1123" s="554" t="s">
        <v>3123</v>
      </c>
      <c r="G1123" s="554">
        <v>30</v>
      </c>
      <c r="H1123" s="554" t="s">
        <v>3123</v>
      </c>
      <c r="I1123" s="554">
        <f t="shared" si="90"/>
        <v>24</v>
      </c>
      <c r="J1123" s="554" t="s">
        <v>3123</v>
      </c>
      <c r="K1123" s="554">
        <v>24</v>
      </c>
      <c r="L1123" s="744" t="s">
        <v>3123</v>
      </c>
      <c r="M1123" s="688">
        <v>95</v>
      </c>
      <c r="N1123" s="659">
        <v>2.1</v>
      </c>
      <c r="O1123" s="745" t="s">
        <v>3133</v>
      </c>
      <c r="P1123" s="545" t="s">
        <v>1588</v>
      </c>
      <c r="Q1123" s="845" t="s">
        <v>3123</v>
      </c>
      <c r="R1123" s="845" t="s">
        <v>3123</v>
      </c>
      <c r="S1123" s="845" t="s">
        <v>3123</v>
      </c>
      <c r="T1123" s="845" t="s">
        <v>3123</v>
      </c>
      <c r="U1123" s="545" t="s">
        <v>3125</v>
      </c>
      <c r="V1123" s="545" t="s">
        <v>6324</v>
      </c>
      <c r="W1123" s="658">
        <v>263</v>
      </c>
      <c r="X1123" s="545" t="s">
        <v>2193</v>
      </c>
      <c r="Y1123" s="545" t="s">
        <v>3161</v>
      </c>
      <c r="Z1123" s="545"/>
      <c r="AA1123" s="545"/>
      <c r="AB1123" s="546" t="s">
        <v>1934</v>
      </c>
    </row>
    <row r="1124" spans="1:28" ht="24" customHeight="1">
      <c r="A1124" s="604"/>
      <c r="B1124" s="544" t="s">
        <v>675</v>
      </c>
      <c r="C1124" s="743" t="s">
        <v>2073</v>
      </c>
      <c r="D1124" s="553" t="s">
        <v>6325</v>
      </c>
      <c r="E1124" s="554">
        <f t="shared" si="91"/>
        <v>80</v>
      </c>
      <c r="F1124" s="554" t="s">
        <v>3123</v>
      </c>
      <c r="G1124" s="554">
        <v>80</v>
      </c>
      <c r="H1124" s="554" t="s">
        <v>3123</v>
      </c>
      <c r="I1124" s="554">
        <f t="shared" si="90"/>
        <v>60</v>
      </c>
      <c r="J1124" s="554" t="s">
        <v>3123</v>
      </c>
      <c r="K1124" s="554">
        <v>60</v>
      </c>
      <c r="L1124" s="744" t="s">
        <v>3123</v>
      </c>
      <c r="M1124" s="688">
        <v>95</v>
      </c>
      <c r="N1124" s="659">
        <v>5.2</v>
      </c>
      <c r="O1124" s="745" t="s">
        <v>5089</v>
      </c>
      <c r="P1124" s="545" t="s">
        <v>1588</v>
      </c>
      <c r="Q1124" s="845" t="s">
        <v>3123</v>
      </c>
      <c r="R1124" s="845" t="s">
        <v>3123</v>
      </c>
      <c r="S1124" s="845" t="s">
        <v>3123</v>
      </c>
      <c r="T1124" s="845" t="s">
        <v>3123</v>
      </c>
      <c r="U1124" s="545" t="s">
        <v>3125</v>
      </c>
      <c r="V1124" s="545" t="s">
        <v>6326</v>
      </c>
      <c r="W1124" s="658">
        <v>374</v>
      </c>
      <c r="X1124" s="545" t="s">
        <v>2193</v>
      </c>
      <c r="Y1124" s="545" t="s">
        <v>3161</v>
      </c>
      <c r="Z1124" s="545"/>
      <c r="AA1124" s="545"/>
      <c r="AB1124" s="546" t="s">
        <v>1934</v>
      </c>
    </row>
    <row r="1125" spans="1:28" ht="24" customHeight="1">
      <c r="A1125" s="604"/>
      <c r="B1125" s="544" t="s">
        <v>675</v>
      </c>
      <c r="C1125" s="743" t="s">
        <v>6327</v>
      </c>
      <c r="D1125" s="553" t="s">
        <v>6328</v>
      </c>
      <c r="E1125" s="554">
        <f t="shared" si="91"/>
        <v>160</v>
      </c>
      <c r="F1125" s="554" t="s">
        <v>3123</v>
      </c>
      <c r="G1125" s="554">
        <v>160</v>
      </c>
      <c r="H1125" s="554" t="s">
        <v>3123</v>
      </c>
      <c r="I1125" s="554">
        <f t="shared" si="90"/>
        <v>140</v>
      </c>
      <c r="J1125" s="554" t="s">
        <v>3123</v>
      </c>
      <c r="K1125" s="554" t="s">
        <v>3123</v>
      </c>
      <c r="L1125" s="744">
        <v>140</v>
      </c>
      <c r="M1125" s="688">
        <v>95</v>
      </c>
      <c r="N1125" s="659">
        <v>12.2</v>
      </c>
      <c r="O1125" s="745" t="s">
        <v>6329</v>
      </c>
      <c r="P1125" s="545" t="s">
        <v>1588</v>
      </c>
      <c r="Q1125" s="845" t="s">
        <v>3123</v>
      </c>
      <c r="R1125" s="845" t="s">
        <v>3123</v>
      </c>
      <c r="S1125" s="845" t="s">
        <v>3123</v>
      </c>
      <c r="T1125" s="845" t="s">
        <v>3123</v>
      </c>
      <c r="U1125" s="545" t="s">
        <v>3125</v>
      </c>
      <c r="V1125" s="545" t="s">
        <v>6330</v>
      </c>
      <c r="W1125" s="658">
        <v>483</v>
      </c>
      <c r="X1125" s="545" t="s">
        <v>2193</v>
      </c>
      <c r="Y1125" s="545" t="s">
        <v>1404</v>
      </c>
      <c r="Z1125" s="545"/>
      <c r="AA1125" s="545"/>
      <c r="AB1125" s="546" t="s">
        <v>1934</v>
      </c>
    </row>
    <row r="1126" spans="1:28" ht="24" customHeight="1">
      <c r="A1126" s="604"/>
      <c r="B1126" s="544" t="s">
        <v>675</v>
      </c>
      <c r="C1126" s="743" t="s">
        <v>6331</v>
      </c>
      <c r="D1126" s="553" t="s">
        <v>6332</v>
      </c>
      <c r="E1126" s="554">
        <f t="shared" si="91"/>
        <v>60</v>
      </c>
      <c r="F1126" s="554" t="s">
        <v>3123</v>
      </c>
      <c r="G1126" s="554">
        <v>60</v>
      </c>
      <c r="H1126" s="554" t="s">
        <v>3123</v>
      </c>
      <c r="I1126" s="554">
        <f t="shared" si="90"/>
        <v>48</v>
      </c>
      <c r="J1126" s="554" t="s">
        <v>3123</v>
      </c>
      <c r="K1126" s="554">
        <v>48</v>
      </c>
      <c r="L1126" s="744" t="s">
        <v>3123</v>
      </c>
      <c r="M1126" s="688">
        <v>95</v>
      </c>
      <c r="N1126" s="659">
        <v>4.2</v>
      </c>
      <c r="O1126" s="745" t="s">
        <v>3133</v>
      </c>
      <c r="P1126" s="545" t="s">
        <v>1588</v>
      </c>
      <c r="Q1126" s="845" t="s">
        <v>3123</v>
      </c>
      <c r="R1126" s="845" t="s">
        <v>3123</v>
      </c>
      <c r="S1126" s="845" t="s">
        <v>3123</v>
      </c>
      <c r="T1126" s="845" t="s">
        <v>3123</v>
      </c>
      <c r="U1126" s="545" t="s">
        <v>3125</v>
      </c>
      <c r="V1126" s="545" t="s">
        <v>6333</v>
      </c>
      <c r="W1126" s="658">
        <v>312</v>
      </c>
      <c r="X1126" s="545" t="s">
        <v>2193</v>
      </c>
      <c r="Y1126" s="545" t="s">
        <v>3161</v>
      </c>
      <c r="Z1126" s="545"/>
      <c r="AA1126" s="545"/>
      <c r="AB1126" s="546" t="s">
        <v>1934</v>
      </c>
    </row>
    <row r="1127" spans="1:28" ht="24" customHeight="1">
      <c r="A1127" s="604"/>
      <c r="B1127" s="544" t="s">
        <v>675</v>
      </c>
      <c r="C1127" s="743" t="s">
        <v>2425</v>
      </c>
      <c r="D1127" s="553" t="s">
        <v>6334</v>
      </c>
      <c r="E1127" s="554">
        <f t="shared" si="91"/>
        <v>50</v>
      </c>
      <c r="F1127" s="554" t="s">
        <v>3123</v>
      </c>
      <c r="G1127" s="554">
        <v>50</v>
      </c>
      <c r="H1127" s="554" t="s">
        <v>3123</v>
      </c>
      <c r="I1127" s="554">
        <f t="shared" si="90"/>
        <v>35</v>
      </c>
      <c r="J1127" s="554" t="s">
        <v>3123</v>
      </c>
      <c r="K1127" s="554">
        <v>35</v>
      </c>
      <c r="L1127" s="744" t="s">
        <v>3123</v>
      </c>
      <c r="M1127" s="688">
        <v>95</v>
      </c>
      <c r="N1127" s="659">
        <v>3.1</v>
      </c>
      <c r="O1127" s="745" t="s">
        <v>3129</v>
      </c>
      <c r="P1127" s="545" t="s">
        <v>1588</v>
      </c>
      <c r="Q1127" s="845" t="s">
        <v>3123</v>
      </c>
      <c r="R1127" s="845" t="s">
        <v>3123</v>
      </c>
      <c r="S1127" s="845" t="s">
        <v>3123</v>
      </c>
      <c r="T1127" s="845" t="s">
        <v>3123</v>
      </c>
      <c r="U1127" s="545" t="s">
        <v>3125</v>
      </c>
      <c r="V1127" s="545" t="s">
        <v>6335</v>
      </c>
      <c r="W1127" s="658">
        <v>200</v>
      </c>
      <c r="X1127" s="545" t="s">
        <v>2193</v>
      </c>
      <c r="Y1127" s="545" t="s">
        <v>1404</v>
      </c>
      <c r="Z1127" s="545"/>
      <c r="AA1127" s="545"/>
      <c r="AB1127" s="546" t="s">
        <v>1934</v>
      </c>
    </row>
    <row r="1128" spans="1:28" ht="24" customHeight="1">
      <c r="A1128" s="604"/>
      <c r="B1128" s="544" t="s">
        <v>675</v>
      </c>
      <c r="C1128" s="743" t="s">
        <v>6336</v>
      </c>
      <c r="D1128" s="553" t="s">
        <v>6337</v>
      </c>
      <c r="E1128" s="554">
        <f t="shared" si="91"/>
        <v>80</v>
      </c>
      <c r="F1128" s="554" t="s">
        <v>3123</v>
      </c>
      <c r="G1128" s="554">
        <v>80</v>
      </c>
      <c r="H1128" s="554" t="s">
        <v>3123</v>
      </c>
      <c r="I1128" s="554">
        <f t="shared" si="90"/>
        <v>65</v>
      </c>
      <c r="J1128" s="554" t="s">
        <v>3123</v>
      </c>
      <c r="K1128" s="554" t="s">
        <v>3123</v>
      </c>
      <c r="L1128" s="744">
        <v>65</v>
      </c>
      <c r="M1128" s="688">
        <v>95</v>
      </c>
      <c r="N1128" s="659">
        <v>5.7</v>
      </c>
      <c r="O1128" s="745" t="s">
        <v>3150</v>
      </c>
      <c r="P1128" s="545" t="s">
        <v>1588</v>
      </c>
      <c r="Q1128" s="845" t="s">
        <v>3123</v>
      </c>
      <c r="R1128" s="845" t="s">
        <v>3123</v>
      </c>
      <c r="S1128" s="845" t="s">
        <v>3123</v>
      </c>
      <c r="T1128" s="845" t="s">
        <v>3123</v>
      </c>
      <c r="U1128" s="545" t="s">
        <v>3125</v>
      </c>
      <c r="V1128" s="545" t="s">
        <v>6338</v>
      </c>
      <c r="W1128" s="658">
        <v>410</v>
      </c>
      <c r="X1128" s="545" t="s">
        <v>2193</v>
      </c>
      <c r="Y1128" s="545" t="s">
        <v>3161</v>
      </c>
      <c r="Z1128" s="545"/>
      <c r="AA1128" s="545"/>
      <c r="AB1128" s="546" t="s">
        <v>1934</v>
      </c>
    </row>
    <row r="1129" spans="1:28" ht="24" customHeight="1">
      <c r="A1129" s="604"/>
      <c r="B1129" s="544" t="s">
        <v>675</v>
      </c>
      <c r="C1129" s="743" t="s">
        <v>1224</v>
      </c>
      <c r="D1129" s="553" t="s">
        <v>6339</v>
      </c>
      <c r="E1129" s="554">
        <f t="shared" si="91"/>
        <v>100</v>
      </c>
      <c r="F1129" s="554" t="s">
        <v>3123</v>
      </c>
      <c r="G1129" s="554">
        <v>100</v>
      </c>
      <c r="H1129" s="554" t="s">
        <v>3123</v>
      </c>
      <c r="I1129" s="554">
        <f t="shared" si="90"/>
        <v>80</v>
      </c>
      <c r="J1129" s="554" t="s">
        <v>3123</v>
      </c>
      <c r="K1129" s="554">
        <v>80</v>
      </c>
      <c r="L1129" s="744" t="s">
        <v>3123</v>
      </c>
      <c r="M1129" s="688">
        <v>95</v>
      </c>
      <c r="N1129" s="659">
        <v>7</v>
      </c>
      <c r="O1129" s="745" t="s">
        <v>5635</v>
      </c>
      <c r="P1129" s="545" t="s">
        <v>1588</v>
      </c>
      <c r="Q1129" s="845" t="s">
        <v>3123</v>
      </c>
      <c r="R1129" s="845" t="s">
        <v>3123</v>
      </c>
      <c r="S1129" s="845" t="s">
        <v>3123</v>
      </c>
      <c r="T1129" s="845" t="s">
        <v>3123</v>
      </c>
      <c r="U1129" s="545" t="s">
        <v>3125</v>
      </c>
      <c r="V1129" s="545" t="s">
        <v>6340</v>
      </c>
      <c r="W1129" s="658">
        <v>498</v>
      </c>
      <c r="X1129" s="545" t="s">
        <v>2193</v>
      </c>
      <c r="Y1129" s="545" t="s">
        <v>1404</v>
      </c>
      <c r="Z1129" s="545"/>
      <c r="AA1129" s="545"/>
      <c r="AB1129" s="546" t="s">
        <v>1934</v>
      </c>
    </row>
    <row r="1130" spans="1:28" ht="24" customHeight="1">
      <c r="A1130" s="604"/>
      <c r="B1130" s="544" t="s">
        <v>675</v>
      </c>
      <c r="C1130" s="743" t="s">
        <v>6341</v>
      </c>
      <c r="D1130" s="553" t="s">
        <v>6342</v>
      </c>
      <c r="E1130" s="554">
        <f t="shared" si="91"/>
        <v>50</v>
      </c>
      <c r="F1130" s="554" t="s">
        <v>3123</v>
      </c>
      <c r="G1130" s="554">
        <v>50</v>
      </c>
      <c r="H1130" s="554" t="s">
        <v>3123</v>
      </c>
      <c r="I1130" s="554">
        <f t="shared" si="90"/>
        <v>34</v>
      </c>
      <c r="J1130" s="554" t="s">
        <v>3123</v>
      </c>
      <c r="K1130" s="554">
        <v>34</v>
      </c>
      <c r="L1130" s="744" t="s">
        <v>3123</v>
      </c>
      <c r="M1130" s="688">
        <v>65</v>
      </c>
      <c r="N1130" s="659">
        <v>3</v>
      </c>
      <c r="O1130" s="745" t="s">
        <v>3133</v>
      </c>
      <c r="P1130" s="545" t="s">
        <v>1588</v>
      </c>
      <c r="Q1130" s="845" t="s">
        <v>3123</v>
      </c>
      <c r="R1130" s="845" t="s">
        <v>3123</v>
      </c>
      <c r="S1130" s="845" t="s">
        <v>3123</v>
      </c>
      <c r="T1130" s="845" t="s">
        <v>3123</v>
      </c>
      <c r="U1130" s="545" t="s">
        <v>3125</v>
      </c>
      <c r="V1130" s="545" t="s">
        <v>6343</v>
      </c>
      <c r="W1130" s="658">
        <v>200</v>
      </c>
      <c r="X1130" s="545" t="s">
        <v>2193</v>
      </c>
      <c r="Y1130" s="545" t="s">
        <v>3161</v>
      </c>
      <c r="Z1130" s="545"/>
      <c r="AA1130" s="545"/>
      <c r="AB1130" s="546" t="s">
        <v>1934</v>
      </c>
    </row>
    <row r="1131" spans="1:28" ht="24" customHeight="1">
      <c r="A1131" s="605" t="s">
        <v>1875</v>
      </c>
      <c r="B1131" s="544" t="s">
        <v>2201</v>
      </c>
      <c r="C1131" s="551" t="s">
        <v>2429</v>
      </c>
      <c r="D1131" s="553" t="s">
        <v>6344</v>
      </c>
      <c r="E1131" s="658">
        <f t="shared" si="91"/>
        <v>130000</v>
      </c>
      <c r="F1131" s="563">
        <v>0</v>
      </c>
      <c r="G1131" s="563">
        <v>130000</v>
      </c>
      <c r="H1131" s="563">
        <v>0</v>
      </c>
      <c r="I1131" s="658">
        <f t="shared" si="90"/>
        <v>97486</v>
      </c>
      <c r="J1131" s="563">
        <v>0</v>
      </c>
      <c r="K1131" s="563">
        <v>97486</v>
      </c>
      <c r="L1131" s="741">
        <v>0</v>
      </c>
      <c r="M1131" s="687">
        <v>95.7</v>
      </c>
      <c r="N1131" s="563">
        <v>12912</v>
      </c>
      <c r="O1131" s="746" t="s">
        <v>1535</v>
      </c>
      <c r="P1131" s="547" t="s">
        <v>1588</v>
      </c>
      <c r="Q1131" s="689">
        <v>96</v>
      </c>
      <c r="R1131" s="689">
        <v>34</v>
      </c>
      <c r="S1131" s="689">
        <v>0</v>
      </c>
      <c r="T1131" s="689">
        <v>0</v>
      </c>
      <c r="U1131" s="547" t="s">
        <v>6345</v>
      </c>
      <c r="V1131" s="548" t="s">
        <v>6346</v>
      </c>
      <c r="W1131" s="658">
        <v>110757</v>
      </c>
      <c r="X1131" s="547" t="s">
        <v>1532</v>
      </c>
      <c r="Y1131" s="547" t="s">
        <v>3336</v>
      </c>
      <c r="Z1131" s="547" t="s">
        <v>1906</v>
      </c>
      <c r="AA1131" s="547" t="s">
        <v>6347</v>
      </c>
      <c r="AB1131" s="550" t="s">
        <v>1686</v>
      </c>
    </row>
    <row r="1132" spans="1:28" ht="24" customHeight="1">
      <c r="A1132" s="606"/>
      <c r="B1132" s="544" t="s">
        <v>2201</v>
      </c>
      <c r="C1132" s="551" t="s">
        <v>1877</v>
      </c>
      <c r="D1132" s="553" t="s">
        <v>6348</v>
      </c>
      <c r="E1132" s="563">
        <f t="shared" si="91"/>
        <v>2500</v>
      </c>
      <c r="F1132" s="563">
        <v>0</v>
      </c>
      <c r="G1132" s="563">
        <v>2500</v>
      </c>
      <c r="H1132" s="563">
        <v>0</v>
      </c>
      <c r="I1132" s="563">
        <f t="shared" si="90"/>
        <v>1073</v>
      </c>
      <c r="J1132" s="563">
        <v>0</v>
      </c>
      <c r="K1132" s="563">
        <v>1073</v>
      </c>
      <c r="L1132" s="741">
        <v>0</v>
      </c>
      <c r="M1132" s="687">
        <v>90.2</v>
      </c>
      <c r="N1132" s="563">
        <v>20.7</v>
      </c>
      <c r="O1132" s="746" t="s">
        <v>3173</v>
      </c>
      <c r="P1132" s="547" t="s">
        <v>1588</v>
      </c>
      <c r="Q1132" s="689">
        <v>0</v>
      </c>
      <c r="R1132" s="689">
        <v>0</v>
      </c>
      <c r="S1132" s="689">
        <v>0</v>
      </c>
      <c r="T1132" s="689">
        <v>0</v>
      </c>
      <c r="U1132" s="547" t="s">
        <v>6349</v>
      </c>
      <c r="V1132" s="548" t="s">
        <v>6350</v>
      </c>
      <c r="W1132" s="658">
        <v>14769</v>
      </c>
      <c r="X1132" s="547" t="s">
        <v>1532</v>
      </c>
      <c r="Y1132" s="547" t="s">
        <v>3336</v>
      </c>
      <c r="Z1132" s="547" t="s">
        <v>6351</v>
      </c>
      <c r="AA1132" s="547" t="s">
        <v>6352</v>
      </c>
      <c r="AB1132" s="550" t="s">
        <v>1686</v>
      </c>
    </row>
    <row r="1133" spans="1:28" ht="24" customHeight="1">
      <c r="A1133" s="606"/>
      <c r="B1133" s="544" t="s">
        <v>2201</v>
      </c>
      <c r="C1133" s="551" t="s">
        <v>485</v>
      </c>
      <c r="D1133" s="553" t="s">
        <v>6353</v>
      </c>
      <c r="E1133" s="563">
        <f t="shared" si="91"/>
        <v>700</v>
      </c>
      <c r="F1133" s="563">
        <v>0</v>
      </c>
      <c r="G1133" s="563">
        <v>0</v>
      </c>
      <c r="H1133" s="563">
        <v>700</v>
      </c>
      <c r="I1133" s="563">
        <f t="shared" si="90"/>
        <v>535</v>
      </c>
      <c r="J1133" s="563">
        <v>0</v>
      </c>
      <c r="K1133" s="563">
        <v>0</v>
      </c>
      <c r="L1133" s="741">
        <v>535</v>
      </c>
      <c r="M1133" s="687">
        <v>89.2</v>
      </c>
      <c r="N1133" s="563">
        <v>13.5</v>
      </c>
      <c r="O1133" s="746" t="s">
        <v>3282</v>
      </c>
      <c r="P1133" s="547" t="s">
        <v>1588</v>
      </c>
      <c r="Q1133" s="689">
        <v>0</v>
      </c>
      <c r="R1133" s="689">
        <v>0</v>
      </c>
      <c r="S1133" s="689">
        <v>0</v>
      </c>
      <c r="T1133" s="689">
        <v>0</v>
      </c>
      <c r="U1133" s="547" t="s">
        <v>6354</v>
      </c>
      <c r="V1133" s="548" t="s">
        <v>6355</v>
      </c>
      <c r="W1133" s="658">
        <v>14769</v>
      </c>
      <c r="X1133" s="547" t="s">
        <v>1532</v>
      </c>
      <c r="Y1133" s="547" t="s">
        <v>3336</v>
      </c>
      <c r="Z1133" s="547" t="s">
        <v>6356</v>
      </c>
      <c r="AA1133" s="547" t="s">
        <v>1703</v>
      </c>
      <c r="AB1133" s="550" t="s">
        <v>1686</v>
      </c>
    </row>
    <row r="1134" spans="1:28" ht="24" customHeight="1">
      <c r="A1134" s="606"/>
      <c r="B1134" s="544" t="s">
        <v>2201</v>
      </c>
      <c r="C1134" s="551" t="s">
        <v>2070</v>
      </c>
      <c r="D1134" s="553" t="s">
        <v>6357</v>
      </c>
      <c r="E1134" s="563">
        <f t="shared" si="91"/>
        <v>800</v>
      </c>
      <c r="F1134" s="563">
        <v>0</v>
      </c>
      <c r="G1134" s="563">
        <v>0</v>
      </c>
      <c r="H1134" s="563">
        <v>800</v>
      </c>
      <c r="I1134" s="563">
        <f t="shared" si="90"/>
        <v>491</v>
      </c>
      <c r="J1134" s="563">
        <v>0</v>
      </c>
      <c r="K1134" s="563">
        <v>0</v>
      </c>
      <c r="L1134" s="741">
        <v>491</v>
      </c>
      <c r="M1134" s="687">
        <v>88.8</v>
      </c>
      <c r="N1134" s="563">
        <v>9.4</v>
      </c>
      <c r="O1134" s="746" t="s">
        <v>3282</v>
      </c>
      <c r="P1134" s="547" t="s">
        <v>1588</v>
      </c>
      <c r="Q1134" s="689">
        <v>0</v>
      </c>
      <c r="R1134" s="689">
        <v>0</v>
      </c>
      <c r="S1134" s="689">
        <v>0</v>
      </c>
      <c r="T1134" s="689">
        <v>0</v>
      </c>
      <c r="U1134" s="547" t="s">
        <v>6358</v>
      </c>
      <c r="V1134" s="548" t="s">
        <v>6355</v>
      </c>
      <c r="W1134" s="658">
        <v>6300</v>
      </c>
      <c r="X1134" s="547" t="s">
        <v>1532</v>
      </c>
      <c r="Y1134" s="547" t="s">
        <v>3336</v>
      </c>
      <c r="Z1134" s="547" t="s">
        <v>6356</v>
      </c>
      <c r="AA1134" s="547" t="s">
        <v>1703</v>
      </c>
      <c r="AB1134" s="550" t="s">
        <v>1686</v>
      </c>
    </row>
    <row r="1135" spans="1:28" ht="24" customHeight="1">
      <c r="A1135" s="606"/>
      <c r="B1135" s="544" t="s">
        <v>2201</v>
      </c>
      <c r="C1135" s="551" t="s">
        <v>1876</v>
      </c>
      <c r="D1135" s="553" t="s">
        <v>6359</v>
      </c>
      <c r="E1135" s="563">
        <f t="shared" si="91"/>
        <v>1200</v>
      </c>
      <c r="F1135" s="563">
        <v>0</v>
      </c>
      <c r="G1135" s="563">
        <v>0</v>
      </c>
      <c r="H1135" s="563">
        <v>1200</v>
      </c>
      <c r="I1135" s="563">
        <f t="shared" si="90"/>
        <v>259</v>
      </c>
      <c r="J1135" s="563">
        <v>0</v>
      </c>
      <c r="K1135" s="563">
        <v>0</v>
      </c>
      <c r="L1135" s="741">
        <v>259</v>
      </c>
      <c r="M1135" s="687">
        <v>81.3</v>
      </c>
      <c r="N1135" s="563">
        <v>3.2</v>
      </c>
      <c r="O1135" s="746" t="s">
        <v>3282</v>
      </c>
      <c r="P1135" s="547" t="s">
        <v>1588</v>
      </c>
      <c r="Q1135" s="689">
        <v>0</v>
      </c>
      <c r="R1135" s="689">
        <v>0</v>
      </c>
      <c r="S1135" s="689">
        <v>0</v>
      </c>
      <c r="T1135" s="689">
        <v>0</v>
      </c>
      <c r="U1135" s="547" t="s">
        <v>6360</v>
      </c>
      <c r="V1135" s="548" t="s">
        <v>4042</v>
      </c>
      <c r="W1135" s="658">
        <v>10079</v>
      </c>
      <c r="X1135" s="547" t="s">
        <v>1532</v>
      </c>
      <c r="Y1135" s="547" t="s">
        <v>3336</v>
      </c>
      <c r="Z1135" s="547" t="s">
        <v>6361</v>
      </c>
      <c r="AA1135" s="547" t="s">
        <v>6362</v>
      </c>
      <c r="AB1135" s="550" t="s">
        <v>1686</v>
      </c>
    </row>
    <row r="1136" spans="1:28" ht="24" customHeight="1">
      <c r="A1136" s="606"/>
      <c r="B1136" s="544" t="s">
        <v>2201</v>
      </c>
      <c r="C1136" s="551" t="s">
        <v>1878</v>
      </c>
      <c r="D1136" s="553" t="s">
        <v>6363</v>
      </c>
      <c r="E1136" s="563">
        <f t="shared" si="91"/>
        <v>600</v>
      </c>
      <c r="F1136" s="563">
        <v>0</v>
      </c>
      <c r="G1136" s="563">
        <v>0</v>
      </c>
      <c r="H1136" s="563">
        <v>600</v>
      </c>
      <c r="I1136" s="563">
        <f t="shared" si="90"/>
        <v>77</v>
      </c>
      <c r="J1136" s="563">
        <v>0</v>
      </c>
      <c r="K1136" s="563">
        <v>0</v>
      </c>
      <c r="L1136" s="741">
        <v>77</v>
      </c>
      <c r="M1136" s="687">
        <v>93</v>
      </c>
      <c r="N1136" s="563">
        <v>1.9</v>
      </c>
      <c r="O1136" s="746" t="s">
        <v>3282</v>
      </c>
      <c r="P1136" s="547" t="s">
        <v>1588</v>
      </c>
      <c r="Q1136" s="689">
        <v>0</v>
      </c>
      <c r="R1136" s="689">
        <v>0</v>
      </c>
      <c r="S1136" s="689">
        <v>0</v>
      </c>
      <c r="T1136" s="689">
        <v>0</v>
      </c>
      <c r="U1136" s="547" t="s">
        <v>6349</v>
      </c>
      <c r="V1136" s="548" t="s">
        <v>6364</v>
      </c>
      <c r="W1136" s="658">
        <v>10174</v>
      </c>
      <c r="X1136" s="547" t="s">
        <v>1532</v>
      </c>
      <c r="Y1136" s="547" t="s">
        <v>3336</v>
      </c>
      <c r="Z1136" s="547" t="s">
        <v>1705</v>
      </c>
      <c r="AA1136" s="547" t="s">
        <v>1686</v>
      </c>
      <c r="AB1136" s="550" t="s">
        <v>1686</v>
      </c>
    </row>
    <row r="1137" spans="1:28" ht="24" customHeight="1">
      <c r="A1137" s="606"/>
      <c r="B1137" s="544" t="s">
        <v>675</v>
      </c>
      <c r="C1137" s="551" t="s">
        <v>6365</v>
      </c>
      <c r="D1137" s="553" t="s">
        <v>6366</v>
      </c>
      <c r="E1137" s="563">
        <f t="shared" si="91"/>
        <v>90</v>
      </c>
      <c r="F1137" s="563">
        <v>0</v>
      </c>
      <c r="G1137" s="563">
        <v>0</v>
      </c>
      <c r="H1137" s="563">
        <v>90</v>
      </c>
      <c r="I1137" s="563">
        <f t="shared" si="90"/>
        <v>90</v>
      </c>
      <c r="J1137" s="563">
        <v>0</v>
      </c>
      <c r="K1137" s="563">
        <v>0</v>
      </c>
      <c r="L1137" s="741">
        <v>90</v>
      </c>
      <c r="M1137" s="687">
        <v>93.69786839666358</v>
      </c>
      <c r="N1137" s="563">
        <v>9.1283399999999997</v>
      </c>
      <c r="O1137" s="746" t="s">
        <v>6367</v>
      </c>
      <c r="P1137" s="547" t="s">
        <v>1588</v>
      </c>
      <c r="Q1137" s="689">
        <v>0</v>
      </c>
      <c r="R1137" s="689">
        <v>0</v>
      </c>
      <c r="S1137" s="689">
        <v>0</v>
      </c>
      <c r="T1137" s="689">
        <v>0</v>
      </c>
      <c r="U1137" s="547" t="s">
        <v>6368</v>
      </c>
      <c r="V1137" s="551" t="s">
        <v>6369</v>
      </c>
      <c r="W1137" s="658">
        <v>441</v>
      </c>
      <c r="X1137" s="547" t="s">
        <v>2276</v>
      </c>
      <c r="Y1137" s="547" t="s">
        <v>1533</v>
      </c>
      <c r="Z1137" s="547"/>
      <c r="AA1137" s="547"/>
      <c r="AB1137" s="550" t="s">
        <v>1770</v>
      </c>
    </row>
    <row r="1138" spans="1:28" ht="24" customHeight="1">
      <c r="A1138" s="606"/>
      <c r="B1138" s="544" t="s">
        <v>675</v>
      </c>
      <c r="C1138" s="551" t="s">
        <v>6370</v>
      </c>
      <c r="D1138" s="553" t="s">
        <v>6371</v>
      </c>
      <c r="E1138" s="563">
        <f t="shared" si="91"/>
        <v>17</v>
      </c>
      <c r="F1138" s="563">
        <v>0</v>
      </c>
      <c r="G1138" s="563">
        <v>0</v>
      </c>
      <c r="H1138" s="563">
        <v>17</v>
      </c>
      <c r="I1138" s="563">
        <f t="shared" si="90"/>
        <v>17</v>
      </c>
      <c r="J1138" s="563">
        <v>0</v>
      </c>
      <c r="K1138" s="563">
        <v>0</v>
      </c>
      <c r="L1138" s="741">
        <v>17</v>
      </c>
      <c r="M1138" s="687">
        <v>89.721421709894329</v>
      </c>
      <c r="N1138" s="563">
        <v>1.5877999999999999</v>
      </c>
      <c r="O1138" s="746" t="s">
        <v>6372</v>
      </c>
      <c r="P1138" s="547" t="s">
        <v>1588</v>
      </c>
      <c r="Q1138" s="689">
        <v>0</v>
      </c>
      <c r="R1138" s="689">
        <v>0</v>
      </c>
      <c r="S1138" s="689">
        <v>0</v>
      </c>
      <c r="T1138" s="689">
        <v>0</v>
      </c>
      <c r="U1138" s="547" t="s">
        <v>6368</v>
      </c>
      <c r="V1138" s="551" t="s">
        <v>6373</v>
      </c>
      <c r="W1138" s="658">
        <v>168</v>
      </c>
      <c r="X1138" s="547" t="s">
        <v>2276</v>
      </c>
      <c r="Y1138" s="547" t="s">
        <v>1533</v>
      </c>
      <c r="Z1138" s="547"/>
      <c r="AA1138" s="547"/>
      <c r="AB1138" s="550" t="s">
        <v>1770</v>
      </c>
    </row>
    <row r="1139" spans="1:28" ht="24" customHeight="1">
      <c r="A1139" s="606"/>
      <c r="B1139" s="544" t="s">
        <v>675</v>
      </c>
      <c r="C1139" s="551" t="s">
        <v>6374</v>
      </c>
      <c r="D1139" s="553" t="s">
        <v>6375</v>
      </c>
      <c r="E1139" s="563">
        <f t="shared" si="91"/>
        <v>10</v>
      </c>
      <c r="F1139" s="563">
        <v>0</v>
      </c>
      <c r="G1139" s="563">
        <v>0</v>
      </c>
      <c r="H1139" s="563">
        <v>10</v>
      </c>
      <c r="I1139" s="563">
        <f t="shared" si="90"/>
        <v>10</v>
      </c>
      <c r="J1139" s="563">
        <v>0</v>
      </c>
      <c r="K1139" s="563">
        <v>0</v>
      </c>
      <c r="L1139" s="741">
        <v>10</v>
      </c>
      <c r="M1139" s="687">
        <v>92.857142857142861</v>
      </c>
      <c r="N1139" s="563">
        <v>1.0529999999999999</v>
      </c>
      <c r="O1139" s="746" t="s">
        <v>6376</v>
      </c>
      <c r="P1139" s="547" t="s">
        <v>1588</v>
      </c>
      <c r="Q1139" s="689">
        <v>0</v>
      </c>
      <c r="R1139" s="689">
        <v>0</v>
      </c>
      <c r="S1139" s="689">
        <v>0</v>
      </c>
      <c r="T1139" s="689">
        <v>0</v>
      </c>
      <c r="U1139" s="547" t="s">
        <v>6368</v>
      </c>
      <c r="V1139" s="551" t="s">
        <v>6377</v>
      </c>
      <c r="W1139" s="658">
        <v>100</v>
      </c>
      <c r="X1139" s="547" t="s">
        <v>2276</v>
      </c>
      <c r="Y1139" s="547" t="s">
        <v>1533</v>
      </c>
      <c r="Z1139" s="547"/>
      <c r="AA1139" s="547"/>
      <c r="AB1139" s="550" t="s">
        <v>1770</v>
      </c>
    </row>
    <row r="1140" spans="1:28" ht="24" customHeight="1">
      <c r="A1140" s="606"/>
      <c r="B1140" s="544" t="s">
        <v>675</v>
      </c>
      <c r="C1140" s="551" t="s">
        <v>6378</v>
      </c>
      <c r="D1140" s="553" t="s">
        <v>6379</v>
      </c>
      <c r="E1140" s="563">
        <f t="shared" si="91"/>
        <v>30</v>
      </c>
      <c r="F1140" s="563">
        <v>0</v>
      </c>
      <c r="G1140" s="563">
        <v>0</v>
      </c>
      <c r="H1140" s="563">
        <v>30</v>
      </c>
      <c r="I1140" s="563">
        <f t="shared" si="90"/>
        <v>30</v>
      </c>
      <c r="J1140" s="563">
        <v>0</v>
      </c>
      <c r="K1140" s="563">
        <v>0</v>
      </c>
      <c r="L1140" s="741">
        <v>30</v>
      </c>
      <c r="M1140" s="687">
        <v>91.775700934579447</v>
      </c>
      <c r="N1140" s="563">
        <v>2.9460000000000006</v>
      </c>
      <c r="O1140" s="746" t="s">
        <v>2526</v>
      </c>
      <c r="P1140" s="547" t="s">
        <v>1588</v>
      </c>
      <c r="Q1140" s="689">
        <v>0</v>
      </c>
      <c r="R1140" s="689">
        <v>0</v>
      </c>
      <c r="S1140" s="689">
        <v>0</v>
      </c>
      <c r="T1140" s="689">
        <v>0</v>
      </c>
      <c r="U1140" s="547" t="s">
        <v>6368</v>
      </c>
      <c r="V1140" s="551" t="s">
        <v>6380</v>
      </c>
      <c r="W1140" s="658">
        <v>291</v>
      </c>
      <c r="X1140" s="547" t="s">
        <v>2276</v>
      </c>
      <c r="Y1140" s="547" t="s">
        <v>1533</v>
      </c>
      <c r="Z1140" s="547"/>
      <c r="AA1140" s="547"/>
      <c r="AB1140" s="550" t="s">
        <v>1770</v>
      </c>
    </row>
    <row r="1141" spans="1:28" ht="24" customHeight="1">
      <c r="A1141" s="606"/>
      <c r="B1141" s="544" t="s">
        <v>675</v>
      </c>
      <c r="C1141" s="551" t="s">
        <v>6381</v>
      </c>
      <c r="D1141" s="553" t="s">
        <v>6382</v>
      </c>
      <c r="E1141" s="563">
        <f t="shared" si="91"/>
        <v>30</v>
      </c>
      <c r="F1141" s="563">
        <v>0</v>
      </c>
      <c r="G1141" s="563">
        <v>0</v>
      </c>
      <c r="H1141" s="563">
        <v>30</v>
      </c>
      <c r="I1141" s="563">
        <f t="shared" si="90"/>
        <v>30</v>
      </c>
      <c r="J1141" s="563">
        <v>0</v>
      </c>
      <c r="K1141" s="563">
        <v>0</v>
      </c>
      <c r="L1141" s="741">
        <v>30</v>
      </c>
      <c r="M1141" s="687">
        <v>87.671232876712324</v>
      </c>
      <c r="N1141" s="563">
        <v>3.0720000000000001</v>
      </c>
      <c r="O1141" s="746" t="s">
        <v>6383</v>
      </c>
      <c r="P1141" s="547" t="s">
        <v>1588</v>
      </c>
      <c r="Q1141" s="689">
        <v>0</v>
      </c>
      <c r="R1141" s="689">
        <v>0</v>
      </c>
      <c r="S1141" s="689">
        <v>0</v>
      </c>
      <c r="T1141" s="689">
        <v>0</v>
      </c>
      <c r="U1141" s="547" t="s">
        <v>6368</v>
      </c>
      <c r="V1141" s="551" t="s">
        <v>6384</v>
      </c>
      <c r="W1141" s="658">
        <v>150</v>
      </c>
      <c r="X1141" s="547" t="s">
        <v>2276</v>
      </c>
      <c r="Y1141" s="547" t="s">
        <v>1533</v>
      </c>
      <c r="Z1141" s="547"/>
      <c r="AA1141" s="547"/>
      <c r="AB1141" s="550" t="s">
        <v>1770</v>
      </c>
    </row>
    <row r="1142" spans="1:28" ht="24" customHeight="1">
      <c r="A1142" s="606"/>
      <c r="B1142" s="544" t="s">
        <v>675</v>
      </c>
      <c r="C1142" s="551" t="s">
        <v>6385</v>
      </c>
      <c r="D1142" s="553" t="s">
        <v>6379</v>
      </c>
      <c r="E1142" s="563">
        <f t="shared" si="91"/>
        <v>34</v>
      </c>
      <c r="F1142" s="563">
        <v>0</v>
      </c>
      <c r="G1142" s="563">
        <v>0</v>
      </c>
      <c r="H1142" s="563">
        <v>34</v>
      </c>
      <c r="I1142" s="563">
        <f t="shared" si="90"/>
        <v>34</v>
      </c>
      <c r="J1142" s="563">
        <v>0</v>
      </c>
      <c r="K1142" s="563">
        <v>0</v>
      </c>
      <c r="L1142" s="741">
        <v>34</v>
      </c>
      <c r="M1142" s="687">
        <v>91.674290942360486</v>
      </c>
      <c r="N1142" s="563">
        <v>3.6685228253207387</v>
      </c>
      <c r="O1142" s="746" t="s">
        <v>2526</v>
      </c>
      <c r="P1142" s="547" t="s">
        <v>1588</v>
      </c>
      <c r="Q1142" s="689">
        <v>0</v>
      </c>
      <c r="R1142" s="689">
        <v>0</v>
      </c>
      <c r="S1142" s="689">
        <v>0</v>
      </c>
      <c r="T1142" s="689">
        <v>0</v>
      </c>
      <c r="U1142" s="547" t="s">
        <v>6368</v>
      </c>
      <c r="V1142" s="551" t="s">
        <v>6386</v>
      </c>
      <c r="W1142" s="658">
        <v>239</v>
      </c>
      <c r="X1142" s="547" t="s">
        <v>2276</v>
      </c>
      <c r="Y1142" s="547" t="s">
        <v>1533</v>
      </c>
      <c r="Z1142" s="547"/>
      <c r="AA1142" s="547"/>
      <c r="AB1142" s="550" t="s">
        <v>1770</v>
      </c>
    </row>
    <row r="1143" spans="1:28" ht="24" customHeight="1">
      <c r="A1143" s="606"/>
      <c r="B1143" s="544" t="s">
        <v>675</v>
      </c>
      <c r="C1143" s="551" t="s">
        <v>6387</v>
      </c>
      <c r="D1143" s="553" t="s">
        <v>6388</v>
      </c>
      <c r="E1143" s="563">
        <f t="shared" si="91"/>
        <v>60</v>
      </c>
      <c r="F1143" s="563">
        <v>0</v>
      </c>
      <c r="G1143" s="563">
        <v>0</v>
      </c>
      <c r="H1143" s="563">
        <v>60</v>
      </c>
      <c r="I1143" s="563">
        <f t="shared" si="90"/>
        <v>60</v>
      </c>
      <c r="J1143" s="563">
        <v>0</v>
      </c>
      <c r="K1143" s="563">
        <v>0</v>
      </c>
      <c r="L1143" s="741">
        <v>60</v>
      </c>
      <c r="M1143" s="687">
        <v>94.781783681214421</v>
      </c>
      <c r="N1143" s="563">
        <v>5.9939999999999998</v>
      </c>
      <c r="O1143" s="746" t="s">
        <v>6389</v>
      </c>
      <c r="P1143" s="547" t="s">
        <v>1588</v>
      </c>
      <c r="Q1143" s="689">
        <v>0</v>
      </c>
      <c r="R1143" s="689">
        <v>0</v>
      </c>
      <c r="S1143" s="689">
        <v>0</v>
      </c>
      <c r="T1143" s="689">
        <v>0</v>
      </c>
      <c r="U1143" s="547" t="s">
        <v>6368</v>
      </c>
      <c r="V1143" s="551" t="s">
        <v>6390</v>
      </c>
      <c r="W1143" s="658">
        <v>285</v>
      </c>
      <c r="X1143" s="547" t="s">
        <v>2276</v>
      </c>
      <c r="Y1143" s="547" t="s">
        <v>1533</v>
      </c>
      <c r="Z1143" s="547"/>
      <c r="AA1143" s="547"/>
      <c r="AB1143" s="550" t="s">
        <v>1770</v>
      </c>
    </row>
    <row r="1144" spans="1:28" ht="24" customHeight="1">
      <c r="A1144" s="606"/>
      <c r="B1144" s="544" t="s">
        <v>675</v>
      </c>
      <c r="C1144" s="551" t="s">
        <v>6391</v>
      </c>
      <c r="D1144" s="553" t="s">
        <v>6392</v>
      </c>
      <c r="E1144" s="563">
        <f t="shared" si="91"/>
        <v>40</v>
      </c>
      <c r="F1144" s="563">
        <v>0</v>
      </c>
      <c r="G1144" s="563">
        <v>0</v>
      </c>
      <c r="H1144" s="563">
        <v>40</v>
      </c>
      <c r="I1144" s="563">
        <f t="shared" si="90"/>
        <v>40</v>
      </c>
      <c r="J1144" s="563">
        <v>0</v>
      </c>
      <c r="K1144" s="563">
        <v>0</v>
      </c>
      <c r="L1144" s="741">
        <v>40</v>
      </c>
      <c r="M1144" s="687">
        <v>93.171608265947896</v>
      </c>
      <c r="N1144" s="563">
        <v>4.1480000000000006</v>
      </c>
      <c r="O1144" s="746" t="s">
        <v>6389</v>
      </c>
      <c r="P1144" s="547" t="s">
        <v>1588</v>
      </c>
      <c r="Q1144" s="689">
        <v>0</v>
      </c>
      <c r="R1144" s="689">
        <v>0</v>
      </c>
      <c r="S1144" s="689">
        <v>0</v>
      </c>
      <c r="T1144" s="689">
        <v>0</v>
      </c>
      <c r="U1144" s="547" t="s">
        <v>6368</v>
      </c>
      <c r="V1144" s="551" t="s">
        <v>6390</v>
      </c>
      <c r="W1144" s="658">
        <v>254</v>
      </c>
      <c r="X1144" s="547" t="s">
        <v>2276</v>
      </c>
      <c r="Y1144" s="547" t="s">
        <v>1533</v>
      </c>
      <c r="Z1144" s="547"/>
      <c r="AA1144" s="547"/>
      <c r="AB1144" s="550" t="s">
        <v>1770</v>
      </c>
    </row>
    <row r="1145" spans="1:28" ht="24" customHeight="1">
      <c r="A1145" s="606"/>
      <c r="B1145" s="544" t="s">
        <v>675</v>
      </c>
      <c r="C1145" s="551" t="s">
        <v>6393</v>
      </c>
      <c r="D1145" s="553" t="s">
        <v>6394</v>
      </c>
      <c r="E1145" s="563">
        <f t="shared" si="91"/>
        <v>70</v>
      </c>
      <c r="F1145" s="563">
        <v>0</v>
      </c>
      <c r="G1145" s="563">
        <v>0</v>
      </c>
      <c r="H1145" s="563">
        <v>70</v>
      </c>
      <c r="I1145" s="563">
        <f t="shared" si="90"/>
        <v>70</v>
      </c>
      <c r="J1145" s="563">
        <v>0</v>
      </c>
      <c r="K1145" s="563">
        <v>0</v>
      </c>
      <c r="L1145" s="741">
        <v>70</v>
      </c>
      <c r="M1145" s="687">
        <v>92.331606217616581</v>
      </c>
      <c r="N1145" s="563">
        <v>6.2370000000000001</v>
      </c>
      <c r="O1145" s="746" t="s">
        <v>6395</v>
      </c>
      <c r="P1145" s="547" t="s">
        <v>1588</v>
      </c>
      <c r="Q1145" s="689">
        <v>0</v>
      </c>
      <c r="R1145" s="689">
        <v>0</v>
      </c>
      <c r="S1145" s="689">
        <v>0</v>
      </c>
      <c r="T1145" s="689">
        <v>0</v>
      </c>
      <c r="U1145" s="547" t="s">
        <v>6368</v>
      </c>
      <c r="V1145" s="551" t="s">
        <v>6396</v>
      </c>
      <c r="W1145" s="658">
        <v>351</v>
      </c>
      <c r="X1145" s="547" t="s">
        <v>2276</v>
      </c>
      <c r="Y1145" s="547" t="s">
        <v>3161</v>
      </c>
      <c r="Z1145" s="547"/>
      <c r="AA1145" s="547"/>
      <c r="AB1145" s="550" t="s">
        <v>1770</v>
      </c>
    </row>
    <row r="1146" spans="1:28" ht="24" customHeight="1">
      <c r="A1146" s="606"/>
      <c r="B1146" s="544" t="s">
        <v>675</v>
      </c>
      <c r="C1146" s="551" t="s">
        <v>6397</v>
      </c>
      <c r="D1146" s="553" t="s">
        <v>6375</v>
      </c>
      <c r="E1146" s="563">
        <f t="shared" si="91"/>
        <v>40</v>
      </c>
      <c r="F1146" s="563">
        <v>0</v>
      </c>
      <c r="G1146" s="563">
        <v>0</v>
      </c>
      <c r="H1146" s="563">
        <v>40</v>
      </c>
      <c r="I1146" s="563">
        <f t="shared" si="90"/>
        <v>40</v>
      </c>
      <c r="J1146" s="563">
        <v>0</v>
      </c>
      <c r="K1146" s="563">
        <v>0</v>
      </c>
      <c r="L1146" s="741">
        <v>40</v>
      </c>
      <c r="M1146" s="687">
        <v>91.45</v>
      </c>
      <c r="N1146" s="563">
        <v>7.3160000000000007</v>
      </c>
      <c r="O1146" s="746" t="s">
        <v>3180</v>
      </c>
      <c r="P1146" s="547" t="s">
        <v>1588</v>
      </c>
      <c r="Q1146" s="689">
        <v>0</v>
      </c>
      <c r="R1146" s="689">
        <v>0</v>
      </c>
      <c r="S1146" s="689">
        <v>0</v>
      </c>
      <c r="T1146" s="689">
        <v>0</v>
      </c>
      <c r="U1146" s="547" t="s">
        <v>6368</v>
      </c>
      <c r="V1146" s="551" t="s">
        <v>6396</v>
      </c>
      <c r="W1146" s="658">
        <v>276</v>
      </c>
      <c r="X1146" s="547" t="s">
        <v>2276</v>
      </c>
      <c r="Y1146" s="547" t="s">
        <v>1533</v>
      </c>
      <c r="Z1146" s="547"/>
      <c r="AA1146" s="547"/>
      <c r="AB1146" s="550" t="s">
        <v>1770</v>
      </c>
    </row>
    <row r="1147" spans="1:28" ht="24" customHeight="1">
      <c r="A1147" s="606"/>
      <c r="B1147" s="544" t="s">
        <v>675</v>
      </c>
      <c r="C1147" s="551" t="s">
        <v>6398</v>
      </c>
      <c r="D1147" s="553" t="s">
        <v>6399</v>
      </c>
      <c r="E1147" s="563">
        <f t="shared" si="91"/>
        <v>25</v>
      </c>
      <c r="F1147" s="563">
        <v>0</v>
      </c>
      <c r="G1147" s="563">
        <v>0</v>
      </c>
      <c r="H1147" s="563">
        <v>25</v>
      </c>
      <c r="I1147" s="563">
        <f t="shared" si="90"/>
        <v>25</v>
      </c>
      <c r="J1147" s="563">
        <v>0</v>
      </c>
      <c r="K1147" s="563">
        <v>0</v>
      </c>
      <c r="L1147" s="741">
        <v>25</v>
      </c>
      <c r="M1147" s="687">
        <v>91.431792559188281</v>
      </c>
      <c r="N1147" s="563">
        <v>2.0274999999999999</v>
      </c>
      <c r="O1147" s="746" t="s">
        <v>6400</v>
      </c>
      <c r="P1147" s="547" t="s">
        <v>1588</v>
      </c>
      <c r="Q1147" s="689">
        <v>0</v>
      </c>
      <c r="R1147" s="689">
        <v>0</v>
      </c>
      <c r="S1147" s="689">
        <v>0</v>
      </c>
      <c r="T1147" s="689">
        <v>0</v>
      </c>
      <c r="U1147" s="547" t="s">
        <v>6368</v>
      </c>
      <c r="V1147" s="551" t="s">
        <v>6401</v>
      </c>
      <c r="W1147" s="658">
        <v>367</v>
      </c>
      <c r="X1147" s="547" t="s">
        <v>2276</v>
      </c>
      <c r="Y1147" s="547" t="s">
        <v>3161</v>
      </c>
      <c r="Z1147" s="547"/>
      <c r="AA1147" s="547"/>
      <c r="AB1147" s="550" t="s">
        <v>6352</v>
      </c>
    </row>
    <row r="1148" spans="1:28" ht="24" customHeight="1">
      <c r="A1148" s="606"/>
      <c r="B1148" s="544" t="s">
        <v>675</v>
      </c>
      <c r="C1148" s="551" t="s">
        <v>6402</v>
      </c>
      <c r="D1148" s="553" t="s">
        <v>6403</v>
      </c>
      <c r="E1148" s="563">
        <f t="shared" si="91"/>
        <v>40</v>
      </c>
      <c r="F1148" s="563">
        <v>0</v>
      </c>
      <c r="G1148" s="563">
        <v>0</v>
      </c>
      <c r="H1148" s="563">
        <v>40</v>
      </c>
      <c r="I1148" s="563">
        <f t="shared" si="90"/>
        <v>40</v>
      </c>
      <c r="J1148" s="563">
        <v>0</v>
      </c>
      <c r="K1148" s="563">
        <v>0</v>
      </c>
      <c r="L1148" s="741">
        <v>40</v>
      </c>
      <c r="M1148" s="687">
        <v>91.480298189563371</v>
      </c>
      <c r="N1148" s="563">
        <v>3.4359999999999999</v>
      </c>
      <c r="O1148" s="746" t="s">
        <v>6400</v>
      </c>
      <c r="P1148" s="547" t="s">
        <v>1588</v>
      </c>
      <c r="Q1148" s="689">
        <v>0</v>
      </c>
      <c r="R1148" s="689">
        <v>0</v>
      </c>
      <c r="S1148" s="689">
        <v>0</v>
      </c>
      <c r="T1148" s="689">
        <v>0</v>
      </c>
      <c r="U1148" s="547" t="s">
        <v>6368</v>
      </c>
      <c r="V1148" s="551" t="s">
        <v>6401</v>
      </c>
      <c r="W1148" s="658">
        <v>300</v>
      </c>
      <c r="X1148" s="547" t="s">
        <v>2276</v>
      </c>
      <c r="Y1148" s="547" t="s">
        <v>3161</v>
      </c>
      <c r="Z1148" s="547"/>
      <c r="AA1148" s="547"/>
      <c r="AB1148" s="550" t="s">
        <v>6352</v>
      </c>
    </row>
    <row r="1149" spans="1:28" ht="24" customHeight="1">
      <c r="A1149" s="606"/>
      <c r="B1149" s="544" t="s">
        <v>675</v>
      </c>
      <c r="C1149" s="551" t="s">
        <v>6404</v>
      </c>
      <c r="D1149" s="553" t="s">
        <v>6405</v>
      </c>
      <c r="E1149" s="563">
        <f t="shared" si="91"/>
        <v>30</v>
      </c>
      <c r="F1149" s="563">
        <v>0</v>
      </c>
      <c r="G1149" s="563">
        <v>0</v>
      </c>
      <c r="H1149" s="563">
        <v>30</v>
      </c>
      <c r="I1149" s="563">
        <f t="shared" si="90"/>
        <v>30</v>
      </c>
      <c r="J1149" s="563">
        <v>0</v>
      </c>
      <c r="K1149" s="563">
        <v>0</v>
      </c>
      <c r="L1149" s="741">
        <v>30</v>
      </c>
      <c r="M1149" s="687">
        <v>90.605239385727188</v>
      </c>
      <c r="N1149" s="563">
        <v>3.0089999999999999</v>
      </c>
      <c r="O1149" s="746" t="s">
        <v>6406</v>
      </c>
      <c r="P1149" s="547" t="s">
        <v>1588</v>
      </c>
      <c r="Q1149" s="689">
        <v>0</v>
      </c>
      <c r="R1149" s="689">
        <v>0</v>
      </c>
      <c r="S1149" s="689">
        <v>0</v>
      </c>
      <c r="T1149" s="689">
        <v>0</v>
      </c>
      <c r="U1149" s="547" t="s">
        <v>6368</v>
      </c>
      <c r="V1149" s="551" t="s">
        <v>6407</v>
      </c>
      <c r="W1149" s="658">
        <v>213</v>
      </c>
      <c r="X1149" s="547" t="s">
        <v>2276</v>
      </c>
      <c r="Y1149" s="547" t="s">
        <v>3161</v>
      </c>
      <c r="Z1149" s="547"/>
      <c r="AA1149" s="547"/>
      <c r="AB1149" s="550" t="s">
        <v>1703</v>
      </c>
    </row>
    <row r="1150" spans="1:28" ht="24" customHeight="1">
      <c r="A1150" s="606"/>
      <c r="B1150" s="544" t="s">
        <v>675</v>
      </c>
      <c r="C1150" s="551" t="s">
        <v>6408</v>
      </c>
      <c r="D1150" s="553" t="s">
        <v>6405</v>
      </c>
      <c r="E1150" s="563">
        <f t="shared" si="91"/>
        <v>20</v>
      </c>
      <c r="F1150" s="563">
        <v>0</v>
      </c>
      <c r="G1150" s="563">
        <v>0</v>
      </c>
      <c r="H1150" s="563">
        <v>20</v>
      </c>
      <c r="I1150" s="563">
        <f t="shared" si="90"/>
        <v>20</v>
      </c>
      <c r="J1150" s="563">
        <v>0</v>
      </c>
      <c r="K1150" s="563">
        <v>0</v>
      </c>
      <c r="L1150" s="741">
        <v>20</v>
      </c>
      <c r="M1150" s="687">
        <v>94.045174537987691</v>
      </c>
      <c r="N1150" s="563">
        <v>1.8320000000000003</v>
      </c>
      <c r="O1150" s="746" t="s">
        <v>6406</v>
      </c>
      <c r="P1150" s="547" t="s">
        <v>1588</v>
      </c>
      <c r="Q1150" s="689">
        <v>0</v>
      </c>
      <c r="R1150" s="689">
        <v>0</v>
      </c>
      <c r="S1150" s="689">
        <v>0</v>
      </c>
      <c r="T1150" s="689">
        <v>0</v>
      </c>
      <c r="U1150" s="547" t="s">
        <v>6368</v>
      </c>
      <c r="V1150" s="551" t="s">
        <v>6407</v>
      </c>
      <c r="W1150" s="658">
        <v>158</v>
      </c>
      <c r="X1150" s="547" t="s">
        <v>2276</v>
      </c>
      <c r="Y1150" s="547" t="s">
        <v>3161</v>
      </c>
      <c r="Z1150" s="547"/>
      <c r="AA1150" s="547"/>
      <c r="AB1150" s="550" t="s">
        <v>1703</v>
      </c>
    </row>
    <row r="1151" spans="1:28" ht="24" customHeight="1">
      <c r="A1151" s="606"/>
      <c r="B1151" s="544" t="s">
        <v>675</v>
      </c>
      <c r="C1151" s="551" t="s">
        <v>6409</v>
      </c>
      <c r="D1151" s="553" t="s">
        <v>6410</v>
      </c>
      <c r="E1151" s="563">
        <f t="shared" si="91"/>
        <v>15</v>
      </c>
      <c r="F1151" s="563">
        <v>0</v>
      </c>
      <c r="G1151" s="563">
        <v>0</v>
      </c>
      <c r="H1151" s="563">
        <v>15</v>
      </c>
      <c r="I1151" s="563">
        <f t="shared" si="90"/>
        <v>15</v>
      </c>
      <c r="J1151" s="563">
        <v>0</v>
      </c>
      <c r="K1151" s="563">
        <v>0</v>
      </c>
      <c r="L1151" s="741">
        <v>15</v>
      </c>
      <c r="M1151" s="687">
        <v>94.664031620553359</v>
      </c>
      <c r="N1151" s="563">
        <v>1.4370000000000001</v>
      </c>
      <c r="O1151" s="746" t="s">
        <v>6411</v>
      </c>
      <c r="P1151" s="547" t="s">
        <v>1588</v>
      </c>
      <c r="Q1151" s="689">
        <v>0</v>
      </c>
      <c r="R1151" s="689">
        <v>0</v>
      </c>
      <c r="S1151" s="689">
        <v>0</v>
      </c>
      <c r="T1151" s="689">
        <v>0</v>
      </c>
      <c r="U1151" s="547" t="s">
        <v>6368</v>
      </c>
      <c r="V1151" s="551" t="s">
        <v>6412</v>
      </c>
      <c r="W1151" s="658">
        <v>144</v>
      </c>
      <c r="X1151" s="547" t="s">
        <v>2276</v>
      </c>
      <c r="Y1151" s="547" t="s">
        <v>3161</v>
      </c>
      <c r="Z1151" s="547"/>
      <c r="AA1151" s="547"/>
      <c r="AB1151" s="550" t="s">
        <v>1703</v>
      </c>
    </row>
    <row r="1152" spans="1:28" ht="24" customHeight="1">
      <c r="A1152" s="606"/>
      <c r="B1152" s="544" t="s">
        <v>675</v>
      </c>
      <c r="C1152" s="551" t="s">
        <v>6413</v>
      </c>
      <c r="D1152" s="553" t="s">
        <v>6414</v>
      </c>
      <c r="E1152" s="563">
        <f t="shared" si="91"/>
        <v>30</v>
      </c>
      <c r="F1152" s="563">
        <v>0</v>
      </c>
      <c r="G1152" s="563">
        <v>0</v>
      </c>
      <c r="H1152" s="563">
        <v>30</v>
      </c>
      <c r="I1152" s="563">
        <f t="shared" si="90"/>
        <v>30</v>
      </c>
      <c r="J1152" s="563">
        <v>0</v>
      </c>
      <c r="K1152" s="563">
        <v>0</v>
      </c>
      <c r="L1152" s="741">
        <v>30</v>
      </c>
      <c r="M1152" s="687">
        <v>94.714587737843544</v>
      </c>
      <c r="N1152" s="563">
        <v>2.6880000000000002</v>
      </c>
      <c r="O1152" s="746" t="s">
        <v>6406</v>
      </c>
      <c r="P1152" s="547" t="s">
        <v>1588</v>
      </c>
      <c r="Q1152" s="689">
        <v>0</v>
      </c>
      <c r="R1152" s="689">
        <v>0</v>
      </c>
      <c r="S1152" s="689">
        <v>0</v>
      </c>
      <c r="T1152" s="689">
        <v>0</v>
      </c>
      <c r="U1152" s="547" t="s">
        <v>6368</v>
      </c>
      <c r="V1152" s="551" t="s">
        <v>6415</v>
      </c>
      <c r="W1152" s="658">
        <v>184</v>
      </c>
      <c r="X1152" s="547" t="s">
        <v>2276</v>
      </c>
      <c r="Y1152" s="547" t="s">
        <v>3161</v>
      </c>
      <c r="Z1152" s="547"/>
      <c r="AA1152" s="547"/>
      <c r="AB1152" s="550" t="s">
        <v>1703</v>
      </c>
    </row>
    <row r="1153" spans="1:28" ht="24" customHeight="1">
      <c r="A1153" s="606"/>
      <c r="B1153" s="544" t="s">
        <v>675</v>
      </c>
      <c r="C1153" s="551" t="s">
        <v>6416</v>
      </c>
      <c r="D1153" s="553" t="s">
        <v>6417</v>
      </c>
      <c r="E1153" s="563">
        <f t="shared" si="91"/>
        <v>50</v>
      </c>
      <c r="F1153" s="563">
        <v>0</v>
      </c>
      <c r="G1153" s="563">
        <v>0</v>
      </c>
      <c r="H1153" s="563">
        <v>50</v>
      </c>
      <c r="I1153" s="563">
        <f t="shared" si="90"/>
        <v>50</v>
      </c>
      <c r="J1153" s="563">
        <v>0</v>
      </c>
      <c r="K1153" s="563">
        <v>0</v>
      </c>
      <c r="L1153" s="741">
        <v>50</v>
      </c>
      <c r="M1153" s="687">
        <v>92.572062084257198</v>
      </c>
      <c r="N1153" s="563">
        <v>4.1749999999999998</v>
      </c>
      <c r="O1153" s="746" t="s">
        <v>6411</v>
      </c>
      <c r="P1153" s="547" t="s">
        <v>1588</v>
      </c>
      <c r="Q1153" s="689">
        <v>0</v>
      </c>
      <c r="R1153" s="689">
        <v>0</v>
      </c>
      <c r="S1153" s="689">
        <v>0</v>
      </c>
      <c r="T1153" s="689">
        <v>0</v>
      </c>
      <c r="U1153" s="547" t="s">
        <v>6368</v>
      </c>
      <c r="V1153" s="551" t="s">
        <v>6412</v>
      </c>
      <c r="W1153" s="658">
        <v>187</v>
      </c>
      <c r="X1153" s="547" t="s">
        <v>2276</v>
      </c>
      <c r="Y1153" s="547" t="s">
        <v>3161</v>
      </c>
      <c r="Z1153" s="547"/>
      <c r="AA1153" s="547"/>
      <c r="AB1153" s="550" t="s">
        <v>1703</v>
      </c>
    </row>
    <row r="1154" spans="1:28" ht="24" customHeight="1">
      <c r="A1154" s="606"/>
      <c r="B1154" s="544" t="s">
        <v>675</v>
      </c>
      <c r="C1154" s="551" t="s">
        <v>6418</v>
      </c>
      <c r="D1154" s="553" t="s">
        <v>6419</v>
      </c>
      <c r="E1154" s="563">
        <f t="shared" si="91"/>
        <v>40</v>
      </c>
      <c r="F1154" s="563">
        <v>0</v>
      </c>
      <c r="G1154" s="563">
        <v>0</v>
      </c>
      <c r="H1154" s="563">
        <v>40</v>
      </c>
      <c r="I1154" s="563">
        <f t="shared" si="90"/>
        <v>40</v>
      </c>
      <c r="J1154" s="563">
        <v>0</v>
      </c>
      <c r="K1154" s="563">
        <v>0</v>
      </c>
      <c r="L1154" s="741">
        <v>40</v>
      </c>
      <c r="M1154" s="687">
        <v>95.191451469278704</v>
      </c>
      <c r="N1154" s="563">
        <v>4.2759999999999998</v>
      </c>
      <c r="O1154" s="746" t="s">
        <v>6411</v>
      </c>
      <c r="P1154" s="547" t="s">
        <v>1588</v>
      </c>
      <c r="Q1154" s="689">
        <v>0</v>
      </c>
      <c r="R1154" s="689">
        <v>0</v>
      </c>
      <c r="S1154" s="689">
        <v>0</v>
      </c>
      <c r="T1154" s="689">
        <v>0</v>
      </c>
      <c r="U1154" s="547" t="s">
        <v>6368</v>
      </c>
      <c r="V1154" s="551" t="s">
        <v>6412</v>
      </c>
      <c r="W1154" s="658">
        <v>235</v>
      </c>
      <c r="X1154" s="547" t="s">
        <v>2276</v>
      </c>
      <c r="Y1154" s="547" t="s">
        <v>3161</v>
      </c>
      <c r="Z1154" s="547"/>
      <c r="AA1154" s="547"/>
      <c r="AB1154" s="550" t="s">
        <v>1703</v>
      </c>
    </row>
    <row r="1155" spans="1:28" ht="24" customHeight="1">
      <c r="A1155" s="606"/>
      <c r="B1155" s="544" t="s">
        <v>675</v>
      </c>
      <c r="C1155" s="551" t="s">
        <v>6420</v>
      </c>
      <c r="D1155" s="553" t="s">
        <v>6421</v>
      </c>
      <c r="E1155" s="563">
        <f t="shared" si="91"/>
        <v>40</v>
      </c>
      <c r="F1155" s="563">
        <v>0</v>
      </c>
      <c r="G1155" s="563">
        <v>0</v>
      </c>
      <c r="H1155" s="563">
        <v>40</v>
      </c>
      <c r="I1155" s="563">
        <f t="shared" si="90"/>
        <v>40</v>
      </c>
      <c r="J1155" s="563">
        <v>0</v>
      </c>
      <c r="K1155" s="563">
        <v>0</v>
      </c>
      <c r="L1155" s="741">
        <v>40</v>
      </c>
      <c r="M1155" s="687">
        <v>92.526315789473685</v>
      </c>
      <c r="N1155" s="563">
        <v>3.516</v>
      </c>
      <c r="O1155" s="746" t="s">
        <v>6422</v>
      </c>
      <c r="P1155" s="547" t="s">
        <v>1588</v>
      </c>
      <c r="Q1155" s="689">
        <v>0</v>
      </c>
      <c r="R1155" s="689">
        <v>0</v>
      </c>
      <c r="S1155" s="689">
        <v>0</v>
      </c>
      <c r="T1155" s="689">
        <v>0</v>
      </c>
      <c r="U1155" s="547" t="s">
        <v>6368</v>
      </c>
      <c r="V1155" s="551" t="s">
        <v>6423</v>
      </c>
      <c r="W1155" s="658">
        <v>333</v>
      </c>
      <c r="X1155" s="547" t="s">
        <v>2276</v>
      </c>
      <c r="Y1155" s="547" t="s">
        <v>3161</v>
      </c>
      <c r="Z1155" s="547"/>
      <c r="AA1155" s="547"/>
      <c r="AB1155" s="550" t="s">
        <v>6352</v>
      </c>
    </row>
    <row r="1156" spans="1:28" ht="24" customHeight="1">
      <c r="A1156" s="606"/>
      <c r="B1156" s="544" t="s">
        <v>675</v>
      </c>
      <c r="C1156" s="551" t="s">
        <v>6424</v>
      </c>
      <c r="D1156" s="553" t="s">
        <v>6425</v>
      </c>
      <c r="E1156" s="563">
        <f t="shared" si="91"/>
        <v>40</v>
      </c>
      <c r="F1156" s="563">
        <v>0</v>
      </c>
      <c r="G1156" s="563">
        <v>0</v>
      </c>
      <c r="H1156" s="563">
        <v>40</v>
      </c>
      <c r="I1156" s="563">
        <f t="shared" si="90"/>
        <v>40</v>
      </c>
      <c r="J1156" s="563">
        <v>0</v>
      </c>
      <c r="K1156" s="563">
        <v>0</v>
      </c>
      <c r="L1156" s="741">
        <v>40</v>
      </c>
      <c r="M1156" s="687">
        <v>92.702980472764651</v>
      </c>
      <c r="N1156" s="563">
        <v>3.6080000000000001</v>
      </c>
      <c r="O1156" s="746" t="s">
        <v>6400</v>
      </c>
      <c r="P1156" s="547" t="s">
        <v>1588</v>
      </c>
      <c r="Q1156" s="689">
        <v>0</v>
      </c>
      <c r="R1156" s="689">
        <v>0</v>
      </c>
      <c r="S1156" s="689">
        <v>0</v>
      </c>
      <c r="T1156" s="689">
        <v>0</v>
      </c>
      <c r="U1156" s="547" t="s">
        <v>6368</v>
      </c>
      <c r="V1156" s="551" t="s">
        <v>6401</v>
      </c>
      <c r="W1156" s="658">
        <v>267</v>
      </c>
      <c r="X1156" s="547" t="s">
        <v>2276</v>
      </c>
      <c r="Y1156" s="547" t="s">
        <v>1533</v>
      </c>
      <c r="Z1156" s="547"/>
      <c r="AA1156" s="547"/>
      <c r="AB1156" s="550" t="s">
        <v>6352</v>
      </c>
    </row>
    <row r="1157" spans="1:28" ht="24" customHeight="1">
      <c r="A1157" s="606"/>
      <c r="B1157" s="544" t="s">
        <v>675</v>
      </c>
      <c r="C1157" s="551" t="s">
        <v>6426</v>
      </c>
      <c r="D1157" s="553" t="s">
        <v>6427</v>
      </c>
      <c r="E1157" s="563">
        <f t="shared" si="91"/>
        <v>60</v>
      </c>
      <c r="F1157" s="563">
        <v>0</v>
      </c>
      <c r="G1157" s="563">
        <v>0</v>
      </c>
      <c r="H1157" s="563">
        <v>60</v>
      </c>
      <c r="I1157" s="563">
        <f t="shared" si="90"/>
        <v>60</v>
      </c>
      <c r="J1157" s="563">
        <v>0</v>
      </c>
      <c r="K1157" s="563">
        <v>0</v>
      </c>
      <c r="L1157" s="741">
        <v>60</v>
      </c>
      <c r="M1157" s="687">
        <v>92.132505175983439</v>
      </c>
      <c r="N1157" s="563">
        <v>5.34</v>
      </c>
      <c r="O1157" s="746" t="s">
        <v>6400</v>
      </c>
      <c r="P1157" s="547" t="s">
        <v>1588</v>
      </c>
      <c r="Q1157" s="689">
        <v>0</v>
      </c>
      <c r="R1157" s="689">
        <v>0</v>
      </c>
      <c r="S1157" s="689">
        <v>0</v>
      </c>
      <c r="T1157" s="689">
        <v>0</v>
      </c>
      <c r="U1157" s="547" t="s">
        <v>6368</v>
      </c>
      <c r="V1157" s="551" t="s">
        <v>6428</v>
      </c>
      <c r="W1157" s="658">
        <v>291</v>
      </c>
      <c r="X1157" s="547" t="s">
        <v>2276</v>
      </c>
      <c r="Y1157" s="547" t="s">
        <v>3161</v>
      </c>
      <c r="Z1157" s="547"/>
      <c r="AA1157" s="547"/>
      <c r="AB1157" s="550" t="s">
        <v>1686</v>
      </c>
    </row>
    <row r="1158" spans="1:28" ht="24" customHeight="1">
      <c r="A1158" s="606"/>
      <c r="B1158" s="544" t="s">
        <v>675</v>
      </c>
      <c r="C1158" s="551" t="s">
        <v>6429</v>
      </c>
      <c r="D1158" s="553" t="s">
        <v>6430</v>
      </c>
      <c r="E1158" s="563">
        <f t="shared" si="91"/>
        <v>50</v>
      </c>
      <c r="F1158" s="563">
        <v>0</v>
      </c>
      <c r="G1158" s="563">
        <v>0</v>
      </c>
      <c r="H1158" s="563">
        <v>50</v>
      </c>
      <c r="I1158" s="563">
        <f t="shared" si="90"/>
        <v>50</v>
      </c>
      <c r="J1158" s="563">
        <v>0</v>
      </c>
      <c r="K1158" s="563">
        <v>0</v>
      </c>
      <c r="L1158" s="741">
        <v>50</v>
      </c>
      <c r="M1158" s="687">
        <v>92.307692307692307</v>
      </c>
      <c r="N1158" s="563">
        <v>4.32</v>
      </c>
      <c r="O1158" s="746" t="s">
        <v>6431</v>
      </c>
      <c r="P1158" s="547" t="s">
        <v>1588</v>
      </c>
      <c r="Q1158" s="689">
        <v>0</v>
      </c>
      <c r="R1158" s="689">
        <v>0</v>
      </c>
      <c r="S1158" s="689">
        <v>0</v>
      </c>
      <c r="T1158" s="689">
        <v>0</v>
      </c>
      <c r="U1158" s="547" t="s">
        <v>6368</v>
      </c>
      <c r="V1158" s="551" t="s">
        <v>6432</v>
      </c>
      <c r="W1158" s="658">
        <v>150</v>
      </c>
      <c r="X1158" s="547" t="s">
        <v>2276</v>
      </c>
      <c r="Y1158" s="547" t="s">
        <v>3161</v>
      </c>
      <c r="Z1158" s="547"/>
      <c r="AA1158" s="547"/>
      <c r="AB1158" s="550" t="s">
        <v>1686</v>
      </c>
    </row>
    <row r="1159" spans="1:28" ht="24" customHeight="1">
      <c r="A1159" s="606"/>
      <c r="B1159" s="544" t="s">
        <v>675</v>
      </c>
      <c r="C1159" s="551" t="s">
        <v>6433</v>
      </c>
      <c r="D1159" s="553" t="s">
        <v>6427</v>
      </c>
      <c r="E1159" s="563">
        <f t="shared" si="91"/>
        <v>30</v>
      </c>
      <c r="F1159" s="563">
        <v>0</v>
      </c>
      <c r="G1159" s="563">
        <v>0</v>
      </c>
      <c r="H1159" s="563">
        <v>30</v>
      </c>
      <c r="I1159" s="563">
        <f t="shared" si="90"/>
        <v>30</v>
      </c>
      <c r="J1159" s="563">
        <v>0</v>
      </c>
      <c r="K1159" s="563">
        <v>0</v>
      </c>
      <c r="L1159" s="741">
        <v>30</v>
      </c>
      <c r="M1159" s="687">
        <v>91.425509110396575</v>
      </c>
      <c r="N1159" s="563">
        <v>2.5590000000000002</v>
      </c>
      <c r="O1159" s="746" t="s">
        <v>6434</v>
      </c>
      <c r="P1159" s="547" t="s">
        <v>1588</v>
      </c>
      <c r="Q1159" s="689">
        <v>0</v>
      </c>
      <c r="R1159" s="689">
        <v>0</v>
      </c>
      <c r="S1159" s="689">
        <v>0</v>
      </c>
      <c r="T1159" s="689">
        <v>0</v>
      </c>
      <c r="U1159" s="547" t="s">
        <v>6368</v>
      </c>
      <c r="V1159" s="551" t="s">
        <v>6435</v>
      </c>
      <c r="W1159" s="658">
        <v>400</v>
      </c>
      <c r="X1159" s="547" t="s">
        <v>2276</v>
      </c>
      <c r="Y1159" s="547" t="s">
        <v>3161</v>
      </c>
      <c r="Z1159" s="547" t="s">
        <v>6436</v>
      </c>
      <c r="AA1159" s="547"/>
      <c r="AB1159" s="550" t="s">
        <v>1686</v>
      </c>
    </row>
    <row r="1160" spans="1:28" ht="24" customHeight="1">
      <c r="A1160" s="606"/>
      <c r="B1160" s="544" t="s">
        <v>675</v>
      </c>
      <c r="C1160" s="551" t="s">
        <v>6437</v>
      </c>
      <c r="D1160" s="553" t="s">
        <v>6427</v>
      </c>
      <c r="E1160" s="563">
        <f t="shared" si="91"/>
        <v>100</v>
      </c>
      <c r="F1160" s="563">
        <v>0</v>
      </c>
      <c r="G1160" s="563">
        <v>0</v>
      </c>
      <c r="H1160" s="563">
        <v>100</v>
      </c>
      <c r="I1160" s="563">
        <f t="shared" si="90"/>
        <v>100</v>
      </c>
      <c r="J1160" s="563">
        <v>0</v>
      </c>
      <c r="K1160" s="563">
        <v>0</v>
      </c>
      <c r="L1160" s="741">
        <v>100</v>
      </c>
      <c r="M1160" s="687">
        <v>95.390898483080505</v>
      </c>
      <c r="N1160" s="563">
        <v>16.350000000000001</v>
      </c>
      <c r="O1160" s="746" t="s">
        <v>6434</v>
      </c>
      <c r="P1160" s="547" t="s">
        <v>1588</v>
      </c>
      <c r="Q1160" s="689">
        <v>0</v>
      </c>
      <c r="R1160" s="689">
        <v>0</v>
      </c>
      <c r="S1160" s="689">
        <v>0</v>
      </c>
      <c r="T1160" s="689">
        <v>0</v>
      </c>
      <c r="U1160" s="547" t="s">
        <v>6368</v>
      </c>
      <c r="V1160" s="551" t="s">
        <v>6438</v>
      </c>
      <c r="W1160" s="658">
        <v>369</v>
      </c>
      <c r="X1160" s="547" t="s">
        <v>2276</v>
      </c>
      <c r="Y1160" s="547" t="s">
        <v>3161</v>
      </c>
      <c r="Z1160" s="547"/>
      <c r="AA1160" s="547"/>
      <c r="AB1160" s="550" t="s">
        <v>1686</v>
      </c>
    </row>
    <row r="1161" spans="1:28" ht="24" customHeight="1">
      <c r="A1161" s="606"/>
      <c r="B1161" s="544" t="s">
        <v>675</v>
      </c>
      <c r="C1161" s="551" t="s">
        <v>6439</v>
      </c>
      <c r="D1161" s="553" t="s">
        <v>6440</v>
      </c>
      <c r="E1161" s="563">
        <f t="shared" si="91"/>
        <v>46</v>
      </c>
      <c r="F1161" s="563">
        <v>0</v>
      </c>
      <c r="G1161" s="563">
        <v>0</v>
      </c>
      <c r="H1161" s="563">
        <v>46</v>
      </c>
      <c r="I1161" s="563">
        <f t="shared" si="90"/>
        <v>46</v>
      </c>
      <c r="J1161" s="563">
        <v>0</v>
      </c>
      <c r="K1161" s="563">
        <v>0</v>
      </c>
      <c r="L1161" s="741">
        <v>46</v>
      </c>
      <c r="M1161" s="687">
        <v>92.192513368983967</v>
      </c>
      <c r="N1161" s="563">
        <v>3.9652000000000003</v>
      </c>
      <c r="O1161" s="746" t="s">
        <v>2526</v>
      </c>
      <c r="P1161" s="547" t="s">
        <v>1588</v>
      </c>
      <c r="Q1161" s="689">
        <v>0</v>
      </c>
      <c r="R1161" s="689">
        <v>0</v>
      </c>
      <c r="S1161" s="689">
        <v>0</v>
      </c>
      <c r="T1161" s="689">
        <v>0</v>
      </c>
      <c r="U1161" s="547" t="s">
        <v>6368</v>
      </c>
      <c r="V1161" s="551" t="s">
        <v>6441</v>
      </c>
      <c r="W1161" s="658">
        <v>190</v>
      </c>
      <c r="X1161" s="547" t="s">
        <v>2276</v>
      </c>
      <c r="Y1161" s="547" t="s">
        <v>3161</v>
      </c>
      <c r="Z1161" s="547" t="s">
        <v>6436</v>
      </c>
      <c r="AA1161" s="547"/>
      <c r="AB1161" s="550" t="s">
        <v>1686</v>
      </c>
    </row>
    <row r="1162" spans="1:28" ht="24" customHeight="1">
      <c r="A1162" s="606"/>
      <c r="B1162" s="544" t="s">
        <v>675</v>
      </c>
      <c r="C1162" s="551" t="s">
        <v>6442</v>
      </c>
      <c r="D1162" s="553" t="s">
        <v>6443</v>
      </c>
      <c r="E1162" s="563">
        <f t="shared" si="91"/>
        <v>50</v>
      </c>
      <c r="F1162" s="563">
        <v>0</v>
      </c>
      <c r="G1162" s="563">
        <v>0</v>
      </c>
      <c r="H1162" s="563">
        <v>50</v>
      </c>
      <c r="I1162" s="563">
        <f t="shared" si="90"/>
        <v>50</v>
      </c>
      <c r="J1162" s="563">
        <v>0</v>
      </c>
      <c r="K1162" s="563">
        <v>0</v>
      </c>
      <c r="L1162" s="741">
        <v>50</v>
      </c>
      <c r="M1162" s="687">
        <v>91.778006166495373</v>
      </c>
      <c r="N1162" s="563">
        <v>4.4649999999999999</v>
      </c>
      <c r="O1162" s="746" t="s">
        <v>6400</v>
      </c>
      <c r="P1162" s="547" t="s">
        <v>1588</v>
      </c>
      <c r="Q1162" s="689">
        <v>0</v>
      </c>
      <c r="R1162" s="689">
        <v>0</v>
      </c>
      <c r="S1162" s="689">
        <v>0</v>
      </c>
      <c r="T1162" s="689">
        <v>0</v>
      </c>
      <c r="U1162" s="547" t="s">
        <v>6368</v>
      </c>
      <c r="V1162" s="551" t="s">
        <v>6444</v>
      </c>
      <c r="W1162" s="658">
        <v>288</v>
      </c>
      <c r="X1162" s="547" t="s">
        <v>2276</v>
      </c>
      <c r="Y1162" s="547" t="s">
        <v>3161</v>
      </c>
      <c r="Z1162" s="547"/>
      <c r="AA1162" s="547"/>
      <c r="AB1162" s="550" t="s">
        <v>1686</v>
      </c>
    </row>
    <row r="1163" spans="1:28" ht="24" customHeight="1">
      <c r="A1163" s="606"/>
      <c r="B1163" s="544" t="s">
        <v>675</v>
      </c>
      <c r="C1163" s="551" t="s">
        <v>6445</v>
      </c>
      <c r="D1163" s="553" t="s">
        <v>6427</v>
      </c>
      <c r="E1163" s="563">
        <f t="shared" si="91"/>
        <v>12</v>
      </c>
      <c r="F1163" s="563">
        <v>0</v>
      </c>
      <c r="G1163" s="563">
        <v>0</v>
      </c>
      <c r="H1163" s="563">
        <v>12</v>
      </c>
      <c r="I1163" s="563">
        <f t="shared" si="90"/>
        <v>12</v>
      </c>
      <c r="J1163" s="563">
        <v>0</v>
      </c>
      <c r="K1163" s="563">
        <v>0</v>
      </c>
      <c r="L1163" s="741">
        <v>12</v>
      </c>
      <c r="M1163" s="687">
        <v>92.604166666666671</v>
      </c>
      <c r="N1163" s="563">
        <v>1.0668000000000002</v>
      </c>
      <c r="O1163" s="746" t="s">
        <v>2526</v>
      </c>
      <c r="P1163" s="547" t="s">
        <v>1588</v>
      </c>
      <c r="Q1163" s="689">
        <v>0</v>
      </c>
      <c r="R1163" s="689">
        <v>0</v>
      </c>
      <c r="S1163" s="689">
        <v>0</v>
      </c>
      <c r="T1163" s="689">
        <v>0</v>
      </c>
      <c r="U1163" s="547" t="s">
        <v>6368</v>
      </c>
      <c r="V1163" s="551" t="s">
        <v>6428</v>
      </c>
      <c r="W1163" s="658">
        <v>69</v>
      </c>
      <c r="X1163" s="547" t="s">
        <v>2276</v>
      </c>
      <c r="Y1163" s="547" t="s">
        <v>3161</v>
      </c>
      <c r="Z1163" s="547"/>
      <c r="AA1163" s="547"/>
      <c r="AB1163" s="550" t="s">
        <v>1686</v>
      </c>
    </row>
    <row r="1164" spans="1:28" ht="24" customHeight="1">
      <c r="A1164" s="606"/>
      <c r="B1164" s="544" t="s">
        <v>675</v>
      </c>
      <c r="C1164" s="551" t="s">
        <v>6446</v>
      </c>
      <c r="D1164" s="553" t="s">
        <v>6447</v>
      </c>
      <c r="E1164" s="563">
        <f t="shared" si="91"/>
        <v>50</v>
      </c>
      <c r="F1164" s="563">
        <v>0</v>
      </c>
      <c r="G1164" s="563">
        <v>0</v>
      </c>
      <c r="H1164" s="563">
        <v>50</v>
      </c>
      <c r="I1164" s="563">
        <f t="shared" si="90"/>
        <v>50</v>
      </c>
      <c r="J1164" s="563">
        <v>0</v>
      </c>
      <c r="K1164" s="563">
        <v>0</v>
      </c>
      <c r="L1164" s="741">
        <v>50</v>
      </c>
      <c r="M1164" s="687">
        <v>92.013129102844644</v>
      </c>
      <c r="N1164" s="563">
        <v>4.2050000000000001</v>
      </c>
      <c r="O1164" s="746" t="s">
        <v>780</v>
      </c>
      <c r="P1164" s="547" t="s">
        <v>1588</v>
      </c>
      <c r="Q1164" s="689">
        <v>0</v>
      </c>
      <c r="R1164" s="689">
        <v>0</v>
      </c>
      <c r="S1164" s="689">
        <v>0</v>
      </c>
      <c r="T1164" s="689">
        <v>0</v>
      </c>
      <c r="U1164" s="547" t="s">
        <v>6368</v>
      </c>
      <c r="V1164" s="551" t="s">
        <v>6448</v>
      </c>
      <c r="W1164" s="658">
        <v>534</v>
      </c>
      <c r="X1164" s="547" t="s">
        <v>2276</v>
      </c>
      <c r="Y1164" s="547" t="s">
        <v>3161</v>
      </c>
      <c r="Z1164" s="547"/>
      <c r="AA1164" s="547"/>
      <c r="AB1164" s="550" t="s">
        <v>1703</v>
      </c>
    </row>
    <row r="1165" spans="1:28" ht="24" customHeight="1">
      <c r="A1165" s="606"/>
      <c r="B1165" s="544" t="s">
        <v>675</v>
      </c>
      <c r="C1165" s="551" t="s">
        <v>6449</v>
      </c>
      <c r="D1165" s="553" t="s">
        <v>6450</v>
      </c>
      <c r="E1165" s="563">
        <f t="shared" si="91"/>
        <v>60</v>
      </c>
      <c r="F1165" s="563">
        <v>0</v>
      </c>
      <c r="G1165" s="563">
        <v>0</v>
      </c>
      <c r="H1165" s="563">
        <v>60</v>
      </c>
      <c r="I1165" s="563">
        <f t="shared" si="90"/>
        <v>60</v>
      </c>
      <c r="J1165" s="563">
        <v>0</v>
      </c>
      <c r="K1165" s="563">
        <v>0</v>
      </c>
      <c r="L1165" s="741">
        <v>60</v>
      </c>
      <c r="M1165" s="687">
        <v>91.78794178794179</v>
      </c>
      <c r="N1165" s="563">
        <v>5.298</v>
      </c>
      <c r="O1165" s="746" t="s">
        <v>6451</v>
      </c>
      <c r="P1165" s="547" t="s">
        <v>1588</v>
      </c>
      <c r="Q1165" s="689">
        <v>0</v>
      </c>
      <c r="R1165" s="689">
        <v>0</v>
      </c>
      <c r="S1165" s="689">
        <v>0</v>
      </c>
      <c r="T1165" s="689">
        <v>0</v>
      </c>
      <c r="U1165" s="547" t="s">
        <v>6368</v>
      </c>
      <c r="V1165" s="551" t="s">
        <v>6452</v>
      </c>
      <c r="W1165" s="658">
        <v>300</v>
      </c>
      <c r="X1165" s="547" t="s">
        <v>2276</v>
      </c>
      <c r="Y1165" s="547" t="s">
        <v>1533</v>
      </c>
      <c r="Z1165" s="547" t="s">
        <v>6453</v>
      </c>
      <c r="AA1165" s="547"/>
      <c r="AB1165" s="550" t="s">
        <v>1770</v>
      </c>
    </row>
    <row r="1166" spans="1:28" ht="24" customHeight="1">
      <c r="A1166" s="606"/>
      <c r="B1166" s="544" t="s">
        <v>675</v>
      </c>
      <c r="C1166" s="551" t="s">
        <v>6454</v>
      </c>
      <c r="D1166" s="553" t="s">
        <v>6455</v>
      </c>
      <c r="E1166" s="563">
        <f t="shared" si="91"/>
        <v>70</v>
      </c>
      <c r="F1166" s="563">
        <v>0</v>
      </c>
      <c r="G1166" s="563">
        <v>0</v>
      </c>
      <c r="H1166" s="563">
        <v>70</v>
      </c>
      <c r="I1166" s="563">
        <f t="shared" si="90"/>
        <v>70</v>
      </c>
      <c r="J1166" s="563">
        <v>0</v>
      </c>
      <c r="K1166" s="563">
        <v>0</v>
      </c>
      <c r="L1166" s="741">
        <v>70</v>
      </c>
      <c r="M1166" s="687">
        <v>92.636815920398007</v>
      </c>
      <c r="N1166" s="563">
        <v>6.5170000000000003</v>
      </c>
      <c r="O1166" s="746" t="s">
        <v>6400</v>
      </c>
      <c r="P1166" s="547" t="s">
        <v>1588</v>
      </c>
      <c r="Q1166" s="689">
        <v>0</v>
      </c>
      <c r="R1166" s="689">
        <v>0</v>
      </c>
      <c r="S1166" s="689">
        <v>0</v>
      </c>
      <c r="T1166" s="689">
        <v>0</v>
      </c>
      <c r="U1166" s="547" t="s">
        <v>6368</v>
      </c>
      <c r="V1166" s="551" t="s">
        <v>6456</v>
      </c>
      <c r="W1166" s="658">
        <v>642</v>
      </c>
      <c r="X1166" s="547" t="s">
        <v>2276</v>
      </c>
      <c r="Y1166" s="547" t="s">
        <v>3161</v>
      </c>
      <c r="Z1166" s="547"/>
      <c r="AA1166" s="547"/>
      <c r="AB1166" s="550" t="s">
        <v>1770</v>
      </c>
    </row>
    <row r="1167" spans="1:28" ht="24" customHeight="1">
      <c r="A1167" s="606"/>
      <c r="B1167" s="544" t="s">
        <v>675</v>
      </c>
      <c r="C1167" s="551" t="s">
        <v>6457</v>
      </c>
      <c r="D1167" s="553" t="s">
        <v>6458</v>
      </c>
      <c r="E1167" s="563">
        <f t="shared" si="91"/>
        <v>30</v>
      </c>
      <c r="F1167" s="563">
        <v>0</v>
      </c>
      <c r="G1167" s="563">
        <v>0</v>
      </c>
      <c r="H1167" s="563">
        <v>30</v>
      </c>
      <c r="I1167" s="563">
        <f t="shared" si="90"/>
        <v>30</v>
      </c>
      <c r="J1167" s="563">
        <v>0</v>
      </c>
      <c r="K1167" s="563">
        <v>0</v>
      </c>
      <c r="L1167" s="741">
        <v>30</v>
      </c>
      <c r="M1167" s="687">
        <v>91.547861507128317</v>
      </c>
      <c r="N1167" s="563">
        <v>2.6970000000000001</v>
      </c>
      <c r="O1167" s="746" t="s">
        <v>2526</v>
      </c>
      <c r="P1167" s="547" t="s">
        <v>1588</v>
      </c>
      <c r="Q1167" s="689">
        <v>0</v>
      </c>
      <c r="R1167" s="689">
        <v>0</v>
      </c>
      <c r="S1167" s="689">
        <v>0</v>
      </c>
      <c r="T1167" s="689">
        <v>0</v>
      </c>
      <c r="U1167" s="547" t="s">
        <v>6368</v>
      </c>
      <c r="V1167" s="551" t="s">
        <v>6459</v>
      </c>
      <c r="W1167" s="658">
        <v>180</v>
      </c>
      <c r="X1167" s="547" t="s">
        <v>2276</v>
      </c>
      <c r="Y1167" s="547" t="s">
        <v>1533</v>
      </c>
      <c r="Z1167" s="547"/>
      <c r="AA1167" s="547"/>
      <c r="AB1167" s="550" t="s">
        <v>6460</v>
      </c>
    </row>
    <row r="1168" spans="1:28" ht="24" customHeight="1">
      <c r="A1168" s="606"/>
      <c r="B1168" s="544" t="s">
        <v>675</v>
      </c>
      <c r="C1168" s="551" t="s">
        <v>6461</v>
      </c>
      <c r="D1168" s="553" t="s">
        <v>6462</v>
      </c>
      <c r="E1168" s="563">
        <f t="shared" si="91"/>
        <v>15</v>
      </c>
      <c r="F1168" s="563">
        <v>0</v>
      </c>
      <c r="G1168" s="563">
        <v>0</v>
      </c>
      <c r="H1168" s="563">
        <v>15</v>
      </c>
      <c r="I1168" s="563">
        <f t="shared" si="90"/>
        <v>15</v>
      </c>
      <c r="J1168" s="563">
        <v>0</v>
      </c>
      <c r="K1168" s="563">
        <v>0</v>
      </c>
      <c r="L1168" s="741">
        <v>15</v>
      </c>
      <c r="M1168" s="687">
        <v>91.371681415929203</v>
      </c>
      <c r="N1168" s="563">
        <v>1.2390000000000001</v>
      </c>
      <c r="O1168" s="746" t="s">
        <v>6463</v>
      </c>
      <c r="P1168" s="547" t="s">
        <v>1588</v>
      </c>
      <c r="Q1168" s="689">
        <v>0</v>
      </c>
      <c r="R1168" s="689">
        <v>0</v>
      </c>
      <c r="S1168" s="689">
        <v>0</v>
      </c>
      <c r="T1168" s="689">
        <v>0</v>
      </c>
      <c r="U1168" s="547" t="s">
        <v>6368</v>
      </c>
      <c r="V1168" s="551" t="s">
        <v>6464</v>
      </c>
      <c r="W1168" s="658">
        <v>79</v>
      </c>
      <c r="X1168" s="547" t="s">
        <v>2276</v>
      </c>
      <c r="Y1168" s="547" t="s">
        <v>1533</v>
      </c>
      <c r="Z1168" s="547"/>
      <c r="AA1168" s="547"/>
      <c r="AB1168" s="550" t="s">
        <v>6460</v>
      </c>
    </row>
    <row r="1169" spans="1:28" ht="24" customHeight="1">
      <c r="A1169" s="606"/>
      <c r="B1169" s="544" t="s">
        <v>675</v>
      </c>
      <c r="C1169" s="551" t="s">
        <v>6465</v>
      </c>
      <c r="D1169" s="553" t="s">
        <v>6466</v>
      </c>
      <c r="E1169" s="563">
        <f t="shared" si="91"/>
        <v>15</v>
      </c>
      <c r="F1169" s="563">
        <v>0</v>
      </c>
      <c r="G1169" s="563">
        <v>0</v>
      </c>
      <c r="H1169" s="563">
        <v>15</v>
      </c>
      <c r="I1169" s="563">
        <f t="shared" si="90"/>
        <v>15</v>
      </c>
      <c r="J1169" s="563">
        <v>0</v>
      </c>
      <c r="K1169" s="563">
        <v>0</v>
      </c>
      <c r="L1169" s="741">
        <v>15</v>
      </c>
      <c r="M1169" s="687">
        <v>90.767519466073423</v>
      </c>
      <c r="N1169" s="563">
        <v>1.224</v>
      </c>
      <c r="O1169" s="746" t="s">
        <v>6463</v>
      </c>
      <c r="P1169" s="547" t="s">
        <v>1588</v>
      </c>
      <c r="Q1169" s="689">
        <v>0</v>
      </c>
      <c r="R1169" s="689">
        <v>0</v>
      </c>
      <c r="S1169" s="689">
        <v>0</v>
      </c>
      <c r="T1169" s="689">
        <v>0</v>
      </c>
      <c r="U1169" s="547" t="s">
        <v>6368</v>
      </c>
      <c r="V1169" s="551" t="s">
        <v>6467</v>
      </c>
      <c r="W1169" s="658">
        <v>79</v>
      </c>
      <c r="X1169" s="547" t="s">
        <v>2276</v>
      </c>
      <c r="Y1169" s="547" t="s">
        <v>1533</v>
      </c>
      <c r="Z1169" s="547"/>
      <c r="AA1169" s="547"/>
      <c r="AB1169" s="550" t="s">
        <v>6460</v>
      </c>
    </row>
    <row r="1170" spans="1:28" ht="24" customHeight="1">
      <c r="A1170" s="606"/>
      <c r="B1170" s="544" t="s">
        <v>675</v>
      </c>
      <c r="C1170" s="551" t="s">
        <v>6468</v>
      </c>
      <c r="D1170" s="553" t="s">
        <v>6469</v>
      </c>
      <c r="E1170" s="563">
        <f t="shared" si="91"/>
        <v>68</v>
      </c>
      <c r="F1170" s="563">
        <v>0</v>
      </c>
      <c r="G1170" s="563">
        <v>0</v>
      </c>
      <c r="H1170" s="563">
        <v>68</v>
      </c>
      <c r="I1170" s="563">
        <f t="shared" si="90"/>
        <v>68</v>
      </c>
      <c r="J1170" s="563">
        <v>0</v>
      </c>
      <c r="K1170" s="563">
        <v>0</v>
      </c>
      <c r="L1170" s="741">
        <v>68</v>
      </c>
      <c r="M1170" s="687">
        <v>91.602209944751394</v>
      </c>
      <c r="N1170" s="563">
        <v>5.6372000000000018</v>
      </c>
      <c r="O1170" s="746" t="s">
        <v>2526</v>
      </c>
      <c r="P1170" s="547" t="s">
        <v>1588</v>
      </c>
      <c r="Q1170" s="689">
        <v>0</v>
      </c>
      <c r="R1170" s="689">
        <v>0</v>
      </c>
      <c r="S1170" s="689">
        <v>0</v>
      </c>
      <c r="T1170" s="689">
        <v>0</v>
      </c>
      <c r="U1170" s="547" t="s">
        <v>6368</v>
      </c>
      <c r="V1170" s="551" t="s">
        <v>6470</v>
      </c>
      <c r="W1170" s="658">
        <v>386</v>
      </c>
      <c r="X1170" s="547" t="s">
        <v>2276</v>
      </c>
      <c r="Y1170" s="547" t="s">
        <v>1533</v>
      </c>
      <c r="Z1170" s="547"/>
      <c r="AA1170" s="547"/>
      <c r="AB1170" s="550" t="s">
        <v>1686</v>
      </c>
    </row>
    <row r="1171" spans="1:28" ht="24" customHeight="1">
      <c r="A1171" s="606"/>
      <c r="B1171" s="544" t="s">
        <v>675</v>
      </c>
      <c r="C1171" s="551" t="s">
        <v>6471</v>
      </c>
      <c r="D1171" s="553" t="s">
        <v>6472</v>
      </c>
      <c r="E1171" s="563">
        <f t="shared" si="91"/>
        <v>60</v>
      </c>
      <c r="F1171" s="563">
        <v>0</v>
      </c>
      <c r="G1171" s="563">
        <v>0</v>
      </c>
      <c r="H1171" s="563">
        <v>60</v>
      </c>
      <c r="I1171" s="563">
        <f t="shared" si="90"/>
        <v>60</v>
      </c>
      <c r="J1171" s="563">
        <v>0</v>
      </c>
      <c r="K1171" s="563">
        <v>0</v>
      </c>
      <c r="L1171" s="741">
        <v>60</v>
      </c>
      <c r="M1171" s="687">
        <v>92.138728323699425</v>
      </c>
      <c r="N1171" s="563">
        <v>4.782</v>
      </c>
      <c r="O1171" s="746" t="s">
        <v>6389</v>
      </c>
      <c r="P1171" s="547" t="s">
        <v>1588</v>
      </c>
      <c r="Q1171" s="689">
        <v>0</v>
      </c>
      <c r="R1171" s="689">
        <v>0</v>
      </c>
      <c r="S1171" s="689">
        <v>0</v>
      </c>
      <c r="T1171" s="689">
        <v>0</v>
      </c>
      <c r="U1171" s="547" t="s">
        <v>6368</v>
      </c>
      <c r="V1171" s="551" t="s">
        <v>6473</v>
      </c>
      <c r="W1171" s="658">
        <v>362</v>
      </c>
      <c r="X1171" s="547" t="s">
        <v>2276</v>
      </c>
      <c r="Y1171" s="547"/>
      <c r="Z1171" s="547"/>
      <c r="AA1171" s="547"/>
      <c r="AB1171" s="550" t="s">
        <v>1686</v>
      </c>
    </row>
    <row r="1172" spans="1:28" ht="24" customHeight="1">
      <c r="A1172" s="606"/>
      <c r="B1172" s="544" t="s">
        <v>675</v>
      </c>
      <c r="C1172" s="551" t="s">
        <v>6474</v>
      </c>
      <c r="D1172" s="553" t="s">
        <v>6475</v>
      </c>
      <c r="E1172" s="563">
        <f t="shared" si="91"/>
        <v>12</v>
      </c>
      <c r="F1172" s="563">
        <v>0</v>
      </c>
      <c r="G1172" s="563">
        <v>0</v>
      </c>
      <c r="H1172" s="563">
        <v>12</v>
      </c>
      <c r="I1172" s="563">
        <f t="shared" si="90"/>
        <v>12</v>
      </c>
      <c r="J1172" s="563">
        <v>0</v>
      </c>
      <c r="K1172" s="563">
        <v>0</v>
      </c>
      <c r="L1172" s="741">
        <v>12</v>
      </c>
      <c r="M1172" s="687">
        <v>94.920318725099605</v>
      </c>
      <c r="N1172" s="563">
        <v>1.1436000000000002</v>
      </c>
      <c r="O1172" s="746" t="s">
        <v>2526</v>
      </c>
      <c r="P1172" s="547" t="s">
        <v>1588</v>
      </c>
      <c r="Q1172" s="689">
        <v>0</v>
      </c>
      <c r="R1172" s="689">
        <v>0</v>
      </c>
      <c r="S1172" s="689">
        <v>0</v>
      </c>
      <c r="T1172" s="689">
        <v>0</v>
      </c>
      <c r="U1172" s="547" t="s">
        <v>6368</v>
      </c>
      <c r="V1172" s="551" t="s">
        <v>6476</v>
      </c>
      <c r="W1172" s="658">
        <v>110</v>
      </c>
      <c r="X1172" s="547" t="s">
        <v>2276</v>
      </c>
      <c r="Y1172" s="547" t="s">
        <v>1533</v>
      </c>
      <c r="Z1172" s="547"/>
      <c r="AA1172" s="547"/>
      <c r="AB1172" s="550" t="s">
        <v>6477</v>
      </c>
    </row>
    <row r="1173" spans="1:28" ht="24" customHeight="1">
      <c r="A1173" s="605" t="s">
        <v>1879</v>
      </c>
      <c r="B1173" s="544" t="s">
        <v>2201</v>
      </c>
      <c r="C1173" s="551" t="s">
        <v>2430</v>
      </c>
      <c r="D1173" s="553" t="s">
        <v>6478</v>
      </c>
      <c r="E1173" s="563">
        <f t="shared" si="91"/>
        <v>22500</v>
      </c>
      <c r="F1173" s="563">
        <v>0</v>
      </c>
      <c r="G1173" s="563">
        <v>22500</v>
      </c>
      <c r="H1173" s="563">
        <v>0</v>
      </c>
      <c r="I1173" s="563">
        <f t="shared" si="90"/>
        <v>15720</v>
      </c>
      <c r="J1173" s="563">
        <v>0</v>
      </c>
      <c r="K1173" s="659">
        <v>15720</v>
      </c>
      <c r="L1173" s="741">
        <v>0</v>
      </c>
      <c r="M1173" s="687">
        <v>85.4</v>
      </c>
      <c r="N1173" s="659">
        <v>59740</v>
      </c>
      <c r="O1173" s="746" t="s">
        <v>1535</v>
      </c>
      <c r="P1173" s="547" t="s">
        <v>1588</v>
      </c>
      <c r="Q1173" s="689">
        <v>100.8</v>
      </c>
      <c r="R1173" s="689">
        <v>242.1</v>
      </c>
      <c r="S1173" s="689">
        <v>56.8</v>
      </c>
      <c r="T1173" s="689">
        <v>0</v>
      </c>
      <c r="U1173" s="547" t="s">
        <v>6479</v>
      </c>
      <c r="V1173" s="552">
        <v>91.4</v>
      </c>
      <c r="W1173" s="658">
        <v>17785</v>
      </c>
      <c r="X1173" s="547" t="s">
        <v>1532</v>
      </c>
      <c r="Y1173" s="547" t="s">
        <v>1404</v>
      </c>
      <c r="Z1173" s="547" t="s">
        <v>1888</v>
      </c>
      <c r="AA1173" s="547" t="s">
        <v>1888</v>
      </c>
      <c r="AB1173" s="550" t="s">
        <v>1596</v>
      </c>
    </row>
    <row r="1174" spans="1:28" ht="24" customHeight="1">
      <c r="A1174" s="606"/>
      <c r="B1174" s="544" t="s">
        <v>2201</v>
      </c>
      <c r="C1174" s="551" t="s">
        <v>1886</v>
      </c>
      <c r="D1174" s="553" t="s">
        <v>6480</v>
      </c>
      <c r="E1174" s="563">
        <f t="shared" si="91"/>
        <v>3000</v>
      </c>
      <c r="F1174" s="563">
        <v>0</v>
      </c>
      <c r="G1174" s="563">
        <v>3000</v>
      </c>
      <c r="H1174" s="563">
        <v>0</v>
      </c>
      <c r="I1174" s="563">
        <f t="shared" si="90"/>
        <v>1224</v>
      </c>
      <c r="J1174" s="563">
        <v>0</v>
      </c>
      <c r="K1174" s="563">
        <v>1224</v>
      </c>
      <c r="L1174" s="741">
        <v>0</v>
      </c>
      <c r="M1174" s="687">
        <v>84.2</v>
      </c>
      <c r="N1174" s="563">
        <v>4184</v>
      </c>
      <c r="O1174" s="746" t="s">
        <v>6481</v>
      </c>
      <c r="P1174" s="547" t="s">
        <v>1588</v>
      </c>
      <c r="Q1174" s="689">
        <v>0</v>
      </c>
      <c r="R1174" s="689">
        <v>0</v>
      </c>
      <c r="S1174" s="689">
        <v>0</v>
      </c>
      <c r="T1174" s="689">
        <v>0</v>
      </c>
      <c r="U1174" s="547" t="s">
        <v>6482</v>
      </c>
      <c r="V1174" s="552">
        <v>99.6</v>
      </c>
      <c r="W1174" s="658">
        <v>16095</v>
      </c>
      <c r="X1174" s="547" t="s">
        <v>1532</v>
      </c>
      <c r="Y1174" s="547" t="s">
        <v>3161</v>
      </c>
      <c r="Z1174" s="547" t="s">
        <v>6483</v>
      </c>
      <c r="AA1174" s="547" t="s">
        <v>1888</v>
      </c>
      <c r="AB1174" s="550" t="s">
        <v>1596</v>
      </c>
    </row>
    <row r="1175" spans="1:28" ht="24" customHeight="1">
      <c r="A1175" s="606"/>
      <c r="B1175" s="544" t="s">
        <v>2201</v>
      </c>
      <c r="C1175" s="551" t="s">
        <v>1884</v>
      </c>
      <c r="D1175" s="553" t="s">
        <v>6484</v>
      </c>
      <c r="E1175" s="563">
        <f t="shared" si="91"/>
        <v>500</v>
      </c>
      <c r="F1175" s="563">
        <v>0</v>
      </c>
      <c r="G1175" s="563">
        <v>500</v>
      </c>
      <c r="H1175" s="563">
        <v>0</v>
      </c>
      <c r="I1175" s="563">
        <f t="shared" si="90"/>
        <v>372</v>
      </c>
      <c r="J1175" s="563">
        <v>0</v>
      </c>
      <c r="K1175" s="563">
        <v>372</v>
      </c>
      <c r="L1175" s="741">
        <v>0</v>
      </c>
      <c r="M1175" s="687">
        <v>83.7</v>
      </c>
      <c r="N1175" s="659">
        <v>1012</v>
      </c>
      <c r="O1175" s="746" t="s">
        <v>6481</v>
      </c>
      <c r="P1175" s="547" t="s">
        <v>1588</v>
      </c>
      <c r="Q1175" s="689">
        <v>0</v>
      </c>
      <c r="R1175" s="689">
        <v>0</v>
      </c>
      <c r="S1175" s="689">
        <v>0</v>
      </c>
      <c r="T1175" s="689">
        <v>0</v>
      </c>
      <c r="U1175" s="547" t="s">
        <v>6485</v>
      </c>
      <c r="V1175" s="552">
        <v>99.6</v>
      </c>
      <c r="W1175" s="658">
        <v>5379</v>
      </c>
      <c r="X1175" s="547" t="s">
        <v>1532</v>
      </c>
      <c r="Y1175" s="547" t="s">
        <v>3161</v>
      </c>
      <c r="Z1175" s="547" t="s">
        <v>6486</v>
      </c>
      <c r="AA1175" s="547" t="s">
        <v>1888</v>
      </c>
      <c r="AB1175" s="550" t="s">
        <v>1596</v>
      </c>
    </row>
    <row r="1176" spans="1:28" ht="24" customHeight="1">
      <c r="A1176" s="604"/>
      <c r="B1176" s="553" t="s">
        <v>675</v>
      </c>
      <c r="C1176" s="743" t="s">
        <v>6487</v>
      </c>
      <c r="D1176" s="553" t="s">
        <v>6488</v>
      </c>
      <c r="E1176" s="554">
        <f t="shared" si="91"/>
        <v>15</v>
      </c>
      <c r="F1176" s="554">
        <v>0</v>
      </c>
      <c r="G1176" s="554">
        <v>0</v>
      </c>
      <c r="H1176" s="554">
        <v>15</v>
      </c>
      <c r="I1176" s="554">
        <f t="shared" si="90"/>
        <v>12</v>
      </c>
      <c r="J1176" s="661">
        <v>0</v>
      </c>
      <c r="K1176" s="661">
        <v>0</v>
      </c>
      <c r="L1176" s="744">
        <v>12</v>
      </c>
      <c r="M1176" s="688">
        <f>(200-10)/200*100</f>
        <v>95</v>
      </c>
      <c r="N1176" s="659">
        <f>(39.7*12*M1176*(1/1000))</f>
        <v>45.258000000000003</v>
      </c>
      <c r="O1176" s="747" t="s">
        <v>6489</v>
      </c>
      <c r="P1176" s="547" t="s">
        <v>6490</v>
      </c>
      <c r="Q1176" s="689">
        <v>0</v>
      </c>
      <c r="R1176" s="689">
        <v>0</v>
      </c>
      <c r="S1176" s="689">
        <v>0</v>
      </c>
      <c r="T1176" s="689">
        <v>0</v>
      </c>
      <c r="U1176" s="545" t="s">
        <v>6491</v>
      </c>
      <c r="V1176" s="554" t="s">
        <v>6492</v>
      </c>
      <c r="W1176" s="658">
        <v>100</v>
      </c>
      <c r="X1176" s="545" t="s">
        <v>1532</v>
      </c>
      <c r="Y1176" s="555" t="s">
        <v>6493</v>
      </c>
      <c r="Z1176" s="545" t="s">
        <v>1591</v>
      </c>
      <c r="AA1176" s="554" t="s">
        <v>1591</v>
      </c>
      <c r="AB1176" s="556" t="s">
        <v>1591</v>
      </c>
    </row>
    <row r="1177" spans="1:28" ht="24" customHeight="1">
      <c r="A1177" s="604"/>
      <c r="B1177" s="553" t="s">
        <v>675</v>
      </c>
      <c r="C1177" s="743" t="s">
        <v>6494</v>
      </c>
      <c r="D1177" s="553" t="s">
        <v>6495</v>
      </c>
      <c r="E1177" s="554">
        <f t="shared" si="91"/>
        <v>30</v>
      </c>
      <c r="F1177" s="554">
        <v>0</v>
      </c>
      <c r="G1177" s="554">
        <v>0</v>
      </c>
      <c r="H1177" s="554">
        <v>30</v>
      </c>
      <c r="I1177" s="554">
        <f t="shared" ref="I1177:I1200" si="92">SUM(J1177:L1177)</f>
        <v>27</v>
      </c>
      <c r="J1177" s="661">
        <v>0</v>
      </c>
      <c r="K1177" s="661">
        <v>0</v>
      </c>
      <c r="L1177" s="744">
        <v>27</v>
      </c>
      <c r="M1177" s="688">
        <f t="shared" ref="M1177:M1200" si="93">(200-10)/200*100</f>
        <v>95</v>
      </c>
      <c r="N1177" s="659">
        <f>(21*27*M1177*(1/1000))</f>
        <v>53.865000000000002</v>
      </c>
      <c r="O1177" s="747" t="s">
        <v>6489</v>
      </c>
      <c r="P1177" s="547" t="s">
        <v>6490</v>
      </c>
      <c r="Q1177" s="689">
        <v>0</v>
      </c>
      <c r="R1177" s="689">
        <v>0</v>
      </c>
      <c r="S1177" s="689">
        <v>0</v>
      </c>
      <c r="T1177" s="689">
        <v>0</v>
      </c>
      <c r="U1177" s="545" t="s">
        <v>6491</v>
      </c>
      <c r="V1177" s="554" t="s">
        <v>6496</v>
      </c>
      <c r="W1177" s="658">
        <v>400</v>
      </c>
      <c r="X1177" s="545" t="s">
        <v>1532</v>
      </c>
      <c r="Y1177" s="555" t="s">
        <v>6493</v>
      </c>
      <c r="Z1177" s="545" t="s">
        <v>1880</v>
      </c>
      <c r="AA1177" s="554" t="s">
        <v>1591</v>
      </c>
      <c r="AB1177" s="556" t="s">
        <v>1591</v>
      </c>
    </row>
    <row r="1178" spans="1:28" ht="24" customHeight="1">
      <c r="A1178" s="604"/>
      <c r="B1178" s="553" t="s">
        <v>675</v>
      </c>
      <c r="C1178" s="743" t="s">
        <v>6497</v>
      </c>
      <c r="D1178" s="553" t="s">
        <v>6498</v>
      </c>
      <c r="E1178" s="554">
        <f t="shared" ref="E1178:E1200" si="94">SUM(F1178:H1178)</f>
        <v>20</v>
      </c>
      <c r="F1178" s="554">
        <v>20</v>
      </c>
      <c r="G1178" s="554">
        <v>0</v>
      </c>
      <c r="H1178" s="554">
        <v>0</v>
      </c>
      <c r="I1178" s="554">
        <f t="shared" si="92"/>
        <v>18</v>
      </c>
      <c r="J1178" s="661">
        <v>18</v>
      </c>
      <c r="K1178" s="661">
        <v>0</v>
      </c>
      <c r="L1178" s="744">
        <v>0</v>
      </c>
      <c r="M1178" s="688">
        <f t="shared" si="93"/>
        <v>95</v>
      </c>
      <c r="N1178" s="659">
        <f>(47.9*18*M1178*(1/1000))</f>
        <v>81.909000000000006</v>
      </c>
      <c r="O1178" s="747" t="s">
        <v>6499</v>
      </c>
      <c r="P1178" s="547" t="s">
        <v>1588</v>
      </c>
      <c r="Q1178" s="689">
        <v>0</v>
      </c>
      <c r="R1178" s="689">
        <v>0</v>
      </c>
      <c r="S1178" s="689">
        <v>0</v>
      </c>
      <c r="T1178" s="689">
        <v>0</v>
      </c>
      <c r="U1178" s="545" t="s">
        <v>6491</v>
      </c>
      <c r="V1178" s="554" t="s">
        <v>6500</v>
      </c>
      <c r="W1178" s="658">
        <v>200</v>
      </c>
      <c r="X1178" s="545" t="s">
        <v>1532</v>
      </c>
      <c r="Y1178" s="555" t="s">
        <v>1935</v>
      </c>
      <c r="Z1178" s="545" t="s">
        <v>1885</v>
      </c>
      <c r="AA1178" s="554" t="s">
        <v>1591</v>
      </c>
      <c r="AB1178" s="556" t="s">
        <v>1591</v>
      </c>
    </row>
    <row r="1179" spans="1:28" ht="24" customHeight="1">
      <c r="A1179" s="604"/>
      <c r="B1179" s="553" t="s">
        <v>675</v>
      </c>
      <c r="C1179" s="743" t="s">
        <v>6501</v>
      </c>
      <c r="D1179" s="553" t="s">
        <v>6502</v>
      </c>
      <c r="E1179" s="554">
        <f t="shared" si="94"/>
        <v>80</v>
      </c>
      <c r="F1179" s="554">
        <v>0</v>
      </c>
      <c r="G1179" s="554">
        <v>80</v>
      </c>
      <c r="H1179" s="554">
        <v>0</v>
      </c>
      <c r="I1179" s="554">
        <f t="shared" si="92"/>
        <v>70</v>
      </c>
      <c r="J1179" s="554">
        <v>0</v>
      </c>
      <c r="K1179" s="661">
        <v>70</v>
      </c>
      <c r="L1179" s="744">
        <v>0</v>
      </c>
      <c r="M1179" s="688">
        <f t="shared" si="93"/>
        <v>95</v>
      </c>
      <c r="N1179" s="659">
        <f>(46.1*70*M1179*(1/1000))</f>
        <v>306.565</v>
      </c>
      <c r="O1179" s="747" t="s">
        <v>1254</v>
      </c>
      <c r="P1179" s="547" t="s">
        <v>1588</v>
      </c>
      <c r="Q1179" s="689">
        <v>0</v>
      </c>
      <c r="R1179" s="689">
        <v>0</v>
      </c>
      <c r="S1179" s="689">
        <v>0</v>
      </c>
      <c r="T1179" s="689">
        <v>0</v>
      </c>
      <c r="U1179" s="545" t="s">
        <v>6491</v>
      </c>
      <c r="V1179" s="554" t="s">
        <v>6503</v>
      </c>
      <c r="W1179" s="658">
        <v>340</v>
      </c>
      <c r="X1179" s="545" t="s">
        <v>1532</v>
      </c>
      <c r="Y1179" s="555" t="s">
        <v>6493</v>
      </c>
      <c r="Z1179" s="545" t="s">
        <v>1885</v>
      </c>
      <c r="AA1179" s="554" t="s">
        <v>1591</v>
      </c>
      <c r="AB1179" s="556" t="s">
        <v>1591</v>
      </c>
    </row>
    <row r="1180" spans="1:28" ht="24" customHeight="1">
      <c r="A1180" s="604"/>
      <c r="B1180" s="553" t="s">
        <v>675</v>
      </c>
      <c r="C1180" s="743" t="s">
        <v>6504</v>
      </c>
      <c r="D1180" s="553" t="s">
        <v>6505</v>
      </c>
      <c r="E1180" s="554">
        <f t="shared" si="94"/>
        <v>30</v>
      </c>
      <c r="F1180" s="554">
        <v>0</v>
      </c>
      <c r="G1180" s="554">
        <v>0</v>
      </c>
      <c r="H1180" s="554">
        <v>30</v>
      </c>
      <c r="I1180" s="554">
        <f t="shared" si="92"/>
        <v>25</v>
      </c>
      <c r="J1180" s="661">
        <v>0</v>
      </c>
      <c r="K1180" s="661">
        <v>0</v>
      </c>
      <c r="L1180" s="744">
        <v>25</v>
      </c>
      <c r="M1180" s="688">
        <f t="shared" si="93"/>
        <v>95</v>
      </c>
      <c r="N1180" s="659">
        <f>(26.9*53*M1180*(1/1000))</f>
        <v>135.44149999999996</v>
      </c>
      <c r="O1180" s="747" t="s">
        <v>6489</v>
      </c>
      <c r="P1180" s="547" t="s">
        <v>6490</v>
      </c>
      <c r="Q1180" s="689">
        <v>0</v>
      </c>
      <c r="R1180" s="689">
        <v>0</v>
      </c>
      <c r="S1180" s="689">
        <v>0</v>
      </c>
      <c r="T1180" s="689">
        <v>0</v>
      </c>
      <c r="U1180" s="545" t="s">
        <v>6491</v>
      </c>
      <c r="V1180" s="554" t="s">
        <v>6506</v>
      </c>
      <c r="W1180" s="658">
        <v>962</v>
      </c>
      <c r="X1180" s="545" t="s">
        <v>1532</v>
      </c>
      <c r="Y1180" s="555" t="s">
        <v>6493</v>
      </c>
      <c r="Z1180" s="545" t="s">
        <v>6507</v>
      </c>
      <c r="AA1180" s="554" t="s">
        <v>1591</v>
      </c>
      <c r="AB1180" s="556" t="s">
        <v>1591</v>
      </c>
    </row>
    <row r="1181" spans="1:28" ht="24" customHeight="1">
      <c r="A1181" s="604"/>
      <c r="B1181" s="553" t="s">
        <v>675</v>
      </c>
      <c r="C1181" s="743" t="s">
        <v>6508</v>
      </c>
      <c r="D1181" s="553" t="s">
        <v>6509</v>
      </c>
      <c r="E1181" s="554">
        <f t="shared" si="94"/>
        <v>30</v>
      </c>
      <c r="F1181" s="554">
        <v>30</v>
      </c>
      <c r="G1181" s="554">
        <v>0</v>
      </c>
      <c r="H1181" s="554">
        <v>0</v>
      </c>
      <c r="I1181" s="554">
        <f t="shared" si="92"/>
        <v>26</v>
      </c>
      <c r="J1181" s="661">
        <v>26</v>
      </c>
      <c r="K1181" s="661">
        <v>0</v>
      </c>
      <c r="L1181" s="744">
        <v>0</v>
      </c>
      <c r="M1181" s="688">
        <f t="shared" si="93"/>
        <v>95</v>
      </c>
      <c r="N1181" s="659">
        <f>(49.4*26*M1181*(1/1000))</f>
        <v>122.01799999999999</v>
      </c>
      <c r="O1181" s="747" t="s">
        <v>6499</v>
      </c>
      <c r="P1181" s="547" t="s">
        <v>1588</v>
      </c>
      <c r="Q1181" s="689">
        <v>0</v>
      </c>
      <c r="R1181" s="689">
        <v>0</v>
      </c>
      <c r="S1181" s="689">
        <v>0</v>
      </c>
      <c r="T1181" s="689">
        <v>0</v>
      </c>
      <c r="U1181" s="545" t="s">
        <v>6491</v>
      </c>
      <c r="V1181" s="554" t="s">
        <v>6510</v>
      </c>
      <c r="W1181" s="658">
        <v>200</v>
      </c>
      <c r="X1181" s="545" t="s">
        <v>1532</v>
      </c>
      <c r="Y1181" s="555" t="s">
        <v>1935</v>
      </c>
      <c r="Z1181" s="545" t="s">
        <v>1881</v>
      </c>
      <c r="AA1181" s="554" t="s">
        <v>1591</v>
      </c>
      <c r="AB1181" s="556" t="s">
        <v>1591</v>
      </c>
    </row>
    <row r="1182" spans="1:28" ht="24" customHeight="1">
      <c r="A1182" s="604"/>
      <c r="B1182" s="553" t="s">
        <v>675</v>
      </c>
      <c r="C1182" s="743" t="s">
        <v>6511</v>
      </c>
      <c r="D1182" s="553" t="s">
        <v>6512</v>
      </c>
      <c r="E1182" s="554">
        <f t="shared" si="94"/>
        <v>23</v>
      </c>
      <c r="F1182" s="554">
        <v>0</v>
      </c>
      <c r="G1182" s="554">
        <v>23</v>
      </c>
      <c r="H1182" s="554">
        <v>0</v>
      </c>
      <c r="I1182" s="554">
        <f t="shared" si="92"/>
        <v>18</v>
      </c>
      <c r="J1182" s="554">
        <v>0</v>
      </c>
      <c r="K1182" s="661">
        <v>18</v>
      </c>
      <c r="L1182" s="744">
        <v>0</v>
      </c>
      <c r="M1182" s="688">
        <f t="shared" si="93"/>
        <v>95</v>
      </c>
      <c r="N1182" s="659">
        <f>(35.3*18*M1182*(1/1000))</f>
        <v>60.363</v>
      </c>
      <c r="O1182" s="747" t="s">
        <v>6513</v>
      </c>
      <c r="P1182" s="547" t="s">
        <v>1588</v>
      </c>
      <c r="Q1182" s="689">
        <v>0</v>
      </c>
      <c r="R1182" s="689">
        <v>0</v>
      </c>
      <c r="S1182" s="689">
        <v>0</v>
      </c>
      <c r="T1182" s="689">
        <v>0</v>
      </c>
      <c r="U1182" s="545" t="s">
        <v>6491</v>
      </c>
      <c r="V1182" s="554" t="s">
        <v>6514</v>
      </c>
      <c r="W1182" s="658">
        <v>178</v>
      </c>
      <c r="X1182" s="545" t="s">
        <v>1532</v>
      </c>
      <c r="Y1182" s="555" t="s">
        <v>6493</v>
      </c>
      <c r="Z1182" s="545" t="s">
        <v>1591</v>
      </c>
      <c r="AA1182" s="554" t="s">
        <v>1591</v>
      </c>
      <c r="AB1182" s="556" t="s">
        <v>1591</v>
      </c>
    </row>
    <row r="1183" spans="1:28" ht="24" customHeight="1">
      <c r="A1183" s="604"/>
      <c r="B1183" s="553" t="s">
        <v>675</v>
      </c>
      <c r="C1183" s="743" t="s">
        <v>6515</v>
      </c>
      <c r="D1183" s="553" t="s">
        <v>6512</v>
      </c>
      <c r="E1183" s="554">
        <f t="shared" si="94"/>
        <v>16</v>
      </c>
      <c r="F1183" s="554">
        <v>0</v>
      </c>
      <c r="G1183" s="554">
        <v>16</v>
      </c>
      <c r="H1183" s="554">
        <v>0</v>
      </c>
      <c r="I1183" s="554">
        <f t="shared" si="92"/>
        <v>13</v>
      </c>
      <c r="J1183" s="554">
        <v>0</v>
      </c>
      <c r="K1183" s="661">
        <v>13</v>
      </c>
      <c r="L1183" s="744">
        <v>0</v>
      </c>
      <c r="M1183" s="688">
        <f t="shared" si="93"/>
        <v>95</v>
      </c>
      <c r="N1183" s="659">
        <f>(41.2*13*M1183*(1/1000))</f>
        <v>50.881999999999998</v>
      </c>
      <c r="O1183" s="747" t="s">
        <v>6516</v>
      </c>
      <c r="P1183" s="547" t="s">
        <v>1588</v>
      </c>
      <c r="Q1183" s="689">
        <v>0</v>
      </c>
      <c r="R1183" s="689">
        <v>0</v>
      </c>
      <c r="S1183" s="689">
        <v>0</v>
      </c>
      <c r="T1183" s="689">
        <v>0</v>
      </c>
      <c r="U1183" s="545" t="s">
        <v>6491</v>
      </c>
      <c r="V1183" s="554" t="s">
        <v>6517</v>
      </c>
      <c r="W1183" s="658">
        <v>350</v>
      </c>
      <c r="X1183" s="545" t="s">
        <v>1532</v>
      </c>
      <c r="Y1183" s="555" t="s">
        <v>6493</v>
      </c>
      <c r="Z1183" s="545" t="s">
        <v>1591</v>
      </c>
      <c r="AA1183" s="554" t="s">
        <v>1591</v>
      </c>
      <c r="AB1183" s="556" t="s">
        <v>1591</v>
      </c>
    </row>
    <row r="1184" spans="1:28" ht="24" customHeight="1">
      <c r="A1184" s="604"/>
      <c r="B1184" s="553" t="s">
        <v>675</v>
      </c>
      <c r="C1184" s="743" t="s">
        <v>6518</v>
      </c>
      <c r="D1184" s="553" t="s">
        <v>6519</v>
      </c>
      <c r="E1184" s="554">
        <f t="shared" si="94"/>
        <v>46</v>
      </c>
      <c r="F1184" s="554">
        <v>0</v>
      </c>
      <c r="G1184" s="554">
        <v>46</v>
      </c>
      <c r="H1184" s="554">
        <v>0</v>
      </c>
      <c r="I1184" s="554">
        <f t="shared" si="92"/>
        <v>40</v>
      </c>
      <c r="J1184" s="554">
        <v>0</v>
      </c>
      <c r="K1184" s="661">
        <v>40</v>
      </c>
      <c r="L1184" s="744">
        <v>0</v>
      </c>
      <c r="M1184" s="688">
        <f t="shared" si="93"/>
        <v>95</v>
      </c>
      <c r="N1184" s="659">
        <f>(31.8*40*M1184*(1/1000))</f>
        <v>120.84</v>
      </c>
      <c r="O1184" s="747" t="s">
        <v>1254</v>
      </c>
      <c r="P1184" s="547" t="s">
        <v>1588</v>
      </c>
      <c r="Q1184" s="689">
        <v>0</v>
      </c>
      <c r="R1184" s="689">
        <v>0</v>
      </c>
      <c r="S1184" s="689">
        <v>0</v>
      </c>
      <c r="T1184" s="689">
        <v>0</v>
      </c>
      <c r="U1184" s="545" t="s">
        <v>6491</v>
      </c>
      <c r="V1184" s="554" t="s">
        <v>6503</v>
      </c>
      <c r="W1184" s="658">
        <v>360</v>
      </c>
      <c r="X1184" s="545" t="s">
        <v>1532</v>
      </c>
      <c r="Y1184" s="555" t="s">
        <v>6493</v>
      </c>
      <c r="Z1184" s="545" t="s">
        <v>1591</v>
      </c>
      <c r="AA1184" s="554" t="s">
        <v>1591</v>
      </c>
      <c r="AB1184" s="556" t="s">
        <v>1591</v>
      </c>
    </row>
    <row r="1185" spans="1:28" ht="24" customHeight="1">
      <c r="A1185" s="604"/>
      <c r="B1185" s="553" t="s">
        <v>675</v>
      </c>
      <c r="C1185" s="743" t="s">
        <v>6520</v>
      </c>
      <c r="D1185" s="553" t="s">
        <v>6521</v>
      </c>
      <c r="E1185" s="554">
        <f t="shared" si="94"/>
        <v>39</v>
      </c>
      <c r="F1185" s="554">
        <v>0</v>
      </c>
      <c r="G1185" s="554">
        <v>39</v>
      </c>
      <c r="H1185" s="554">
        <v>0</v>
      </c>
      <c r="I1185" s="554">
        <f t="shared" si="92"/>
        <v>26</v>
      </c>
      <c r="J1185" s="554">
        <v>0</v>
      </c>
      <c r="K1185" s="661">
        <v>26</v>
      </c>
      <c r="L1185" s="744">
        <v>0</v>
      </c>
      <c r="M1185" s="688">
        <f t="shared" si="93"/>
        <v>95</v>
      </c>
      <c r="N1185" s="659">
        <f>(47.4*26*M1185*(1/1000))</f>
        <v>117.07799999999999</v>
      </c>
      <c r="O1185" s="747" t="s">
        <v>1254</v>
      </c>
      <c r="P1185" s="547" t="s">
        <v>1588</v>
      </c>
      <c r="Q1185" s="689">
        <v>0</v>
      </c>
      <c r="R1185" s="689">
        <v>0</v>
      </c>
      <c r="S1185" s="689">
        <v>0</v>
      </c>
      <c r="T1185" s="689">
        <v>0</v>
      </c>
      <c r="U1185" s="545" t="s">
        <v>6491</v>
      </c>
      <c r="V1185" s="554" t="s">
        <v>6522</v>
      </c>
      <c r="W1185" s="658">
        <v>413</v>
      </c>
      <c r="X1185" s="545" t="s">
        <v>1532</v>
      </c>
      <c r="Y1185" s="555" t="s">
        <v>6493</v>
      </c>
      <c r="Z1185" s="545" t="s">
        <v>1591</v>
      </c>
      <c r="AA1185" s="554" t="s">
        <v>1591</v>
      </c>
      <c r="AB1185" s="556" t="s">
        <v>1591</v>
      </c>
    </row>
    <row r="1186" spans="1:28" ht="24" customHeight="1">
      <c r="A1186" s="604"/>
      <c r="B1186" s="553" t="s">
        <v>675</v>
      </c>
      <c r="C1186" s="743" t="s">
        <v>6523</v>
      </c>
      <c r="D1186" s="553" t="s">
        <v>6524</v>
      </c>
      <c r="E1186" s="554">
        <f t="shared" si="94"/>
        <v>40</v>
      </c>
      <c r="F1186" s="554">
        <v>0</v>
      </c>
      <c r="G1186" s="554">
        <v>0</v>
      </c>
      <c r="H1186" s="554">
        <v>40</v>
      </c>
      <c r="I1186" s="554">
        <f t="shared" si="92"/>
        <v>37</v>
      </c>
      <c r="J1186" s="661">
        <v>0</v>
      </c>
      <c r="K1186" s="661">
        <v>0</v>
      </c>
      <c r="L1186" s="744">
        <v>37</v>
      </c>
      <c r="M1186" s="688">
        <f t="shared" si="93"/>
        <v>95</v>
      </c>
      <c r="N1186" s="659">
        <f>(24*37*M1186*(1/1000))</f>
        <v>84.36</v>
      </c>
      <c r="O1186" s="747" t="s">
        <v>6525</v>
      </c>
      <c r="P1186" s="547" t="s">
        <v>6490</v>
      </c>
      <c r="Q1186" s="689">
        <v>0</v>
      </c>
      <c r="R1186" s="689">
        <v>0</v>
      </c>
      <c r="S1186" s="689">
        <v>0</v>
      </c>
      <c r="T1186" s="689">
        <v>0</v>
      </c>
      <c r="U1186" s="545" t="s">
        <v>6491</v>
      </c>
      <c r="V1186" s="554" t="s">
        <v>6496</v>
      </c>
      <c r="W1186" s="658">
        <v>380</v>
      </c>
      <c r="X1186" s="545" t="s">
        <v>1532</v>
      </c>
      <c r="Y1186" s="555" t="s">
        <v>6493</v>
      </c>
      <c r="Z1186" s="545" t="s">
        <v>1591</v>
      </c>
      <c r="AA1186" s="554" t="s">
        <v>1591</v>
      </c>
      <c r="AB1186" s="556" t="s">
        <v>1591</v>
      </c>
    </row>
    <row r="1187" spans="1:28" ht="24" customHeight="1">
      <c r="A1187" s="604"/>
      <c r="B1187" s="553" t="s">
        <v>675</v>
      </c>
      <c r="C1187" s="743" t="s">
        <v>6526</v>
      </c>
      <c r="D1187" s="553" t="s">
        <v>6527</v>
      </c>
      <c r="E1187" s="554">
        <f t="shared" si="94"/>
        <v>30</v>
      </c>
      <c r="F1187" s="554">
        <v>0</v>
      </c>
      <c r="G1187" s="554">
        <v>0</v>
      </c>
      <c r="H1187" s="554">
        <v>30</v>
      </c>
      <c r="I1187" s="554">
        <f t="shared" si="92"/>
        <v>30</v>
      </c>
      <c r="J1187" s="661">
        <v>0</v>
      </c>
      <c r="K1187" s="661">
        <v>0</v>
      </c>
      <c r="L1187" s="744">
        <v>30</v>
      </c>
      <c r="M1187" s="688">
        <f t="shared" si="93"/>
        <v>95</v>
      </c>
      <c r="N1187" s="659">
        <f>(45.5*30*M1187*(1/1000))</f>
        <v>129.67500000000001</v>
      </c>
      <c r="O1187" s="747" t="s">
        <v>6528</v>
      </c>
      <c r="P1187" s="547" t="s">
        <v>6490</v>
      </c>
      <c r="Q1187" s="689">
        <v>0</v>
      </c>
      <c r="R1187" s="689">
        <v>0</v>
      </c>
      <c r="S1187" s="689">
        <v>0</v>
      </c>
      <c r="T1187" s="689">
        <v>0</v>
      </c>
      <c r="U1187" s="545" t="s">
        <v>6491</v>
      </c>
      <c r="V1187" s="554" t="s">
        <v>6496</v>
      </c>
      <c r="W1187" s="658">
        <v>310</v>
      </c>
      <c r="X1187" s="545" t="s">
        <v>1532</v>
      </c>
      <c r="Y1187" s="555" t="s">
        <v>6529</v>
      </c>
      <c r="Z1187" s="545" t="s">
        <v>1591</v>
      </c>
      <c r="AA1187" s="554" t="s">
        <v>1591</v>
      </c>
      <c r="AB1187" s="556" t="s">
        <v>1591</v>
      </c>
    </row>
    <row r="1188" spans="1:28" ht="24" customHeight="1">
      <c r="A1188" s="604"/>
      <c r="B1188" s="553" t="s">
        <v>675</v>
      </c>
      <c r="C1188" s="743" t="s">
        <v>2054</v>
      </c>
      <c r="D1188" s="553" t="s">
        <v>6530</v>
      </c>
      <c r="E1188" s="554">
        <f t="shared" si="94"/>
        <v>40</v>
      </c>
      <c r="F1188" s="554">
        <v>40</v>
      </c>
      <c r="G1188" s="554">
        <v>0</v>
      </c>
      <c r="H1188" s="554">
        <v>0</v>
      </c>
      <c r="I1188" s="554">
        <f t="shared" si="92"/>
        <v>35</v>
      </c>
      <c r="J1188" s="661">
        <v>35</v>
      </c>
      <c r="K1188" s="661">
        <v>0</v>
      </c>
      <c r="L1188" s="744">
        <v>0</v>
      </c>
      <c r="M1188" s="688">
        <f t="shared" si="93"/>
        <v>95</v>
      </c>
      <c r="N1188" s="659">
        <f>(49.7*35*M1188*(1/1000))</f>
        <v>165.2525</v>
      </c>
      <c r="O1188" s="747" t="s">
        <v>6499</v>
      </c>
      <c r="P1188" s="547" t="s">
        <v>1588</v>
      </c>
      <c r="Q1188" s="689">
        <v>0</v>
      </c>
      <c r="R1188" s="689">
        <v>0</v>
      </c>
      <c r="S1188" s="689">
        <v>0</v>
      </c>
      <c r="T1188" s="689">
        <v>0</v>
      </c>
      <c r="U1188" s="545" t="s">
        <v>6491</v>
      </c>
      <c r="V1188" s="554" t="s">
        <v>6531</v>
      </c>
      <c r="W1188" s="658">
        <v>200</v>
      </c>
      <c r="X1188" s="545" t="s">
        <v>1532</v>
      </c>
      <c r="Y1188" s="555" t="s">
        <v>6493</v>
      </c>
      <c r="Z1188" s="545" t="s">
        <v>1591</v>
      </c>
      <c r="AA1188" s="554" t="s">
        <v>1591</v>
      </c>
      <c r="AB1188" s="556" t="s">
        <v>1591</v>
      </c>
    </row>
    <row r="1189" spans="1:28" ht="24" customHeight="1">
      <c r="A1189" s="604"/>
      <c r="B1189" s="553" t="s">
        <v>675</v>
      </c>
      <c r="C1189" s="743" t="s">
        <v>6532</v>
      </c>
      <c r="D1189" s="553" t="s">
        <v>6533</v>
      </c>
      <c r="E1189" s="554">
        <f t="shared" si="94"/>
        <v>20</v>
      </c>
      <c r="F1189" s="554">
        <v>20</v>
      </c>
      <c r="G1189" s="554">
        <v>0</v>
      </c>
      <c r="H1189" s="554">
        <v>0</v>
      </c>
      <c r="I1189" s="554">
        <f t="shared" si="92"/>
        <v>18</v>
      </c>
      <c r="J1189" s="661">
        <v>18</v>
      </c>
      <c r="K1189" s="661">
        <v>0</v>
      </c>
      <c r="L1189" s="744">
        <v>0</v>
      </c>
      <c r="M1189" s="688">
        <f t="shared" si="93"/>
        <v>95</v>
      </c>
      <c r="N1189" s="659">
        <f>(35.3*18*M1189*(1/1000))</f>
        <v>60.363</v>
      </c>
      <c r="O1189" s="747" t="s">
        <v>6499</v>
      </c>
      <c r="P1189" s="547" t="s">
        <v>1588</v>
      </c>
      <c r="Q1189" s="689">
        <v>0</v>
      </c>
      <c r="R1189" s="689">
        <v>0</v>
      </c>
      <c r="S1189" s="689">
        <v>0</v>
      </c>
      <c r="T1189" s="689">
        <v>0</v>
      </c>
      <c r="U1189" s="545" t="s">
        <v>6491</v>
      </c>
      <c r="V1189" s="554" t="s">
        <v>6534</v>
      </c>
      <c r="W1189" s="658">
        <v>200</v>
      </c>
      <c r="X1189" s="545" t="s">
        <v>1532</v>
      </c>
      <c r="Y1189" s="555" t="s">
        <v>1935</v>
      </c>
      <c r="Z1189" s="545" t="s">
        <v>6535</v>
      </c>
      <c r="AA1189" s="554" t="s">
        <v>1591</v>
      </c>
      <c r="AB1189" s="556" t="s">
        <v>1591</v>
      </c>
    </row>
    <row r="1190" spans="1:28" ht="24" customHeight="1">
      <c r="A1190" s="604"/>
      <c r="B1190" s="553" t="s">
        <v>675</v>
      </c>
      <c r="C1190" s="743" t="s">
        <v>6536</v>
      </c>
      <c r="D1190" s="553" t="s">
        <v>6537</v>
      </c>
      <c r="E1190" s="554">
        <f t="shared" si="94"/>
        <v>68</v>
      </c>
      <c r="F1190" s="554">
        <v>0</v>
      </c>
      <c r="G1190" s="554">
        <v>68</v>
      </c>
      <c r="H1190" s="554">
        <v>0</v>
      </c>
      <c r="I1190" s="554">
        <f t="shared" si="92"/>
        <v>50</v>
      </c>
      <c r="J1190" s="554">
        <v>0</v>
      </c>
      <c r="K1190" s="661">
        <v>50</v>
      </c>
      <c r="L1190" s="744">
        <v>0</v>
      </c>
      <c r="M1190" s="688">
        <f t="shared" si="93"/>
        <v>95</v>
      </c>
      <c r="N1190" s="659">
        <f>(30.2*50*M1190*(1/1000))</f>
        <v>143.45000000000002</v>
      </c>
      <c r="O1190" s="747" t="s">
        <v>1254</v>
      </c>
      <c r="P1190" s="547" t="s">
        <v>1588</v>
      </c>
      <c r="Q1190" s="689">
        <v>0</v>
      </c>
      <c r="R1190" s="689">
        <v>0</v>
      </c>
      <c r="S1190" s="689">
        <v>0</v>
      </c>
      <c r="T1190" s="689">
        <v>0</v>
      </c>
      <c r="U1190" s="545" t="s">
        <v>6491</v>
      </c>
      <c r="V1190" s="554" t="s">
        <v>6538</v>
      </c>
      <c r="W1190" s="658">
        <v>350</v>
      </c>
      <c r="X1190" s="545" t="s">
        <v>1532</v>
      </c>
      <c r="Y1190" s="555" t="s">
        <v>6493</v>
      </c>
      <c r="Z1190" s="545" t="s">
        <v>6535</v>
      </c>
      <c r="AA1190" s="554" t="s">
        <v>1591</v>
      </c>
      <c r="AB1190" s="556" t="s">
        <v>1591</v>
      </c>
    </row>
    <row r="1191" spans="1:28" ht="24" customHeight="1">
      <c r="A1191" s="604"/>
      <c r="B1191" s="553" t="s">
        <v>675</v>
      </c>
      <c r="C1191" s="743" t="s">
        <v>6539</v>
      </c>
      <c r="D1191" s="553" t="s">
        <v>6540</v>
      </c>
      <c r="E1191" s="554">
        <f t="shared" si="94"/>
        <v>64</v>
      </c>
      <c r="F1191" s="554">
        <v>0</v>
      </c>
      <c r="G1191" s="554">
        <v>64</v>
      </c>
      <c r="H1191" s="554">
        <v>0</v>
      </c>
      <c r="I1191" s="554">
        <f t="shared" si="92"/>
        <v>50</v>
      </c>
      <c r="J1191" s="554">
        <v>0</v>
      </c>
      <c r="K1191" s="661">
        <v>50</v>
      </c>
      <c r="L1191" s="744">
        <v>0</v>
      </c>
      <c r="M1191" s="688">
        <f t="shared" si="93"/>
        <v>95</v>
      </c>
      <c r="N1191" s="659">
        <f>(34.5*50*M1191*(1/1000))</f>
        <v>163.875</v>
      </c>
      <c r="O1191" s="747" t="s">
        <v>1254</v>
      </c>
      <c r="P1191" s="547" t="s">
        <v>1588</v>
      </c>
      <c r="Q1191" s="689">
        <v>0</v>
      </c>
      <c r="R1191" s="689">
        <v>0</v>
      </c>
      <c r="S1191" s="689">
        <v>0</v>
      </c>
      <c r="T1191" s="689">
        <v>0</v>
      </c>
      <c r="U1191" s="545" t="s">
        <v>6491</v>
      </c>
      <c r="V1191" s="554" t="s">
        <v>6522</v>
      </c>
      <c r="W1191" s="658">
        <v>404</v>
      </c>
      <c r="X1191" s="545" t="s">
        <v>1532</v>
      </c>
      <c r="Y1191" s="555" t="s">
        <v>6493</v>
      </c>
      <c r="Z1191" s="545" t="s">
        <v>6535</v>
      </c>
      <c r="AA1191" s="554" t="s">
        <v>1591</v>
      </c>
      <c r="AB1191" s="556" t="s">
        <v>1591</v>
      </c>
    </row>
    <row r="1192" spans="1:28" ht="24" customHeight="1">
      <c r="A1192" s="604"/>
      <c r="B1192" s="553" t="s">
        <v>675</v>
      </c>
      <c r="C1192" s="743" t="s">
        <v>6541</v>
      </c>
      <c r="D1192" s="553" t="s">
        <v>6542</v>
      </c>
      <c r="E1192" s="554">
        <f t="shared" si="94"/>
        <v>23</v>
      </c>
      <c r="F1192" s="554">
        <v>0</v>
      </c>
      <c r="G1192" s="554">
        <v>23</v>
      </c>
      <c r="H1192" s="554">
        <v>0</v>
      </c>
      <c r="I1192" s="554">
        <f t="shared" si="92"/>
        <v>22</v>
      </c>
      <c r="J1192" s="554">
        <v>0</v>
      </c>
      <c r="K1192" s="661">
        <v>22</v>
      </c>
      <c r="L1192" s="744">
        <v>0</v>
      </c>
      <c r="M1192" s="688">
        <f t="shared" si="93"/>
        <v>95</v>
      </c>
      <c r="N1192" s="659">
        <f>(32.5*22*M1192*(1/1000))</f>
        <v>67.924999999999997</v>
      </c>
      <c r="O1192" s="747" t="s">
        <v>6513</v>
      </c>
      <c r="P1192" s="547" t="s">
        <v>1588</v>
      </c>
      <c r="Q1192" s="689">
        <v>0</v>
      </c>
      <c r="R1192" s="689">
        <v>0</v>
      </c>
      <c r="S1192" s="689">
        <v>0</v>
      </c>
      <c r="T1192" s="689">
        <v>0</v>
      </c>
      <c r="U1192" s="545" t="s">
        <v>6491</v>
      </c>
      <c r="V1192" s="554" t="s">
        <v>6514</v>
      </c>
      <c r="W1192" s="658">
        <v>178</v>
      </c>
      <c r="X1192" s="545" t="s">
        <v>1532</v>
      </c>
      <c r="Y1192" s="555" t="s">
        <v>1935</v>
      </c>
      <c r="Z1192" s="545" t="s">
        <v>1591</v>
      </c>
      <c r="AA1192" s="554" t="s">
        <v>1591</v>
      </c>
      <c r="AB1192" s="556" t="s">
        <v>1591</v>
      </c>
    </row>
    <row r="1193" spans="1:28" ht="24" customHeight="1">
      <c r="A1193" s="604"/>
      <c r="B1193" s="553" t="s">
        <v>675</v>
      </c>
      <c r="C1193" s="743" t="s">
        <v>6543</v>
      </c>
      <c r="D1193" s="553" t="s">
        <v>6542</v>
      </c>
      <c r="E1193" s="554">
        <f t="shared" si="94"/>
        <v>30</v>
      </c>
      <c r="F1193" s="554">
        <v>0</v>
      </c>
      <c r="G1193" s="554">
        <v>0</v>
      </c>
      <c r="H1193" s="554">
        <v>30</v>
      </c>
      <c r="I1193" s="554">
        <f t="shared" si="92"/>
        <v>27</v>
      </c>
      <c r="J1193" s="661">
        <v>0</v>
      </c>
      <c r="K1193" s="661">
        <v>0</v>
      </c>
      <c r="L1193" s="744">
        <v>27</v>
      </c>
      <c r="M1193" s="688">
        <f t="shared" si="93"/>
        <v>95</v>
      </c>
      <c r="N1193" s="659">
        <f>(35.7*27*M1193*(1/1000))</f>
        <v>91.57050000000001</v>
      </c>
      <c r="O1193" s="747" t="s">
        <v>6528</v>
      </c>
      <c r="P1193" s="547" t="s">
        <v>6490</v>
      </c>
      <c r="Q1193" s="689">
        <v>0</v>
      </c>
      <c r="R1193" s="689">
        <v>0</v>
      </c>
      <c r="S1193" s="689">
        <v>0</v>
      </c>
      <c r="T1193" s="689">
        <v>0</v>
      </c>
      <c r="U1193" s="545" t="s">
        <v>6491</v>
      </c>
      <c r="V1193" s="554" t="s">
        <v>6496</v>
      </c>
      <c r="W1193" s="658">
        <v>310</v>
      </c>
      <c r="X1193" s="545" t="s">
        <v>1532</v>
      </c>
      <c r="Y1193" s="555" t="s">
        <v>6529</v>
      </c>
      <c r="Z1193" s="545" t="s">
        <v>1591</v>
      </c>
      <c r="AA1193" s="554" t="s">
        <v>1591</v>
      </c>
      <c r="AB1193" s="556" t="s">
        <v>1591</v>
      </c>
    </row>
    <row r="1194" spans="1:28" ht="24" customHeight="1">
      <c r="A1194" s="604"/>
      <c r="B1194" s="553" t="s">
        <v>675</v>
      </c>
      <c r="C1194" s="743" t="s">
        <v>6487</v>
      </c>
      <c r="D1194" s="553" t="s">
        <v>6544</v>
      </c>
      <c r="E1194" s="554">
        <f t="shared" si="94"/>
        <v>34</v>
      </c>
      <c r="F1194" s="554">
        <v>0</v>
      </c>
      <c r="G1194" s="554">
        <v>34</v>
      </c>
      <c r="H1194" s="554">
        <v>0</v>
      </c>
      <c r="I1194" s="554">
        <f t="shared" si="92"/>
        <v>25</v>
      </c>
      <c r="J1194" s="554">
        <v>0</v>
      </c>
      <c r="K1194" s="661">
        <v>25</v>
      </c>
      <c r="L1194" s="744">
        <v>0</v>
      </c>
      <c r="M1194" s="688">
        <f t="shared" si="93"/>
        <v>95</v>
      </c>
      <c r="N1194" s="659">
        <f>(29.8*25*M1194*(1/1000))</f>
        <v>70.775000000000006</v>
      </c>
      <c r="O1194" s="747" t="s">
        <v>1254</v>
      </c>
      <c r="P1194" s="547" t="s">
        <v>1588</v>
      </c>
      <c r="Q1194" s="689">
        <v>0</v>
      </c>
      <c r="R1194" s="689">
        <v>0</v>
      </c>
      <c r="S1194" s="689">
        <v>0</v>
      </c>
      <c r="T1194" s="689">
        <v>0</v>
      </c>
      <c r="U1194" s="545" t="s">
        <v>6491</v>
      </c>
      <c r="V1194" s="554" t="s">
        <v>6538</v>
      </c>
      <c r="W1194" s="658">
        <v>229</v>
      </c>
      <c r="X1194" s="545" t="s">
        <v>1532</v>
      </c>
      <c r="Y1194" s="555" t="s">
        <v>6493</v>
      </c>
      <c r="Z1194" s="545" t="s">
        <v>1591</v>
      </c>
      <c r="AA1194" s="554" t="s">
        <v>1591</v>
      </c>
      <c r="AB1194" s="556" t="s">
        <v>1591</v>
      </c>
    </row>
    <row r="1195" spans="1:28" ht="24" customHeight="1">
      <c r="A1195" s="604"/>
      <c r="B1195" s="553" t="s">
        <v>675</v>
      </c>
      <c r="C1195" s="743" t="s">
        <v>6545</v>
      </c>
      <c r="D1195" s="553" t="s">
        <v>6546</v>
      </c>
      <c r="E1195" s="554">
        <f t="shared" si="94"/>
        <v>68</v>
      </c>
      <c r="F1195" s="554">
        <v>0</v>
      </c>
      <c r="G1195" s="554">
        <v>68</v>
      </c>
      <c r="H1195" s="554">
        <v>0</v>
      </c>
      <c r="I1195" s="554">
        <f t="shared" si="92"/>
        <v>60</v>
      </c>
      <c r="J1195" s="554">
        <v>0</v>
      </c>
      <c r="K1195" s="661">
        <v>60</v>
      </c>
      <c r="L1195" s="744">
        <v>0</v>
      </c>
      <c r="M1195" s="688">
        <f t="shared" si="93"/>
        <v>95</v>
      </c>
      <c r="N1195" s="659">
        <f>(33*60*M1195*(1/1000))</f>
        <v>188.1</v>
      </c>
      <c r="O1195" s="747" t="s">
        <v>1254</v>
      </c>
      <c r="P1195" s="547" t="s">
        <v>1588</v>
      </c>
      <c r="Q1195" s="689">
        <v>0</v>
      </c>
      <c r="R1195" s="689">
        <v>0</v>
      </c>
      <c r="S1195" s="689">
        <v>0</v>
      </c>
      <c r="T1195" s="689">
        <v>0</v>
      </c>
      <c r="U1195" s="545" t="s">
        <v>6491</v>
      </c>
      <c r="V1195" s="554" t="s">
        <v>6503</v>
      </c>
      <c r="W1195" s="658">
        <v>490</v>
      </c>
      <c r="X1195" s="545" t="s">
        <v>1532</v>
      </c>
      <c r="Y1195" s="555" t="s">
        <v>6493</v>
      </c>
      <c r="Z1195" s="545" t="s">
        <v>1591</v>
      </c>
      <c r="AA1195" s="554" t="s">
        <v>1591</v>
      </c>
      <c r="AB1195" s="556" t="s">
        <v>1591</v>
      </c>
    </row>
    <row r="1196" spans="1:28" ht="24" customHeight="1">
      <c r="A1196" s="604"/>
      <c r="B1196" s="553" t="s">
        <v>675</v>
      </c>
      <c r="C1196" s="743" t="s">
        <v>6547</v>
      </c>
      <c r="D1196" s="553" t="s">
        <v>6548</v>
      </c>
      <c r="E1196" s="554">
        <f t="shared" si="94"/>
        <v>40</v>
      </c>
      <c r="F1196" s="554">
        <v>0</v>
      </c>
      <c r="G1196" s="554">
        <v>40</v>
      </c>
      <c r="H1196" s="554">
        <v>0</v>
      </c>
      <c r="I1196" s="554">
        <f t="shared" si="92"/>
        <v>35</v>
      </c>
      <c r="J1196" s="554">
        <v>0</v>
      </c>
      <c r="K1196" s="661">
        <v>35</v>
      </c>
      <c r="L1196" s="744">
        <v>0</v>
      </c>
      <c r="M1196" s="688">
        <f t="shared" si="93"/>
        <v>95</v>
      </c>
      <c r="N1196" s="659">
        <f>(29.7*35*M1196*(1/1000))</f>
        <v>98.752499999999998</v>
      </c>
      <c r="O1196" s="747" t="s">
        <v>1254</v>
      </c>
      <c r="P1196" s="547" t="s">
        <v>1588</v>
      </c>
      <c r="Q1196" s="689">
        <v>0</v>
      </c>
      <c r="R1196" s="689">
        <v>0</v>
      </c>
      <c r="S1196" s="689">
        <v>0</v>
      </c>
      <c r="T1196" s="689">
        <v>0</v>
      </c>
      <c r="U1196" s="545" t="s">
        <v>6491</v>
      </c>
      <c r="V1196" s="554" t="s">
        <v>6549</v>
      </c>
      <c r="W1196" s="658">
        <v>400</v>
      </c>
      <c r="X1196" s="545" t="s">
        <v>1532</v>
      </c>
      <c r="Y1196" s="555" t="s">
        <v>1935</v>
      </c>
      <c r="Z1196" s="545" t="s">
        <v>1656</v>
      </c>
      <c r="AA1196" s="554" t="s">
        <v>1591</v>
      </c>
      <c r="AB1196" s="556" t="s">
        <v>1591</v>
      </c>
    </row>
    <row r="1197" spans="1:28" ht="24" customHeight="1">
      <c r="A1197" s="604"/>
      <c r="B1197" s="553" t="s">
        <v>675</v>
      </c>
      <c r="C1197" s="743" t="s">
        <v>6550</v>
      </c>
      <c r="D1197" s="553" t="s">
        <v>6551</v>
      </c>
      <c r="E1197" s="554">
        <f t="shared" si="94"/>
        <v>60</v>
      </c>
      <c r="F1197" s="554">
        <v>0</v>
      </c>
      <c r="G1197" s="554">
        <v>0</v>
      </c>
      <c r="H1197" s="554">
        <v>60</v>
      </c>
      <c r="I1197" s="554">
        <f t="shared" si="92"/>
        <v>53</v>
      </c>
      <c r="J1197" s="661">
        <v>0</v>
      </c>
      <c r="K1197" s="661">
        <v>0</v>
      </c>
      <c r="L1197" s="744">
        <v>53</v>
      </c>
      <c r="M1197" s="688">
        <f t="shared" si="93"/>
        <v>95</v>
      </c>
      <c r="N1197" s="659">
        <f>(26.9*53*M1197*(1/1000))</f>
        <v>135.44149999999996</v>
      </c>
      <c r="O1197" s="747" t="s">
        <v>6552</v>
      </c>
      <c r="P1197" s="547" t="s">
        <v>6490</v>
      </c>
      <c r="Q1197" s="689">
        <v>0</v>
      </c>
      <c r="R1197" s="689">
        <v>0</v>
      </c>
      <c r="S1197" s="689">
        <v>0</v>
      </c>
      <c r="T1197" s="689">
        <v>0</v>
      </c>
      <c r="U1197" s="545" t="s">
        <v>6491</v>
      </c>
      <c r="V1197" s="554" t="s">
        <v>6553</v>
      </c>
      <c r="W1197" s="658">
        <v>720</v>
      </c>
      <c r="X1197" s="545" t="s">
        <v>1532</v>
      </c>
      <c r="Y1197" s="555" t="s">
        <v>6493</v>
      </c>
      <c r="Z1197" s="545" t="s">
        <v>1880</v>
      </c>
      <c r="AA1197" s="554" t="s">
        <v>1591</v>
      </c>
      <c r="AB1197" s="556" t="s">
        <v>1591</v>
      </c>
    </row>
    <row r="1198" spans="1:28" ht="24" customHeight="1">
      <c r="A1198" s="604"/>
      <c r="B1198" s="553" t="s">
        <v>675</v>
      </c>
      <c r="C1198" s="743" t="s">
        <v>6554</v>
      </c>
      <c r="D1198" s="553" t="s">
        <v>6555</v>
      </c>
      <c r="E1198" s="554">
        <f t="shared" si="94"/>
        <v>30</v>
      </c>
      <c r="F1198" s="554">
        <v>0</v>
      </c>
      <c r="G1198" s="554">
        <v>30</v>
      </c>
      <c r="H1198" s="554">
        <v>0</v>
      </c>
      <c r="I1198" s="554">
        <f t="shared" si="92"/>
        <v>25</v>
      </c>
      <c r="J1198" s="554">
        <v>0</v>
      </c>
      <c r="K1198" s="661">
        <v>25</v>
      </c>
      <c r="L1198" s="744">
        <v>0</v>
      </c>
      <c r="M1198" s="688">
        <f t="shared" si="93"/>
        <v>95</v>
      </c>
      <c r="N1198" s="659">
        <f>(45.4*25*M1198*(1/1000))</f>
        <v>107.825</v>
      </c>
      <c r="O1198" s="747" t="s">
        <v>1254</v>
      </c>
      <c r="P1198" s="547" t="s">
        <v>1588</v>
      </c>
      <c r="Q1198" s="689">
        <v>0</v>
      </c>
      <c r="R1198" s="689">
        <v>0</v>
      </c>
      <c r="S1198" s="689">
        <v>0</v>
      </c>
      <c r="T1198" s="689">
        <v>0</v>
      </c>
      <c r="U1198" s="545" t="s">
        <v>6491</v>
      </c>
      <c r="V1198" s="554" t="s">
        <v>6549</v>
      </c>
      <c r="W1198" s="658">
        <v>380</v>
      </c>
      <c r="X1198" s="545" t="s">
        <v>1532</v>
      </c>
      <c r="Y1198" s="555" t="s">
        <v>1935</v>
      </c>
      <c r="Z1198" s="545" t="s">
        <v>1656</v>
      </c>
      <c r="AA1198" s="554" t="s">
        <v>1591</v>
      </c>
      <c r="AB1198" s="556" t="s">
        <v>1591</v>
      </c>
    </row>
    <row r="1199" spans="1:28" ht="24" customHeight="1">
      <c r="A1199" s="604"/>
      <c r="B1199" s="553" t="s">
        <v>675</v>
      </c>
      <c r="C1199" s="743" t="s">
        <v>6556</v>
      </c>
      <c r="D1199" s="553" t="s">
        <v>6557</v>
      </c>
      <c r="E1199" s="554">
        <f t="shared" si="94"/>
        <v>35</v>
      </c>
      <c r="F1199" s="554">
        <v>0</v>
      </c>
      <c r="G1199" s="554">
        <v>0</v>
      </c>
      <c r="H1199" s="554">
        <v>35</v>
      </c>
      <c r="I1199" s="554">
        <f t="shared" si="92"/>
        <v>32</v>
      </c>
      <c r="J1199" s="661">
        <v>0</v>
      </c>
      <c r="K1199" s="661">
        <v>0</v>
      </c>
      <c r="L1199" s="744">
        <v>32</v>
      </c>
      <c r="M1199" s="688">
        <f t="shared" si="93"/>
        <v>95</v>
      </c>
      <c r="N1199" s="659">
        <f>(32.3*32*M1199*(1/1000))</f>
        <v>98.191999999999993</v>
      </c>
      <c r="O1199" s="747" t="s">
        <v>6489</v>
      </c>
      <c r="P1199" s="547" t="s">
        <v>6490</v>
      </c>
      <c r="Q1199" s="689">
        <v>0</v>
      </c>
      <c r="R1199" s="689">
        <v>0</v>
      </c>
      <c r="S1199" s="689">
        <v>0</v>
      </c>
      <c r="T1199" s="689">
        <v>0</v>
      </c>
      <c r="U1199" s="545" t="s">
        <v>6491</v>
      </c>
      <c r="V1199" s="554" t="s">
        <v>6492</v>
      </c>
      <c r="W1199" s="658">
        <v>100</v>
      </c>
      <c r="X1199" s="545" t="s">
        <v>1532</v>
      </c>
      <c r="Y1199" s="555" t="s">
        <v>6493</v>
      </c>
      <c r="Z1199" s="545" t="s">
        <v>1591</v>
      </c>
      <c r="AA1199" s="554" t="s">
        <v>1591</v>
      </c>
      <c r="AB1199" s="556" t="s">
        <v>1591</v>
      </c>
    </row>
    <row r="1200" spans="1:28" ht="24" customHeight="1">
      <c r="A1200" s="604"/>
      <c r="B1200" s="553" t="s">
        <v>675</v>
      </c>
      <c r="C1200" s="743" t="s">
        <v>6558</v>
      </c>
      <c r="D1200" s="553" t="s">
        <v>6559</v>
      </c>
      <c r="E1200" s="554">
        <f t="shared" si="94"/>
        <v>50</v>
      </c>
      <c r="F1200" s="554">
        <v>0</v>
      </c>
      <c r="G1200" s="554">
        <v>0</v>
      </c>
      <c r="H1200" s="554">
        <v>50</v>
      </c>
      <c r="I1200" s="554">
        <f t="shared" si="92"/>
        <v>45</v>
      </c>
      <c r="J1200" s="661">
        <v>0</v>
      </c>
      <c r="K1200" s="661">
        <v>0</v>
      </c>
      <c r="L1200" s="744">
        <v>45</v>
      </c>
      <c r="M1200" s="688">
        <f t="shared" si="93"/>
        <v>95</v>
      </c>
      <c r="N1200" s="659">
        <f>(26.9*53*M1200*(1/1000))</f>
        <v>135.44149999999996</v>
      </c>
      <c r="O1200" s="747" t="s">
        <v>6489</v>
      </c>
      <c r="P1200" s="547" t="s">
        <v>6490</v>
      </c>
      <c r="Q1200" s="689">
        <v>0</v>
      </c>
      <c r="R1200" s="689">
        <v>0</v>
      </c>
      <c r="S1200" s="689">
        <v>0</v>
      </c>
      <c r="T1200" s="689">
        <v>0</v>
      </c>
      <c r="U1200" s="545" t="s">
        <v>6491</v>
      </c>
      <c r="V1200" s="554" t="s">
        <v>6506</v>
      </c>
      <c r="W1200" s="658">
        <v>1000</v>
      </c>
      <c r="X1200" s="545" t="s">
        <v>1532</v>
      </c>
      <c r="Y1200" s="555" t="s">
        <v>6493</v>
      </c>
      <c r="Z1200" s="545" t="s">
        <v>6560</v>
      </c>
      <c r="AA1200" s="554" t="s">
        <v>1591</v>
      </c>
      <c r="AB1200" s="556" t="s">
        <v>1591</v>
      </c>
    </row>
    <row r="1201" spans="1:28" ht="24" customHeight="1">
      <c r="A1201" s="605" t="s">
        <v>6561</v>
      </c>
      <c r="B1201" s="544" t="s">
        <v>2201</v>
      </c>
      <c r="C1201" s="551" t="s">
        <v>2146</v>
      </c>
      <c r="D1201" s="553" t="s">
        <v>6562</v>
      </c>
      <c r="E1201" s="563">
        <f>SUM(F1201:H1201)</f>
        <v>25000</v>
      </c>
      <c r="F1201" s="563">
        <v>0</v>
      </c>
      <c r="G1201" s="563">
        <v>0</v>
      </c>
      <c r="H1201" s="563">
        <v>25000</v>
      </c>
      <c r="I1201" s="563">
        <f>SUM(J1201:L1201)</f>
        <v>10494</v>
      </c>
      <c r="J1201" s="563">
        <v>0</v>
      </c>
      <c r="K1201" s="563">
        <v>0</v>
      </c>
      <c r="L1201" s="741">
        <v>10494</v>
      </c>
      <c r="M1201" s="687">
        <v>99</v>
      </c>
      <c r="N1201" s="659">
        <v>2628</v>
      </c>
      <c r="O1201" s="746" t="s">
        <v>3215</v>
      </c>
      <c r="P1201" s="547" t="s">
        <v>1588</v>
      </c>
      <c r="Q1201" s="689">
        <v>0</v>
      </c>
      <c r="R1201" s="689">
        <v>0</v>
      </c>
      <c r="S1201" s="689">
        <v>0</v>
      </c>
      <c r="T1201" s="689">
        <v>0</v>
      </c>
      <c r="U1201" s="547" t="s">
        <v>6563</v>
      </c>
      <c r="V1201" s="547" t="s">
        <v>6564</v>
      </c>
      <c r="W1201" s="658">
        <v>52064</v>
      </c>
      <c r="X1201" s="547" t="s">
        <v>1532</v>
      </c>
      <c r="Y1201" s="547" t="s">
        <v>4034</v>
      </c>
      <c r="Z1201" s="547"/>
      <c r="AA1201" s="547"/>
      <c r="AB1201" s="550" t="s">
        <v>1934</v>
      </c>
    </row>
    <row r="1202" spans="1:28" ht="24" customHeight="1">
      <c r="A1202" s="606"/>
      <c r="B1202" s="544" t="s">
        <v>2201</v>
      </c>
      <c r="C1202" s="551" t="s">
        <v>475</v>
      </c>
      <c r="D1202" s="553" t="s">
        <v>6565</v>
      </c>
      <c r="E1202" s="563">
        <f>SUM(F1202:H1202)</f>
        <v>24000</v>
      </c>
      <c r="F1202" s="563">
        <v>0</v>
      </c>
      <c r="G1202" s="563">
        <v>0</v>
      </c>
      <c r="H1202" s="563">
        <v>24000</v>
      </c>
      <c r="I1202" s="563">
        <f>SUM(J1202:L1202)</f>
        <v>23209</v>
      </c>
      <c r="J1202" s="563">
        <v>0</v>
      </c>
      <c r="K1202" s="563">
        <v>0</v>
      </c>
      <c r="L1202" s="741">
        <v>23209</v>
      </c>
      <c r="M1202" s="687">
        <v>0</v>
      </c>
      <c r="N1202" s="563">
        <v>0</v>
      </c>
      <c r="O1202" s="746" t="s">
        <v>6566</v>
      </c>
      <c r="P1202" s="547" t="s">
        <v>1588</v>
      </c>
      <c r="Q1202" s="689">
        <v>0</v>
      </c>
      <c r="R1202" s="689">
        <v>0</v>
      </c>
      <c r="S1202" s="689">
        <v>0</v>
      </c>
      <c r="T1202" s="689">
        <v>0</v>
      </c>
      <c r="U1202" s="547" t="s">
        <v>6567</v>
      </c>
      <c r="V1202" s="547" t="s">
        <v>6568</v>
      </c>
      <c r="W1202" s="658">
        <v>32657</v>
      </c>
      <c r="X1202" s="547" t="s">
        <v>1532</v>
      </c>
      <c r="Y1202" s="547" t="s">
        <v>4034</v>
      </c>
      <c r="Z1202" s="547"/>
      <c r="AA1202" s="547"/>
      <c r="AB1202" s="550" t="s">
        <v>1934</v>
      </c>
    </row>
    <row r="1203" spans="1:28" ht="24" customHeight="1">
      <c r="A1203" s="606"/>
      <c r="B1203" s="544" t="s">
        <v>2201</v>
      </c>
      <c r="C1203" s="551" t="s">
        <v>476</v>
      </c>
      <c r="D1203" s="553" t="s">
        <v>6569</v>
      </c>
      <c r="E1203" s="563">
        <f>SUM(F1203:H1203)</f>
        <v>5092</v>
      </c>
      <c r="F1203" s="563">
        <v>0</v>
      </c>
      <c r="G1203" s="563">
        <v>5092</v>
      </c>
      <c r="H1203" s="563">
        <v>0</v>
      </c>
      <c r="I1203" s="563">
        <f>SUM(J1203:L1203)</f>
        <v>2721</v>
      </c>
      <c r="J1203" s="563">
        <v>0</v>
      </c>
      <c r="K1203" s="563">
        <v>2721</v>
      </c>
      <c r="L1203" s="741">
        <v>0</v>
      </c>
      <c r="M1203" s="687">
        <v>0</v>
      </c>
      <c r="N1203" s="563">
        <v>0</v>
      </c>
      <c r="O1203" s="746" t="s">
        <v>6570</v>
      </c>
      <c r="P1203" s="547" t="s">
        <v>1588</v>
      </c>
      <c r="Q1203" s="689">
        <v>0</v>
      </c>
      <c r="R1203" s="689">
        <v>0</v>
      </c>
      <c r="S1203" s="689">
        <v>0</v>
      </c>
      <c r="T1203" s="689">
        <v>0</v>
      </c>
      <c r="U1203" s="547" t="s">
        <v>6571</v>
      </c>
      <c r="V1203" s="547" t="s">
        <v>6572</v>
      </c>
      <c r="W1203" s="658">
        <v>4134</v>
      </c>
      <c r="X1203" s="547" t="s">
        <v>1532</v>
      </c>
      <c r="Y1203" s="547" t="s">
        <v>1533</v>
      </c>
      <c r="Z1203" s="547"/>
      <c r="AA1203" s="547"/>
      <c r="AB1203" s="550" t="s">
        <v>1934</v>
      </c>
    </row>
    <row r="1204" spans="1:28" ht="24" customHeight="1">
      <c r="A1204" s="606"/>
      <c r="B1204" s="544" t="s">
        <v>675</v>
      </c>
      <c r="C1204" s="551" t="s">
        <v>4832</v>
      </c>
      <c r="D1204" s="553" t="s">
        <v>6573</v>
      </c>
      <c r="E1204" s="554">
        <f>SUM(F1204:H1204)</f>
        <v>60</v>
      </c>
      <c r="F1204" s="563">
        <v>0</v>
      </c>
      <c r="G1204" s="563">
        <v>0</v>
      </c>
      <c r="H1204" s="563">
        <v>60</v>
      </c>
      <c r="I1204" s="554">
        <f>SUM(J1204:L1204)</f>
        <v>44</v>
      </c>
      <c r="J1204" s="563">
        <v>0</v>
      </c>
      <c r="K1204" s="563">
        <v>0</v>
      </c>
      <c r="L1204" s="741">
        <v>44</v>
      </c>
      <c r="M1204" s="687">
        <v>0</v>
      </c>
      <c r="N1204" s="563">
        <v>0</v>
      </c>
      <c r="O1204" s="746" t="s">
        <v>6574</v>
      </c>
      <c r="P1204" s="547" t="s">
        <v>1588</v>
      </c>
      <c r="Q1204" s="689">
        <v>0</v>
      </c>
      <c r="R1204" s="689">
        <v>0</v>
      </c>
      <c r="S1204" s="689">
        <v>0</v>
      </c>
      <c r="T1204" s="689">
        <v>0</v>
      </c>
      <c r="U1204" s="547" t="s">
        <v>6575</v>
      </c>
      <c r="V1204" s="547">
        <v>1999.04</v>
      </c>
      <c r="W1204" s="658">
        <v>243</v>
      </c>
      <c r="X1204" s="547" t="s">
        <v>2199</v>
      </c>
      <c r="Y1204" s="547" t="s">
        <v>1533</v>
      </c>
      <c r="Z1204" s="547" t="s">
        <v>6576</v>
      </c>
      <c r="AA1204" s="547" t="s">
        <v>6577</v>
      </c>
      <c r="AB1204" s="550" t="s">
        <v>1934</v>
      </c>
    </row>
    <row r="1205" spans="1:28" ht="24" customHeight="1">
      <c r="A1205" s="606"/>
      <c r="B1205" s="544" t="s">
        <v>675</v>
      </c>
      <c r="C1205" s="551" t="s">
        <v>2049</v>
      </c>
      <c r="D1205" s="553" t="s">
        <v>6578</v>
      </c>
      <c r="E1205" s="563">
        <f t="shared" ref="E1205:E1216" si="95">SUM(F1205:H1205)</f>
        <v>40</v>
      </c>
      <c r="F1205" s="563">
        <v>0</v>
      </c>
      <c r="G1205" s="563">
        <v>0</v>
      </c>
      <c r="H1205" s="563">
        <v>40</v>
      </c>
      <c r="I1205" s="563">
        <f t="shared" ref="I1205:I1225" si="96">SUM(J1205:L1205)</f>
        <v>36</v>
      </c>
      <c r="J1205" s="563">
        <v>0</v>
      </c>
      <c r="K1205" s="563">
        <v>0</v>
      </c>
      <c r="L1205" s="741">
        <v>36</v>
      </c>
      <c r="M1205" s="687">
        <v>0</v>
      </c>
      <c r="N1205" s="563">
        <v>0</v>
      </c>
      <c r="O1205" s="746" t="s">
        <v>3517</v>
      </c>
      <c r="P1205" s="547" t="s">
        <v>1588</v>
      </c>
      <c r="Q1205" s="689">
        <v>0</v>
      </c>
      <c r="R1205" s="689">
        <v>0</v>
      </c>
      <c r="S1205" s="689">
        <v>0</v>
      </c>
      <c r="T1205" s="689">
        <v>0</v>
      </c>
      <c r="U1205" s="547" t="s">
        <v>6575</v>
      </c>
      <c r="V1205" s="547">
        <v>1996.03</v>
      </c>
      <c r="W1205" s="658">
        <v>210</v>
      </c>
      <c r="X1205" s="547" t="s">
        <v>2199</v>
      </c>
      <c r="Y1205" s="547" t="s">
        <v>1533</v>
      </c>
      <c r="Z1205" s="547" t="s">
        <v>6576</v>
      </c>
      <c r="AA1205" s="547" t="s">
        <v>6577</v>
      </c>
      <c r="AB1205" s="550" t="s">
        <v>1934</v>
      </c>
    </row>
    <row r="1206" spans="1:28" ht="24" customHeight="1">
      <c r="A1206" s="606"/>
      <c r="B1206" s="544" t="s">
        <v>675</v>
      </c>
      <c r="C1206" s="551" t="s">
        <v>6579</v>
      </c>
      <c r="D1206" s="553" t="s">
        <v>6580</v>
      </c>
      <c r="E1206" s="563">
        <f t="shared" si="95"/>
        <v>60</v>
      </c>
      <c r="F1206" s="563">
        <v>0</v>
      </c>
      <c r="G1206" s="563">
        <v>0</v>
      </c>
      <c r="H1206" s="563">
        <v>60</v>
      </c>
      <c r="I1206" s="563">
        <f t="shared" si="96"/>
        <v>40</v>
      </c>
      <c r="J1206" s="563">
        <v>0</v>
      </c>
      <c r="K1206" s="563">
        <v>0</v>
      </c>
      <c r="L1206" s="741">
        <v>40</v>
      </c>
      <c r="M1206" s="687">
        <v>0</v>
      </c>
      <c r="N1206" s="563">
        <v>0</v>
      </c>
      <c r="O1206" s="746" t="s">
        <v>6574</v>
      </c>
      <c r="P1206" s="547" t="s">
        <v>1588</v>
      </c>
      <c r="Q1206" s="689">
        <v>0</v>
      </c>
      <c r="R1206" s="689">
        <v>0</v>
      </c>
      <c r="S1206" s="689">
        <v>0</v>
      </c>
      <c r="T1206" s="689">
        <v>0</v>
      </c>
      <c r="U1206" s="547" t="s">
        <v>6575</v>
      </c>
      <c r="V1206" s="547">
        <v>1999.04</v>
      </c>
      <c r="W1206" s="658">
        <v>237</v>
      </c>
      <c r="X1206" s="547" t="s">
        <v>2199</v>
      </c>
      <c r="Y1206" s="547" t="s">
        <v>1533</v>
      </c>
      <c r="Z1206" s="547" t="s">
        <v>6576</v>
      </c>
      <c r="AA1206" s="547" t="s">
        <v>6577</v>
      </c>
      <c r="AB1206" s="550" t="s">
        <v>1934</v>
      </c>
    </row>
    <row r="1207" spans="1:28" ht="24" customHeight="1">
      <c r="A1207" s="606"/>
      <c r="B1207" s="544" t="s">
        <v>675</v>
      </c>
      <c r="C1207" s="551" t="s">
        <v>6581</v>
      </c>
      <c r="D1207" s="553" t="s">
        <v>6578</v>
      </c>
      <c r="E1207" s="563">
        <f t="shared" si="95"/>
        <v>45</v>
      </c>
      <c r="F1207" s="563">
        <v>0</v>
      </c>
      <c r="G1207" s="563">
        <v>0</v>
      </c>
      <c r="H1207" s="563">
        <v>45</v>
      </c>
      <c r="I1207" s="563">
        <f t="shared" si="96"/>
        <v>34</v>
      </c>
      <c r="J1207" s="563">
        <v>0</v>
      </c>
      <c r="K1207" s="563">
        <v>0</v>
      </c>
      <c r="L1207" s="741">
        <v>34</v>
      </c>
      <c r="M1207" s="687">
        <v>0</v>
      </c>
      <c r="N1207" s="563">
        <v>0</v>
      </c>
      <c r="O1207" s="746" t="s">
        <v>3447</v>
      </c>
      <c r="P1207" s="547" t="s">
        <v>1588</v>
      </c>
      <c r="Q1207" s="689">
        <v>0</v>
      </c>
      <c r="R1207" s="689">
        <v>0</v>
      </c>
      <c r="S1207" s="689">
        <v>0</v>
      </c>
      <c r="T1207" s="689">
        <v>0</v>
      </c>
      <c r="U1207" s="547" t="s">
        <v>6575</v>
      </c>
      <c r="V1207" s="547">
        <v>2004.07</v>
      </c>
      <c r="W1207" s="658">
        <v>492</v>
      </c>
      <c r="X1207" s="547" t="s">
        <v>2199</v>
      </c>
      <c r="Y1207" s="547" t="s">
        <v>1533</v>
      </c>
      <c r="Z1207" s="547" t="s">
        <v>6576</v>
      </c>
      <c r="AA1207" s="547" t="s">
        <v>6577</v>
      </c>
      <c r="AB1207" s="550" t="s">
        <v>1934</v>
      </c>
    </row>
    <row r="1208" spans="1:28" ht="24" customHeight="1">
      <c r="A1208" s="606"/>
      <c r="B1208" s="544" t="s">
        <v>675</v>
      </c>
      <c r="C1208" s="551" t="s">
        <v>2251</v>
      </c>
      <c r="D1208" s="553" t="s">
        <v>6582</v>
      </c>
      <c r="E1208" s="563">
        <f t="shared" si="95"/>
        <v>110</v>
      </c>
      <c r="F1208" s="563">
        <v>0</v>
      </c>
      <c r="G1208" s="563">
        <v>0</v>
      </c>
      <c r="H1208" s="563">
        <v>110</v>
      </c>
      <c r="I1208" s="563">
        <f t="shared" si="96"/>
        <v>88</v>
      </c>
      <c r="J1208" s="563">
        <v>0</v>
      </c>
      <c r="K1208" s="563">
        <v>0</v>
      </c>
      <c r="L1208" s="741">
        <v>88</v>
      </c>
      <c r="M1208" s="687">
        <v>0</v>
      </c>
      <c r="N1208" s="563">
        <v>0</v>
      </c>
      <c r="O1208" s="746" t="s">
        <v>3451</v>
      </c>
      <c r="P1208" s="547" t="s">
        <v>1588</v>
      </c>
      <c r="Q1208" s="689">
        <v>0</v>
      </c>
      <c r="R1208" s="689">
        <v>0</v>
      </c>
      <c r="S1208" s="689">
        <v>0</v>
      </c>
      <c r="T1208" s="689">
        <v>0</v>
      </c>
      <c r="U1208" s="547" t="s">
        <v>6575</v>
      </c>
      <c r="V1208" s="547">
        <v>2003.01</v>
      </c>
      <c r="W1208" s="658">
        <v>544</v>
      </c>
      <c r="X1208" s="547" t="s">
        <v>2199</v>
      </c>
      <c r="Y1208" s="547" t="s">
        <v>1533</v>
      </c>
      <c r="Z1208" s="547" t="s">
        <v>6576</v>
      </c>
      <c r="AA1208" s="547" t="s">
        <v>6577</v>
      </c>
      <c r="AB1208" s="550" t="s">
        <v>1934</v>
      </c>
    </row>
    <row r="1209" spans="1:28" ht="24" customHeight="1">
      <c r="A1209" s="606"/>
      <c r="B1209" s="544" t="s">
        <v>675</v>
      </c>
      <c r="C1209" s="551" t="s">
        <v>6583</v>
      </c>
      <c r="D1209" s="553" t="s">
        <v>6584</v>
      </c>
      <c r="E1209" s="563">
        <f t="shared" si="95"/>
        <v>45</v>
      </c>
      <c r="F1209" s="563">
        <v>0</v>
      </c>
      <c r="G1209" s="563">
        <v>0</v>
      </c>
      <c r="H1209" s="563">
        <v>45</v>
      </c>
      <c r="I1209" s="563">
        <f t="shared" si="96"/>
        <v>35</v>
      </c>
      <c r="J1209" s="563">
        <v>0</v>
      </c>
      <c r="K1209" s="563">
        <v>0</v>
      </c>
      <c r="L1209" s="741">
        <v>35</v>
      </c>
      <c r="M1209" s="687">
        <v>0</v>
      </c>
      <c r="N1209" s="563">
        <v>0</v>
      </c>
      <c r="O1209" s="746" t="s">
        <v>6585</v>
      </c>
      <c r="P1209" s="547" t="s">
        <v>1588</v>
      </c>
      <c r="Q1209" s="689">
        <v>0</v>
      </c>
      <c r="R1209" s="689">
        <v>0</v>
      </c>
      <c r="S1209" s="689">
        <v>0</v>
      </c>
      <c r="T1209" s="689">
        <v>0</v>
      </c>
      <c r="U1209" s="547" t="s">
        <v>6575</v>
      </c>
      <c r="V1209" s="547">
        <v>2003.01</v>
      </c>
      <c r="W1209" s="658">
        <v>499</v>
      </c>
      <c r="X1209" s="547" t="s">
        <v>2199</v>
      </c>
      <c r="Y1209" s="547" t="s">
        <v>1533</v>
      </c>
      <c r="Z1209" s="547" t="s">
        <v>6576</v>
      </c>
      <c r="AA1209" s="547" t="s">
        <v>6577</v>
      </c>
      <c r="AB1209" s="550" t="s">
        <v>1934</v>
      </c>
    </row>
    <row r="1210" spans="1:28" ht="24" customHeight="1">
      <c r="A1210" s="606"/>
      <c r="B1210" s="544" t="s">
        <v>675</v>
      </c>
      <c r="C1210" s="551" t="s">
        <v>2186</v>
      </c>
      <c r="D1210" s="553" t="s">
        <v>6586</v>
      </c>
      <c r="E1210" s="563">
        <f t="shared" si="95"/>
        <v>60</v>
      </c>
      <c r="F1210" s="563">
        <v>0</v>
      </c>
      <c r="G1210" s="563">
        <v>0</v>
      </c>
      <c r="H1210" s="563">
        <v>60</v>
      </c>
      <c r="I1210" s="563">
        <f t="shared" si="96"/>
        <v>30</v>
      </c>
      <c r="J1210" s="563">
        <v>0</v>
      </c>
      <c r="K1210" s="563">
        <v>0</v>
      </c>
      <c r="L1210" s="741">
        <v>30</v>
      </c>
      <c r="M1210" s="687">
        <v>0</v>
      </c>
      <c r="N1210" s="563">
        <v>0</v>
      </c>
      <c r="O1210" s="746" t="s">
        <v>6587</v>
      </c>
      <c r="P1210" s="547" t="s">
        <v>1588</v>
      </c>
      <c r="Q1210" s="689">
        <v>0</v>
      </c>
      <c r="R1210" s="689">
        <v>0</v>
      </c>
      <c r="S1210" s="689">
        <v>0</v>
      </c>
      <c r="T1210" s="689">
        <v>0</v>
      </c>
      <c r="U1210" s="547" t="s">
        <v>6575</v>
      </c>
      <c r="V1210" s="547">
        <v>2006.04</v>
      </c>
      <c r="W1210" s="658">
        <v>179</v>
      </c>
      <c r="X1210" s="547" t="s">
        <v>1532</v>
      </c>
      <c r="Y1210" s="547" t="s">
        <v>3336</v>
      </c>
      <c r="Z1210" s="547" t="s">
        <v>6576</v>
      </c>
      <c r="AA1210" s="547" t="s">
        <v>6577</v>
      </c>
      <c r="AB1210" s="550" t="s">
        <v>1934</v>
      </c>
    </row>
    <row r="1211" spans="1:28" ht="24" customHeight="1">
      <c r="A1211" s="606"/>
      <c r="B1211" s="544" t="s">
        <v>675</v>
      </c>
      <c r="C1211" s="551" t="s">
        <v>6588</v>
      </c>
      <c r="D1211" s="553" t="s">
        <v>6589</v>
      </c>
      <c r="E1211" s="563">
        <f t="shared" si="95"/>
        <v>60</v>
      </c>
      <c r="F1211" s="563">
        <v>0</v>
      </c>
      <c r="G1211" s="563">
        <v>0</v>
      </c>
      <c r="H1211" s="563">
        <v>60</v>
      </c>
      <c r="I1211" s="563">
        <f t="shared" si="96"/>
        <v>39</v>
      </c>
      <c r="J1211" s="563">
        <v>0</v>
      </c>
      <c r="K1211" s="563">
        <v>0</v>
      </c>
      <c r="L1211" s="741">
        <v>39</v>
      </c>
      <c r="M1211" s="687">
        <v>0</v>
      </c>
      <c r="N1211" s="563">
        <v>0</v>
      </c>
      <c r="O1211" s="746" t="s">
        <v>6590</v>
      </c>
      <c r="P1211" s="547" t="s">
        <v>1588</v>
      </c>
      <c r="Q1211" s="689">
        <v>0</v>
      </c>
      <c r="R1211" s="689">
        <v>0</v>
      </c>
      <c r="S1211" s="689">
        <v>0</v>
      </c>
      <c r="T1211" s="689">
        <v>0</v>
      </c>
      <c r="U1211" s="547" t="s">
        <v>6575</v>
      </c>
      <c r="V1211" s="547">
        <v>2000.03</v>
      </c>
      <c r="W1211" s="658">
        <v>290</v>
      </c>
      <c r="X1211" s="547" t="s">
        <v>2199</v>
      </c>
      <c r="Y1211" s="547" t="s">
        <v>1533</v>
      </c>
      <c r="Z1211" s="547" t="s">
        <v>6591</v>
      </c>
      <c r="AA1211" s="547" t="s">
        <v>6577</v>
      </c>
      <c r="AB1211" s="550" t="s">
        <v>1934</v>
      </c>
    </row>
    <row r="1212" spans="1:28" ht="24" customHeight="1">
      <c r="A1212" s="606"/>
      <c r="B1212" s="544" t="s">
        <v>675</v>
      </c>
      <c r="C1212" s="551" t="s">
        <v>2116</v>
      </c>
      <c r="D1212" s="553" t="s">
        <v>6592</v>
      </c>
      <c r="E1212" s="563">
        <f t="shared" si="95"/>
        <v>40</v>
      </c>
      <c r="F1212" s="563">
        <v>0</v>
      </c>
      <c r="G1212" s="563">
        <v>0</v>
      </c>
      <c r="H1212" s="563">
        <v>40</v>
      </c>
      <c r="I1212" s="563">
        <f t="shared" si="96"/>
        <v>35</v>
      </c>
      <c r="J1212" s="563">
        <v>0</v>
      </c>
      <c r="K1212" s="563">
        <v>0</v>
      </c>
      <c r="L1212" s="741">
        <v>35</v>
      </c>
      <c r="M1212" s="687">
        <v>0</v>
      </c>
      <c r="N1212" s="563">
        <v>0</v>
      </c>
      <c r="O1212" s="746" t="s">
        <v>6590</v>
      </c>
      <c r="P1212" s="547" t="s">
        <v>1588</v>
      </c>
      <c r="Q1212" s="689">
        <v>0</v>
      </c>
      <c r="R1212" s="689">
        <v>0</v>
      </c>
      <c r="S1212" s="689">
        <v>0</v>
      </c>
      <c r="T1212" s="689">
        <v>0</v>
      </c>
      <c r="U1212" s="547" t="s">
        <v>6575</v>
      </c>
      <c r="V1212" s="547">
        <v>2002.04</v>
      </c>
      <c r="W1212" s="658">
        <v>340</v>
      </c>
      <c r="X1212" s="547" t="s">
        <v>2199</v>
      </c>
      <c r="Y1212" s="547" t="s">
        <v>1533</v>
      </c>
      <c r="Z1212" s="547" t="s">
        <v>6591</v>
      </c>
      <c r="AA1212" s="547" t="s">
        <v>6577</v>
      </c>
      <c r="AB1212" s="550" t="s">
        <v>1934</v>
      </c>
    </row>
    <row r="1213" spans="1:28" ht="24" customHeight="1">
      <c r="A1213" s="606"/>
      <c r="B1213" s="544" t="s">
        <v>675</v>
      </c>
      <c r="C1213" s="551" t="s">
        <v>6593</v>
      </c>
      <c r="D1213" s="553" t="s">
        <v>6594</v>
      </c>
      <c r="E1213" s="563">
        <f t="shared" si="95"/>
        <v>48</v>
      </c>
      <c r="F1213" s="563">
        <v>0</v>
      </c>
      <c r="G1213" s="563">
        <v>0</v>
      </c>
      <c r="H1213" s="563">
        <v>48</v>
      </c>
      <c r="I1213" s="563">
        <f t="shared" si="96"/>
        <v>38</v>
      </c>
      <c r="J1213" s="563">
        <v>0</v>
      </c>
      <c r="K1213" s="563">
        <v>0</v>
      </c>
      <c r="L1213" s="741">
        <v>38</v>
      </c>
      <c r="M1213" s="687">
        <v>0</v>
      </c>
      <c r="N1213" s="563">
        <v>0</v>
      </c>
      <c r="O1213" s="746" t="s">
        <v>3447</v>
      </c>
      <c r="P1213" s="547" t="s">
        <v>1588</v>
      </c>
      <c r="Q1213" s="689">
        <v>0</v>
      </c>
      <c r="R1213" s="689">
        <v>0</v>
      </c>
      <c r="S1213" s="689">
        <v>0</v>
      </c>
      <c r="T1213" s="689">
        <v>0</v>
      </c>
      <c r="U1213" s="547" t="s">
        <v>6575</v>
      </c>
      <c r="V1213" s="547">
        <v>2004.03</v>
      </c>
      <c r="W1213" s="658">
        <v>517</v>
      </c>
      <c r="X1213" s="547" t="s">
        <v>2199</v>
      </c>
      <c r="Y1213" s="547" t="s">
        <v>1533</v>
      </c>
      <c r="Z1213" s="547" t="s">
        <v>6591</v>
      </c>
      <c r="AA1213" s="547" t="s">
        <v>6577</v>
      </c>
      <c r="AB1213" s="550" t="s">
        <v>1934</v>
      </c>
    </row>
    <row r="1214" spans="1:28" ht="24" customHeight="1">
      <c r="A1214" s="606"/>
      <c r="B1214" s="544" t="s">
        <v>675</v>
      </c>
      <c r="C1214" s="551" t="s">
        <v>6595</v>
      </c>
      <c r="D1214" s="553" t="s">
        <v>6596</v>
      </c>
      <c r="E1214" s="563">
        <f t="shared" si="95"/>
        <v>40</v>
      </c>
      <c r="F1214" s="563">
        <v>0</v>
      </c>
      <c r="G1214" s="563">
        <v>0</v>
      </c>
      <c r="H1214" s="563">
        <v>40</v>
      </c>
      <c r="I1214" s="563">
        <f t="shared" si="96"/>
        <v>40</v>
      </c>
      <c r="J1214" s="563">
        <v>0</v>
      </c>
      <c r="K1214" s="563">
        <v>0</v>
      </c>
      <c r="L1214" s="741">
        <v>40</v>
      </c>
      <c r="M1214" s="687">
        <v>0</v>
      </c>
      <c r="N1214" s="563">
        <v>0</v>
      </c>
      <c r="O1214" s="746" t="s">
        <v>3517</v>
      </c>
      <c r="P1214" s="547" t="s">
        <v>1588</v>
      </c>
      <c r="Q1214" s="689">
        <v>0</v>
      </c>
      <c r="R1214" s="689">
        <v>0</v>
      </c>
      <c r="S1214" s="689">
        <v>0</v>
      </c>
      <c r="T1214" s="689">
        <v>0</v>
      </c>
      <c r="U1214" s="547" t="s">
        <v>6575</v>
      </c>
      <c r="V1214" s="547">
        <v>1996.02</v>
      </c>
      <c r="W1214" s="658">
        <v>210</v>
      </c>
      <c r="X1214" s="547" t="s">
        <v>2199</v>
      </c>
      <c r="Y1214" s="547" t="s">
        <v>1533</v>
      </c>
      <c r="Z1214" s="547" t="s">
        <v>6597</v>
      </c>
      <c r="AA1214" s="547" t="s">
        <v>6577</v>
      </c>
      <c r="AB1214" s="550" t="s">
        <v>1934</v>
      </c>
    </row>
    <row r="1215" spans="1:28" ht="24" customHeight="1">
      <c r="A1215" s="606"/>
      <c r="B1215" s="544" t="s">
        <v>675</v>
      </c>
      <c r="C1215" s="551" t="s">
        <v>6598</v>
      </c>
      <c r="D1215" s="553" t="s">
        <v>6599</v>
      </c>
      <c r="E1215" s="563">
        <v>50</v>
      </c>
      <c r="F1215" s="563">
        <v>0</v>
      </c>
      <c r="G1215" s="563">
        <v>0</v>
      </c>
      <c r="H1215" s="563">
        <v>50</v>
      </c>
      <c r="I1215" s="563">
        <f t="shared" si="96"/>
        <v>44</v>
      </c>
      <c r="J1215" s="563">
        <v>0</v>
      </c>
      <c r="K1215" s="563">
        <v>0</v>
      </c>
      <c r="L1215" s="741">
        <v>44</v>
      </c>
      <c r="M1215" s="687">
        <v>0</v>
      </c>
      <c r="N1215" s="563">
        <v>0</v>
      </c>
      <c r="O1215" s="746" t="s">
        <v>2964</v>
      </c>
      <c r="P1215" s="547" t="s">
        <v>1588</v>
      </c>
      <c r="Q1215" s="689">
        <v>0</v>
      </c>
      <c r="R1215" s="689">
        <v>0</v>
      </c>
      <c r="S1215" s="689">
        <v>0</v>
      </c>
      <c r="T1215" s="689">
        <v>0</v>
      </c>
      <c r="U1215" s="547" t="s">
        <v>6575</v>
      </c>
      <c r="V1215" s="547">
        <v>2001.04</v>
      </c>
      <c r="W1215" s="658">
        <v>351</v>
      </c>
      <c r="X1215" s="547" t="s">
        <v>2199</v>
      </c>
      <c r="Y1215" s="547" t="s">
        <v>1533</v>
      </c>
      <c r="Z1215" s="547" t="s">
        <v>6597</v>
      </c>
      <c r="AA1215" s="547" t="s">
        <v>6577</v>
      </c>
      <c r="AB1215" s="550" t="s">
        <v>1934</v>
      </c>
    </row>
    <row r="1216" spans="1:28" ht="24" customHeight="1">
      <c r="A1216" s="606"/>
      <c r="B1216" s="544" t="s">
        <v>675</v>
      </c>
      <c r="C1216" s="551" t="s">
        <v>6600</v>
      </c>
      <c r="D1216" s="553" t="s">
        <v>6601</v>
      </c>
      <c r="E1216" s="563">
        <f t="shared" si="95"/>
        <v>60</v>
      </c>
      <c r="F1216" s="563">
        <v>0</v>
      </c>
      <c r="G1216" s="563">
        <v>0</v>
      </c>
      <c r="H1216" s="563">
        <v>60</v>
      </c>
      <c r="I1216" s="563">
        <f t="shared" si="96"/>
        <v>54</v>
      </c>
      <c r="J1216" s="563">
        <v>0</v>
      </c>
      <c r="K1216" s="563">
        <v>0</v>
      </c>
      <c r="L1216" s="741">
        <v>54</v>
      </c>
      <c r="M1216" s="687">
        <v>0</v>
      </c>
      <c r="N1216" s="563">
        <v>0</v>
      </c>
      <c r="O1216" s="746" t="s">
        <v>2964</v>
      </c>
      <c r="P1216" s="547" t="s">
        <v>1588</v>
      </c>
      <c r="Q1216" s="689">
        <v>0</v>
      </c>
      <c r="R1216" s="689">
        <v>0</v>
      </c>
      <c r="S1216" s="689">
        <v>0</v>
      </c>
      <c r="T1216" s="689">
        <v>0</v>
      </c>
      <c r="U1216" s="547" t="s">
        <v>6575</v>
      </c>
      <c r="V1216" s="547">
        <v>2002.03</v>
      </c>
      <c r="W1216" s="658">
        <v>449</v>
      </c>
      <c r="X1216" s="547" t="s">
        <v>2199</v>
      </c>
      <c r="Y1216" s="547" t="s">
        <v>1533</v>
      </c>
      <c r="Z1216" s="547" t="s">
        <v>6597</v>
      </c>
      <c r="AA1216" s="547" t="s">
        <v>6577</v>
      </c>
      <c r="AB1216" s="550" t="s">
        <v>1934</v>
      </c>
    </row>
    <row r="1217" spans="1:28" ht="24" customHeight="1">
      <c r="A1217" s="606"/>
      <c r="B1217" s="544" t="s">
        <v>675</v>
      </c>
      <c r="C1217" s="551" t="s">
        <v>6602</v>
      </c>
      <c r="D1217" s="553" t="s">
        <v>6603</v>
      </c>
      <c r="E1217" s="563">
        <v>10</v>
      </c>
      <c r="F1217" s="563">
        <v>0</v>
      </c>
      <c r="G1217" s="563">
        <v>0</v>
      </c>
      <c r="H1217" s="563">
        <v>10</v>
      </c>
      <c r="I1217" s="563">
        <f t="shared" si="96"/>
        <v>7</v>
      </c>
      <c r="J1217" s="563">
        <v>0</v>
      </c>
      <c r="K1217" s="563">
        <v>0</v>
      </c>
      <c r="L1217" s="741">
        <v>7</v>
      </c>
      <c r="M1217" s="687">
        <v>0</v>
      </c>
      <c r="N1217" s="563">
        <v>0</v>
      </c>
      <c r="O1217" s="746" t="s">
        <v>2964</v>
      </c>
      <c r="P1217" s="547" t="s">
        <v>1588</v>
      </c>
      <c r="Q1217" s="689">
        <v>0</v>
      </c>
      <c r="R1217" s="689">
        <v>0</v>
      </c>
      <c r="S1217" s="689">
        <v>0</v>
      </c>
      <c r="T1217" s="689">
        <v>0</v>
      </c>
      <c r="U1217" s="547" t="s">
        <v>6575</v>
      </c>
      <c r="V1217" s="547">
        <v>2002.03</v>
      </c>
      <c r="W1217" s="658"/>
      <c r="X1217" s="547" t="s">
        <v>2199</v>
      </c>
      <c r="Y1217" s="547" t="s">
        <v>1533</v>
      </c>
      <c r="Z1217" s="547" t="s">
        <v>6597</v>
      </c>
      <c r="AA1217" s="547" t="s">
        <v>6577</v>
      </c>
      <c r="AB1217" s="550" t="s">
        <v>1934</v>
      </c>
    </row>
    <row r="1218" spans="1:28" ht="24" customHeight="1">
      <c r="A1218" s="606"/>
      <c r="B1218" s="544" t="s">
        <v>675</v>
      </c>
      <c r="C1218" s="551" t="s">
        <v>6604</v>
      </c>
      <c r="D1218" s="553" t="s">
        <v>6605</v>
      </c>
      <c r="E1218" s="563">
        <v>60</v>
      </c>
      <c r="F1218" s="563">
        <v>0</v>
      </c>
      <c r="G1218" s="563">
        <v>0</v>
      </c>
      <c r="H1218" s="563">
        <v>60</v>
      </c>
      <c r="I1218" s="563">
        <f t="shared" si="96"/>
        <v>35</v>
      </c>
      <c r="J1218" s="563">
        <v>0</v>
      </c>
      <c r="K1218" s="563">
        <v>0</v>
      </c>
      <c r="L1218" s="741">
        <v>35</v>
      </c>
      <c r="M1218" s="687">
        <v>0</v>
      </c>
      <c r="N1218" s="563">
        <v>0</v>
      </c>
      <c r="O1218" s="746" t="s">
        <v>6574</v>
      </c>
      <c r="P1218" s="547" t="s">
        <v>1588</v>
      </c>
      <c r="Q1218" s="689">
        <v>0</v>
      </c>
      <c r="R1218" s="689">
        <v>0</v>
      </c>
      <c r="S1218" s="689">
        <v>0</v>
      </c>
      <c r="T1218" s="689">
        <v>0</v>
      </c>
      <c r="U1218" s="547" t="s">
        <v>6575</v>
      </c>
      <c r="V1218" s="547">
        <v>2000.03</v>
      </c>
      <c r="W1218" s="658">
        <v>280</v>
      </c>
      <c r="X1218" s="547" t="s">
        <v>2199</v>
      </c>
      <c r="Y1218" s="547" t="s">
        <v>1533</v>
      </c>
      <c r="Z1218" s="547" t="s">
        <v>1686</v>
      </c>
      <c r="AA1218" s="547" t="s">
        <v>6577</v>
      </c>
      <c r="AB1218" s="550" t="s">
        <v>1934</v>
      </c>
    </row>
    <row r="1219" spans="1:28" ht="24" customHeight="1">
      <c r="A1219" s="606"/>
      <c r="B1219" s="544" t="s">
        <v>675</v>
      </c>
      <c r="C1219" s="551" t="s">
        <v>6606</v>
      </c>
      <c r="D1219" s="553" t="s">
        <v>6607</v>
      </c>
      <c r="E1219" s="563">
        <v>75</v>
      </c>
      <c r="F1219" s="563">
        <v>0</v>
      </c>
      <c r="G1219" s="563">
        <v>0</v>
      </c>
      <c r="H1219" s="563">
        <v>75</v>
      </c>
      <c r="I1219" s="563">
        <f t="shared" si="96"/>
        <v>68</v>
      </c>
      <c r="J1219" s="563">
        <v>0</v>
      </c>
      <c r="K1219" s="563">
        <v>0</v>
      </c>
      <c r="L1219" s="741">
        <v>68</v>
      </c>
      <c r="M1219" s="687">
        <v>0</v>
      </c>
      <c r="N1219" s="563">
        <v>0</v>
      </c>
      <c r="O1219" s="746" t="s">
        <v>2964</v>
      </c>
      <c r="P1219" s="547" t="s">
        <v>1588</v>
      </c>
      <c r="Q1219" s="689">
        <v>0</v>
      </c>
      <c r="R1219" s="689">
        <v>0</v>
      </c>
      <c r="S1219" s="689">
        <v>0</v>
      </c>
      <c r="T1219" s="689">
        <v>0</v>
      </c>
      <c r="U1219" s="547" t="s">
        <v>6575</v>
      </c>
      <c r="V1219" s="547">
        <v>2001.03</v>
      </c>
      <c r="W1219" s="658">
        <v>478</v>
      </c>
      <c r="X1219" s="547" t="s">
        <v>2199</v>
      </c>
      <c r="Y1219" s="547" t="s">
        <v>1533</v>
      </c>
      <c r="Z1219" s="547" t="s">
        <v>1686</v>
      </c>
      <c r="AA1219" s="547" t="s">
        <v>6577</v>
      </c>
      <c r="AB1219" s="550" t="s">
        <v>1934</v>
      </c>
    </row>
    <row r="1220" spans="1:28" ht="24" customHeight="1">
      <c r="A1220" s="606"/>
      <c r="B1220" s="544" t="s">
        <v>675</v>
      </c>
      <c r="C1220" s="551" t="s">
        <v>6608</v>
      </c>
      <c r="D1220" s="553" t="s">
        <v>6609</v>
      </c>
      <c r="E1220" s="563">
        <v>25</v>
      </c>
      <c r="F1220" s="563">
        <v>0</v>
      </c>
      <c r="G1220" s="563">
        <v>0</v>
      </c>
      <c r="H1220" s="563">
        <v>25</v>
      </c>
      <c r="I1220" s="563">
        <f t="shared" si="96"/>
        <v>20</v>
      </c>
      <c r="J1220" s="563">
        <v>0</v>
      </c>
      <c r="K1220" s="563">
        <v>0</v>
      </c>
      <c r="L1220" s="741">
        <v>20</v>
      </c>
      <c r="M1220" s="687">
        <v>0</v>
      </c>
      <c r="N1220" s="563">
        <v>0</v>
      </c>
      <c r="O1220" s="746" t="s">
        <v>2964</v>
      </c>
      <c r="P1220" s="547" t="s">
        <v>1588</v>
      </c>
      <c r="Q1220" s="689">
        <v>0</v>
      </c>
      <c r="R1220" s="689">
        <v>0</v>
      </c>
      <c r="S1220" s="689">
        <v>0</v>
      </c>
      <c r="T1220" s="689">
        <v>0</v>
      </c>
      <c r="U1220" s="547" t="s">
        <v>6575</v>
      </c>
      <c r="V1220" s="547">
        <v>2001.03</v>
      </c>
      <c r="W1220" s="658"/>
      <c r="X1220" s="547" t="s">
        <v>2199</v>
      </c>
      <c r="Y1220" s="547" t="s">
        <v>1533</v>
      </c>
      <c r="Z1220" s="547" t="s">
        <v>1686</v>
      </c>
      <c r="AA1220" s="547" t="s">
        <v>6577</v>
      </c>
      <c r="AB1220" s="550" t="s">
        <v>1934</v>
      </c>
    </row>
    <row r="1221" spans="1:28" ht="24" customHeight="1">
      <c r="A1221" s="606"/>
      <c r="B1221" s="544" t="s">
        <v>675</v>
      </c>
      <c r="C1221" s="551" t="s">
        <v>6610</v>
      </c>
      <c r="D1221" s="553" t="s">
        <v>6611</v>
      </c>
      <c r="E1221" s="563">
        <v>60</v>
      </c>
      <c r="F1221" s="563">
        <v>0</v>
      </c>
      <c r="G1221" s="563">
        <v>0</v>
      </c>
      <c r="H1221" s="563">
        <v>60</v>
      </c>
      <c r="I1221" s="563">
        <f t="shared" si="96"/>
        <v>41</v>
      </c>
      <c r="J1221" s="563">
        <v>0</v>
      </c>
      <c r="K1221" s="563">
        <v>0</v>
      </c>
      <c r="L1221" s="741">
        <v>41</v>
      </c>
      <c r="M1221" s="687">
        <v>0</v>
      </c>
      <c r="N1221" s="563">
        <v>0</v>
      </c>
      <c r="O1221" s="746" t="s">
        <v>2964</v>
      </c>
      <c r="P1221" s="547" t="s">
        <v>1588</v>
      </c>
      <c r="Q1221" s="689">
        <v>0</v>
      </c>
      <c r="R1221" s="689">
        <v>0</v>
      </c>
      <c r="S1221" s="689">
        <v>0</v>
      </c>
      <c r="T1221" s="689">
        <v>0</v>
      </c>
      <c r="U1221" s="547" t="s">
        <v>6575</v>
      </c>
      <c r="V1221" s="547">
        <v>2000.03</v>
      </c>
      <c r="W1221" s="658">
        <v>483</v>
      </c>
      <c r="X1221" s="547" t="s">
        <v>2199</v>
      </c>
      <c r="Y1221" s="547" t="s">
        <v>1533</v>
      </c>
      <c r="Z1221" s="547" t="s">
        <v>1686</v>
      </c>
      <c r="AA1221" s="547" t="s">
        <v>6577</v>
      </c>
      <c r="AB1221" s="550" t="s">
        <v>1934</v>
      </c>
    </row>
    <row r="1222" spans="1:28" ht="24" customHeight="1">
      <c r="A1222" s="606"/>
      <c r="B1222" s="544" t="s">
        <v>675</v>
      </c>
      <c r="C1222" s="551" t="s">
        <v>6612</v>
      </c>
      <c r="D1222" s="743" t="s">
        <v>6613</v>
      </c>
      <c r="E1222" s="563">
        <v>50</v>
      </c>
      <c r="F1222" s="563">
        <v>0</v>
      </c>
      <c r="G1222" s="563">
        <v>0</v>
      </c>
      <c r="H1222" s="563">
        <v>50</v>
      </c>
      <c r="I1222" s="563">
        <f t="shared" si="96"/>
        <v>38</v>
      </c>
      <c r="J1222" s="563">
        <v>0</v>
      </c>
      <c r="K1222" s="563">
        <v>0</v>
      </c>
      <c r="L1222" s="741">
        <v>38</v>
      </c>
      <c r="M1222" s="687">
        <v>0</v>
      </c>
      <c r="N1222" s="563">
        <v>0</v>
      </c>
      <c r="O1222" s="746" t="s">
        <v>3451</v>
      </c>
      <c r="P1222" s="547" t="s">
        <v>1588</v>
      </c>
      <c r="Q1222" s="689">
        <v>0</v>
      </c>
      <c r="R1222" s="689">
        <v>0</v>
      </c>
      <c r="S1222" s="689">
        <v>0</v>
      </c>
      <c r="T1222" s="689">
        <v>0</v>
      </c>
      <c r="U1222" s="547" t="s">
        <v>6575</v>
      </c>
      <c r="V1222" s="547">
        <v>2003.06</v>
      </c>
      <c r="W1222" s="658">
        <v>394</v>
      </c>
      <c r="X1222" s="547" t="s">
        <v>2199</v>
      </c>
      <c r="Y1222" s="547" t="s">
        <v>1533</v>
      </c>
      <c r="Z1222" s="547" t="s">
        <v>1686</v>
      </c>
      <c r="AA1222" s="547" t="s">
        <v>6577</v>
      </c>
      <c r="AB1222" s="550" t="s">
        <v>1934</v>
      </c>
    </row>
    <row r="1223" spans="1:28" ht="24" customHeight="1">
      <c r="A1223" s="606"/>
      <c r="B1223" s="544" t="s">
        <v>675</v>
      </c>
      <c r="C1223" s="551" t="s">
        <v>338</v>
      </c>
      <c r="D1223" s="553" t="s">
        <v>6614</v>
      </c>
      <c r="E1223" s="563">
        <v>45</v>
      </c>
      <c r="F1223" s="563">
        <v>0</v>
      </c>
      <c r="G1223" s="563">
        <v>0</v>
      </c>
      <c r="H1223" s="563">
        <v>45</v>
      </c>
      <c r="I1223" s="563">
        <f t="shared" si="96"/>
        <v>41</v>
      </c>
      <c r="J1223" s="563">
        <v>0</v>
      </c>
      <c r="K1223" s="563">
        <v>0</v>
      </c>
      <c r="L1223" s="741">
        <v>41</v>
      </c>
      <c r="M1223" s="687">
        <v>0</v>
      </c>
      <c r="N1223" s="563">
        <v>0</v>
      </c>
      <c r="O1223" s="746" t="s">
        <v>6615</v>
      </c>
      <c r="P1223" s="547" t="s">
        <v>1588</v>
      </c>
      <c r="Q1223" s="689">
        <v>0</v>
      </c>
      <c r="R1223" s="689">
        <v>0</v>
      </c>
      <c r="S1223" s="689">
        <v>0</v>
      </c>
      <c r="T1223" s="689">
        <v>0</v>
      </c>
      <c r="U1223" s="547" t="s">
        <v>6575</v>
      </c>
      <c r="V1223" s="547">
        <v>2004.04</v>
      </c>
      <c r="W1223" s="658">
        <v>384</v>
      </c>
      <c r="X1223" s="547" t="s">
        <v>2199</v>
      </c>
      <c r="Y1223" s="547" t="s">
        <v>1533</v>
      </c>
      <c r="Z1223" s="547" t="s">
        <v>1686</v>
      </c>
      <c r="AA1223" s="547" t="s">
        <v>6577</v>
      </c>
      <c r="AB1223" s="550" t="s">
        <v>1934</v>
      </c>
    </row>
    <row r="1224" spans="1:28" ht="24" customHeight="1">
      <c r="A1224" s="606"/>
      <c r="B1224" s="544" t="s">
        <v>675</v>
      </c>
      <c r="C1224" s="551" t="s">
        <v>6616</v>
      </c>
      <c r="D1224" s="553" t="s">
        <v>6617</v>
      </c>
      <c r="E1224" s="563">
        <v>50</v>
      </c>
      <c r="F1224" s="563">
        <v>0</v>
      </c>
      <c r="G1224" s="563">
        <v>0</v>
      </c>
      <c r="H1224" s="563">
        <v>50</v>
      </c>
      <c r="I1224" s="563">
        <f t="shared" si="96"/>
        <v>25</v>
      </c>
      <c r="J1224" s="563">
        <v>0</v>
      </c>
      <c r="K1224" s="563">
        <v>0</v>
      </c>
      <c r="L1224" s="741">
        <v>25</v>
      </c>
      <c r="M1224" s="687">
        <v>0</v>
      </c>
      <c r="N1224" s="563">
        <v>0</v>
      </c>
      <c r="O1224" s="746" t="s">
        <v>6587</v>
      </c>
      <c r="P1224" s="547" t="s">
        <v>1588</v>
      </c>
      <c r="Q1224" s="689">
        <v>0</v>
      </c>
      <c r="R1224" s="689">
        <v>0</v>
      </c>
      <c r="S1224" s="689">
        <v>0</v>
      </c>
      <c r="T1224" s="689">
        <v>0</v>
      </c>
      <c r="U1224" s="547" t="s">
        <v>6575</v>
      </c>
      <c r="V1224" s="547">
        <v>2006.04</v>
      </c>
      <c r="W1224" s="658">
        <v>141</v>
      </c>
      <c r="X1224" s="547" t="s">
        <v>1532</v>
      </c>
      <c r="Y1224" s="547" t="s">
        <v>3336</v>
      </c>
      <c r="Z1224" s="547" t="s">
        <v>6618</v>
      </c>
      <c r="AA1224" s="547" t="s">
        <v>6577</v>
      </c>
      <c r="AB1224" s="550" t="s">
        <v>1934</v>
      </c>
    </row>
    <row r="1225" spans="1:28" ht="24" customHeight="1">
      <c r="A1225" s="602"/>
      <c r="B1225" s="544" t="s">
        <v>675</v>
      </c>
      <c r="C1225" s="551" t="s">
        <v>6619</v>
      </c>
      <c r="D1225" s="553" t="s">
        <v>6620</v>
      </c>
      <c r="E1225" s="563">
        <v>50</v>
      </c>
      <c r="F1225" s="563">
        <v>0</v>
      </c>
      <c r="G1225" s="563">
        <v>0</v>
      </c>
      <c r="H1225" s="563">
        <v>50</v>
      </c>
      <c r="I1225" s="563">
        <f t="shared" si="96"/>
        <v>25</v>
      </c>
      <c r="J1225" s="563">
        <v>0</v>
      </c>
      <c r="K1225" s="563">
        <v>0</v>
      </c>
      <c r="L1225" s="741">
        <v>25</v>
      </c>
      <c r="M1225" s="687">
        <v>0</v>
      </c>
      <c r="N1225" s="563">
        <v>0</v>
      </c>
      <c r="O1225" s="746" t="s">
        <v>6587</v>
      </c>
      <c r="P1225" s="547" t="s">
        <v>1588</v>
      </c>
      <c r="Q1225" s="689">
        <v>0</v>
      </c>
      <c r="R1225" s="689">
        <v>0</v>
      </c>
      <c r="S1225" s="689">
        <v>0</v>
      </c>
      <c r="T1225" s="689">
        <v>0</v>
      </c>
      <c r="U1225" s="547" t="s">
        <v>6575</v>
      </c>
      <c r="V1225" s="547">
        <v>2006.09</v>
      </c>
      <c r="W1225" s="658">
        <v>159</v>
      </c>
      <c r="X1225" s="547" t="s">
        <v>1532</v>
      </c>
      <c r="Y1225" s="547" t="s">
        <v>3336</v>
      </c>
      <c r="Z1225" s="547" t="s">
        <v>1686</v>
      </c>
      <c r="AA1225" s="547" t="s">
        <v>6577</v>
      </c>
      <c r="AB1225" s="550" t="s">
        <v>1934</v>
      </c>
    </row>
    <row r="1226" spans="1:28" ht="24" customHeight="1">
      <c r="A1226" s="584" t="s">
        <v>1616</v>
      </c>
      <c r="B1226" s="458" t="s">
        <v>6043</v>
      </c>
      <c r="C1226" s="579"/>
      <c r="D1226" s="579"/>
      <c r="E1226" s="498" t="s">
        <v>6233</v>
      </c>
      <c r="F1226" s="498">
        <v>0</v>
      </c>
      <c r="G1226" s="498" t="s">
        <v>6234</v>
      </c>
      <c r="H1226" s="498" t="s">
        <v>6235</v>
      </c>
      <c r="I1226" s="498" t="s">
        <v>6236</v>
      </c>
      <c r="J1226" s="498">
        <v>0</v>
      </c>
      <c r="K1226" s="498" t="s">
        <v>6237</v>
      </c>
      <c r="L1226" s="668" t="s">
        <v>6238</v>
      </c>
      <c r="M1226" s="672">
        <v>0</v>
      </c>
      <c r="N1226" s="498" t="s">
        <v>6239</v>
      </c>
      <c r="O1226" s="669" t="s">
        <v>1588</v>
      </c>
      <c r="P1226" s="463" t="s">
        <v>1588</v>
      </c>
      <c r="Q1226" s="672" t="s">
        <v>6240</v>
      </c>
      <c r="R1226" s="672" t="s">
        <v>6241</v>
      </c>
      <c r="S1226" s="672" t="s">
        <v>6242</v>
      </c>
      <c r="T1226" s="672">
        <v>0</v>
      </c>
      <c r="U1226" s="463"/>
      <c r="V1226" s="463"/>
      <c r="W1226" s="498">
        <f>SUM(W1227:W1618)</f>
        <v>776958</v>
      </c>
      <c r="X1226" s="463"/>
      <c r="Y1226" s="463"/>
      <c r="Z1226" s="463"/>
      <c r="AA1226" s="463"/>
      <c r="AB1226" s="459"/>
    </row>
    <row r="1227" spans="1:28" ht="24" customHeight="1">
      <c r="A1227" s="605" t="s">
        <v>1890</v>
      </c>
      <c r="B1227" s="544" t="s">
        <v>6621</v>
      </c>
      <c r="C1227" s="551" t="s">
        <v>2313</v>
      </c>
      <c r="D1227" s="553" t="s">
        <v>6622</v>
      </c>
      <c r="E1227" s="563">
        <f t="shared" ref="E1227:E1232" si="97">F1227+G1227+H1227</f>
        <v>7000</v>
      </c>
      <c r="F1227" s="563">
        <v>0</v>
      </c>
      <c r="G1227" s="563">
        <v>0</v>
      </c>
      <c r="H1227" s="563">
        <v>7000</v>
      </c>
      <c r="I1227" s="563">
        <f t="shared" ref="I1227:I1232" si="98">J1227+K1227+L1227</f>
        <v>6452</v>
      </c>
      <c r="J1227" s="563">
        <v>0</v>
      </c>
      <c r="K1227" s="563">
        <v>0</v>
      </c>
      <c r="L1227" s="741">
        <v>6452</v>
      </c>
      <c r="M1227" s="687">
        <v>92</v>
      </c>
      <c r="N1227" s="563">
        <v>540</v>
      </c>
      <c r="O1227" s="746" t="s">
        <v>3173</v>
      </c>
      <c r="P1227" s="547" t="s">
        <v>1588</v>
      </c>
      <c r="Q1227" s="689">
        <v>67</v>
      </c>
      <c r="R1227" s="689">
        <v>52</v>
      </c>
      <c r="S1227" s="689">
        <v>13</v>
      </c>
      <c r="T1227" s="689">
        <v>0</v>
      </c>
      <c r="U1227" s="547" t="s">
        <v>2314</v>
      </c>
      <c r="V1227" s="548" t="s">
        <v>6623</v>
      </c>
      <c r="W1227" s="658">
        <v>18755</v>
      </c>
      <c r="X1227" s="547" t="s">
        <v>2193</v>
      </c>
      <c r="Y1227" s="547" t="s">
        <v>720</v>
      </c>
      <c r="Z1227" s="547" t="s">
        <v>1591</v>
      </c>
      <c r="AA1227" s="547" t="s">
        <v>1591</v>
      </c>
      <c r="AB1227" s="550" t="s">
        <v>1591</v>
      </c>
    </row>
    <row r="1228" spans="1:28" ht="24" customHeight="1">
      <c r="A1228" s="606"/>
      <c r="B1228" s="544" t="s">
        <v>675</v>
      </c>
      <c r="C1228" s="551" t="s">
        <v>6624</v>
      </c>
      <c r="D1228" s="553" t="s">
        <v>6625</v>
      </c>
      <c r="E1228" s="563">
        <f t="shared" si="97"/>
        <v>70</v>
      </c>
      <c r="F1228" s="563">
        <v>0</v>
      </c>
      <c r="G1228" s="563">
        <v>0</v>
      </c>
      <c r="H1228" s="563">
        <v>70</v>
      </c>
      <c r="I1228" s="563">
        <f t="shared" si="98"/>
        <v>64</v>
      </c>
      <c r="J1228" s="563">
        <v>0</v>
      </c>
      <c r="K1228" s="563">
        <v>0</v>
      </c>
      <c r="L1228" s="741">
        <v>64</v>
      </c>
      <c r="M1228" s="687">
        <v>91</v>
      </c>
      <c r="N1228" s="563">
        <v>11</v>
      </c>
      <c r="O1228" s="746" t="s">
        <v>6626</v>
      </c>
      <c r="P1228" s="547" t="s">
        <v>1588</v>
      </c>
      <c r="Q1228" s="689">
        <v>0</v>
      </c>
      <c r="R1228" s="689">
        <v>0</v>
      </c>
      <c r="S1228" s="689">
        <v>0</v>
      </c>
      <c r="T1228" s="689">
        <v>0</v>
      </c>
      <c r="U1228" s="547" t="s">
        <v>2314</v>
      </c>
      <c r="V1228" s="548" t="s">
        <v>6627</v>
      </c>
      <c r="W1228" s="658">
        <v>410</v>
      </c>
      <c r="X1228" s="547" t="s">
        <v>2193</v>
      </c>
      <c r="Y1228" s="547" t="s">
        <v>3161</v>
      </c>
      <c r="Z1228" s="547" t="s">
        <v>6628</v>
      </c>
      <c r="AA1228" s="547" t="s">
        <v>1591</v>
      </c>
      <c r="AB1228" s="550" t="s">
        <v>1591</v>
      </c>
    </row>
    <row r="1229" spans="1:28" ht="24" customHeight="1">
      <c r="A1229" s="606"/>
      <c r="B1229" s="544" t="s">
        <v>675</v>
      </c>
      <c r="C1229" s="551" t="s">
        <v>6629</v>
      </c>
      <c r="D1229" s="553" t="s">
        <v>6630</v>
      </c>
      <c r="E1229" s="563">
        <f t="shared" si="97"/>
        <v>40</v>
      </c>
      <c r="F1229" s="563">
        <v>0</v>
      </c>
      <c r="G1229" s="563">
        <v>0</v>
      </c>
      <c r="H1229" s="563">
        <v>40</v>
      </c>
      <c r="I1229" s="563">
        <f t="shared" si="98"/>
        <v>36</v>
      </c>
      <c r="J1229" s="563">
        <v>0</v>
      </c>
      <c r="K1229" s="563">
        <v>0</v>
      </c>
      <c r="L1229" s="741">
        <v>36</v>
      </c>
      <c r="M1229" s="687">
        <v>90</v>
      </c>
      <c r="N1229" s="563">
        <v>4</v>
      </c>
      <c r="O1229" s="746" t="s">
        <v>6631</v>
      </c>
      <c r="P1229" s="547" t="s">
        <v>1588</v>
      </c>
      <c r="Q1229" s="689">
        <v>0</v>
      </c>
      <c r="R1229" s="689">
        <v>0</v>
      </c>
      <c r="S1229" s="689">
        <v>0</v>
      </c>
      <c r="T1229" s="689">
        <v>0</v>
      </c>
      <c r="U1229" s="547" t="s">
        <v>2314</v>
      </c>
      <c r="V1229" s="548" t="s">
        <v>6632</v>
      </c>
      <c r="W1229" s="658">
        <v>300</v>
      </c>
      <c r="X1229" s="547" t="s">
        <v>2193</v>
      </c>
      <c r="Y1229" s="547" t="s">
        <v>3161</v>
      </c>
      <c r="Z1229" s="547" t="s">
        <v>6633</v>
      </c>
      <c r="AA1229" s="547" t="s">
        <v>1591</v>
      </c>
      <c r="AB1229" s="550" t="s">
        <v>1591</v>
      </c>
    </row>
    <row r="1230" spans="1:28" ht="24" customHeight="1">
      <c r="A1230" s="606"/>
      <c r="B1230" s="544" t="s">
        <v>675</v>
      </c>
      <c r="C1230" s="551" t="s">
        <v>6634</v>
      </c>
      <c r="D1230" s="553" t="s">
        <v>6635</v>
      </c>
      <c r="E1230" s="563">
        <f t="shared" si="97"/>
        <v>40</v>
      </c>
      <c r="F1230" s="563">
        <v>0</v>
      </c>
      <c r="G1230" s="563">
        <v>0</v>
      </c>
      <c r="H1230" s="563">
        <v>40</v>
      </c>
      <c r="I1230" s="563">
        <f t="shared" si="98"/>
        <v>35</v>
      </c>
      <c r="J1230" s="563">
        <v>0</v>
      </c>
      <c r="K1230" s="563">
        <v>0</v>
      </c>
      <c r="L1230" s="741">
        <v>35</v>
      </c>
      <c r="M1230" s="687">
        <v>88</v>
      </c>
      <c r="N1230" s="563">
        <v>3</v>
      </c>
      <c r="O1230" s="746" t="s">
        <v>6631</v>
      </c>
      <c r="P1230" s="547" t="s">
        <v>1588</v>
      </c>
      <c r="Q1230" s="689">
        <v>0</v>
      </c>
      <c r="R1230" s="689">
        <v>0</v>
      </c>
      <c r="S1230" s="689">
        <v>0</v>
      </c>
      <c r="T1230" s="689">
        <v>0</v>
      </c>
      <c r="U1230" s="547" t="s">
        <v>2314</v>
      </c>
      <c r="V1230" s="548" t="s">
        <v>6632</v>
      </c>
      <c r="W1230" s="658">
        <v>300</v>
      </c>
      <c r="X1230" s="547" t="s">
        <v>2193</v>
      </c>
      <c r="Y1230" s="547" t="s">
        <v>3161</v>
      </c>
      <c r="Z1230" s="547" t="s">
        <v>6633</v>
      </c>
      <c r="AA1230" s="547" t="s">
        <v>1591</v>
      </c>
      <c r="AB1230" s="550" t="s">
        <v>1591</v>
      </c>
    </row>
    <row r="1231" spans="1:28" ht="24" customHeight="1">
      <c r="A1231" s="606"/>
      <c r="B1231" s="544" t="s">
        <v>675</v>
      </c>
      <c r="C1231" s="551" t="s">
        <v>1073</v>
      </c>
      <c r="D1231" s="553" t="s">
        <v>6636</v>
      </c>
      <c r="E1231" s="563">
        <f t="shared" si="97"/>
        <v>50</v>
      </c>
      <c r="F1231" s="563">
        <v>0</v>
      </c>
      <c r="G1231" s="563">
        <v>0</v>
      </c>
      <c r="H1231" s="563">
        <v>50</v>
      </c>
      <c r="I1231" s="563">
        <f t="shared" si="98"/>
        <v>39</v>
      </c>
      <c r="J1231" s="563">
        <v>0</v>
      </c>
      <c r="K1231" s="563">
        <v>0</v>
      </c>
      <c r="L1231" s="741">
        <v>39</v>
      </c>
      <c r="M1231" s="687">
        <v>87</v>
      </c>
      <c r="N1231" s="563">
        <v>4</v>
      </c>
      <c r="O1231" s="746" t="s">
        <v>6637</v>
      </c>
      <c r="P1231" s="547" t="s">
        <v>1588</v>
      </c>
      <c r="Q1231" s="689">
        <v>0</v>
      </c>
      <c r="R1231" s="689">
        <v>0</v>
      </c>
      <c r="S1231" s="689">
        <v>0</v>
      </c>
      <c r="T1231" s="689">
        <v>0</v>
      </c>
      <c r="U1231" s="547" t="s">
        <v>2314</v>
      </c>
      <c r="V1231" s="548" t="s">
        <v>2092</v>
      </c>
      <c r="W1231" s="658">
        <v>322</v>
      </c>
      <c r="X1231" s="547" t="s">
        <v>2193</v>
      </c>
      <c r="Y1231" s="547" t="s">
        <v>3161</v>
      </c>
      <c r="Z1231" s="547" t="s">
        <v>6633</v>
      </c>
      <c r="AA1231" s="547" t="s">
        <v>1591</v>
      </c>
      <c r="AB1231" s="550" t="s">
        <v>1591</v>
      </c>
    </row>
    <row r="1232" spans="1:28" ht="24" customHeight="1">
      <c r="A1232" s="606"/>
      <c r="B1232" s="544" t="s">
        <v>675</v>
      </c>
      <c r="C1232" s="551" t="s">
        <v>6638</v>
      </c>
      <c r="D1232" s="553" t="s">
        <v>6639</v>
      </c>
      <c r="E1232" s="563">
        <f t="shared" si="97"/>
        <v>30</v>
      </c>
      <c r="F1232" s="563">
        <v>0</v>
      </c>
      <c r="G1232" s="563">
        <v>0</v>
      </c>
      <c r="H1232" s="563">
        <v>30</v>
      </c>
      <c r="I1232" s="563">
        <f t="shared" si="98"/>
        <v>28</v>
      </c>
      <c r="J1232" s="563">
        <v>0</v>
      </c>
      <c r="K1232" s="563">
        <v>0</v>
      </c>
      <c r="L1232" s="741">
        <v>28</v>
      </c>
      <c r="M1232" s="687">
        <v>93</v>
      </c>
      <c r="N1232" s="563">
        <v>5</v>
      </c>
      <c r="O1232" s="746" t="s">
        <v>6631</v>
      </c>
      <c r="P1232" s="547" t="s">
        <v>1588</v>
      </c>
      <c r="Q1232" s="689">
        <v>0</v>
      </c>
      <c r="R1232" s="689">
        <v>0</v>
      </c>
      <c r="S1232" s="689">
        <v>0</v>
      </c>
      <c r="T1232" s="689">
        <v>0</v>
      </c>
      <c r="U1232" s="547" t="s">
        <v>2314</v>
      </c>
      <c r="V1232" s="548" t="s">
        <v>6640</v>
      </c>
      <c r="W1232" s="658">
        <v>299</v>
      </c>
      <c r="X1232" s="547" t="s">
        <v>2193</v>
      </c>
      <c r="Y1232" s="547" t="s">
        <v>3161</v>
      </c>
      <c r="Z1232" s="547" t="s">
        <v>2078</v>
      </c>
      <c r="AA1232" s="547" t="s">
        <v>1703</v>
      </c>
      <c r="AB1232" s="550" t="s">
        <v>1686</v>
      </c>
    </row>
    <row r="1233" spans="1:28" ht="24" customHeight="1">
      <c r="A1233" s="606"/>
      <c r="B1233" s="544" t="s">
        <v>675</v>
      </c>
      <c r="C1233" s="551" t="s">
        <v>6641</v>
      </c>
      <c r="D1233" s="553" t="s">
        <v>6642</v>
      </c>
      <c r="E1233" s="563">
        <f>F1233+G1233+H1233</f>
        <v>40</v>
      </c>
      <c r="F1233" s="563">
        <v>0</v>
      </c>
      <c r="G1233" s="563">
        <v>0</v>
      </c>
      <c r="H1233" s="563">
        <v>40</v>
      </c>
      <c r="I1233" s="563">
        <f>J1233+K1233+L1233</f>
        <v>34</v>
      </c>
      <c r="J1233" s="563">
        <v>0</v>
      </c>
      <c r="K1233" s="563">
        <v>0</v>
      </c>
      <c r="L1233" s="741">
        <v>34</v>
      </c>
      <c r="M1233" s="687">
        <v>85</v>
      </c>
      <c r="N1233" s="563">
        <v>3</v>
      </c>
      <c r="O1233" s="746" t="s">
        <v>6643</v>
      </c>
      <c r="P1233" s="547" t="s">
        <v>1588</v>
      </c>
      <c r="Q1233" s="689">
        <v>0</v>
      </c>
      <c r="R1233" s="689">
        <v>0</v>
      </c>
      <c r="S1233" s="689">
        <v>0</v>
      </c>
      <c r="T1233" s="689">
        <v>0</v>
      </c>
      <c r="U1233" s="547" t="s">
        <v>2314</v>
      </c>
      <c r="V1233" s="548" t="s">
        <v>2158</v>
      </c>
      <c r="W1233" s="658">
        <v>180</v>
      </c>
      <c r="X1233" s="547" t="s">
        <v>2193</v>
      </c>
      <c r="Y1233" s="547" t="s">
        <v>3161</v>
      </c>
      <c r="Z1233" s="547" t="s">
        <v>1591</v>
      </c>
      <c r="AA1233" s="547" t="s">
        <v>1591</v>
      </c>
      <c r="AB1233" s="550" t="s">
        <v>1591</v>
      </c>
    </row>
    <row r="1234" spans="1:28" ht="24" customHeight="1">
      <c r="A1234" s="606"/>
      <c r="B1234" s="544" t="s">
        <v>675</v>
      </c>
      <c r="C1234" s="551" t="s">
        <v>6644</v>
      </c>
      <c r="D1234" s="553" t="s">
        <v>6645</v>
      </c>
      <c r="E1234" s="563">
        <f>F1234+G1234+H1234</f>
        <v>45</v>
      </c>
      <c r="F1234" s="563">
        <v>0</v>
      </c>
      <c r="G1234" s="563">
        <v>0</v>
      </c>
      <c r="H1234" s="563">
        <v>45</v>
      </c>
      <c r="I1234" s="563">
        <f>J1234+K1234+L1234</f>
        <v>42</v>
      </c>
      <c r="J1234" s="563">
        <v>0</v>
      </c>
      <c r="K1234" s="563">
        <v>0</v>
      </c>
      <c r="L1234" s="741">
        <v>42</v>
      </c>
      <c r="M1234" s="687">
        <v>95</v>
      </c>
      <c r="N1234" s="563">
        <v>4</v>
      </c>
      <c r="O1234" s="746" t="s">
        <v>2211</v>
      </c>
      <c r="P1234" s="547" t="s">
        <v>1588</v>
      </c>
      <c r="Q1234" s="689">
        <v>0</v>
      </c>
      <c r="R1234" s="689">
        <v>0</v>
      </c>
      <c r="S1234" s="689">
        <v>0</v>
      </c>
      <c r="T1234" s="689">
        <v>0</v>
      </c>
      <c r="U1234" s="547" t="s">
        <v>2314</v>
      </c>
      <c r="V1234" s="548" t="s">
        <v>6646</v>
      </c>
      <c r="W1234" s="658">
        <v>1017</v>
      </c>
      <c r="X1234" s="547" t="s">
        <v>2193</v>
      </c>
      <c r="Y1234" s="547" t="s">
        <v>3161</v>
      </c>
      <c r="Z1234" s="547" t="s">
        <v>6647</v>
      </c>
      <c r="AA1234" s="547" t="s">
        <v>1591</v>
      </c>
      <c r="AB1234" s="550" t="s">
        <v>1591</v>
      </c>
    </row>
    <row r="1235" spans="1:28" ht="24" customHeight="1">
      <c r="A1235" s="606"/>
      <c r="B1235" s="544" t="s">
        <v>675</v>
      </c>
      <c r="C1235" s="551" t="s">
        <v>6648</v>
      </c>
      <c r="D1235" s="553" t="s">
        <v>6649</v>
      </c>
      <c r="E1235" s="563">
        <f>F1235+G1235+H1235</f>
        <v>40</v>
      </c>
      <c r="F1235" s="563">
        <v>0</v>
      </c>
      <c r="G1235" s="563">
        <v>0</v>
      </c>
      <c r="H1235" s="563">
        <v>40</v>
      </c>
      <c r="I1235" s="563">
        <f>J1235+K1235+L1235</f>
        <v>36</v>
      </c>
      <c r="J1235" s="563">
        <v>0</v>
      </c>
      <c r="K1235" s="563">
        <v>0</v>
      </c>
      <c r="L1235" s="741">
        <v>36</v>
      </c>
      <c r="M1235" s="687">
        <v>90</v>
      </c>
      <c r="N1235" s="563">
        <v>4</v>
      </c>
      <c r="O1235" s="746" t="s">
        <v>6643</v>
      </c>
      <c r="P1235" s="547" t="s">
        <v>1588</v>
      </c>
      <c r="Q1235" s="689">
        <v>0</v>
      </c>
      <c r="R1235" s="689">
        <v>0</v>
      </c>
      <c r="S1235" s="689">
        <v>0</v>
      </c>
      <c r="T1235" s="689">
        <v>0</v>
      </c>
      <c r="U1235" s="547" t="s">
        <v>2314</v>
      </c>
      <c r="V1235" s="548" t="s">
        <v>6650</v>
      </c>
      <c r="W1235" s="658">
        <v>301</v>
      </c>
      <c r="X1235" s="547" t="s">
        <v>2193</v>
      </c>
      <c r="Y1235" s="547" t="s">
        <v>3161</v>
      </c>
      <c r="Z1235" s="547" t="s">
        <v>6651</v>
      </c>
      <c r="AA1235" s="547" t="s">
        <v>1591</v>
      </c>
      <c r="AB1235" s="550" t="s">
        <v>1591</v>
      </c>
    </row>
    <row r="1236" spans="1:28" ht="24" customHeight="1">
      <c r="A1236" s="606"/>
      <c r="B1236" s="544" t="s">
        <v>675</v>
      </c>
      <c r="C1236" s="551" t="s">
        <v>6652</v>
      </c>
      <c r="D1236" s="553" t="s">
        <v>6653</v>
      </c>
      <c r="E1236" s="563">
        <f t="shared" ref="E1236:E1253" si="99">F1236+G1236+H1236</f>
        <v>150</v>
      </c>
      <c r="F1236" s="563">
        <v>0</v>
      </c>
      <c r="G1236" s="563">
        <v>0</v>
      </c>
      <c r="H1236" s="563">
        <v>150</v>
      </c>
      <c r="I1236" s="563">
        <f t="shared" ref="I1236:I1253" si="100">J1236+K1236+L1236</f>
        <v>150</v>
      </c>
      <c r="J1236" s="563">
        <v>0</v>
      </c>
      <c r="K1236" s="563">
        <v>0</v>
      </c>
      <c r="L1236" s="741">
        <v>150</v>
      </c>
      <c r="M1236" s="687">
        <v>93</v>
      </c>
      <c r="N1236" s="563">
        <v>27</v>
      </c>
      <c r="O1236" s="746" t="s">
        <v>6626</v>
      </c>
      <c r="P1236" s="547" t="s">
        <v>1588</v>
      </c>
      <c r="Q1236" s="689">
        <v>0</v>
      </c>
      <c r="R1236" s="689">
        <v>0</v>
      </c>
      <c r="S1236" s="689">
        <v>0</v>
      </c>
      <c r="T1236" s="689">
        <v>0</v>
      </c>
      <c r="U1236" s="547" t="s">
        <v>2314</v>
      </c>
      <c r="V1236" s="548" t="s">
        <v>6654</v>
      </c>
      <c r="W1236" s="658">
        <v>400</v>
      </c>
      <c r="X1236" s="547" t="s">
        <v>2193</v>
      </c>
      <c r="Y1236" s="547" t="s">
        <v>3161</v>
      </c>
      <c r="Z1236" s="547" t="s">
        <v>1591</v>
      </c>
      <c r="AA1236" s="547" t="s">
        <v>1591</v>
      </c>
      <c r="AB1236" s="550" t="s">
        <v>1591</v>
      </c>
    </row>
    <row r="1237" spans="1:28" ht="24" customHeight="1">
      <c r="A1237" s="606"/>
      <c r="B1237" s="544" t="s">
        <v>675</v>
      </c>
      <c r="C1237" s="551" t="s">
        <v>6655</v>
      </c>
      <c r="D1237" s="553" t="s">
        <v>6656</v>
      </c>
      <c r="E1237" s="563">
        <f t="shared" si="99"/>
        <v>50</v>
      </c>
      <c r="F1237" s="563">
        <v>0</v>
      </c>
      <c r="G1237" s="563">
        <v>0</v>
      </c>
      <c r="H1237" s="563">
        <v>50</v>
      </c>
      <c r="I1237" s="563">
        <f t="shared" si="100"/>
        <v>45</v>
      </c>
      <c r="J1237" s="563">
        <v>0</v>
      </c>
      <c r="K1237" s="563">
        <v>0</v>
      </c>
      <c r="L1237" s="741">
        <v>45</v>
      </c>
      <c r="M1237" s="687">
        <v>90</v>
      </c>
      <c r="N1237" s="563">
        <v>4</v>
      </c>
      <c r="O1237" s="746" t="s">
        <v>6643</v>
      </c>
      <c r="P1237" s="547" t="s">
        <v>1588</v>
      </c>
      <c r="Q1237" s="689">
        <v>0</v>
      </c>
      <c r="R1237" s="689">
        <v>0</v>
      </c>
      <c r="S1237" s="689">
        <v>0</v>
      </c>
      <c r="T1237" s="689">
        <v>0</v>
      </c>
      <c r="U1237" s="547" t="s">
        <v>2314</v>
      </c>
      <c r="V1237" s="548" t="s">
        <v>6657</v>
      </c>
      <c r="W1237" s="658">
        <v>500</v>
      </c>
      <c r="X1237" s="547" t="s">
        <v>2193</v>
      </c>
      <c r="Y1237" s="547" t="s">
        <v>3161</v>
      </c>
      <c r="Z1237" s="547" t="s">
        <v>6658</v>
      </c>
      <c r="AA1237" s="547" t="s">
        <v>1591</v>
      </c>
      <c r="AB1237" s="550" t="s">
        <v>1591</v>
      </c>
    </row>
    <row r="1238" spans="1:28" ht="24" customHeight="1">
      <c r="A1238" s="606"/>
      <c r="B1238" s="544" t="s">
        <v>675</v>
      </c>
      <c r="C1238" s="551" t="s">
        <v>6659</v>
      </c>
      <c r="D1238" s="553" t="s">
        <v>6660</v>
      </c>
      <c r="E1238" s="563">
        <f t="shared" si="99"/>
        <v>40</v>
      </c>
      <c r="F1238" s="563">
        <v>0</v>
      </c>
      <c r="G1238" s="563">
        <v>0</v>
      </c>
      <c r="H1238" s="563">
        <v>40</v>
      </c>
      <c r="I1238" s="563">
        <f t="shared" si="100"/>
        <v>31</v>
      </c>
      <c r="J1238" s="563">
        <v>0</v>
      </c>
      <c r="K1238" s="563">
        <v>0</v>
      </c>
      <c r="L1238" s="741">
        <v>31</v>
      </c>
      <c r="M1238" s="687">
        <v>78</v>
      </c>
      <c r="N1238" s="563">
        <v>4</v>
      </c>
      <c r="O1238" s="746" t="s">
        <v>2770</v>
      </c>
      <c r="P1238" s="547" t="s">
        <v>1588</v>
      </c>
      <c r="Q1238" s="689">
        <v>0</v>
      </c>
      <c r="R1238" s="689">
        <v>0</v>
      </c>
      <c r="S1238" s="689">
        <v>0</v>
      </c>
      <c r="T1238" s="689">
        <v>0</v>
      </c>
      <c r="U1238" s="547" t="s">
        <v>2314</v>
      </c>
      <c r="V1238" s="548" t="s">
        <v>6661</v>
      </c>
      <c r="W1238" s="658">
        <v>329</v>
      </c>
      <c r="X1238" s="547" t="s">
        <v>2193</v>
      </c>
      <c r="Y1238" s="547" t="s">
        <v>3161</v>
      </c>
      <c r="Z1238" s="547" t="s">
        <v>6658</v>
      </c>
      <c r="AA1238" s="547" t="s">
        <v>1591</v>
      </c>
      <c r="AB1238" s="550" t="s">
        <v>1591</v>
      </c>
    </row>
    <row r="1239" spans="1:28" ht="24" customHeight="1">
      <c r="A1239" s="606"/>
      <c r="B1239" s="544" t="s">
        <v>675</v>
      </c>
      <c r="C1239" s="551" t="s">
        <v>6662</v>
      </c>
      <c r="D1239" s="553" t="s">
        <v>6663</v>
      </c>
      <c r="E1239" s="563">
        <f t="shared" si="99"/>
        <v>40</v>
      </c>
      <c r="F1239" s="563">
        <v>0</v>
      </c>
      <c r="G1239" s="563">
        <v>0</v>
      </c>
      <c r="H1239" s="563">
        <v>40</v>
      </c>
      <c r="I1239" s="563">
        <f t="shared" si="100"/>
        <v>34</v>
      </c>
      <c r="J1239" s="563">
        <v>0</v>
      </c>
      <c r="K1239" s="563">
        <v>0</v>
      </c>
      <c r="L1239" s="741">
        <v>34</v>
      </c>
      <c r="M1239" s="687">
        <v>85</v>
      </c>
      <c r="N1239" s="563">
        <v>5</v>
      </c>
      <c r="O1239" s="746" t="s">
        <v>2197</v>
      </c>
      <c r="P1239" s="547" t="s">
        <v>1588</v>
      </c>
      <c r="Q1239" s="689">
        <v>0</v>
      </c>
      <c r="R1239" s="689">
        <v>0</v>
      </c>
      <c r="S1239" s="689">
        <v>0</v>
      </c>
      <c r="T1239" s="689">
        <v>0</v>
      </c>
      <c r="U1239" s="547" t="s">
        <v>2314</v>
      </c>
      <c r="V1239" s="548" t="s">
        <v>6664</v>
      </c>
      <c r="W1239" s="658">
        <v>437</v>
      </c>
      <c r="X1239" s="547" t="s">
        <v>2193</v>
      </c>
      <c r="Y1239" s="547" t="s">
        <v>3161</v>
      </c>
      <c r="Z1239" s="547" t="s">
        <v>6658</v>
      </c>
      <c r="AA1239" s="547" t="s">
        <v>1591</v>
      </c>
      <c r="AB1239" s="550" t="s">
        <v>1591</v>
      </c>
    </row>
    <row r="1240" spans="1:28" ht="24" customHeight="1">
      <c r="A1240" s="606"/>
      <c r="B1240" s="544" t="s">
        <v>675</v>
      </c>
      <c r="C1240" s="551" t="s">
        <v>6665</v>
      </c>
      <c r="D1240" s="553" t="s">
        <v>6666</v>
      </c>
      <c r="E1240" s="563">
        <f t="shared" si="99"/>
        <v>30</v>
      </c>
      <c r="F1240" s="563">
        <v>0</v>
      </c>
      <c r="G1240" s="563">
        <v>0</v>
      </c>
      <c r="H1240" s="563">
        <v>30</v>
      </c>
      <c r="I1240" s="563">
        <f t="shared" si="100"/>
        <v>26</v>
      </c>
      <c r="J1240" s="563">
        <v>0</v>
      </c>
      <c r="K1240" s="563">
        <v>0</v>
      </c>
      <c r="L1240" s="741">
        <v>26</v>
      </c>
      <c r="M1240" s="687">
        <v>87</v>
      </c>
      <c r="N1240" s="563">
        <v>2</v>
      </c>
      <c r="O1240" s="746" t="s">
        <v>6631</v>
      </c>
      <c r="P1240" s="547" t="s">
        <v>1588</v>
      </c>
      <c r="Q1240" s="689">
        <v>0</v>
      </c>
      <c r="R1240" s="689">
        <v>0</v>
      </c>
      <c r="S1240" s="689">
        <v>0</v>
      </c>
      <c r="T1240" s="689">
        <v>0</v>
      </c>
      <c r="U1240" s="547" t="s">
        <v>2314</v>
      </c>
      <c r="V1240" s="548" t="s">
        <v>6640</v>
      </c>
      <c r="W1240" s="658">
        <v>345</v>
      </c>
      <c r="X1240" s="547" t="s">
        <v>2193</v>
      </c>
      <c r="Y1240" s="547" t="s">
        <v>3161</v>
      </c>
      <c r="Z1240" s="547" t="s">
        <v>6667</v>
      </c>
      <c r="AA1240" s="547" t="s">
        <v>1591</v>
      </c>
      <c r="AB1240" s="550" t="s">
        <v>1591</v>
      </c>
    </row>
    <row r="1241" spans="1:28" ht="24" customHeight="1">
      <c r="A1241" s="606"/>
      <c r="B1241" s="544" t="s">
        <v>675</v>
      </c>
      <c r="C1241" s="551" t="s">
        <v>2985</v>
      </c>
      <c r="D1241" s="553" t="s">
        <v>6668</v>
      </c>
      <c r="E1241" s="563">
        <f t="shared" si="99"/>
        <v>30</v>
      </c>
      <c r="F1241" s="563">
        <v>0</v>
      </c>
      <c r="G1241" s="563">
        <v>0</v>
      </c>
      <c r="H1241" s="563">
        <v>30</v>
      </c>
      <c r="I1241" s="563">
        <f t="shared" si="100"/>
        <v>28</v>
      </c>
      <c r="J1241" s="563">
        <v>0</v>
      </c>
      <c r="K1241" s="563">
        <v>0</v>
      </c>
      <c r="L1241" s="741">
        <v>28</v>
      </c>
      <c r="M1241" s="687">
        <v>93</v>
      </c>
      <c r="N1241" s="563">
        <v>7</v>
      </c>
      <c r="O1241" s="746" t="s">
        <v>6631</v>
      </c>
      <c r="P1241" s="547" t="s">
        <v>1588</v>
      </c>
      <c r="Q1241" s="689">
        <v>0</v>
      </c>
      <c r="R1241" s="689">
        <v>0</v>
      </c>
      <c r="S1241" s="689">
        <v>0</v>
      </c>
      <c r="T1241" s="689">
        <v>0</v>
      </c>
      <c r="U1241" s="547" t="s">
        <v>2314</v>
      </c>
      <c r="V1241" s="548" t="s">
        <v>6650</v>
      </c>
      <c r="W1241" s="658">
        <v>208</v>
      </c>
      <c r="X1241" s="547" t="s">
        <v>2193</v>
      </c>
      <c r="Y1241" s="547" t="s">
        <v>3161</v>
      </c>
      <c r="Z1241" s="547" t="s">
        <v>6669</v>
      </c>
      <c r="AA1241" s="547" t="s">
        <v>1591</v>
      </c>
      <c r="AB1241" s="550" t="s">
        <v>1591</v>
      </c>
    </row>
    <row r="1242" spans="1:28" ht="24" customHeight="1">
      <c r="A1242" s="606"/>
      <c r="B1242" s="544" t="s">
        <v>675</v>
      </c>
      <c r="C1242" s="551" t="s">
        <v>6670</v>
      </c>
      <c r="D1242" s="553" t="s">
        <v>6671</v>
      </c>
      <c r="E1242" s="563">
        <f t="shared" si="99"/>
        <v>40</v>
      </c>
      <c r="F1242" s="563">
        <v>0</v>
      </c>
      <c r="G1242" s="563">
        <v>0</v>
      </c>
      <c r="H1242" s="563">
        <v>40</v>
      </c>
      <c r="I1242" s="563">
        <f t="shared" si="100"/>
        <v>32</v>
      </c>
      <c r="J1242" s="563">
        <v>0</v>
      </c>
      <c r="K1242" s="563">
        <v>0</v>
      </c>
      <c r="L1242" s="741">
        <v>32</v>
      </c>
      <c r="M1242" s="687">
        <v>80</v>
      </c>
      <c r="N1242" s="563">
        <v>3</v>
      </c>
      <c r="O1242" s="746" t="s">
        <v>6672</v>
      </c>
      <c r="P1242" s="547" t="s">
        <v>1588</v>
      </c>
      <c r="Q1242" s="689">
        <v>0</v>
      </c>
      <c r="R1242" s="689">
        <v>0</v>
      </c>
      <c r="S1242" s="689">
        <v>0</v>
      </c>
      <c r="T1242" s="689">
        <v>0</v>
      </c>
      <c r="U1242" s="547" t="s">
        <v>2314</v>
      </c>
      <c r="V1242" s="548" t="s">
        <v>6673</v>
      </c>
      <c r="W1242" s="658">
        <v>398</v>
      </c>
      <c r="X1242" s="547" t="s">
        <v>2193</v>
      </c>
      <c r="Y1242" s="547" t="s">
        <v>3161</v>
      </c>
      <c r="Z1242" s="547" t="s">
        <v>6669</v>
      </c>
      <c r="AA1242" s="547" t="s">
        <v>1591</v>
      </c>
      <c r="AB1242" s="550" t="s">
        <v>1591</v>
      </c>
    </row>
    <row r="1243" spans="1:28" ht="24" customHeight="1">
      <c r="A1243" s="606"/>
      <c r="B1243" s="544" t="s">
        <v>675</v>
      </c>
      <c r="C1243" s="551" t="s">
        <v>2043</v>
      </c>
      <c r="D1243" s="553" t="s">
        <v>6674</v>
      </c>
      <c r="E1243" s="563">
        <f t="shared" si="99"/>
        <v>40</v>
      </c>
      <c r="F1243" s="563">
        <v>0</v>
      </c>
      <c r="G1243" s="563">
        <v>0</v>
      </c>
      <c r="H1243" s="563">
        <v>40</v>
      </c>
      <c r="I1243" s="563">
        <f t="shared" si="100"/>
        <v>36</v>
      </c>
      <c r="J1243" s="563">
        <v>0</v>
      </c>
      <c r="K1243" s="563">
        <v>0</v>
      </c>
      <c r="L1243" s="741">
        <v>36</v>
      </c>
      <c r="M1243" s="687">
        <v>90</v>
      </c>
      <c r="N1243" s="563">
        <v>5</v>
      </c>
      <c r="O1243" s="746" t="s">
        <v>2770</v>
      </c>
      <c r="P1243" s="547" t="s">
        <v>1588</v>
      </c>
      <c r="Q1243" s="689">
        <v>0</v>
      </c>
      <c r="R1243" s="689">
        <v>0</v>
      </c>
      <c r="S1243" s="689">
        <v>0</v>
      </c>
      <c r="T1243" s="689">
        <v>0</v>
      </c>
      <c r="U1243" s="547" t="s">
        <v>2314</v>
      </c>
      <c r="V1243" s="548" t="s">
        <v>6673</v>
      </c>
      <c r="W1243" s="658">
        <v>423</v>
      </c>
      <c r="X1243" s="547" t="s">
        <v>2193</v>
      </c>
      <c r="Y1243" s="547" t="s">
        <v>3161</v>
      </c>
      <c r="Z1243" s="547" t="s">
        <v>3070</v>
      </c>
      <c r="AA1243" s="547" t="s">
        <v>1591</v>
      </c>
      <c r="AB1243" s="550" t="s">
        <v>1591</v>
      </c>
    </row>
    <row r="1244" spans="1:28" ht="24" customHeight="1">
      <c r="A1244" s="606"/>
      <c r="B1244" s="544" t="s">
        <v>675</v>
      </c>
      <c r="C1244" s="551" t="s">
        <v>2164</v>
      </c>
      <c r="D1244" s="553" t="s">
        <v>6675</v>
      </c>
      <c r="E1244" s="563">
        <f t="shared" si="99"/>
        <v>40</v>
      </c>
      <c r="F1244" s="563">
        <v>0</v>
      </c>
      <c r="G1244" s="563">
        <v>0</v>
      </c>
      <c r="H1244" s="563">
        <v>40</v>
      </c>
      <c r="I1244" s="563">
        <f t="shared" si="100"/>
        <v>39</v>
      </c>
      <c r="J1244" s="563">
        <v>0</v>
      </c>
      <c r="K1244" s="563">
        <v>0</v>
      </c>
      <c r="L1244" s="741">
        <v>39</v>
      </c>
      <c r="M1244" s="687">
        <v>87</v>
      </c>
      <c r="N1244" s="563">
        <v>4</v>
      </c>
      <c r="O1244" s="746" t="s">
        <v>6637</v>
      </c>
      <c r="P1244" s="547" t="s">
        <v>1588</v>
      </c>
      <c r="Q1244" s="689">
        <v>0</v>
      </c>
      <c r="R1244" s="689">
        <v>0</v>
      </c>
      <c r="S1244" s="689">
        <v>0</v>
      </c>
      <c r="T1244" s="689">
        <v>0</v>
      </c>
      <c r="U1244" s="547" t="s">
        <v>2314</v>
      </c>
      <c r="V1244" s="548" t="s">
        <v>6657</v>
      </c>
      <c r="W1244" s="658">
        <v>456</v>
      </c>
      <c r="X1244" s="547" t="s">
        <v>2193</v>
      </c>
      <c r="Y1244" s="547" t="s">
        <v>3161</v>
      </c>
      <c r="Z1244" s="547" t="s">
        <v>3070</v>
      </c>
      <c r="AA1244" s="547" t="s">
        <v>1591</v>
      </c>
      <c r="AB1244" s="550" t="s">
        <v>1591</v>
      </c>
    </row>
    <row r="1245" spans="1:28" ht="24" customHeight="1">
      <c r="A1245" s="606"/>
      <c r="B1245" s="544" t="s">
        <v>675</v>
      </c>
      <c r="C1245" s="551" t="s">
        <v>2105</v>
      </c>
      <c r="D1245" s="553" t="s">
        <v>6676</v>
      </c>
      <c r="E1245" s="563">
        <f t="shared" si="99"/>
        <v>40</v>
      </c>
      <c r="F1245" s="563">
        <v>0</v>
      </c>
      <c r="G1245" s="563">
        <v>0</v>
      </c>
      <c r="H1245" s="563">
        <v>40</v>
      </c>
      <c r="I1245" s="563">
        <f t="shared" si="100"/>
        <v>35</v>
      </c>
      <c r="J1245" s="563">
        <v>0</v>
      </c>
      <c r="K1245" s="563">
        <v>0</v>
      </c>
      <c r="L1245" s="741">
        <v>35</v>
      </c>
      <c r="M1245" s="687">
        <v>88</v>
      </c>
      <c r="N1245" s="563">
        <v>6</v>
      </c>
      <c r="O1245" s="746" t="s">
        <v>6637</v>
      </c>
      <c r="P1245" s="547" t="s">
        <v>1588</v>
      </c>
      <c r="Q1245" s="689">
        <v>0</v>
      </c>
      <c r="R1245" s="689">
        <v>0</v>
      </c>
      <c r="S1245" s="689">
        <v>0</v>
      </c>
      <c r="T1245" s="689">
        <v>0</v>
      </c>
      <c r="U1245" s="547" t="s">
        <v>2314</v>
      </c>
      <c r="V1245" s="548" t="s">
        <v>6677</v>
      </c>
      <c r="W1245" s="658">
        <v>143</v>
      </c>
      <c r="X1245" s="547" t="s">
        <v>2193</v>
      </c>
      <c r="Y1245" s="547" t="s">
        <v>3161</v>
      </c>
      <c r="Z1245" s="547" t="s">
        <v>3070</v>
      </c>
      <c r="AA1245" s="547" t="s">
        <v>1591</v>
      </c>
      <c r="AB1245" s="550" t="s">
        <v>1591</v>
      </c>
    </row>
    <row r="1246" spans="1:28" ht="24" customHeight="1">
      <c r="A1246" s="606"/>
      <c r="B1246" s="544" t="s">
        <v>675</v>
      </c>
      <c r="C1246" s="551" t="s">
        <v>4996</v>
      </c>
      <c r="D1246" s="553" t="s">
        <v>6678</v>
      </c>
      <c r="E1246" s="563">
        <f t="shared" si="99"/>
        <v>50</v>
      </c>
      <c r="F1246" s="563">
        <v>0</v>
      </c>
      <c r="G1246" s="563">
        <v>0</v>
      </c>
      <c r="H1246" s="563">
        <v>50</v>
      </c>
      <c r="I1246" s="563">
        <f t="shared" si="100"/>
        <v>44</v>
      </c>
      <c r="J1246" s="563">
        <v>0</v>
      </c>
      <c r="K1246" s="563">
        <v>0</v>
      </c>
      <c r="L1246" s="741">
        <v>44</v>
      </c>
      <c r="M1246" s="687">
        <v>88</v>
      </c>
      <c r="N1246" s="563">
        <v>4</v>
      </c>
      <c r="O1246" s="746" t="s">
        <v>6679</v>
      </c>
      <c r="P1246" s="547" t="s">
        <v>1588</v>
      </c>
      <c r="Q1246" s="689">
        <v>0</v>
      </c>
      <c r="R1246" s="689">
        <v>0</v>
      </c>
      <c r="S1246" s="689">
        <v>0</v>
      </c>
      <c r="T1246" s="689">
        <v>0</v>
      </c>
      <c r="U1246" s="547" t="s">
        <v>2314</v>
      </c>
      <c r="V1246" s="548" t="s">
        <v>6680</v>
      </c>
      <c r="W1246" s="658">
        <v>484</v>
      </c>
      <c r="X1246" s="547" t="s">
        <v>2193</v>
      </c>
      <c r="Y1246" s="547" t="s">
        <v>3161</v>
      </c>
      <c r="Z1246" s="547" t="s">
        <v>3070</v>
      </c>
      <c r="AA1246" s="547" t="s">
        <v>1591</v>
      </c>
      <c r="AB1246" s="550" t="s">
        <v>1591</v>
      </c>
    </row>
    <row r="1247" spans="1:28" ht="24" customHeight="1">
      <c r="A1247" s="606"/>
      <c r="B1247" s="544" t="s">
        <v>675</v>
      </c>
      <c r="C1247" s="551" t="s">
        <v>6681</v>
      </c>
      <c r="D1247" s="553" t="s">
        <v>6682</v>
      </c>
      <c r="E1247" s="563">
        <f t="shared" si="99"/>
        <v>45</v>
      </c>
      <c r="F1247" s="563">
        <v>0</v>
      </c>
      <c r="G1247" s="563">
        <v>0</v>
      </c>
      <c r="H1247" s="563">
        <v>45</v>
      </c>
      <c r="I1247" s="563">
        <f t="shared" si="100"/>
        <v>55</v>
      </c>
      <c r="J1247" s="563">
        <v>0</v>
      </c>
      <c r="K1247" s="563">
        <v>0</v>
      </c>
      <c r="L1247" s="741">
        <v>55</v>
      </c>
      <c r="M1247" s="687">
        <v>92</v>
      </c>
      <c r="N1247" s="563">
        <v>9</v>
      </c>
      <c r="O1247" s="746" t="s">
        <v>6626</v>
      </c>
      <c r="P1247" s="547" t="s">
        <v>1588</v>
      </c>
      <c r="Q1247" s="689">
        <v>0</v>
      </c>
      <c r="R1247" s="689">
        <v>0</v>
      </c>
      <c r="S1247" s="689">
        <v>0</v>
      </c>
      <c r="T1247" s="689">
        <v>0</v>
      </c>
      <c r="U1247" s="547" t="s">
        <v>2314</v>
      </c>
      <c r="V1247" s="548" t="s">
        <v>6683</v>
      </c>
      <c r="W1247" s="658">
        <v>249</v>
      </c>
      <c r="X1247" s="547" t="s">
        <v>2193</v>
      </c>
      <c r="Y1247" s="547" t="s">
        <v>3161</v>
      </c>
      <c r="Z1247" s="547" t="s">
        <v>6684</v>
      </c>
      <c r="AA1247" s="547" t="s">
        <v>1591</v>
      </c>
      <c r="AB1247" s="550" t="s">
        <v>1591</v>
      </c>
    </row>
    <row r="1248" spans="1:28" ht="24" customHeight="1">
      <c r="A1248" s="606"/>
      <c r="B1248" s="544" t="s">
        <v>675</v>
      </c>
      <c r="C1248" s="551" t="s">
        <v>6685</v>
      </c>
      <c r="D1248" s="553" t="s">
        <v>6686</v>
      </c>
      <c r="E1248" s="563">
        <f t="shared" si="99"/>
        <v>30</v>
      </c>
      <c r="F1248" s="563">
        <v>0</v>
      </c>
      <c r="G1248" s="563">
        <v>0</v>
      </c>
      <c r="H1248" s="563">
        <v>30</v>
      </c>
      <c r="I1248" s="563">
        <f t="shared" si="100"/>
        <v>25</v>
      </c>
      <c r="J1248" s="563">
        <v>0</v>
      </c>
      <c r="K1248" s="563">
        <v>0</v>
      </c>
      <c r="L1248" s="741">
        <v>25</v>
      </c>
      <c r="M1248" s="687">
        <v>83</v>
      </c>
      <c r="N1248" s="563">
        <v>2</v>
      </c>
      <c r="O1248" s="746" t="s">
        <v>6643</v>
      </c>
      <c r="P1248" s="547" t="s">
        <v>1588</v>
      </c>
      <c r="Q1248" s="689">
        <v>0</v>
      </c>
      <c r="R1248" s="689">
        <v>0</v>
      </c>
      <c r="S1248" s="689">
        <v>0</v>
      </c>
      <c r="T1248" s="689">
        <v>0</v>
      </c>
      <c r="U1248" s="547" t="s">
        <v>2314</v>
      </c>
      <c r="V1248" s="548" t="s">
        <v>2191</v>
      </c>
      <c r="W1248" s="658">
        <v>188</v>
      </c>
      <c r="X1248" s="547" t="s">
        <v>2193</v>
      </c>
      <c r="Y1248" s="547" t="s">
        <v>3161</v>
      </c>
      <c r="Z1248" s="547" t="s">
        <v>6684</v>
      </c>
      <c r="AA1248" s="547" t="s">
        <v>1591</v>
      </c>
      <c r="AB1248" s="550" t="s">
        <v>1591</v>
      </c>
    </row>
    <row r="1249" spans="1:28" ht="24" customHeight="1">
      <c r="A1249" s="606"/>
      <c r="B1249" s="544" t="s">
        <v>675</v>
      </c>
      <c r="C1249" s="551" t="s">
        <v>2157</v>
      </c>
      <c r="D1249" s="553" t="s">
        <v>6687</v>
      </c>
      <c r="E1249" s="563">
        <f t="shared" si="99"/>
        <v>30</v>
      </c>
      <c r="F1249" s="563">
        <v>0</v>
      </c>
      <c r="G1249" s="563">
        <v>0</v>
      </c>
      <c r="H1249" s="563">
        <v>30</v>
      </c>
      <c r="I1249" s="563">
        <f t="shared" si="100"/>
        <v>27</v>
      </c>
      <c r="J1249" s="563">
        <v>0</v>
      </c>
      <c r="K1249" s="563">
        <v>0</v>
      </c>
      <c r="L1249" s="741">
        <v>27</v>
      </c>
      <c r="M1249" s="687">
        <v>90</v>
      </c>
      <c r="N1249" s="563">
        <v>2</v>
      </c>
      <c r="O1249" s="746" t="s">
        <v>6688</v>
      </c>
      <c r="P1249" s="547" t="s">
        <v>1588</v>
      </c>
      <c r="Q1249" s="689">
        <v>0</v>
      </c>
      <c r="R1249" s="689">
        <v>0</v>
      </c>
      <c r="S1249" s="689">
        <v>0</v>
      </c>
      <c r="T1249" s="689">
        <v>0</v>
      </c>
      <c r="U1249" s="547" t="s">
        <v>2314</v>
      </c>
      <c r="V1249" s="548" t="s">
        <v>6673</v>
      </c>
      <c r="W1249" s="658">
        <v>341</v>
      </c>
      <c r="X1249" s="547" t="s">
        <v>2193</v>
      </c>
      <c r="Y1249" s="547" t="s">
        <v>3161</v>
      </c>
      <c r="Z1249" s="547" t="s">
        <v>6684</v>
      </c>
      <c r="AA1249" s="547" t="s">
        <v>1591</v>
      </c>
      <c r="AB1249" s="550" t="s">
        <v>1591</v>
      </c>
    </row>
    <row r="1250" spans="1:28" ht="24" customHeight="1">
      <c r="A1250" s="606"/>
      <c r="B1250" s="544" t="s">
        <v>675</v>
      </c>
      <c r="C1250" s="551" t="s">
        <v>6689</v>
      </c>
      <c r="D1250" s="553" t="s">
        <v>6686</v>
      </c>
      <c r="E1250" s="563">
        <f t="shared" si="99"/>
        <v>20</v>
      </c>
      <c r="F1250" s="563">
        <v>0</v>
      </c>
      <c r="G1250" s="563">
        <v>0</v>
      </c>
      <c r="H1250" s="563">
        <v>20</v>
      </c>
      <c r="I1250" s="563">
        <f t="shared" si="100"/>
        <v>15</v>
      </c>
      <c r="J1250" s="563">
        <v>0</v>
      </c>
      <c r="K1250" s="563">
        <v>0</v>
      </c>
      <c r="L1250" s="741">
        <v>15</v>
      </c>
      <c r="M1250" s="687">
        <v>75</v>
      </c>
      <c r="N1250" s="563">
        <v>2</v>
      </c>
      <c r="O1250" s="746" t="s">
        <v>6688</v>
      </c>
      <c r="P1250" s="547" t="s">
        <v>1588</v>
      </c>
      <c r="Q1250" s="689">
        <v>0</v>
      </c>
      <c r="R1250" s="689">
        <v>0</v>
      </c>
      <c r="S1250" s="689">
        <v>0</v>
      </c>
      <c r="T1250" s="689">
        <v>0</v>
      </c>
      <c r="U1250" s="547" t="s">
        <v>2314</v>
      </c>
      <c r="V1250" s="548" t="s">
        <v>6690</v>
      </c>
      <c r="W1250" s="658">
        <v>258</v>
      </c>
      <c r="X1250" s="547" t="s">
        <v>2193</v>
      </c>
      <c r="Y1250" s="547" t="s">
        <v>3161</v>
      </c>
      <c r="Z1250" s="547" t="s">
        <v>6684</v>
      </c>
      <c r="AA1250" s="547" t="s">
        <v>1591</v>
      </c>
      <c r="AB1250" s="550" t="s">
        <v>1591</v>
      </c>
    </row>
    <row r="1251" spans="1:28" ht="24" customHeight="1">
      <c r="A1251" s="606"/>
      <c r="B1251" s="544" t="s">
        <v>675</v>
      </c>
      <c r="C1251" s="551" t="s">
        <v>6691</v>
      </c>
      <c r="D1251" s="553" t="s">
        <v>6692</v>
      </c>
      <c r="E1251" s="563">
        <f t="shared" si="99"/>
        <v>40</v>
      </c>
      <c r="F1251" s="563">
        <v>0</v>
      </c>
      <c r="G1251" s="563">
        <v>0</v>
      </c>
      <c r="H1251" s="563">
        <v>40</v>
      </c>
      <c r="I1251" s="563">
        <f t="shared" si="100"/>
        <v>37</v>
      </c>
      <c r="J1251" s="563">
        <v>0</v>
      </c>
      <c r="K1251" s="563">
        <v>0</v>
      </c>
      <c r="L1251" s="741">
        <v>37</v>
      </c>
      <c r="M1251" s="687">
        <v>93</v>
      </c>
      <c r="N1251" s="563">
        <v>6</v>
      </c>
      <c r="O1251" s="746" t="s">
        <v>6693</v>
      </c>
      <c r="P1251" s="547" t="s">
        <v>1588</v>
      </c>
      <c r="Q1251" s="689">
        <v>0</v>
      </c>
      <c r="R1251" s="689">
        <v>0</v>
      </c>
      <c r="S1251" s="689">
        <v>0</v>
      </c>
      <c r="T1251" s="689">
        <v>0</v>
      </c>
      <c r="U1251" s="547" t="s">
        <v>2314</v>
      </c>
      <c r="V1251" s="548" t="s">
        <v>6694</v>
      </c>
      <c r="W1251" s="658">
        <v>379</v>
      </c>
      <c r="X1251" s="547" t="s">
        <v>2193</v>
      </c>
      <c r="Y1251" s="547" t="s">
        <v>3161</v>
      </c>
      <c r="Z1251" s="547" t="s">
        <v>6684</v>
      </c>
      <c r="AA1251" s="547" t="s">
        <v>1591</v>
      </c>
      <c r="AB1251" s="550" t="s">
        <v>1591</v>
      </c>
    </row>
    <row r="1252" spans="1:28" ht="24" customHeight="1">
      <c r="A1252" s="606"/>
      <c r="B1252" s="544" t="s">
        <v>675</v>
      </c>
      <c r="C1252" s="551" t="s">
        <v>6695</v>
      </c>
      <c r="D1252" s="553" t="s">
        <v>6696</v>
      </c>
      <c r="E1252" s="563">
        <f t="shared" si="99"/>
        <v>90</v>
      </c>
      <c r="F1252" s="563">
        <v>0</v>
      </c>
      <c r="G1252" s="563">
        <v>0</v>
      </c>
      <c r="H1252" s="563">
        <v>90</v>
      </c>
      <c r="I1252" s="563">
        <f t="shared" si="100"/>
        <v>82</v>
      </c>
      <c r="J1252" s="563">
        <v>0</v>
      </c>
      <c r="K1252" s="563">
        <v>0</v>
      </c>
      <c r="L1252" s="741">
        <v>82</v>
      </c>
      <c r="M1252" s="687">
        <v>91</v>
      </c>
      <c r="N1252" s="563">
        <v>15</v>
      </c>
      <c r="O1252" s="746" t="s">
        <v>6697</v>
      </c>
      <c r="P1252" s="547" t="s">
        <v>1588</v>
      </c>
      <c r="Q1252" s="689">
        <v>0</v>
      </c>
      <c r="R1252" s="689">
        <v>0</v>
      </c>
      <c r="S1252" s="689">
        <v>0</v>
      </c>
      <c r="T1252" s="689">
        <v>0</v>
      </c>
      <c r="U1252" s="547" t="s">
        <v>2314</v>
      </c>
      <c r="V1252" s="548" t="s">
        <v>6698</v>
      </c>
      <c r="W1252" s="658">
        <v>400</v>
      </c>
      <c r="X1252" s="547" t="s">
        <v>2193</v>
      </c>
      <c r="Y1252" s="547" t="s">
        <v>3161</v>
      </c>
      <c r="Z1252" s="547" t="s">
        <v>6684</v>
      </c>
      <c r="AA1252" s="547" t="s">
        <v>1591</v>
      </c>
      <c r="AB1252" s="550" t="s">
        <v>1591</v>
      </c>
    </row>
    <row r="1253" spans="1:28" ht="24" customHeight="1">
      <c r="A1253" s="606"/>
      <c r="B1253" s="544" t="s">
        <v>675</v>
      </c>
      <c r="C1253" s="551" t="s">
        <v>6699</v>
      </c>
      <c r="D1253" s="553" t="s">
        <v>6700</v>
      </c>
      <c r="E1253" s="563">
        <f t="shared" si="99"/>
        <v>40</v>
      </c>
      <c r="F1253" s="563">
        <v>0</v>
      </c>
      <c r="G1253" s="563">
        <v>0</v>
      </c>
      <c r="H1253" s="563">
        <v>40</v>
      </c>
      <c r="I1253" s="563">
        <f t="shared" si="100"/>
        <v>35</v>
      </c>
      <c r="J1253" s="563">
        <v>0</v>
      </c>
      <c r="K1253" s="563">
        <v>0</v>
      </c>
      <c r="L1253" s="741">
        <v>35</v>
      </c>
      <c r="M1253" s="687">
        <v>88</v>
      </c>
      <c r="N1253" s="563">
        <v>6</v>
      </c>
      <c r="O1253" s="746" t="s">
        <v>6631</v>
      </c>
      <c r="P1253" s="547" t="s">
        <v>1588</v>
      </c>
      <c r="Q1253" s="689">
        <v>0</v>
      </c>
      <c r="R1253" s="689">
        <v>0</v>
      </c>
      <c r="S1253" s="689">
        <v>0</v>
      </c>
      <c r="T1253" s="689">
        <v>0</v>
      </c>
      <c r="U1253" s="547" t="s">
        <v>2314</v>
      </c>
      <c r="V1253" s="548" t="s">
        <v>6701</v>
      </c>
      <c r="W1253" s="658">
        <v>251</v>
      </c>
      <c r="X1253" s="547" t="s">
        <v>2193</v>
      </c>
      <c r="Y1253" s="547" t="s">
        <v>3161</v>
      </c>
      <c r="Z1253" s="547" t="s">
        <v>1804</v>
      </c>
      <c r="AA1253" s="547" t="s">
        <v>1591</v>
      </c>
      <c r="AB1253" s="550" t="s">
        <v>1591</v>
      </c>
    </row>
    <row r="1254" spans="1:28" ht="24" customHeight="1">
      <c r="A1254" s="606"/>
      <c r="B1254" s="544" t="s">
        <v>675</v>
      </c>
      <c r="C1254" s="551" t="s">
        <v>319</v>
      </c>
      <c r="D1254" s="553" t="s">
        <v>6702</v>
      </c>
      <c r="E1254" s="563">
        <f>F1254+G1254+H1254</f>
        <v>50</v>
      </c>
      <c r="F1254" s="563">
        <v>0</v>
      </c>
      <c r="G1254" s="563">
        <v>0</v>
      </c>
      <c r="H1254" s="563">
        <v>50</v>
      </c>
      <c r="I1254" s="563">
        <f>J1254+K1254+L1254</f>
        <v>42</v>
      </c>
      <c r="J1254" s="563">
        <v>0</v>
      </c>
      <c r="K1254" s="563">
        <v>0</v>
      </c>
      <c r="L1254" s="741">
        <v>42</v>
      </c>
      <c r="M1254" s="687">
        <v>84</v>
      </c>
      <c r="N1254" s="563">
        <v>6</v>
      </c>
      <c r="O1254" s="746" t="s">
        <v>6688</v>
      </c>
      <c r="P1254" s="547" t="s">
        <v>1588</v>
      </c>
      <c r="Q1254" s="689">
        <v>0</v>
      </c>
      <c r="R1254" s="689">
        <v>0</v>
      </c>
      <c r="S1254" s="689">
        <v>0</v>
      </c>
      <c r="T1254" s="689">
        <v>0</v>
      </c>
      <c r="U1254" s="547" t="s">
        <v>2314</v>
      </c>
      <c r="V1254" s="548" t="s">
        <v>6703</v>
      </c>
      <c r="W1254" s="658">
        <v>512</v>
      </c>
      <c r="X1254" s="547" t="s">
        <v>2193</v>
      </c>
      <c r="Y1254" s="547" t="s">
        <v>3161</v>
      </c>
      <c r="Z1254" s="547" t="s">
        <v>1804</v>
      </c>
      <c r="AA1254" s="547" t="s">
        <v>1591</v>
      </c>
      <c r="AB1254" s="550" t="s">
        <v>1591</v>
      </c>
    </row>
    <row r="1255" spans="1:28" ht="24" customHeight="1">
      <c r="A1255" s="606"/>
      <c r="B1255" s="544" t="s">
        <v>675</v>
      </c>
      <c r="C1255" s="551" t="s">
        <v>6704</v>
      </c>
      <c r="D1255" s="553" t="s">
        <v>6705</v>
      </c>
      <c r="E1255" s="563">
        <f>F1255+G1255+H1255</f>
        <v>70</v>
      </c>
      <c r="F1255" s="563">
        <v>0</v>
      </c>
      <c r="G1255" s="563">
        <v>0</v>
      </c>
      <c r="H1255" s="563">
        <v>70</v>
      </c>
      <c r="I1255" s="563">
        <f>J1255+K1255+L1255</f>
        <v>62</v>
      </c>
      <c r="J1255" s="563">
        <v>0</v>
      </c>
      <c r="K1255" s="563">
        <v>0</v>
      </c>
      <c r="L1255" s="741">
        <v>62</v>
      </c>
      <c r="M1255" s="687">
        <v>89</v>
      </c>
      <c r="N1255" s="563">
        <v>6</v>
      </c>
      <c r="O1255" s="746" t="s">
        <v>6688</v>
      </c>
      <c r="P1255" s="547" t="s">
        <v>1588</v>
      </c>
      <c r="Q1255" s="689">
        <v>0</v>
      </c>
      <c r="R1255" s="689">
        <v>0</v>
      </c>
      <c r="S1255" s="689">
        <v>0</v>
      </c>
      <c r="T1255" s="689">
        <v>0</v>
      </c>
      <c r="U1255" s="547" t="s">
        <v>2314</v>
      </c>
      <c r="V1255" s="548" t="s">
        <v>6706</v>
      </c>
      <c r="W1255" s="658">
        <v>481</v>
      </c>
      <c r="X1255" s="547" t="s">
        <v>2193</v>
      </c>
      <c r="Y1255" s="547" t="s">
        <v>3161</v>
      </c>
      <c r="Z1255" s="547" t="s">
        <v>1804</v>
      </c>
      <c r="AA1255" s="547" t="s">
        <v>1591</v>
      </c>
      <c r="AB1255" s="550" t="s">
        <v>1591</v>
      </c>
    </row>
    <row r="1256" spans="1:28" ht="24" customHeight="1">
      <c r="A1256" s="606"/>
      <c r="B1256" s="544" t="s">
        <v>675</v>
      </c>
      <c r="C1256" s="551" t="s">
        <v>6707</v>
      </c>
      <c r="D1256" s="553" t="s">
        <v>6708</v>
      </c>
      <c r="E1256" s="563">
        <f>F1256+G1256+H1256</f>
        <v>45</v>
      </c>
      <c r="F1256" s="563">
        <v>0</v>
      </c>
      <c r="G1256" s="563">
        <v>0</v>
      </c>
      <c r="H1256" s="563">
        <v>45</v>
      </c>
      <c r="I1256" s="563">
        <f>J1256+K1256+L1256</f>
        <v>36</v>
      </c>
      <c r="J1256" s="563">
        <v>0</v>
      </c>
      <c r="K1256" s="563">
        <v>0</v>
      </c>
      <c r="L1256" s="741">
        <v>36</v>
      </c>
      <c r="M1256" s="687">
        <v>80</v>
      </c>
      <c r="N1256" s="563">
        <v>3</v>
      </c>
      <c r="O1256" s="746" t="s">
        <v>6709</v>
      </c>
      <c r="P1256" s="547" t="s">
        <v>1588</v>
      </c>
      <c r="Q1256" s="689">
        <v>0</v>
      </c>
      <c r="R1256" s="689">
        <v>0</v>
      </c>
      <c r="S1256" s="689">
        <v>0</v>
      </c>
      <c r="T1256" s="689">
        <v>0</v>
      </c>
      <c r="U1256" s="547" t="s">
        <v>2314</v>
      </c>
      <c r="V1256" s="548" t="s">
        <v>2092</v>
      </c>
      <c r="W1256" s="658">
        <v>333</v>
      </c>
      <c r="X1256" s="547" t="s">
        <v>2193</v>
      </c>
      <c r="Y1256" s="547" t="s">
        <v>3161</v>
      </c>
      <c r="Z1256" s="547" t="s">
        <v>1804</v>
      </c>
      <c r="AA1256" s="547" t="s">
        <v>1591</v>
      </c>
      <c r="AB1256" s="550" t="s">
        <v>1591</v>
      </c>
    </row>
    <row r="1257" spans="1:28" ht="24" customHeight="1">
      <c r="A1257" s="606"/>
      <c r="B1257" s="544" t="s">
        <v>675</v>
      </c>
      <c r="C1257" s="551" t="s">
        <v>6710</v>
      </c>
      <c r="D1257" s="553" t="s">
        <v>6711</v>
      </c>
      <c r="E1257" s="563">
        <f>F1257+G1257+H1257</f>
        <v>45</v>
      </c>
      <c r="F1257" s="563">
        <v>0</v>
      </c>
      <c r="G1257" s="563">
        <v>0</v>
      </c>
      <c r="H1257" s="563">
        <v>45</v>
      </c>
      <c r="I1257" s="563">
        <f>J1257+K1257+L1257</f>
        <v>41</v>
      </c>
      <c r="J1257" s="563">
        <v>0</v>
      </c>
      <c r="K1257" s="563">
        <v>0</v>
      </c>
      <c r="L1257" s="741">
        <v>41</v>
      </c>
      <c r="M1257" s="687">
        <v>92</v>
      </c>
      <c r="N1257" s="563">
        <v>4</v>
      </c>
      <c r="O1257" s="746" t="s">
        <v>6712</v>
      </c>
      <c r="P1257" s="547" t="s">
        <v>1588</v>
      </c>
      <c r="Q1257" s="689">
        <v>0</v>
      </c>
      <c r="R1257" s="689">
        <v>0</v>
      </c>
      <c r="S1257" s="689">
        <v>0</v>
      </c>
      <c r="T1257" s="689">
        <v>0</v>
      </c>
      <c r="U1257" s="547" t="s">
        <v>2314</v>
      </c>
      <c r="V1257" s="548" t="s">
        <v>6713</v>
      </c>
      <c r="W1257" s="658">
        <v>841</v>
      </c>
      <c r="X1257" s="547" t="s">
        <v>2193</v>
      </c>
      <c r="Y1257" s="547" t="s">
        <v>3161</v>
      </c>
      <c r="Z1257" s="547" t="s">
        <v>1591</v>
      </c>
      <c r="AA1257" s="547" t="s">
        <v>1591</v>
      </c>
      <c r="AB1257" s="550" t="s">
        <v>1591</v>
      </c>
    </row>
    <row r="1258" spans="1:28" ht="24" customHeight="1">
      <c r="A1258" s="605" t="s">
        <v>1891</v>
      </c>
      <c r="B1258" s="544" t="s">
        <v>2201</v>
      </c>
      <c r="C1258" s="551" t="s">
        <v>2431</v>
      </c>
      <c r="D1258" s="553" t="s">
        <v>6714</v>
      </c>
      <c r="E1258" s="563">
        <v>4500</v>
      </c>
      <c r="F1258" s="563">
        <v>0</v>
      </c>
      <c r="G1258" s="563">
        <v>0</v>
      </c>
      <c r="H1258" s="563">
        <v>4500</v>
      </c>
      <c r="I1258" s="563">
        <v>2061</v>
      </c>
      <c r="J1258" s="563">
        <v>0</v>
      </c>
      <c r="K1258" s="563">
        <v>0</v>
      </c>
      <c r="L1258" s="741">
        <v>2061</v>
      </c>
      <c r="M1258" s="687">
        <v>94.1</v>
      </c>
      <c r="N1258" s="563">
        <v>0</v>
      </c>
      <c r="O1258" s="746" t="s">
        <v>1535</v>
      </c>
      <c r="P1258" s="547" t="s">
        <v>3347</v>
      </c>
      <c r="Q1258" s="689">
        <v>24.5</v>
      </c>
      <c r="R1258" s="689">
        <v>0</v>
      </c>
      <c r="S1258" s="689">
        <v>30</v>
      </c>
      <c r="T1258" s="689">
        <v>0</v>
      </c>
      <c r="U1258" s="547" t="s">
        <v>1531</v>
      </c>
      <c r="V1258" s="548" t="s">
        <v>2098</v>
      </c>
      <c r="W1258" s="658">
        <v>13000</v>
      </c>
      <c r="X1258" s="547" t="s">
        <v>1532</v>
      </c>
      <c r="Y1258" s="547" t="s">
        <v>4034</v>
      </c>
      <c r="Z1258" s="547" t="s">
        <v>1892</v>
      </c>
      <c r="AA1258" s="547" t="s">
        <v>1686</v>
      </c>
      <c r="AB1258" s="550" t="s">
        <v>1686</v>
      </c>
    </row>
    <row r="1259" spans="1:28" ht="24" customHeight="1">
      <c r="A1259" s="606"/>
      <c r="B1259" s="544" t="s">
        <v>2201</v>
      </c>
      <c r="C1259" s="551" t="s">
        <v>486</v>
      </c>
      <c r="D1259" s="553" t="s">
        <v>6715</v>
      </c>
      <c r="E1259" s="563">
        <v>2000</v>
      </c>
      <c r="F1259" s="563">
        <v>0</v>
      </c>
      <c r="G1259" s="563">
        <v>0</v>
      </c>
      <c r="H1259" s="563">
        <v>2000</v>
      </c>
      <c r="I1259" s="563">
        <v>1274</v>
      </c>
      <c r="J1259" s="563">
        <v>0</v>
      </c>
      <c r="K1259" s="563">
        <v>0</v>
      </c>
      <c r="L1259" s="741">
        <v>1274</v>
      </c>
      <c r="M1259" s="687">
        <v>94.2</v>
      </c>
      <c r="N1259" s="563">
        <v>39.9</v>
      </c>
      <c r="O1259" s="746" t="s">
        <v>3347</v>
      </c>
      <c r="P1259" s="547" t="s">
        <v>3538</v>
      </c>
      <c r="Q1259" s="689">
        <v>0</v>
      </c>
      <c r="R1259" s="689">
        <v>0</v>
      </c>
      <c r="S1259" s="689">
        <v>0</v>
      </c>
      <c r="T1259" s="689">
        <v>0</v>
      </c>
      <c r="U1259" s="547" t="s">
        <v>7484</v>
      </c>
      <c r="V1259" s="547" t="s">
        <v>6716</v>
      </c>
      <c r="W1259" s="658">
        <v>7854</v>
      </c>
      <c r="X1259" s="547" t="s">
        <v>6717</v>
      </c>
      <c r="Y1259" s="547" t="s">
        <v>4034</v>
      </c>
      <c r="Z1259" s="547" t="s">
        <v>1706</v>
      </c>
      <c r="AA1259" s="547" t="s">
        <v>1686</v>
      </c>
      <c r="AB1259" s="550" t="s">
        <v>1686</v>
      </c>
    </row>
    <row r="1260" spans="1:28" ht="24" customHeight="1">
      <c r="A1260" s="606"/>
      <c r="B1260" s="544" t="s">
        <v>2201</v>
      </c>
      <c r="C1260" s="551" t="s">
        <v>2126</v>
      </c>
      <c r="D1260" s="553" t="s">
        <v>6718</v>
      </c>
      <c r="E1260" s="563">
        <v>700</v>
      </c>
      <c r="F1260" s="563">
        <v>0</v>
      </c>
      <c r="G1260" s="563">
        <v>0</v>
      </c>
      <c r="H1260" s="563">
        <v>700</v>
      </c>
      <c r="I1260" s="563">
        <v>518</v>
      </c>
      <c r="J1260" s="563">
        <v>0</v>
      </c>
      <c r="K1260" s="563">
        <v>0</v>
      </c>
      <c r="L1260" s="741">
        <v>518</v>
      </c>
      <c r="M1260" s="687">
        <v>94.4</v>
      </c>
      <c r="N1260" s="563">
        <v>14.1</v>
      </c>
      <c r="O1260" s="746" t="s">
        <v>3347</v>
      </c>
      <c r="P1260" s="547" t="s">
        <v>3538</v>
      </c>
      <c r="Q1260" s="689">
        <v>0</v>
      </c>
      <c r="R1260" s="689">
        <v>0</v>
      </c>
      <c r="S1260" s="689">
        <v>0</v>
      </c>
      <c r="T1260" s="689">
        <v>0</v>
      </c>
      <c r="U1260" s="547" t="s">
        <v>7484</v>
      </c>
      <c r="V1260" s="547" t="s">
        <v>6716</v>
      </c>
      <c r="W1260" s="658">
        <v>4401</v>
      </c>
      <c r="X1260" s="547" t="s">
        <v>6717</v>
      </c>
      <c r="Y1260" s="547" t="s">
        <v>4034</v>
      </c>
      <c r="Z1260" s="547" t="s">
        <v>1893</v>
      </c>
      <c r="AA1260" s="547" t="s">
        <v>1705</v>
      </c>
      <c r="AB1260" s="550" t="s">
        <v>1686</v>
      </c>
    </row>
    <row r="1261" spans="1:28" ht="24" customHeight="1">
      <c r="A1261" s="605" t="s">
        <v>1707</v>
      </c>
      <c r="B1261" s="544" t="s">
        <v>2201</v>
      </c>
      <c r="C1261" s="551" t="s">
        <v>2432</v>
      </c>
      <c r="D1261" s="553" t="s">
        <v>6719</v>
      </c>
      <c r="E1261" s="563">
        <f>F1261+G1261+H1261</f>
        <v>5500</v>
      </c>
      <c r="F1261" s="563">
        <v>0</v>
      </c>
      <c r="G1261" s="563">
        <v>0</v>
      </c>
      <c r="H1261" s="563">
        <v>5500</v>
      </c>
      <c r="I1261" s="563">
        <f t="shared" ref="I1261:I1281" si="101">J1261+K1261+L1261</f>
        <v>4599</v>
      </c>
      <c r="J1261" s="563">
        <v>0</v>
      </c>
      <c r="K1261" s="563">
        <v>0</v>
      </c>
      <c r="L1261" s="741">
        <v>4599</v>
      </c>
      <c r="M1261" s="687">
        <f>L1261/H1261*100</f>
        <v>83.61818181818181</v>
      </c>
      <c r="N1261" s="563">
        <f>86.3*L1261*M1261/100*1/1000</f>
        <v>331.87529569090907</v>
      </c>
      <c r="O1261" s="748" t="s">
        <v>6720</v>
      </c>
      <c r="P1261" s="547" t="s">
        <v>6721</v>
      </c>
      <c r="Q1261" s="689">
        <v>42.7</v>
      </c>
      <c r="R1261" s="689">
        <v>0</v>
      </c>
      <c r="S1261" s="689">
        <v>0</v>
      </c>
      <c r="T1261" s="689">
        <v>0</v>
      </c>
      <c r="U1261" s="549" t="s">
        <v>7485</v>
      </c>
      <c r="V1261" s="557" t="s">
        <v>6722</v>
      </c>
      <c r="W1261" s="658">
        <v>26980</v>
      </c>
      <c r="X1261" s="549" t="s">
        <v>1532</v>
      </c>
      <c r="Y1261" s="549" t="s">
        <v>3161</v>
      </c>
      <c r="Z1261" s="549"/>
      <c r="AA1261" s="549" t="s">
        <v>1686</v>
      </c>
      <c r="AB1261" s="558" t="s">
        <v>1686</v>
      </c>
    </row>
    <row r="1262" spans="1:28" ht="24" customHeight="1">
      <c r="A1262" s="606"/>
      <c r="B1262" s="544" t="s">
        <v>2201</v>
      </c>
      <c r="C1262" s="551" t="s">
        <v>266</v>
      </c>
      <c r="D1262" s="553" t="s">
        <v>6723</v>
      </c>
      <c r="E1262" s="563">
        <f>F1262+G1262+H1262</f>
        <v>4000</v>
      </c>
      <c r="F1262" s="563">
        <v>0</v>
      </c>
      <c r="G1262" s="563">
        <v>0</v>
      </c>
      <c r="H1262" s="563">
        <v>4000</v>
      </c>
      <c r="I1262" s="563">
        <f t="shared" si="101"/>
        <v>2422</v>
      </c>
      <c r="J1262" s="563">
        <v>0</v>
      </c>
      <c r="K1262" s="563">
        <v>0</v>
      </c>
      <c r="L1262" s="741">
        <v>2422</v>
      </c>
      <c r="M1262" s="687">
        <f>L1262/H1262*100</f>
        <v>60.550000000000004</v>
      </c>
      <c r="N1262" s="563">
        <f>86.3*L1262*M1262/100*1/1000</f>
        <v>126.56076230000001</v>
      </c>
      <c r="O1262" s="748" t="s">
        <v>1535</v>
      </c>
      <c r="P1262" s="547" t="s">
        <v>3176</v>
      </c>
      <c r="Q1262" s="689">
        <v>0</v>
      </c>
      <c r="R1262" s="689">
        <v>0</v>
      </c>
      <c r="S1262" s="689">
        <v>0</v>
      </c>
      <c r="T1262" s="689">
        <v>0</v>
      </c>
      <c r="U1262" s="549" t="s">
        <v>7485</v>
      </c>
      <c r="V1262" s="557" t="s">
        <v>6724</v>
      </c>
      <c r="W1262" s="658">
        <v>4798</v>
      </c>
      <c r="X1262" s="549" t="s">
        <v>1532</v>
      </c>
      <c r="Y1262" s="549" t="s">
        <v>3161</v>
      </c>
      <c r="Z1262" s="549" t="s">
        <v>1708</v>
      </c>
      <c r="AA1262" s="549" t="s">
        <v>1686</v>
      </c>
      <c r="AB1262" s="558" t="s">
        <v>1686</v>
      </c>
    </row>
    <row r="1263" spans="1:28" ht="24" customHeight="1">
      <c r="A1263" s="606"/>
      <c r="B1263" s="544" t="s">
        <v>675</v>
      </c>
      <c r="C1263" s="551" t="s">
        <v>6725</v>
      </c>
      <c r="D1263" s="553" t="s">
        <v>6726</v>
      </c>
      <c r="E1263" s="563">
        <f t="shared" ref="E1263:E1281" si="102">F1263+G1263+H1263</f>
        <v>32</v>
      </c>
      <c r="F1263" s="563">
        <v>0</v>
      </c>
      <c r="G1263" s="660">
        <v>32</v>
      </c>
      <c r="H1263" s="563">
        <v>0</v>
      </c>
      <c r="I1263" s="563">
        <f t="shared" si="101"/>
        <v>28</v>
      </c>
      <c r="J1263" s="563">
        <v>0</v>
      </c>
      <c r="K1263" s="660">
        <v>28</v>
      </c>
      <c r="L1263" s="741">
        <v>0</v>
      </c>
      <c r="M1263" s="687">
        <f>K1263/G1263*100</f>
        <v>87.5</v>
      </c>
      <c r="N1263" s="563">
        <f>86.3*K1263*M1263/100*0.001</f>
        <v>2.11435</v>
      </c>
      <c r="O1263" s="746" t="s">
        <v>6463</v>
      </c>
      <c r="P1263" s="547" t="s">
        <v>1588</v>
      </c>
      <c r="Q1263" s="689">
        <v>0</v>
      </c>
      <c r="R1263" s="689">
        <v>0</v>
      </c>
      <c r="S1263" s="689">
        <v>0</v>
      </c>
      <c r="T1263" s="689">
        <v>0</v>
      </c>
      <c r="U1263" s="549" t="s">
        <v>7485</v>
      </c>
      <c r="V1263" s="559" t="s">
        <v>6727</v>
      </c>
      <c r="W1263" s="658">
        <v>355</v>
      </c>
      <c r="X1263" s="549" t="s">
        <v>1532</v>
      </c>
      <c r="Y1263" s="549" t="s">
        <v>3161</v>
      </c>
      <c r="Z1263" s="549"/>
      <c r="AA1263" s="549" t="s">
        <v>1686</v>
      </c>
      <c r="AB1263" s="558" t="s">
        <v>1686</v>
      </c>
    </row>
    <row r="1264" spans="1:28" ht="24" customHeight="1">
      <c r="A1264" s="606"/>
      <c r="B1264" s="544" t="s">
        <v>675</v>
      </c>
      <c r="C1264" s="551" t="s">
        <v>6728</v>
      </c>
      <c r="D1264" s="553" t="s">
        <v>6729</v>
      </c>
      <c r="E1264" s="563">
        <f t="shared" si="102"/>
        <v>46</v>
      </c>
      <c r="F1264" s="563">
        <v>0</v>
      </c>
      <c r="G1264" s="660">
        <v>46</v>
      </c>
      <c r="H1264" s="563">
        <v>0</v>
      </c>
      <c r="I1264" s="563">
        <f t="shared" si="101"/>
        <v>39</v>
      </c>
      <c r="J1264" s="563">
        <v>0</v>
      </c>
      <c r="K1264" s="660">
        <v>39</v>
      </c>
      <c r="L1264" s="741">
        <v>0</v>
      </c>
      <c r="M1264" s="687">
        <f t="shared" ref="M1264:M1283" si="103">K1264/G1264*100</f>
        <v>84.782608695652172</v>
      </c>
      <c r="N1264" s="563">
        <f>65.9*K1264*M1264/100*0.001</f>
        <v>2.1789978260869565</v>
      </c>
      <c r="O1264" s="746" t="s">
        <v>6730</v>
      </c>
      <c r="P1264" s="547" t="s">
        <v>1588</v>
      </c>
      <c r="Q1264" s="689">
        <v>0</v>
      </c>
      <c r="R1264" s="689">
        <v>0</v>
      </c>
      <c r="S1264" s="689">
        <v>0</v>
      </c>
      <c r="T1264" s="689">
        <v>0</v>
      </c>
      <c r="U1264" s="549" t="s">
        <v>7485</v>
      </c>
      <c r="V1264" s="559" t="s">
        <v>6731</v>
      </c>
      <c r="W1264" s="658">
        <v>355</v>
      </c>
      <c r="X1264" s="549" t="s">
        <v>1532</v>
      </c>
      <c r="Y1264" s="549" t="s">
        <v>3161</v>
      </c>
      <c r="Z1264" s="549"/>
      <c r="AA1264" s="549" t="s">
        <v>1686</v>
      </c>
      <c r="AB1264" s="558" t="s">
        <v>1686</v>
      </c>
    </row>
    <row r="1265" spans="1:28" ht="24" customHeight="1">
      <c r="A1265" s="606"/>
      <c r="B1265" s="544" t="s">
        <v>675</v>
      </c>
      <c r="C1265" s="551" t="s">
        <v>6732</v>
      </c>
      <c r="D1265" s="553" t="s">
        <v>6733</v>
      </c>
      <c r="E1265" s="563">
        <f t="shared" si="102"/>
        <v>30</v>
      </c>
      <c r="F1265" s="563">
        <v>0</v>
      </c>
      <c r="G1265" s="660">
        <v>30</v>
      </c>
      <c r="H1265" s="563">
        <v>0</v>
      </c>
      <c r="I1265" s="563">
        <f t="shared" si="101"/>
        <v>25</v>
      </c>
      <c r="J1265" s="563">
        <v>0</v>
      </c>
      <c r="K1265" s="660">
        <v>25</v>
      </c>
      <c r="L1265" s="741">
        <v>0</v>
      </c>
      <c r="M1265" s="687">
        <f t="shared" si="103"/>
        <v>83.333333333333343</v>
      </c>
      <c r="N1265" s="563">
        <f>75.8*K1265*M1265/100*0.001</f>
        <v>1.5791666666666671</v>
      </c>
      <c r="O1265" s="746" t="s">
        <v>6734</v>
      </c>
      <c r="P1265" s="547" t="s">
        <v>1588</v>
      </c>
      <c r="Q1265" s="689">
        <v>0</v>
      </c>
      <c r="R1265" s="689">
        <v>0</v>
      </c>
      <c r="S1265" s="689">
        <v>0</v>
      </c>
      <c r="T1265" s="689">
        <v>0</v>
      </c>
      <c r="U1265" s="549" t="s">
        <v>7485</v>
      </c>
      <c r="V1265" s="559" t="s">
        <v>6735</v>
      </c>
      <c r="W1265" s="658">
        <v>210</v>
      </c>
      <c r="X1265" s="549" t="s">
        <v>1532</v>
      </c>
      <c r="Y1265" s="549" t="s">
        <v>3161</v>
      </c>
      <c r="Z1265" s="549" t="s">
        <v>1708</v>
      </c>
      <c r="AA1265" s="549" t="s">
        <v>1686</v>
      </c>
      <c r="AB1265" s="558" t="s">
        <v>1686</v>
      </c>
    </row>
    <row r="1266" spans="1:28" ht="24" customHeight="1">
      <c r="A1266" s="606"/>
      <c r="B1266" s="544" t="s">
        <v>675</v>
      </c>
      <c r="C1266" s="551" t="s">
        <v>6736</v>
      </c>
      <c r="D1266" s="553" t="s">
        <v>6737</v>
      </c>
      <c r="E1266" s="563">
        <f t="shared" si="102"/>
        <v>30</v>
      </c>
      <c r="F1266" s="563">
        <v>0</v>
      </c>
      <c r="G1266" s="660">
        <v>30</v>
      </c>
      <c r="H1266" s="563">
        <v>0</v>
      </c>
      <c r="I1266" s="563">
        <f t="shared" si="101"/>
        <v>24</v>
      </c>
      <c r="J1266" s="563">
        <v>0</v>
      </c>
      <c r="K1266" s="660">
        <v>24</v>
      </c>
      <c r="L1266" s="741">
        <v>0</v>
      </c>
      <c r="M1266" s="687">
        <f t="shared" si="103"/>
        <v>80</v>
      </c>
      <c r="N1266" s="563">
        <f>71.4*K1266*M1266/100*0.001</f>
        <v>1.3708800000000001</v>
      </c>
      <c r="O1266" s="746" t="s">
        <v>1862</v>
      </c>
      <c r="P1266" s="547" t="s">
        <v>1588</v>
      </c>
      <c r="Q1266" s="689">
        <v>0</v>
      </c>
      <c r="R1266" s="689">
        <v>0</v>
      </c>
      <c r="S1266" s="689">
        <v>0</v>
      </c>
      <c r="T1266" s="689">
        <v>0</v>
      </c>
      <c r="U1266" s="549" t="s">
        <v>7485</v>
      </c>
      <c r="V1266" s="559" t="s">
        <v>6738</v>
      </c>
      <c r="W1266" s="658">
        <v>276</v>
      </c>
      <c r="X1266" s="549" t="s">
        <v>1532</v>
      </c>
      <c r="Y1266" s="549" t="s">
        <v>3161</v>
      </c>
      <c r="Z1266" s="549" t="s">
        <v>1708</v>
      </c>
      <c r="AA1266" s="549" t="s">
        <v>1686</v>
      </c>
      <c r="AB1266" s="558" t="s">
        <v>1686</v>
      </c>
    </row>
    <row r="1267" spans="1:28" ht="24" customHeight="1">
      <c r="A1267" s="606"/>
      <c r="B1267" s="544" t="s">
        <v>675</v>
      </c>
      <c r="C1267" s="551" t="s">
        <v>6739</v>
      </c>
      <c r="D1267" s="553" t="s">
        <v>6740</v>
      </c>
      <c r="E1267" s="563">
        <f t="shared" si="102"/>
        <v>24</v>
      </c>
      <c r="F1267" s="563">
        <v>0</v>
      </c>
      <c r="G1267" s="660">
        <v>24</v>
      </c>
      <c r="H1267" s="563">
        <v>0</v>
      </c>
      <c r="I1267" s="563">
        <f t="shared" si="101"/>
        <v>20</v>
      </c>
      <c r="J1267" s="563">
        <v>0</v>
      </c>
      <c r="K1267" s="660">
        <v>20</v>
      </c>
      <c r="L1267" s="741">
        <v>0</v>
      </c>
      <c r="M1267" s="687">
        <f t="shared" si="103"/>
        <v>83.333333333333343</v>
      </c>
      <c r="N1267" s="563">
        <f>82.5*K1267*M1267/100*0.001</f>
        <v>1.3750000000000002</v>
      </c>
      <c r="O1267" s="746" t="s">
        <v>6730</v>
      </c>
      <c r="P1267" s="547" t="s">
        <v>1588</v>
      </c>
      <c r="Q1267" s="689">
        <v>0</v>
      </c>
      <c r="R1267" s="689">
        <v>0</v>
      </c>
      <c r="S1267" s="689">
        <v>0</v>
      </c>
      <c r="T1267" s="689">
        <v>0</v>
      </c>
      <c r="U1267" s="549" t="s">
        <v>7485</v>
      </c>
      <c r="V1267" s="559" t="s">
        <v>6741</v>
      </c>
      <c r="W1267" s="658">
        <v>327</v>
      </c>
      <c r="X1267" s="549" t="s">
        <v>1532</v>
      </c>
      <c r="Y1267" s="549" t="s">
        <v>3161</v>
      </c>
      <c r="Z1267" s="549"/>
      <c r="AA1267" s="549" t="s">
        <v>1686</v>
      </c>
      <c r="AB1267" s="558" t="s">
        <v>1686</v>
      </c>
    </row>
    <row r="1268" spans="1:28" ht="24" customHeight="1">
      <c r="A1268" s="606"/>
      <c r="B1268" s="544" t="s">
        <v>675</v>
      </c>
      <c r="C1268" s="551" t="s">
        <v>6742</v>
      </c>
      <c r="D1268" s="553" t="s">
        <v>6743</v>
      </c>
      <c r="E1268" s="563">
        <f t="shared" si="102"/>
        <v>30</v>
      </c>
      <c r="F1268" s="563">
        <v>0</v>
      </c>
      <c r="G1268" s="660">
        <v>30</v>
      </c>
      <c r="H1268" s="563">
        <v>0</v>
      </c>
      <c r="I1268" s="563">
        <f t="shared" si="101"/>
        <v>22</v>
      </c>
      <c r="J1268" s="563">
        <v>0</v>
      </c>
      <c r="K1268" s="660">
        <v>22</v>
      </c>
      <c r="L1268" s="741">
        <v>0</v>
      </c>
      <c r="M1268" s="687">
        <f t="shared" si="103"/>
        <v>73.333333333333329</v>
      </c>
      <c r="N1268" s="563">
        <f>73.5*K1268*M1268/100*0.001</f>
        <v>1.1858</v>
      </c>
      <c r="O1268" s="746" t="s">
        <v>6744</v>
      </c>
      <c r="P1268" s="547" t="s">
        <v>1588</v>
      </c>
      <c r="Q1268" s="689">
        <v>0</v>
      </c>
      <c r="R1268" s="689">
        <v>0</v>
      </c>
      <c r="S1268" s="689">
        <v>0</v>
      </c>
      <c r="T1268" s="689">
        <v>0</v>
      </c>
      <c r="U1268" s="549" t="s">
        <v>7485</v>
      </c>
      <c r="V1268" s="559" t="s">
        <v>6735</v>
      </c>
      <c r="W1268" s="658">
        <v>226</v>
      </c>
      <c r="X1268" s="549" t="s">
        <v>1532</v>
      </c>
      <c r="Y1268" s="549" t="s">
        <v>3161</v>
      </c>
      <c r="Z1268" s="549"/>
      <c r="AA1268" s="549" t="s">
        <v>1686</v>
      </c>
      <c r="AB1268" s="558" t="s">
        <v>1686</v>
      </c>
    </row>
    <row r="1269" spans="1:28" ht="24" customHeight="1">
      <c r="A1269" s="606"/>
      <c r="B1269" s="544" t="s">
        <v>675</v>
      </c>
      <c r="C1269" s="551" t="s">
        <v>6745</v>
      </c>
      <c r="D1269" s="553" t="s">
        <v>6746</v>
      </c>
      <c r="E1269" s="563">
        <f t="shared" si="102"/>
        <v>85</v>
      </c>
      <c r="F1269" s="563">
        <v>0</v>
      </c>
      <c r="G1269" s="660">
        <v>85</v>
      </c>
      <c r="H1269" s="563">
        <v>0</v>
      </c>
      <c r="I1269" s="563">
        <f t="shared" si="101"/>
        <v>77</v>
      </c>
      <c r="J1269" s="563">
        <v>0</v>
      </c>
      <c r="K1269" s="660">
        <v>77</v>
      </c>
      <c r="L1269" s="741">
        <v>0</v>
      </c>
      <c r="M1269" s="687">
        <f t="shared" si="103"/>
        <v>90.588235294117652</v>
      </c>
      <c r="N1269" s="563">
        <f>106.7*K1269*M1269/100*0.001</f>
        <v>7.4426388235294114</v>
      </c>
      <c r="O1269" s="746" t="s">
        <v>6747</v>
      </c>
      <c r="P1269" s="547" t="s">
        <v>1588</v>
      </c>
      <c r="Q1269" s="689">
        <v>0</v>
      </c>
      <c r="R1269" s="689">
        <v>0</v>
      </c>
      <c r="S1269" s="689">
        <v>0</v>
      </c>
      <c r="T1269" s="689">
        <v>0</v>
      </c>
      <c r="U1269" s="549" t="s">
        <v>7485</v>
      </c>
      <c r="V1269" s="559" t="s">
        <v>6748</v>
      </c>
      <c r="W1269" s="658">
        <v>397</v>
      </c>
      <c r="X1269" s="549" t="s">
        <v>1532</v>
      </c>
      <c r="Y1269" s="549" t="s">
        <v>3161</v>
      </c>
      <c r="Z1269" s="549"/>
      <c r="AA1269" s="549" t="s">
        <v>1686</v>
      </c>
      <c r="AB1269" s="558" t="s">
        <v>1686</v>
      </c>
    </row>
    <row r="1270" spans="1:28" ht="24" customHeight="1">
      <c r="A1270" s="606"/>
      <c r="B1270" s="544" t="s">
        <v>675</v>
      </c>
      <c r="C1270" s="551" t="s">
        <v>1915</v>
      </c>
      <c r="D1270" s="553" t="s">
        <v>6749</v>
      </c>
      <c r="E1270" s="563">
        <f t="shared" si="102"/>
        <v>30</v>
      </c>
      <c r="F1270" s="563">
        <v>0</v>
      </c>
      <c r="G1270" s="660">
        <v>30</v>
      </c>
      <c r="H1270" s="563">
        <v>0</v>
      </c>
      <c r="I1270" s="563">
        <f t="shared" si="101"/>
        <v>23</v>
      </c>
      <c r="J1270" s="563">
        <v>0</v>
      </c>
      <c r="K1270" s="660">
        <v>23</v>
      </c>
      <c r="L1270" s="741">
        <v>0</v>
      </c>
      <c r="M1270" s="687">
        <f t="shared" si="103"/>
        <v>76.666666666666671</v>
      </c>
      <c r="N1270" s="563">
        <f>101.2*K1270*M1270/100*0.001</f>
        <v>1.7844933333333335</v>
      </c>
      <c r="O1270" s="746" t="s">
        <v>6750</v>
      </c>
      <c r="P1270" s="547" t="s">
        <v>1588</v>
      </c>
      <c r="Q1270" s="689">
        <v>0</v>
      </c>
      <c r="R1270" s="689">
        <v>0</v>
      </c>
      <c r="S1270" s="689">
        <v>0</v>
      </c>
      <c r="T1270" s="689">
        <v>0</v>
      </c>
      <c r="U1270" s="549" t="s">
        <v>7485</v>
      </c>
      <c r="V1270" s="559" t="s">
        <v>6751</v>
      </c>
      <c r="W1270" s="658">
        <v>290</v>
      </c>
      <c r="X1270" s="549" t="s">
        <v>1532</v>
      </c>
      <c r="Y1270" s="549" t="s">
        <v>3161</v>
      </c>
      <c r="Z1270" s="549"/>
      <c r="AA1270" s="549" t="s">
        <v>1686</v>
      </c>
      <c r="AB1270" s="558" t="s">
        <v>1686</v>
      </c>
    </row>
    <row r="1271" spans="1:28" ht="24" customHeight="1">
      <c r="A1271" s="606"/>
      <c r="B1271" s="544" t="s">
        <v>675</v>
      </c>
      <c r="C1271" s="551" t="s">
        <v>2043</v>
      </c>
      <c r="D1271" s="553" t="s">
        <v>6752</v>
      </c>
      <c r="E1271" s="563">
        <f>F1271+G1271+H1271</f>
        <v>28</v>
      </c>
      <c r="F1271" s="563">
        <v>0</v>
      </c>
      <c r="G1271" s="660">
        <v>28</v>
      </c>
      <c r="H1271" s="563">
        <v>0</v>
      </c>
      <c r="I1271" s="563">
        <f>J1271+K1271+L1271</f>
        <v>24</v>
      </c>
      <c r="J1271" s="563">
        <v>0</v>
      </c>
      <c r="K1271" s="660">
        <v>24</v>
      </c>
      <c r="L1271" s="741">
        <v>0</v>
      </c>
      <c r="M1271" s="687">
        <f>K1271/G1271*100</f>
        <v>85.714285714285708</v>
      </c>
      <c r="N1271" s="563">
        <f>78.4*K1271*M1271/100*0.001</f>
        <v>1.6128</v>
      </c>
      <c r="O1271" s="746" t="s">
        <v>6747</v>
      </c>
      <c r="P1271" s="547" t="s">
        <v>1588</v>
      </c>
      <c r="Q1271" s="689">
        <v>0</v>
      </c>
      <c r="R1271" s="689">
        <v>0</v>
      </c>
      <c r="S1271" s="689">
        <v>0</v>
      </c>
      <c r="T1271" s="689">
        <v>0</v>
      </c>
      <c r="U1271" s="549" t="s">
        <v>7485</v>
      </c>
      <c r="V1271" s="559" t="s">
        <v>6753</v>
      </c>
      <c r="W1271" s="658">
        <v>446</v>
      </c>
      <c r="X1271" s="549" t="s">
        <v>1532</v>
      </c>
      <c r="Y1271" s="549" t="s">
        <v>3161</v>
      </c>
      <c r="Z1271" s="549"/>
      <c r="AA1271" s="549" t="s">
        <v>1686</v>
      </c>
      <c r="AB1271" s="558" t="s">
        <v>1686</v>
      </c>
    </row>
    <row r="1272" spans="1:28" ht="24" customHeight="1">
      <c r="A1272" s="606"/>
      <c r="B1272" s="544" t="s">
        <v>675</v>
      </c>
      <c r="C1272" s="551" t="s">
        <v>6754</v>
      </c>
      <c r="D1272" s="553" t="s">
        <v>6755</v>
      </c>
      <c r="E1272" s="563">
        <f>F1272+G1272+H1272</f>
        <v>15</v>
      </c>
      <c r="F1272" s="563">
        <v>0</v>
      </c>
      <c r="G1272" s="660">
        <v>15</v>
      </c>
      <c r="H1272" s="563">
        <v>0</v>
      </c>
      <c r="I1272" s="563">
        <f>J1272+K1272+L1272</f>
        <v>13</v>
      </c>
      <c r="J1272" s="563">
        <v>0</v>
      </c>
      <c r="K1272" s="660">
        <v>13</v>
      </c>
      <c r="L1272" s="741">
        <v>0</v>
      </c>
      <c r="M1272" s="687">
        <f>K1272/G1272*100</f>
        <v>86.666666666666671</v>
      </c>
      <c r="N1272" s="563">
        <f>84*K1272*M1272/100*0.001</f>
        <v>0.94640000000000002</v>
      </c>
      <c r="O1272" s="746" t="s">
        <v>6756</v>
      </c>
      <c r="P1272" s="547" t="s">
        <v>1588</v>
      </c>
      <c r="Q1272" s="689">
        <v>0</v>
      </c>
      <c r="R1272" s="689">
        <v>0</v>
      </c>
      <c r="S1272" s="689">
        <v>0</v>
      </c>
      <c r="T1272" s="689">
        <v>0</v>
      </c>
      <c r="U1272" s="549" t="s">
        <v>7485</v>
      </c>
      <c r="V1272" s="559" t="s">
        <v>2101</v>
      </c>
      <c r="W1272" s="658">
        <v>524</v>
      </c>
      <c r="X1272" s="549" t="s">
        <v>1532</v>
      </c>
      <c r="Y1272" s="549" t="s">
        <v>3161</v>
      </c>
      <c r="Z1272" s="549"/>
      <c r="AA1272" s="549" t="s">
        <v>1686</v>
      </c>
      <c r="AB1272" s="558" t="s">
        <v>1686</v>
      </c>
    </row>
    <row r="1273" spans="1:28" ht="24" customHeight="1">
      <c r="A1273" s="606"/>
      <c r="B1273" s="544" t="s">
        <v>675</v>
      </c>
      <c r="C1273" s="551" t="s">
        <v>2006</v>
      </c>
      <c r="D1273" s="553" t="s">
        <v>6757</v>
      </c>
      <c r="E1273" s="563">
        <f>F1273+G1273+H1273</f>
        <v>28</v>
      </c>
      <c r="F1273" s="563">
        <v>0</v>
      </c>
      <c r="G1273" s="660">
        <v>28</v>
      </c>
      <c r="H1273" s="563">
        <v>0</v>
      </c>
      <c r="I1273" s="563">
        <f>J1273+K1273+L1273</f>
        <v>25</v>
      </c>
      <c r="J1273" s="563">
        <v>0</v>
      </c>
      <c r="K1273" s="660">
        <v>25</v>
      </c>
      <c r="L1273" s="741">
        <v>0</v>
      </c>
      <c r="M1273" s="687">
        <f>K1273/G1273*100</f>
        <v>89.285714285714292</v>
      </c>
      <c r="N1273" s="563">
        <f>77*K1273*M1273/100*0.001</f>
        <v>1.71875</v>
      </c>
      <c r="O1273" s="746" t="s">
        <v>6747</v>
      </c>
      <c r="P1273" s="547" t="s">
        <v>1588</v>
      </c>
      <c r="Q1273" s="689">
        <v>0</v>
      </c>
      <c r="R1273" s="689">
        <v>0</v>
      </c>
      <c r="S1273" s="689">
        <v>0</v>
      </c>
      <c r="T1273" s="689">
        <v>0</v>
      </c>
      <c r="U1273" s="549" t="s">
        <v>7485</v>
      </c>
      <c r="V1273" s="559" t="s">
        <v>6758</v>
      </c>
      <c r="W1273" s="658">
        <v>545</v>
      </c>
      <c r="X1273" s="549" t="s">
        <v>1532</v>
      </c>
      <c r="Y1273" s="549" t="s">
        <v>3161</v>
      </c>
      <c r="Z1273" s="549"/>
      <c r="AA1273" s="549" t="s">
        <v>1686</v>
      </c>
      <c r="AB1273" s="558" t="s">
        <v>1686</v>
      </c>
    </row>
    <row r="1274" spans="1:28" ht="24" customHeight="1">
      <c r="A1274" s="606"/>
      <c r="B1274" s="544" t="s">
        <v>675</v>
      </c>
      <c r="C1274" s="551" t="s">
        <v>6759</v>
      </c>
      <c r="D1274" s="553" t="s">
        <v>6760</v>
      </c>
      <c r="E1274" s="563">
        <f t="shared" si="102"/>
        <v>90</v>
      </c>
      <c r="F1274" s="563">
        <v>0</v>
      </c>
      <c r="G1274" s="660">
        <v>90</v>
      </c>
      <c r="H1274" s="563">
        <v>0</v>
      </c>
      <c r="I1274" s="563">
        <f t="shared" si="101"/>
        <v>84</v>
      </c>
      <c r="J1274" s="563">
        <v>0</v>
      </c>
      <c r="K1274" s="660">
        <v>84</v>
      </c>
      <c r="L1274" s="741">
        <v>0</v>
      </c>
      <c r="M1274" s="687">
        <f t="shared" si="103"/>
        <v>93.333333333333329</v>
      </c>
      <c r="N1274" s="563">
        <f>70.6*K1274*M1274/100*0.001</f>
        <v>5.5350399999999995</v>
      </c>
      <c r="O1274" s="746" t="s">
        <v>6761</v>
      </c>
      <c r="P1274" s="547" t="s">
        <v>1588</v>
      </c>
      <c r="Q1274" s="689">
        <v>0</v>
      </c>
      <c r="R1274" s="689">
        <v>0</v>
      </c>
      <c r="S1274" s="689">
        <v>0</v>
      </c>
      <c r="T1274" s="689">
        <v>0</v>
      </c>
      <c r="U1274" s="549" t="s">
        <v>7485</v>
      </c>
      <c r="V1274" s="559" t="s">
        <v>2155</v>
      </c>
      <c r="W1274" s="658">
        <v>514</v>
      </c>
      <c r="X1274" s="549" t="s">
        <v>1532</v>
      </c>
      <c r="Y1274" s="549" t="s">
        <v>3161</v>
      </c>
      <c r="Z1274" s="549" t="s">
        <v>1704</v>
      </c>
      <c r="AA1274" s="549" t="s">
        <v>1589</v>
      </c>
      <c r="AB1274" s="558" t="s">
        <v>1589</v>
      </c>
    </row>
    <row r="1275" spans="1:28" ht="24" customHeight="1">
      <c r="A1275" s="606"/>
      <c r="B1275" s="544" t="s">
        <v>675</v>
      </c>
      <c r="C1275" s="551" t="s">
        <v>6762</v>
      </c>
      <c r="D1275" s="553" t="s">
        <v>6763</v>
      </c>
      <c r="E1275" s="563">
        <f t="shared" si="102"/>
        <v>38</v>
      </c>
      <c r="F1275" s="563">
        <v>0</v>
      </c>
      <c r="G1275" s="660">
        <v>38</v>
      </c>
      <c r="H1275" s="563">
        <v>0</v>
      </c>
      <c r="I1275" s="563">
        <f t="shared" si="101"/>
        <v>25</v>
      </c>
      <c r="J1275" s="563">
        <v>0</v>
      </c>
      <c r="K1275" s="660">
        <v>25</v>
      </c>
      <c r="L1275" s="741">
        <v>0</v>
      </c>
      <c r="M1275" s="687">
        <f t="shared" si="103"/>
        <v>65.789473684210535</v>
      </c>
      <c r="N1275" s="563">
        <f>74.2*K1275*M1275/100*0.001</f>
        <v>1.2203947368421055</v>
      </c>
      <c r="O1275" s="746" t="s">
        <v>6764</v>
      </c>
      <c r="P1275" s="547" t="s">
        <v>1588</v>
      </c>
      <c r="Q1275" s="689">
        <v>0</v>
      </c>
      <c r="R1275" s="689">
        <v>0</v>
      </c>
      <c r="S1275" s="689">
        <v>0</v>
      </c>
      <c r="T1275" s="689">
        <v>0</v>
      </c>
      <c r="U1275" s="549" t="s">
        <v>7485</v>
      </c>
      <c r="V1275" s="559" t="s">
        <v>6765</v>
      </c>
      <c r="W1275" s="658">
        <v>559</v>
      </c>
      <c r="X1275" s="549" t="s">
        <v>1532</v>
      </c>
      <c r="Y1275" s="549" t="s">
        <v>3161</v>
      </c>
      <c r="Z1275" s="549"/>
      <c r="AA1275" s="549" t="s">
        <v>1686</v>
      </c>
      <c r="AB1275" s="558" t="s">
        <v>1686</v>
      </c>
    </row>
    <row r="1276" spans="1:28" ht="24" customHeight="1">
      <c r="A1276" s="606"/>
      <c r="B1276" s="544" t="s">
        <v>675</v>
      </c>
      <c r="C1276" s="551" t="s">
        <v>6766</v>
      </c>
      <c r="D1276" s="553" t="s">
        <v>6767</v>
      </c>
      <c r="E1276" s="563">
        <f>F1276+G1276+H1276</f>
        <v>44</v>
      </c>
      <c r="F1276" s="563">
        <v>0</v>
      </c>
      <c r="G1276" s="660">
        <v>44</v>
      </c>
      <c r="H1276" s="563">
        <v>0</v>
      </c>
      <c r="I1276" s="563">
        <f>J1276+K1276+L1276</f>
        <v>39</v>
      </c>
      <c r="J1276" s="563">
        <v>0</v>
      </c>
      <c r="K1276" s="660">
        <v>39</v>
      </c>
      <c r="L1276" s="741">
        <v>0</v>
      </c>
      <c r="M1276" s="687">
        <f>K1276/G1276*100</f>
        <v>88.63636363636364</v>
      </c>
      <c r="N1276" s="563">
        <f>86.3*K1276*M1276/100*0.001</f>
        <v>2.9832340909090909</v>
      </c>
      <c r="O1276" s="749" t="s">
        <v>2770</v>
      </c>
      <c r="P1276" s="547" t="s">
        <v>1588</v>
      </c>
      <c r="Q1276" s="689">
        <v>0</v>
      </c>
      <c r="R1276" s="689">
        <v>0</v>
      </c>
      <c r="S1276" s="689">
        <v>0</v>
      </c>
      <c r="T1276" s="689">
        <v>0</v>
      </c>
      <c r="U1276" s="549" t="s">
        <v>7485</v>
      </c>
      <c r="V1276" s="560" t="s">
        <v>6768</v>
      </c>
      <c r="W1276" s="658">
        <v>906</v>
      </c>
      <c r="X1276" s="549" t="s">
        <v>1532</v>
      </c>
      <c r="Y1276" s="549" t="s">
        <v>3161</v>
      </c>
      <c r="Z1276" s="549" t="s">
        <v>6769</v>
      </c>
      <c r="AA1276" s="549" t="s">
        <v>1686</v>
      </c>
      <c r="AB1276" s="558" t="s">
        <v>1686</v>
      </c>
    </row>
    <row r="1277" spans="1:28" ht="24" customHeight="1">
      <c r="A1277" s="606"/>
      <c r="B1277" s="544" t="s">
        <v>675</v>
      </c>
      <c r="C1277" s="551" t="s">
        <v>6770</v>
      </c>
      <c r="D1277" s="553" t="s">
        <v>6771</v>
      </c>
      <c r="E1277" s="563">
        <f t="shared" si="102"/>
        <v>36</v>
      </c>
      <c r="F1277" s="563">
        <v>0</v>
      </c>
      <c r="G1277" s="660">
        <v>36</v>
      </c>
      <c r="H1277" s="563">
        <v>0</v>
      </c>
      <c r="I1277" s="563">
        <f t="shared" si="101"/>
        <v>32</v>
      </c>
      <c r="J1277" s="563">
        <v>0</v>
      </c>
      <c r="K1277" s="660">
        <v>32</v>
      </c>
      <c r="L1277" s="741">
        <v>0</v>
      </c>
      <c r="M1277" s="687">
        <f t="shared" si="103"/>
        <v>88.888888888888886</v>
      </c>
      <c r="N1277" s="563">
        <f>86.5*K1277*M1277/100*0.001</f>
        <v>2.4604444444444442</v>
      </c>
      <c r="O1277" s="746" t="s">
        <v>6761</v>
      </c>
      <c r="P1277" s="547" t="s">
        <v>1588</v>
      </c>
      <c r="Q1277" s="689">
        <v>0</v>
      </c>
      <c r="R1277" s="689">
        <v>0</v>
      </c>
      <c r="S1277" s="689">
        <v>0</v>
      </c>
      <c r="T1277" s="689">
        <v>0</v>
      </c>
      <c r="U1277" s="549" t="s">
        <v>7485</v>
      </c>
      <c r="V1277" s="559" t="s">
        <v>6765</v>
      </c>
      <c r="W1277" s="658">
        <v>406</v>
      </c>
      <c r="X1277" s="549" t="s">
        <v>1532</v>
      </c>
      <c r="Y1277" s="549" t="s">
        <v>3161</v>
      </c>
      <c r="Z1277" s="549"/>
      <c r="AA1277" s="549" t="s">
        <v>1686</v>
      </c>
      <c r="AB1277" s="558" t="s">
        <v>1686</v>
      </c>
    </row>
    <row r="1278" spans="1:28" ht="24" customHeight="1">
      <c r="A1278" s="606"/>
      <c r="B1278" s="544" t="s">
        <v>675</v>
      </c>
      <c r="C1278" s="551" t="s">
        <v>6772</v>
      </c>
      <c r="D1278" s="553" t="s">
        <v>6773</v>
      </c>
      <c r="E1278" s="563">
        <f t="shared" si="102"/>
        <v>60</v>
      </c>
      <c r="F1278" s="563">
        <v>0</v>
      </c>
      <c r="G1278" s="660">
        <v>60</v>
      </c>
      <c r="H1278" s="563">
        <v>0</v>
      </c>
      <c r="I1278" s="563">
        <f t="shared" si="101"/>
        <v>57</v>
      </c>
      <c r="J1278" s="563">
        <v>0</v>
      </c>
      <c r="K1278" s="660">
        <v>57</v>
      </c>
      <c r="L1278" s="741">
        <v>0</v>
      </c>
      <c r="M1278" s="687">
        <f t="shared" si="103"/>
        <v>95</v>
      </c>
      <c r="N1278" s="563">
        <f>46.8*K1278*M1278/100*0.001</f>
        <v>2.5342199999999999</v>
      </c>
      <c r="O1278" s="746" t="s">
        <v>6756</v>
      </c>
      <c r="P1278" s="547" t="s">
        <v>1588</v>
      </c>
      <c r="Q1278" s="689">
        <v>0</v>
      </c>
      <c r="R1278" s="689">
        <v>0</v>
      </c>
      <c r="S1278" s="689">
        <v>0</v>
      </c>
      <c r="T1278" s="689">
        <v>0</v>
      </c>
      <c r="U1278" s="549" t="s">
        <v>7485</v>
      </c>
      <c r="V1278" s="559" t="s">
        <v>6774</v>
      </c>
      <c r="W1278" s="658">
        <v>358</v>
      </c>
      <c r="X1278" s="549" t="s">
        <v>1532</v>
      </c>
      <c r="Y1278" s="549" t="s">
        <v>3161</v>
      </c>
      <c r="Z1278" s="549" t="s">
        <v>6775</v>
      </c>
      <c r="AA1278" s="549" t="s">
        <v>1686</v>
      </c>
      <c r="AB1278" s="558" t="s">
        <v>1686</v>
      </c>
    </row>
    <row r="1279" spans="1:28" ht="24" customHeight="1">
      <c r="A1279" s="606"/>
      <c r="B1279" s="544" t="s">
        <v>675</v>
      </c>
      <c r="C1279" s="551" t="s">
        <v>6776</v>
      </c>
      <c r="D1279" s="553" t="s">
        <v>6777</v>
      </c>
      <c r="E1279" s="563">
        <f>F1279+G1279+H1279</f>
        <v>33</v>
      </c>
      <c r="F1279" s="563">
        <v>0</v>
      </c>
      <c r="G1279" s="660">
        <v>33</v>
      </c>
      <c r="H1279" s="563">
        <v>0</v>
      </c>
      <c r="I1279" s="563">
        <f>J1279+K1279+L1279</f>
        <v>28</v>
      </c>
      <c r="J1279" s="563">
        <v>0</v>
      </c>
      <c r="K1279" s="660">
        <v>28</v>
      </c>
      <c r="L1279" s="741">
        <v>0</v>
      </c>
      <c r="M1279" s="687">
        <f>K1279/G1279*100</f>
        <v>84.848484848484844</v>
      </c>
      <c r="N1279" s="563">
        <f>85.5*K1279*M1279/100*0.001</f>
        <v>2.0312727272727269</v>
      </c>
      <c r="O1279" s="746" t="s">
        <v>6761</v>
      </c>
      <c r="P1279" s="547" t="s">
        <v>1588</v>
      </c>
      <c r="Q1279" s="689">
        <v>0</v>
      </c>
      <c r="R1279" s="689">
        <v>0</v>
      </c>
      <c r="S1279" s="689">
        <v>0</v>
      </c>
      <c r="T1279" s="689">
        <v>0</v>
      </c>
      <c r="U1279" s="549" t="s">
        <v>7485</v>
      </c>
      <c r="V1279" s="559" t="s">
        <v>6778</v>
      </c>
      <c r="W1279" s="658">
        <v>469</v>
      </c>
      <c r="X1279" s="549" t="s">
        <v>1532</v>
      </c>
      <c r="Y1279" s="549" t="s">
        <v>3161</v>
      </c>
      <c r="Z1279" s="549"/>
      <c r="AA1279" s="549" t="s">
        <v>1686</v>
      </c>
      <c r="AB1279" s="558" t="s">
        <v>1686</v>
      </c>
    </row>
    <row r="1280" spans="1:28" ht="24" customHeight="1">
      <c r="A1280" s="606"/>
      <c r="B1280" s="544" t="s">
        <v>675</v>
      </c>
      <c r="C1280" s="551" t="s">
        <v>6779</v>
      </c>
      <c r="D1280" s="553" t="s">
        <v>6780</v>
      </c>
      <c r="E1280" s="563">
        <f>F1280+G1280+H1280</f>
        <v>50</v>
      </c>
      <c r="F1280" s="563">
        <v>0</v>
      </c>
      <c r="G1280" s="660">
        <v>50</v>
      </c>
      <c r="H1280" s="563">
        <v>0</v>
      </c>
      <c r="I1280" s="563">
        <f>J1280+K1280+L1280</f>
        <v>42</v>
      </c>
      <c r="J1280" s="563">
        <v>0</v>
      </c>
      <c r="K1280" s="660">
        <v>42</v>
      </c>
      <c r="L1280" s="741">
        <v>0</v>
      </c>
      <c r="M1280" s="687">
        <f>K1280/G1280*100</f>
        <v>84</v>
      </c>
      <c r="N1280" s="563">
        <f>85.4*K1280*M1280/100*0.001</f>
        <v>3.0129120000000005</v>
      </c>
      <c r="O1280" s="746" t="s">
        <v>6747</v>
      </c>
      <c r="P1280" s="547" t="s">
        <v>1588</v>
      </c>
      <c r="Q1280" s="689">
        <v>0</v>
      </c>
      <c r="R1280" s="689">
        <v>0</v>
      </c>
      <c r="S1280" s="689">
        <v>0</v>
      </c>
      <c r="T1280" s="689">
        <v>0</v>
      </c>
      <c r="U1280" s="549" t="s">
        <v>7485</v>
      </c>
      <c r="V1280" s="559" t="s">
        <v>6781</v>
      </c>
      <c r="W1280" s="658">
        <v>355</v>
      </c>
      <c r="X1280" s="549" t="s">
        <v>1532</v>
      </c>
      <c r="Y1280" s="549" t="s">
        <v>3161</v>
      </c>
      <c r="Z1280" s="549" t="s">
        <v>6775</v>
      </c>
      <c r="AA1280" s="549" t="s">
        <v>1686</v>
      </c>
      <c r="AB1280" s="558" t="s">
        <v>1686</v>
      </c>
    </row>
    <row r="1281" spans="1:28" ht="24" customHeight="1">
      <c r="A1281" s="606"/>
      <c r="B1281" s="544" t="s">
        <v>675</v>
      </c>
      <c r="C1281" s="551" t="s">
        <v>6782</v>
      </c>
      <c r="D1281" s="553" t="s">
        <v>6783</v>
      </c>
      <c r="E1281" s="563">
        <f t="shared" si="102"/>
        <v>40</v>
      </c>
      <c r="F1281" s="563">
        <v>0</v>
      </c>
      <c r="G1281" s="660">
        <v>40</v>
      </c>
      <c r="H1281" s="563">
        <v>0</v>
      </c>
      <c r="I1281" s="563">
        <f t="shared" si="101"/>
        <v>29</v>
      </c>
      <c r="J1281" s="563">
        <v>0</v>
      </c>
      <c r="K1281" s="660">
        <v>29</v>
      </c>
      <c r="L1281" s="741">
        <v>0</v>
      </c>
      <c r="M1281" s="687">
        <f t="shared" si="103"/>
        <v>72.5</v>
      </c>
      <c r="N1281" s="563">
        <f>85*K1281*M1281/100*0.001</f>
        <v>1.7871250000000001</v>
      </c>
      <c r="O1281" s="746" t="s">
        <v>6784</v>
      </c>
      <c r="P1281" s="547" t="s">
        <v>1588</v>
      </c>
      <c r="Q1281" s="689">
        <v>0</v>
      </c>
      <c r="R1281" s="689">
        <v>0</v>
      </c>
      <c r="S1281" s="689">
        <v>0</v>
      </c>
      <c r="T1281" s="689">
        <v>0</v>
      </c>
      <c r="U1281" s="549" t="s">
        <v>7485</v>
      </c>
      <c r="V1281" s="559" t="s">
        <v>6785</v>
      </c>
      <c r="W1281" s="658">
        <v>603</v>
      </c>
      <c r="X1281" s="549" t="s">
        <v>1532</v>
      </c>
      <c r="Y1281" s="549" t="s">
        <v>3161</v>
      </c>
      <c r="Z1281" s="549" t="s">
        <v>1708</v>
      </c>
      <c r="AA1281" s="549" t="s">
        <v>1686</v>
      </c>
      <c r="AB1281" s="558" t="s">
        <v>1686</v>
      </c>
    </row>
    <row r="1282" spans="1:28" ht="24" customHeight="1">
      <c r="A1282" s="606"/>
      <c r="B1282" s="544" t="s">
        <v>675</v>
      </c>
      <c r="C1282" s="551" t="s">
        <v>6786</v>
      </c>
      <c r="D1282" s="553" t="s">
        <v>6787</v>
      </c>
      <c r="E1282" s="563">
        <f>F1282+G1282+H1282</f>
        <v>48</v>
      </c>
      <c r="F1282" s="563">
        <v>0</v>
      </c>
      <c r="G1282" s="563">
        <v>48</v>
      </c>
      <c r="H1282" s="563">
        <v>0</v>
      </c>
      <c r="I1282" s="563">
        <f>J1282+K1282+L1282</f>
        <v>43</v>
      </c>
      <c r="J1282" s="563">
        <v>0</v>
      </c>
      <c r="K1282" s="563">
        <v>43</v>
      </c>
      <c r="L1282" s="741">
        <v>0</v>
      </c>
      <c r="M1282" s="687">
        <f t="shared" si="103"/>
        <v>89.583333333333343</v>
      </c>
      <c r="N1282" s="563">
        <f>86.3*K1282*M1282/100*0.001</f>
        <v>3.324347916666667</v>
      </c>
      <c r="O1282" s="746" t="s">
        <v>6788</v>
      </c>
      <c r="P1282" s="547" t="s">
        <v>1588</v>
      </c>
      <c r="Q1282" s="689">
        <v>0</v>
      </c>
      <c r="R1282" s="689">
        <v>0</v>
      </c>
      <c r="S1282" s="689">
        <v>0</v>
      </c>
      <c r="T1282" s="689">
        <v>0</v>
      </c>
      <c r="U1282" s="549" t="s">
        <v>7485</v>
      </c>
      <c r="V1282" s="548" t="s">
        <v>6789</v>
      </c>
      <c r="W1282" s="658">
        <v>1000</v>
      </c>
      <c r="X1282" s="547" t="s">
        <v>1532</v>
      </c>
      <c r="Y1282" s="547" t="s">
        <v>3161</v>
      </c>
      <c r="Z1282" s="547" t="s">
        <v>1708</v>
      </c>
      <c r="AA1282" s="547" t="s">
        <v>1686</v>
      </c>
      <c r="AB1282" s="550" t="s">
        <v>1686</v>
      </c>
    </row>
    <row r="1283" spans="1:28" ht="24" customHeight="1">
      <c r="A1283" s="606"/>
      <c r="B1283" s="544" t="s">
        <v>675</v>
      </c>
      <c r="C1283" s="551" t="s">
        <v>6790</v>
      </c>
      <c r="D1283" s="553" t="s">
        <v>6791</v>
      </c>
      <c r="E1283" s="563">
        <f>F1283+G1283+H1283</f>
        <v>100</v>
      </c>
      <c r="F1283" s="563">
        <v>0</v>
      </c>
      <c r="G1283" s="563">
        <v>100</v>
      </c>
      <c r="H1283" s="563">
        <v>0</v>
      </c>
      <c r="I1283" s="563">
        <f>J1283+K1283+L1283</f>
        <v>90</v>
      </c>
      <c r="J1283" s="563">
        <v>0</v>
      </c>
      <c r="K1283" s="563">
        <v>90</v>
      </c>
      <c r="L1283" s="741">
        <v>0</v>
      </c>
      <c r="M1283" s="687">
        <f t="shared" si="103"/>
        <v>90</v>
      </c>
      <c r="N1283" s="563">
        <f>86.3*K1283*M1283/100*0.001</f>
        <v>6.9903000000000004</v>
      </c>
      <c r="O1283" s="749" t="s">
        <v>2770</v>
      </c>
      <c r="P1283" s="547" t="s">
        <v>1588</v>
      </c>
      <c r="Q1283" s="689">
        <v>0</v>
      </c>
      <c r="R1283" s="689">
        <v>0</v>
      </c>
      <c r="S1283" s="689">
        <v>0</v>
      </c>
      <c r="T1283" s="689">
        <v>0</v>
      </c>
      <c r="U1283" s="549" t="s">
        <v>7485</v>
      </c>
      <c r="V1283" s="548" t="s">
        <v>6792</v>
      </c>
      <c r="W1283" s="658">
        <v>1484</v>
      </c>
      <c r="X1283" s="547" t="s">
        <v>1532</v>
      </c>
      <c r="Y1283" s="547" t="s">
        <v>3161</v>
      </c>
      <c r="Z1283" s="547" t="s">
        <v>1708</v>
      </c>
      <c r="AA1283" s="547" t="s">
        <v>1686</v>
      </c>
      <c r="AB1283" s="550" t="s">
        <v>1686</v>
      </c>
    </row>
    <row r="1284" spans="1:28" ht="24" customHeight="1">
      <c r="A1284" s="605" t="s">
        <v>1709</v>
      </c>
      <c r="B1284" s="544" t="s">
        <v>2201</v>
      </c>
      <c r="C1284" s="551" t="s">
        <v>2433</v>
      </c>
      <c r="D1284" s="553" t="s">
        <v>6793</v>
      </c>
      <c r="E1284" s="563">
        <f t="shared" ref="E1284:E1338" si="104">F1284+G1284+H1284</f>
        <v>4000</v>
      </c>
      <c r="F1284" s="563">
        <v>0</v>
      </c>
      <c r="G1284" s="563">
        <v>0</v>
      </c>
      <c r="H1284" s="563">
        <v>4000</v>
      </c>
      <c r="I1284" s="563">
        <f t="shared" ref="I1284:I1338" si="105">J1284+K1284+L1284</f>
        <v>4000</v>
      </c>
      <c r="J1284" s="563">
        <v>0</v>
      </c>
      <c r="K1284" s="563">
        <v>0</v>
      </c>
      <c r="L1284" s="741">
        <v>4000</v>
      </c>
      <c r="M1284" s="687">
        <v>0</v>
      </c>
      <c r="N1284" s="563">
        <v>0</v>
      </c>
      <c r="O1284" s="746" t="s">
        <v>3347</v>
      </c>
      <c r="P1284" s="547" t="s">
        <v>1588</v>
      </c>
      <c r="Q1284" s="689">
        <v>0</v>
      </c>
      <c r="R1284" s="689">
        <v>0</v>
      </c>
      <c r="S1284" s="689">
        <v>0</v>
      </c>
      <c r="T1284" s="689">
        <v>0</v>
      </c>
      <c r="U1284" s="547" t="s">
        <v>6794</v>
      </c>
      <c r="V1284" s="548" t="s">
        <v>2889</v>
      </c>
      <c r="W1284" s="658">
        <v>22308</v>
      </c>
      <c r="X1284" s="547" t="s">
        <v>2193</v>
      </c>
      <c r="Y1284" s="547" t="s">
        <v>6795</v>
      </c>
      <c r="Z1284" s="547"/>
      <c r="AA1284" s="547"/>
      <c r="AB1284" s="550" t="s">
        <v>2318</v>
      </c>
    </row>
    <row r="1285" spans="1:28" ht="24" customHeight="1">
      <c r="A1285" s="606"/>
      <c r="B1285" s="544" t="s">
        <v>2201</v>
      </c>
      <c r="C1285" s="551" t="s">
        <v>2051</v>
      </c>
      <c r="D1285" s="553" t="s">
        <v>6796</v>
      </c>
      <c r="E1285" s="563">
        <f t="shared" si="104"/>
        <v>4000</v>
      </c>
      <c r="F1285" s="563">
        <v>0</v>
      </c>
      <c r="G1285" s="563">
        <v>0</v>
      </c>
      <c r="H1285" s="563">
        <v>4000</v>
      </c>
      <c r="I1285" s="563">
        <f t="shared" si="105"/>
        <v>4000</v>
      </c>
      <c r="J1285" s="563">
        <v>0</v>
      </c>
      <c r="K1285" s="563">
        <v>0</v>
      </c>
      <c r="L1285" s="741">
        <v>4000</v>
      </c>
      <c r="M1285" s="687">
        <v>0</v>
      </c>
      <c r="N1285" s="563">
        <v>0</v>
      </c>
      <c r="O1285" s="746" t="s">
        <v>6797</v>
      </c>
      <c r="P1285" s="547" t="s">
        <v>1588</v>
      </c>
      <c r="Q1285" s="689">
        <v>0</v>
      </c>
      <c r="R1285" s="689">
        <v>0</v>
      </c>
      <c r="S1285" s="689">
        <v>0</v>
      </c>
      <c r="T1285" s="689">
        <v>0</v>
      </c>
      <c r="U1285" s="547" t="s">
        <v>6798</v>
      </c>
      <c r="V1285" s="547">
        <v>5.5</v>
      </c>
      <c r="W1285" s="658">
        <v>18706</v>
      </c>
      <c r="X1285" s="547" t="s">
        <v>2276</v>
      </c>
      <c r="Y1285" s="547" t="s">
        <v>6795</v>
      </c>
      <c r="Z1285" s="547"/>
      <c r="AA1285" s="547"/>
      <c r="AB1285" s="550" t="s">
        <v>2318</v>
      </c>
    </row>
    <row r="1286" spans="1:28" ht="24" customHeight="1">
      <c r="A1286" s="606"/>
      <c r="B1286" s="544" t="s">
        <v>675</v>
      </c>
      <c r="C1286" s="551" t="s">
        <v>6799</v>
      </c>
      <c r="D1286" s="553" t="s">
        <v>6800</v>
      </c>
      <c r="E1286" s="660">
        <f t="shared" si="104"/>
        <v>50</v>
      </c>
      <c r="F1286" s="563">
        <v>0</v>
      </c>
      <c r="G1286" s="563">
        <v>0</v>
      </c>
      <c r="H1286" s="660">
        <v>50</v>
      </c>
      <c r="I1286" s="660">
        <f t="shared" si="105"/>
        <v>50</v>
      </c>
      <c r="J1286" s="563">
        <v>0</v>
      </c>
      <c r="K1286" s="563">
        <v>0</v>
      </c>
      <c r="L1286" s="750">
        <v>50</v>
      </c>
      <c r="M1286" s="687">
        <v>0</v>
      </c>
      <c r="N1286" s="563">
        <v>0</v>
      </c>
      <c r="O1286" s="746" t="s">
        <v>6801</v>
      </c>
      <c r="P1286" s="547" t="s">
        <v>1588</v>
      </c>
      <c r="Q1286" s="689">
        <v>0</v>
      </c>
      <c r="R1286" s="689">
        <v>0</v>
      </c>
      <c r="S1286" s="689">
        <v>0</v>
      </c>
      <c r="T1286" s="689">
        <v>0</v>
      </c>
      <c r="U1286" s="547" t="s">
        <v>6794</v>
      </c>
      <c r="V1286" s="560" t="s">
        <v>6802</v>
      </c>
      <c r="W1286" s="658">
        <v>240</v>
      </c>
      <c r="X1286" s="547" t="s">
        <v>2193</v>
      </c>
      <c r="Y1286" s="547" t="s">
        <v>6795</v>
      </c>
      <c r="Z1286" s="547"/>
      <c r="AA1286" s="547"/>
      <c r="AB1286" s="550" t="s">
        <v>2318</v>
      </c>
    </row>
    <row r="1287" spans="1:28" ht="24" customHeight="1">
      <c r="A1287" s="606"/>
      <c r="B1287" s="544" t="s">
        <v>675</v>
      </c>
      <c r="C1287" s="551" t="s">
        <v>1987</v>
      </c>
      <c r="D1287" s="553" t="s">
        <v>6803</v>
      </c>
      <c r="E1287" s="660">
        <f t="shared" si="104"/>
        <v>20</v>
      </c>
      <c r="F1287" s="563">
        <v>0</v>
      </c>
      <c r="G1287" s="563">
        <v>0</v>
      </c>
      <c r="H1287" s="660">
        <v>20</v>
      </c>
      <c r="I1287" s="660">
        <f t="shared" si="105"/>
        <v>20</v>
      </c>
      <c r="J1287" s="563">
        <v>0</v>
      </c>
      <c r="K1287" s="563">
        <v>0</v>
      </c>
      <c r="L1287" s="750">
        <v>20</v>
      </c>
      <c r="M1287" s="687">
        <v>0</v>
      </c>
      <c r="N1287" s="563">
        <v>0</v>
      </c>
      <c r="O1287" s="746" t="s">
        <v>3451</v>
      </c>
      <c r="P1287" s="547" t="s">
        <v>1588</v>
      </c>
      <c r="Q1287" s="689">
        <v>0</v>
      </c>
      <c r="R1287" s="689">
        <v>0</v>
      </c>
      <c r="S1287" s="689">
        <v>0</v>
      </c>
      <c r="T1287" s="689">
        <v>0</v>
      </c>
      <c r="U1287" s="547" t="s">
        <v>6794</v>
      </c>
      <c r="V1287" s="559" t="s">
        <v>6804</v>
      </c>
      <c r="W1287" s="658">
        <v>193</v>
      </c>
      <c r="X1287" s="547" t="s">
        <v>2193</v>
      </c>
      <c r="Y1287" s="547" t="s">
        <v>6795</v>
      </c>
      <c r="Z1287" s="547"/>
      <c r="AA1287" s="547"/>
      <c r="AB1287" s="550" t="s">
        <v>2318</v>
      </c>
    </row>
    <row r="1288" spans="1:28" ht="24" customHeight="1">
      <c r="A1288" s="606"/>
      <c r="B1288" s="544" t="s">
        <v>675</v>
      </c>
      <c r="C1288" s="551" t="s">
        <v>6805</v>
      </c>
      <c r="D1288" s="553" t="s">
        <v>6806</v>
      </c>
      <c r="E1288" s="660">
        <f t="shared" si="104"/>
        <v>40</v>
      </c>
      <c r="F1288" s="563">
        <v>0</v>
      </c>
      <c r="G1288" s="563">
        <v>0</v>
      </c>
      <c r="H1288" s="660">
        <v>40</v>
      </c>
      <c r="I1288" s="660">
        <f t="shared" si="105"/>
        <v>40</v>
      </c>
      <c r="J1288" s="563">
        <v>0</v>
      </c>
      <c r="K1288" s="563">
        <v>0</v>
      </c>
      <c r="L1288" s="750">
        <v>40</v>
      </c>
      <c r="M1288" s="687">
        <v>0</v>
      </c>
      <c r="N1288" s="563">
        <v>0</v>
      </c>
      <c r="O1288" s="746" t="s">
        <v>6807</v>
      </c>
      <c r="P1288" s="547" t="s">
        <v>1588</v>
      </c>
      <c r="Q1288" s="689">
        <v>0</v>
      </c>
      <c r="R1288" s="689">
        <v>0</v>
      </c>
      <c r="S1288" s="689">
        <v>0</v>
      </c>
      <c r="T1288" s="689">
        <v>0</v>
      </c>
      <c r="U1288" s="547" t="s">
        <v>6794</v>
      </c>
      <c r="V1288" s="559" t="s">
        <v>6808</v>
      </c>
      <c r="W1288" s="658">
        <v>115</v>
      </c>
      <c r="X1288" s="547" t="s">
        <v>2193</v>
      </c>
      <c r="Y1288" s="547" t="s">
        <v>6795</v>
      </c>
      <c r="Z1288" s="547"/>
      <c r="AA1288" s="547"/>
      <c r="AB1288" s="550" t="s">
        <v>2318</v>
      </c>
    </row>
    <row r="1289" spans="1:28" ht="24" customHeight="1">
      <c r="A1289" s="606"/>
      <c r="B1289" s="544" t="s">
        <v>675</v>
      </c>
      <c r="C1289" s="551" t="s">
        <v>2017</v>
      </c>
      <c r="D1289" s="553" t="s">
        <v>6809</v>
      </c>
      <c r="E1289" s="660">
        <f t="shared" si="104"/>
        <v>40</v>
      </c>
      <c r="F1289" s="563">
        <v>0</v>
      </c>
      <c r="G1289" s="563">
        <v>0</v>
      </c>
      <c r="H1289" s="660">
        <v>40</v>
      </c>
      <c r="I1289" s="660">
        <f t="shared" si="105"/>
        <v>40</v>
      </c>
      <c r="J1289" s="563">
        <v>0</v>
      </c>
      <c r="K1289" s="563">
        <v>0</v>
      </c>
      <c r="L1289" s="750">
        <v>40</v>
      </c>
      <c r="M1289" s="687">
        <v>0</v>
      </c>
      <c r="N1289" s="563">
        <v>0</v>
      </c>
      <c r="O1289" s="746" t="s">
        <v>3451</v>
      </c>
      <c r="P1289" s="547" t="s">
        <v>1588</v>
      </c>
      <c r="Q1289" s="689">
        <v>0</v>
      </c>
      <c r="R1289" s="689">
        <v>0</v>
      </c>
      <c r="S1289" s="689">
        <v>0</v>
      </c>
      <c r="T1289" s="689">
        <v>0</v>
      </c>
      <c r="U1289" s="547" t="s">
        <v>6794</v>
      </c>
      <c r="V1289" s="559" t="s">
        <v>6810</v>
      </c>
      <c r="W1289" s="658">
        <v>251</v>
      </c>
      <c r="X1289" s="547" t="s">
        <v>2193</v>
      </c>
      <c r="Y1289" s="547" t="s">
        <v>6795</v>
      </c>
      <c r="Z1289" s="547"/>
      <c r="AA1289" s="547"/>
      <c r="AB1289" s="550" t="s">
        <v>2318</v>
      </c>
    </row>
    <row r="1290" spans="1:28" ht="24" customHeight="1">
      <c r="A1290" s="606"/>
      <c r="B1290" s="544" t="s">
        <v>675</v>
      </c>
      <c r="C1290" s="551" t="s">
        <v>6811</v>
      </c>
      <c r="D1290" s="553" t="s">
        <v>6812</v>
      </c>
      <c r="E1290" s="660">
        <f t="shared" si="104"/>
        <v>80</v>
      </c>
      <c r="F1290" s="563">
        <v>0</v>
      </c>
      <c r="G1290" s="563">
        <v>0</v>
      </c>
      <c r="H1290" s="660">
        <v>80</v>
      </c>
      <c r="I1290" s="660">
        <f t="shared" si="105"/>
        <v>80</v>
      </c>
      <c r="J1290" s="563">
        <v>0</v>
      </c>
      <c r="K1290" s="563">
        <v>0</v>
      </c>
      <c r="L1290" s="750">
        <v>80</v>
      </c>
      <c r="M1290" s="687">
        <v>0</v>
      </c>
      <c r="N1290" s="563">
        <v>0</v>
      </c>
      <c r="O1290" s="746" t="s">
        <v>5783</v>
      </c>
      <c r="P1290" s="547" t="s">
        <v>1588</v>
      </c>
      <c r="Q1290" s="689">
        <v>0</v>
      </c>
      <c r="R1290" s="689">
        <v>0</v>
      </c>
      <c r="S1290" s="689">
        <v>0</v>
      </c>
      <c r="T1290" s="689">
        <v>0</v>
      </c>
      <c r="U1290" s="547" t="s">
        <v>6794</v>
      </c>
      <c r="V1290" s="559" t="s">
        <v>6813</v>
      </c>
      <c r="W1290" s="658">
        <v>294</v>
      </c>
      <c r="X1290" s="547" t="s">
        <v>2193</v>
      </c>
      <c r="Y1290" s="547" t="s">
        <v>6795</v>
      </c>
      <c r="Z1290" s="547"/>
      <c r="AA1290" s="547"/>
      <c r="AB1290" s="550" t="s">
        <v>2318</v>
      </c>
    </row>
    <row r="1291" spans="1:28" ht="24" customHeight="1">
      <c r="A1291" s="606"/>
      <c r="B1291" s="544" t="s">
        <v>675</v>
      </c>
      <c r="C1291" s="551" t="s">
        <v>6814</v>
      </c>
      <c r="D1291" s="553" t="s">
        <v>6812</v>
      </c>
      <c r="E1291" s="660">
        <f t="shared" si="104"/>
        <v>80</v>
      </c>
      <c r="F1291" s="563">
        <v>0</v>
      </c>
      <c r="G1291" s="563">
        <v>0</v>
      </c>
      <c r="H1291" s="660">
        <v>80</v>
      </c>
      <c r="I1291" s="660">
        <f t="shared" si="105"/>
        <v>80</v>
      </c>
      <c r="J1291" s="563">
        <v>0</v>
      </c>
      <c r="K1291" s="563">
        <v>0</v>
      </c>
      <c r="L1291" s="750">
        <v>80</v>
      </c>
      <c r="M1291" s="687">
        <v>0</v>
      </c>
      <c r="N1291" s="563">
        <v>0</v>
      </c>
      <c r="O1291" s="746" t="s">
        <v>6815</v>
      </c>
      <c r="P1291" s="547" t="s">
        <v>1588</v>
      </c>
      <c r="Q1291" s="689">
        <v>0</v>
      </c>
      <c r="R1291" s="689">
        <v>0</v>
      </c>
      <c r="S1291" s="689">
        <v>0</v>
      </c>
      <c r="T1291" s="689">
        <v>0</v>
      </c>
      <c r="U1291" s="547" t="s">
        <v>6794</v>
      </c>
      <c r="V1291" s="559" t="s">
        <v>6816</v>
      </c>
      <c r="W1291" s="658">
        <v>380</v>
      </c>
      <c r="X1291" s="547" t="s">
        <v>2193</v>
      </c>
      <c r="Y1291" s="547" t="s">
        <v>6795</v>
      </c>
      <c r="Z1291" s="547"/>
      <c r="AA1291" s="547"/>
      <c r="AB1291" s="550" t="s">
        <v>2318</v>
      </c>
    </row>
    <row r="1292" spans="1:28" ht="24" customHeight="1">
      <c r="A1292" s="606"/>
      <c r="B1292" s="544" t="s">
        <v>675</v>
      </c>
      <c r="C1292" s="551" t="s">
        <v>6817</v>
      </c>
      <c r="D1292" s="553" t="s">
        <v>6818</v>
      </c>
      <c r="E1292" s="660">
        <f t="shared" si="104"/>
        <v>60</v>
      </c>
      <c r="F1292" s="563">
        <v>0</v>
      </c>
      <c r="G1292" s="563">
        <v>0</v>
      </c>
      <c r="H1292" s="660">
        <v>60</v>
      </c>
      <c r="I1292" s="660">
        <f t="shared" si="105"/>
        <v>60</v>
      </c>
      <c r="J1292" s="563">
        <v>0</v>
      </c>
      <c r="K1292" s="563">
        <v>0</v>
      </c>
      <c r="L1292" s="750">
        <v>60</v>
      </c>
      <c r="M1292" s="687">
        <v>0</v>
      </c>
      <c r="N1292" s="563">
        <v>0</v>
      </c>
      <c r="O1292" s="746" t="s">
        <v>6819</v>
      </c>
      <c r="P1292" s="547" t="s">
        <v>1588</v>
      </c>
      <c r="Q1292" s="689">
        <v>0</v>
      </c>
      <c r="R1292" s="689">
        <v>0</v>
      </c>
      <c r="S1292" s="689">
        <v>0</v>
      </c>
      <c r="T1292" s="689">
        <v>0</v>
      </c>
      <c r="U1292" s="547" t="s">
        <v>6794</v>
      </c>
      <c r="V1292" s="559" t="s">
        <v>6820</v>
      </c>
      <c r="W1292" s="658">
        <v>383</v>
      </c>
      <c r="X1292" s="547" t="s">
        <v>2193</v>
      </c>
      <c r="Y1292" s="547" t="s">
        <v>6795</v>
      </c>
      <c r="Z1292" s="547"/>
      <c r="AA1292" s="547"/>
      <c r="AB1292" s="550" t="s">
        <v>2318</v>
      </c>
    </row>
    <row r="1293" spans="1:28" ht="24" customHeight="1">
      <c r="A1293" s="606"/>
      <c r="B1293" s="544" t="s">
        <v>675</v>
      </c>
      <c r="C1293" s="551" t="s">
        <v>6821</v>
      </c>
      <c r="D1293" s="553" t="s">
        <v>6822</v>
      </c>
      <c r="E1293" s="660">
        <f t="shared" si="104"/>
        <v>80</v>
      </c>
      <c r="F1293" s="563">
        <v>0</v>
      </c>
      <c r="G1293" s="563">
        <v>0</v>
      </c>
      <c r="H1293" s="660">
        <v>80</v>
      </c>
      <c r="I1293" s="660">
        <f t="shared" si="105"/>
        <v>80</v>
      </c>
      <c r="J1293" s="563">
        <v>0</v>
      </c>
      <c r="K1293" s="563">
        <v>0</v>
      </c>
      <c r="L1293" s="750">
        <v>80</v>
      </c>
      <c r="M1293" s="687">
        <v>0</v>
      </c>
      <c r="N1293" s="563">
        <v>0</v>
      </c>
      <c r="O1293" s="746" t="s">
        <v>6823</v>
      </c>
      <c r="P1293" s="547" t="s">
        <v>1588</v>
      </c>
      <c r="Q1293" s="689">
        <v>0</v>
      </c>
      <c r="R1293" s="689">
        <v>0</v>
      </c>
      <c r="S1293" s="689">
        <v>0</v>
      </c>
      <c r="T1293" s="689">
        <v>0</v>
      </c>
      <c r="U1293" s="547" t="s">
        <v>6794</v>
      </c>
      <c r="V1293" s="559" t="s">
        <v>6824</v>
      </c>
      <c r="W1293" s="658">
        <v>394</v>
      </c>
      <c r="X1293" s="547" t="s">
        <v>2193</v>
      </c>
      <c r="Y1293" s="547" t="s">
        <v>6795</v>
      </c>
      <c r="Z1293" s="547"/>
      <c r="AA1293" s="547"/>
      <c r="AB1293" s="550" t="s">
        <v>2318</v>
      </c>
    </row>
    <row r="1294" spans="1:28" ht="24" customHeight="1">
      <c r="A1294" s="606"/>
      <c r="B1294" s="544" t="s">
        <v>675</v>
      </c>
      <c r="C1294" s="551" t="s">
        <v>6825</v>
      </c>
      <c r="D1294" s="553" t="s">
        <v>6826</v>
      </c>
      <c r="E1294" s="660">
        <f t="shared" si="104"/>
        <v>35</v>
      </c>
      <c r="F1294" s="563">
        <v>0</v>
      </c>
      <c r="G1294" s="563">
        <v>0</v>
      </c>
      <c r="H1294" s="660">
        <v>35</v>
      </c>
      <c r="I1294" s="660">
        <f t="shared" si="105"/>
        <v>35</v>
      </c>
      <c r="J1294" s="563">
        <v>0</v>
      </c>
      <c r="K1294" s="563">
        <v>0</v>
      </c>
      <c r="L1294" s="750">
        <v>35</v>
      </c>
      <c r="M1294" s="687">
        <v>0</v>
      </c>
      <c r="N1294" s="563">
        <v>0</v>
      </c>
      <c r="O1294" s="746" t="s">
        <v>2777</v>
      </c>
      <c r="P1294" s="547" t="s">
        <v>1588</v>
      </c>
      <c r="Q1294" s="689">
        <v>0</v>
      </c>
      <c r="R1294" s="689">
        <v>0</v>
      </c>
      <c r="S1294" s="689">
        <v>0</v>
      </c>
      <c r="T1294" s="689">
        <v>0</v>
      </c>
      <c r="U1294" s="547" t="s">
        <v>6794</v>
      </c>
      <c r="V1294" s="559" t="s">
        <v>6827</v>
      </c>
      <c r="W1294" s="658">
        <v>302</v>
      </c>
      <c r="X1294" s="547" t="s">
        <v>2193</v>
      </c>
      <c r="Y1294" s="547" t="s">
        <v>6795</v>
      </c>
      <c r="Z1294" s="547"/>
      <c r="AA1294" s="547"/>
      <c r="AB1294" s="550" t="s">
        <v>2318</v>
      </c>
    </row>
    <row r="1295" spans="1:28" ht="24" customHeight="1">
      <c r="A1295" s="606"/>
      <c r="B1295" s="544" t="s">
        <v>675</v>
      </c>
      <c r="C1295" s="551" t="s">
        <v>6828</v>
      </c>
      <c r="D1295" s="553" t="s">
        <v>6829</v>
      </c>
      <c r="E1295" s="660">
        <f t="shared" si="104"/>
        <v>45</v>
      </c>
      <c r="F1295" s="563">
        <v>0</v>
      </c>
      <c r="G1295" s="563">
        <v>0</v>
      </c>
      <c r="H1295" s="660">
        <v>45</v>
      </c>
      <c r="I1295" s="660">
        <f t="shared" si="105"/>
        <v>45</v>
      </c>
      <c r="J1295" s="563">
        <v>0</v>
      </c>
      <c r="K1295" s="563">
        <v>0</v>
      </c>
      <c r="L1295" s="750">
        <v>45</v>
      </c>
      <c r="M1295" s="687">
        <v>0</v>
      </c>
      <c r="N1295" s="563">
        <v>0</v>
      </c>
      <c r="O1295" s="746" t="s">
        <v>6830</v>
      </c>
      <c r="P1295" s="547" t="s">
        <v>1588</v>
      </c>
      <c r="Q1295" s="689">
        <v>0</v>
      </c>
      <c r="R1295" s="689">
        <v>0</v>
      </c>
      <c r="S1295" s="689">
        <v>0</v>
      </c>
      <c r="T1295" s="689">
        <v>0</v>
      </c>
      <c r="U1295" s="547" t="s">
        <v>6794</v>
      </c>
      <c r="V1295" s="559" t="s">
        <v>6804</v>
      </c>
      <c r="W1295" s="658">
        <v>572</v>
      </c>
      <c r="X1295" s="547" t="s">
        <v>2193</v>
      </c>
      <c r="Y1295" s="547" t="s">
        <v>6795</v>
      </c>
      <c r="Z1295" s="547"/>
      <c r="AA1295" s="547"/>
      <c r="AB1295" s="550" t="s">
        <v>2318</v>
      </c>
    </row>
    <row r="1296" spans="1:28" ht="24" customHeight="1">
      <c r="A1296" s="606"/>
      <c r="B1296" s="544" t="s">
        <v>675</v>
      </c>
      <c r="C1296" s="551" t="s">
        <v>4957</v>
      </c>
      <c r="D1296" s="553" t="s">
        <v>6831</v>
      </c>
      <c r="E1296" s="660">
        <f t="shared" si="104"/>
        <v>40</v>
      </c>
      <c r="F1296" s="563">
        <v>0</v>
      </c>
      <c r="G1296" s="563">
        <v>0</v>
      </c>
      <c r="H1296" s="660">
        <v>40</v>
      </c>
      <c r="I1296" s="660">
        <f t="shared" si="105"/>
        <v>40</v>
      </c>
      <c r="J1296" s="563">
        <v>0</v>
      </c>
      <c r="K1296" s="563">
        <v>0</v>
      </c>
      <c r="L1296" s="750">
        <v>40</v>
      </c>
      <c r="M1296" s="687">
        <v>0</v>
      </c>
      <c r="N1296" s="563">
        <v>0</v>
      </c>
      <c r="O1296" s="746" t="s">
        <v>6832</v>
      </c>
      <c r="P1296" s="547" t="s">
        <v>1588</v>
      </c>
      <c r="Q1296" s="689">
        <v>0</v>
      </c>
      <c r="R1296" s="689">
        <v>0</v>
      </c>
      <c r="S1296" s="689">
        <v>0</v>
      </c>
      <c r="T1296" s="689">
        <v>0</v>
      </c>
      <c r="U1296" s="547" t="s">
        <v>6794</v>
      </c>
      <c r="V1296" s="559" t="s">
        <v>6833</v>
      </c>
      <c r="W1296" s="658">
        <v>238</v>
      </c>
      <c r="X1296" s="547" t="s">
        <v>2193</v>
      </c>
      <c r="Y1296" s="547" t="s">
        <v>6795</v>
      </c>
      <c r="Z1296" s="547"/>
      <c r="AA1296" s="547"/>
      <c r="AB1296" s="550" t="s">
        <v>2318</v>
      </c>
    </row>
    <row r="1297" spans="1:28" ht="24" customHeight="1">
      <c r="A1297" s="606"/>
      <c r="B1297" s="544" t="s">
        <v>675</v>
      </c>
      <c r="C1297" s="551" t="s">
        <v>6834</v>
      </c>
      <c r="D1297" s="553" t="s">
        <v>6835</v>
      </c>
      <c r="E1297" s="660">
        <f t="shared" si="104"/>
        <v>140</v>
      </c>
      <c r="F1297" s="563">
        <v>0</v>
      </c>
      <c r="G1297" s="563">
        <v>0</v>
      </c>
      <c r="H1297" s="660">
        <v>140</v>
      </c>
      <c r="I1297" s="660">
        <f t="shared" si="105"/>
        <v>140</v>
      </c>
      <c r="J1297" s="563">
        <v>0</v>
      </c>
      <c r="K1297" s="563">
        <v>0</v>
      </c>
      <c r="L1297" s="750">
        <v>140</v>
      </c>
      <c r="M1297" s="687">
        <v>0</v>
      </c>
      <c r="N1297" s="563">
        <v>0</v>
      </c>
      <c r="O1297" s="746" t="s">
        <v>6823</v>
      </c>
      <c r="P1297" s="547" t="s">
        <v>1588</v>
      </c>
      <c r="Q1297" s="689">
        <v>0</v>
      </c>
      <c r="R1297" s="689">
        <v>0</v>
      </c>
      <c r="S1297" s="689">
        <v>0</v>
      </c>
      <c r="T1297" s="689">
        <v>0</v>
      </c>
      <c r="U1297" s="547" t="s">
        <v>6794</v>
      </c>
      <c r="V1297" s="559" t="s">
        <v>6836</v>
      </c>
      <c r="W1297" s="658">
        <v>720</v>
      </c>
      <c r="X1297" s="547" t="s">
        <v>2193</v>
      </c>
      <c r="Y1297" s="547" t="s">
        <v>6795</v>
      </c>
      <c r="Z1297" s="547"/>
      <c r="AA1297" s="547"/>
      <c r="AB1297" s="550" t="s">
        <v>2318</v>
      </c>
    </row>
    <row r="1298" spans="1:28" ht="24" customHeight="1">
      <c r="A1298" s="606"/>
      <c r="B1298" s="544" t="s">
        <v>675</v>
      </c>
      <c r="C1298" s="551" t="s">
        <v>6837</v>
      </c>
      <c r="D1298" s="553" t="s">
        <v>6838</v>
      </c>
      <c r="E1298" s="660">
        <f t="shared" si="104"/>
        <v>100</v>
      </c>
      <c r="F1298" s="563">
        <v>0</v>
      </c>
      <c r="G1298" s="563">
        <v>0</v>
      </c>
      <c r="H1298" s="660">
        <v>100</v>
      </c>
      <c r="I1298" s="660">
        <f t="shared" si="105"/>
        <v>100</v>
      </c>
      <c r="J1298" s="563">
        <v>0</v>
      </c>
      <c r="K1298" s="563">
        <v>0</v>
      </c>
      <c r="L1298" s="750">
        <v>100</v>
      </c>
      <c r="M1298" s="687">
        <v>0</v>
      </c>
      <c r="N1298" s="563">
        <v>0</v>
      </c>
      <c r="O1298" s="746" t="s">
        <v>6839</v>
      </c>
      <c r="P1298" s="547" t="s">
        <v>1588</v>
      </c>
      <c r="Q1298" s="689">
        <v>0</v>
      </c>
      <c r="R1298" s="689">
        <v>0</v>
      </c>
      <c r="S1298" s="689">
        <v>0</v>
      </c>
      <c r="T1298" s="689">
        <v>0</v>
      </c>
      <c r="U1298" s="547" t="s">
        <v>6794</v>
      </c>
      <c r="V1298" s="559" t="s">
        <v>6840</v>
      </c>
      <c r="W1298" s="658">
        <v>648</v>
      </c>
      <c r="X1298" s="547" t="s">
        <v>2193</v>
      </c>
      <c r="Y1298" s="547" t="s">
        <v>6795</v>
      </c>
      <c r="Z1298" s="547"/>
      <c r="AA1298" s="547"/>
      <c r="AB1298" s="550" t="s">
        <v>2318</v>
      </c>
    </row>
    <row r="1299" spans="1:28" ht="24" customHeight="1">
      <c r="A1299" s="606"/>
      <c r="B1299" s="544" t="s">
        <v>675</v>
      </c>
      <c r="C1299" s="551" t="s">
        <v>6776</v>
      </c>
      <c r="D1299" s="553" t="s">
        <v>6841</v>
      </c>
      <c r="E1299" s="660">
        <f t="shared" si="104"/>
        <v>50</v>
      </c>
      <c r="F1299" s="563">
        <v>0</v>
      </c>
      <c r="G1299" s="563">
        <v>0</v>
      </c>
      <c r="H1299" s="660">
        <v>50</v>
      </c>
      <c r="I1299" s="660">
        <f t="shared" si="105"/>
        <v>50</v>
      </c>
      <c r="J1299" s="563">
        <v>0</v>
      </c>
      <c r="K1299" s="563">
        <v>0</v>
      </c>
      <c r="L1299" s="750">
        <v>50</v>
      </c>
      <c r="M1299" s="687">
        <v>0</v>
      </c>
      <c r="N1299" s="563">
        <v>0</v>
      </c>
      <c r="O1299" s="746" t="s">
        <v>6807</v>
      </c>
      <c r="P1299" s="547" t="s">
        <v>1588</v>
      </c>
      <c r="Q1299" s="689">
        <v>0</v>
      </c>
      <c r="R1299" s="689">
        <v>0</v>
      </c>
      <c r="S1299" s="689">
        <v>0</v>
      </c>
      <c r="T1299" s="689">
        <v>0</v>
      </c>
      <c r="U1299" s="547" t="s">
        <v>6794</v>
      </c>
      <c r="V1299" s="559" t="s">
        <v>6810</v>
      </c>
      <c r="W1299" s="658">
        <v>130</v>
      </c>
      <c r="X1299" s="547" t="s">
        <v>2193</v>
      </c>
      <c r="Y1299" s="547" t="s">
        <v>6795</v>
      </c>
      <c r="Z1299" s="547"/>
      <c r="AA1299" s="547"/>
      <c r="AB1299" s="550" t="s">
        <v>2318</v>
      </c>
    </row>
    <row r="1300" spans="1:28" ht="24" customHeight="1">
      <c r="A1300" s="606"/>
      <c r="B1300" s="544" t="s">
        <v>675</v>
      </c>
      <c r="C1300" s="551" t="s">
        <v>2109</v>
      </c>
      <c r="D1300" s="553" t="s">
        <v>6842</v>
      </c>
      <c r="E1300" s="660">
        <f t="shared" si="104"/>
        <v>50</v>
      </c>
      <c r="F1300" s="563">
        <v>0</v>
      </c>
      <c r="G1300" s="563">
        <v>0</v>
      </c>
      <c r="H1300" s="660">
        <v>50</v>
      </c>
      <c r="I1300" s="660">
        <f t="shared" si="105"/>
        <v>50</v>
      </c>
      <c r="J1300" s="563">
        <v>0</v>
      </c>
      <c r="K1300" s="563">
        <v>0</v>
      </c>
      <c r="L1300" s="750">
        <v>50</v>
      </c>
      <c r="M1300" s="687">
        <v>0</v>
      </c>
      <c r="N1300" s="563">
        <v>0</v>
      </c>
      <c r="O1300" s="746" t="s">
        <v>6843</v>
      </c>
      <c r="P1300" s="547" t="s">
        <v>1588</v>
      </c>
      <c r="Q1300" s="689">
        <v>0</v>
      </c>
      <c r="R1300" s="689">
        <v>0</v>
      </c>
      <c r="S1300" s="689">
        <v>0</v>
      </c>
      <c r="T1300" s="689">
        <v>0</v>
      </c>
      <c r="U1300" s="547" t="s">
        <v>6794</v>
      </c>
      <c r="V1300" s="559" t="s">
        <v>6844</v>
      </c>
      <c r="W1300" s="658">
        <v>210</v>
      </c>
      <c r="X1300" s="547" t="s">
        <v>2193</v>
      </c>
      <c r="Y1300" s="547" t="s">
        <v>6795</v>
      </c>
      <c r="Z1300" s="547"/>
      <c r="AA1300" s="547"/>
      <c r="AB1300" s="550" t="s">
        <v>2318</v>
      </c>
    </row>
    <row r="1301" spans="1:28" ht="24" customHeight="1">
      <c r="A1301" s="606"/>
      <c r="B1301" s="544" t="s">
        <v>675</v>
      </c>
      <c r="C1301" s="551" t="s">
        <v>6845</v>
      </c>
      <c r="D1301" s="553" t="s">
        <v>6846</v>
      </c>
      <c r="E1301" s="660">
        <f t="shared" si="104"/>
        <v>49</v>
      </c>
      <c r="F1301" s="563">
        <v>0</v>
      </c>
      <c r="G1301" s="563">
        <v>0</v>
      </c>
      <c r="H1301" s="660">
        <v>49</v>
      </c>
      <c r="I1301" s="660">
        <f t="shared" si="105"/>
        <v>49</v>
      </c>
      <c r="J1301" s="563">
        <v>0</v>
      </c>
      <c r="K1301" s="563">
        <v>0</v>
      </c>
      <c r="L1301" s="750">
        <v>49</v>
      </c>
      <c r="M1301" s="687">
        <v>0</v>
      </c>
      <c r="N1301" s="563">
        <v>0</v>
      </c>
      <c r="O1301" s="746" t="s">
        <v>3014</v>
      </c>
      <c r="P1301" s="547" t="s">
        <v>1588</v>
      </c>
      <c r="Q1301" s="689">
        <v>0</v>
      </c>
      <c r="R1301" s="689">
        <v>0</v>
      </c>
      <c r="S1301" s="689">
        <v>0</v>
      </c>
      <c r="T1301" s="689">
        <v>0</v>
      </c>
      <c r="U1301" s="547" t="s">
        <v>6794</v>
      </c>
      <c r="V1301" s="559" t="s">
        <v>2072</v>
      </c>
      <c r="W1301" s="658">
        <v>585</v>
      </c>
      <c r="X1301" s="547" t="s">
        <v>2193</v>
      </c>
      <c r="Y1301" s="547" t="s">
        <v>6795</v>
      </c>
      <c r="Z1301" s="547"/>
      <c r="AA1301" s="547"/>
      <c r="AB1301" s="550" t="s">
        <v>2318</v>
      </c>
    </row>
    <row r="1302" spans="1:28" ht="24" customHeight="1">
      <c r="A1302" s="606"/>
      <c r="B1302" s="544" t="s">
        <v>675</v>
      </c>
      <c r="C1302" s="551" t="s">
        <v>6644</v>
      </c>
      <c r="D1302" s="553" t="s">
        <v>6847</v>
      </c>
      <c r="E1302" s="660">
        <f t="shared" si="104"/>
        <v>45</v>
      </c>
      <c r="F1302" s="563">
        <v>0</v>
      </c>
      <c r="G1302" s="563">
        <v>0</v>
      </c>
      <c r="H1302" s="660">
        <v>45</v>
      </c>
      <c r="I1302" s="660">
        <f t="shared" si="105"/>
        <v>45</v>
      </c>
      <c r="J1302" s="563">
        <v>0</v>
      </c>
      <c r="K1302" s="563">
        <v>0</v>
      </c>
      <c r="L1302" s="750">
        <v>45</v>
      </c>
      <c r="M1302" s="687">
        <v>0</v>
      </c>
      <c r="N1302" s="563">
        <v>0</v>
      </c>
      <c r="O1302" s="746" t="s">
        <v>5783</v>
      </c>
      <c r="P1302" s="547" t="s">
        <v>1588</v>
      </c>
      <c r="Q1302" s="689">
        <v>0</v>
      </c>
      <c r="R1302" s="689">
        <v>0</v>
      </c>
      <c r="S1302" s="689">
        <v>0</v>
      </c>
      <c r="T1302" s="689">
        <v>0</v>
      </c>
      <c r="U1302" s="547" t="s">
        <v>6794</v>
      </c>
      <c r="V1302" s="559" t="s">
        <v>6848</v>
      </c>
      <c r="W1302" s="658">
        <v>490</v>
      </c>
      <c r="X1302" s="547" t="s">
        <v>2193</v>
      </c>
      <c r="Y1302" s="547" t="s">
        <v>6795</v>
      </c>
      <c r="Z1302" s="547"/>
      <c r="AA1302" s="547"/>
      <c r="AB1302" s="550" t="s">
        <v>2318</v>
      </c>
    </row>
    <row r="1303" spans="1:28" ht="24" customHeight="1">
      <c r="A1303" s="606"/>
      <c r="B1303" s="544" t="s">
        <v>675</v>
      </c>
      <c r="C1303" s="551" t="s">
        <v>6849</v>
      </c>
      <c r="D1303" s="553" t="s">
        <v>6850</v>
      </c>
      <c r="E1303" s="660">
        <f t="shared" si="104"/>
        <v>80</v>
      </c>
      <c r="F1303" s="563">
        <v>0</v>
      </c>
      <c r="G1303" s="563">
        <v>0</v>
      </c>
      <c r="H1303" s="660">
        <v>80</v>
      </c>
      <c r="I1303" s="660">
        <f t="shared" si="105"/>
        <v>80</v>
      </c>
      <c r="J1303" s="563">
        <v>0</v>
      </c>
      <c r="K1303" s="563">
        <v>0</v>
      </c>
      <c r="L1303" s="750">
        <v>80</v>
      </c>
      <c r="M1303" s="687">
        <v>0</v>
      </c>
      <c r="N1303" s="563">
        <v>0</v>
      </c>
      <c r="O1303" s="746" t="s">
        <v>1019</v>
      </c>
      <c r="P1303" s="547" t="s">
        <v>1588</v>
      </c>
      <c r="Q1303" s="689">
        <v>0</v>
      </c>
      <c r="R1303" s="689">
        <v>0</v>
      </c>
      <c r="S1303" s="689">
        <v>0</v>
      </c>
      <c r="T1303" s="689">
        <v>0</v>
      </c>
      <c r="U1303" s="547" t="s">
        <v>6794</v>
      </c>
      <c r="V1303" s="559" t="s">
        <v>6851</v>
      </c>
      <c r="W1303" s="658">
        <v>561</v>
      </c>
      <c r="X1303" s="547" t="s">
        <v>2193</v>
      </c>
      <c r="Y1303" s="547" t="s">
        <v>6795</v>
      </c>
      <c r="Z1303" s="547"/>
      <c r="AA1303" s="547"/>
      <c r="AB1303" s="550" t="s">
        <v>2318</v>
      </c>
    </row>
    <row r="1304" spans="1:28" ht="24" customHeight="1">
      <c r="A1304" s="606"/>
      <c r="B1304" s="544" t="s">
        <v>675</v>
      </c>
      <c r="C1304" s="551" t="s">
        <v>6852</v>
      </c>
      <c r="D1304" s="553" t="s">
        <v>6853</v>
      </c>
      <c r="E1304" s="660">
        <f t="shared" si="104"/>
        <v>70</v>
      </c>
      <c r="F1304" s="563">
        <v>0</v>
      </c>
      <c r="G1304" s="563">
        <v>0</v>
      </c>
      <c r="H1304" s="660">
        <v>70</v>
      </c>
      <c r="I1304" s="660">
        <f t="shared" si="105"/>
        <v>70</v>
      </c>
      <c r="J1304" s="563">
        <v>0</v>
      </c>
      <c r="K1304" s="563">
        <v>0</v>
      </c>
      <c r="L1304" s="750">
        <v>70</v>
      </c>
      <c r="M1304" s="687">
        <v>0</v>
      </c>
      <c r="N1304" s="563">
        <v>0</v>
      </c>
      <c r="O1304" s="746" t="s">
        <v>3451</v>
      </c>
      <c r="P1304" s="547" t="s">
        <v>1588</v>
      </c>
      <c r="Q1304" s="689">
        <v>0</v>
      </c>
      <c r="R1304" s="689">
        <v>0</v>
      </c>
      <c r="S1304" s="689">
        <v>0</v>
      </c>
      <c r="T1304" s="689">
        <v>0</v>
      </c>
      <c r="U1304" s="547" t="s">
        <v>6794</v>
      </c>
      <c r="V1304" s="559" t="s">
        <v>6854</v>
      </c>
      <c r="W1304" s="658">
        <v>741</v>
      </c>
      <c r="X1304" s="547" t="s">
        <v>2193</v>
      </c>
      <c r="Y1304" s="547" t="s">
        <v>6795</v>
      </c>
      <c r="Z1304" s="547"/>
      <c r="AA1304" s="547"/>
      <c r="AB1304" s="550" t="s">
        <v>2318</v>
      </c>
    </row>
    <row r="1305" spans="1:28" ht="24" customHeight="1">
      <c r="A1305" s="606"/>
      <c r="B1305" s="544" t="s">
        <v>675</v>
      </c>
      <c r="C1305" s="551" t="s">
        <v>6855</v>
      </c>
      <c r="D1305" s="553" t="s">
        <v>6856</v>
      </c>
      <c r="E1305" s="660">
        <f t="shared" si="104"/>
        <v>40</v>
      </c>
      <c r="F1305" s="563">
        <v>0</v>
      </c>
      <c r="G1305" s="563">
        <v>0</v>
      </c>
      <c r="H1305" s="660">
        <v>40</v>
      </c>
      <c r="I1305" s="660">
        <f t="shared" si="105"/>
        <v>40</v>
      </c>
      <c r="J1305" s="563">
        <v>0</v>
      </c>
      <c r="K1305" s="563">
        <v>0</v>
      </c>
      <c r="L1305" s="750">
        <v>40</v>
      </c>
      <c r="M1305" s="687">
        <v>0</v>
      </c>
      <c r="N1305" s="563">
        <v>0</v>
      </c>
      <c r="O1305" s="746" t="s">
        <v>6857</v>
      </c>
      <c r="P1305" s="547" t="s">
        <v>1588</v>
      </c>
      <c r="Q1305" s="689">
        <v>0</v>
      </c>
      <c r="R1305" s="689">
        <v>0</v>
      </c>
      <c r="S1305" s="689">
        <v>0</v>
      </c>
      <c r="T1305" s="689">
        <v>0</v>
      </c>
      <c r="U1305" s="547" t="s">
        <v>6794</v>
      </c>
      <c r="V1305" s="559" t="s">
        <v>6824</v>
      </c>
      <c r="W1305" s="658">
        <v>296</v>
      </c>
      <c r="X1305" s="547" t="s">
        <v>2193</v>
      </c>
      <c r="Y1305" s="547" t="s">
        <v>6795</v>
      </c>
      <c r="Z1305" s="547"/>
      <c r="AA1305" s="547"/>
      <c r="AB1305" s="550" t="s">
        <v>2318</v>
      </c>
    </row>
    <row r="1306" spans="1:28" ht="24" customHeight="1">
      <c r="A1306" s="606"/>
      <c r="B1306" s="544" t="s">
        <v>675</v>
      </c>
      <c r="C1306" s="551" t="s">
        <v>6858</v>
      </c>
      <c r="D1306" s="553" t="s">
        <v>6859</v>
      </c>
      <c r="E1306" s="660">
        <f t="shared" si="104"/>
        <v>90</v>
      </c>
      <c r="F1306" s="563">
        <v>0</v>
      </c>
      <c r="G1306" s="563">
        <v>0</v>
      </c>
      <c r="H1306" s="660">
        <v>90</v>
      </c>
      <c r="I1306" s="660">
        <f t="shared" si="105"/>
        <v>90</v>
      </c>
      <c r="J1306" s="563">
        <v>0</v>
      </c>
      <c r="K1306" s="563">
        <v>0</v>
      </c>
      <c r="L1306" s="750">
        <v>90</v>
      </c>
      <c r="M1306" s="687">
        <v>0</v>
      </c>
      <c r="N1306" s="563">
        <v>0</v>
      </c>
      <c r="O1306" s="746" t="s">
        <v>1019</v>
      </c>
      <c r="P1306" s="547" t="s">
        <v>1588</v>
      </c>
      <c r="Q1306" s="689">
        <v>0</v>
      </c>
      <c r="R1306" s="689">
        <v>0</v>
      </c>
      <c r="S1306" s="689">
        <v>0</v>
      </c>
      <c r="T1306" s="689">
        <v>0</v>
      </c>
      <c r="U1306" s="547" t="s">
        <v>6794</v>
      </c>
      <c r="V1306" s="559" t="s">
        <v>6860</v>
      </c>
      <c r="W1306" s="658">
        <v>445</v>
      </c>
      <c r="X1306" s="547" t="s">
        <v>2193</v>
      </c>
      <c r="Y1306" s="547" t="s">
        <v>6795</v>
      </c>
      <c r="Z1306" s="547"/>
      <c r="AA1306" s="547"/>
      <c r="AB1306" s="550" t="s">
        <v>2318</v>
      </c>
    </row>
    <row r="1307" spans="1:28" ht="24" customHeight="1">
      <c r="A1307" s="606"/>
      <c r="B1307" s="544" t="s">
        <v>675</v>
      </c>
      <c r="C1307" s="551" t="s">
        <v>6817</v>
      </c>
      <c r="D1307" s="553" t="s">
        <v>6861</v>
      </c>
      <c r="E1307" s="660">
        <f t="shared" si="104"/>
        <v>50</v>
      </c>
      <c r="F1307" s="563">
        <v>0</v>
      </c>
      <c r="G1307" s="563">
        <v>0</v>
      </c>
      <c r="H1307" s="660">
        <v>50</v>
      </c>
      <c r="I1307" s="660">
        <f t="shared" si="105"/>
        <v>50</v>
      </c>
      <c r="J1307" s="563">
        <v>0</v>
      </c>
      <c r="K1307" s="563">
        <v>0</v>
      </c>
      <c r="L1307" s="750">
        <v>50</v>
      </c>
      <c r="M1307" s="687">
        <v>0</v>
      </c>
      <c r="N1307" s="563">
        <v>0</v>
      </c>
      <c r="O1307" s="746" t="s">
        <v>6801</v>
      </c>
      <c r="P1307" s="547" t="s">
        <v>1588</v>
      </c>
      <c r="Q1307" s="689">
        <v>0</v>
      </c>
      <c r="R1307" s="689">
        <v>0</v>
      </c>
      <c r="S1307" s="689">
        <v>0</v>
      </c>
      <c r="T1307" s="689">
        <v>0</v>
      </c>
      <c r="U1307" s="547" t="s">
        <v>6794</v>
      </c>
      <c r="V1307" s="559" t="s">
        <v>6833</v>
      </c>
      <c r="W1307" s="658">
        <v>239</v>
      </c>
      <c r="X1307" s="547" t="s">
        <v>2193</v>
      </c>
      <c r="Y1307" s="547" t="s">
        <v>6795</v>
      </c>
      <c r="Z1307" s="547"/>
      <c r="AA1307" s="547"/>
      <c r="AB1307" s="550" t="s">
        <v>2318</v>
      </c>
    </row>
    <row r="1308" spans="1:28" ht="24" customHeight="1">
      <c r="A1308" s="606"/>
      <c r="B1308" s="544" t="s">
        <v>675</v>
      </c>
      <c r="C1308" s="551" t="s">
        <v>6862</v>
      </c>
      <c r="D1308" s="553" t="s">
        <v>6863</v>
      </c>
      <c r="E1308" s="660">
        <f t="shared" si="104"/>
        <v>50</v>
      </c>
      <c r="F1308" s="563">
        <v>0</v>
      </c>
      <c r="G1308" s="563">
        <v>0</v>
      </c>
      <c r="H1308" s="660">
        <v>50</v>
      </c>
      <c r="I1308" s="660">
        <f t="shared" si="105"/>
        <v>50</v>
      </c>
      <c r="J1308" s="563">
        <v>0</v>
      </c>
      <c r="K1308" s="563">
        <v>0</v>
      </c>
      <c r="L1308" s="750">
        <v>50</v>
      </c>
      <c r="M1308" s="687">
        <v>0</v>
      </c>
      <c r="N1308" s="563">
        <v>0</v>
      </c>
      <c r="O1308" s="746" t="s">
        <v>6864</v>
      </c>
      <c r="P1308" s="547" t="s">
        <v>1588</v>
      </c>
      <c r="Q1308" s="689">
        <v>0</v>
      </c>
      <c r="R1308" s="689">
        <v>0</v>
      </c>
      <c r="S1308" s="689">
        <v>0</v>
      </c>
      <c r="T1308" s="689">
        <v>0</v>
      </c>
      <c r="U1308" s="547" t="s">
        <v>6794</v>
      </c>
      <c r="V1308" s="559" t="s">
        <v>6865</v>
      </c>
      <c r="W1308" s="658">
        <v>148</v>
      </c>
      <c r="X1308" s="547" t="s">
        <v>2193</v>
      </c>
      <c r="Y1308" s="547" t="s">
        <v>6795</v>
      </c>
      <c r="Z1308" s="547"/>
      <c r="AA1308" s="547"/>
      <c r="AB1308" s="550" t="s">
        <v>2318</v>
      </c>
    </row>
    <row r="1309" spans="1:28" ht="24" customHeight="1">
      <c r="A1309" s="606"/>
      <c r="B1309" s="544" t="s">
        <v>675</v>
      </c>
      <c r="C1309" s="551" t="s">
        <v>1419</v>
      </c>
      <c r="D1309" s="553" t="s">
        <v>6866</v>
      </c>
      <c r="E1309" s="660">
        <f t="shared" si="104"/>
        <v>60</v>
      </c>
      <c r="F1309" s="563">
        <v>0</v>
      </c>
      <c r="G1309" s="563">
        <v>0</v>
      </c>
      <c r="H1309" s="660">
        <v>60</v>
      </c>
      <c r="I1309" s="660">
        <f t="shared" si="105"/>
        <v>60</v>
      </c>
      <c r="J1309" s="563">
        <v>0</v>
      </c>
      <c r="K1309" s="563">
        <v>0</v>
      </c>
      <c r="L1309" s="750">
        <v>60</v>
      </c>
      <c r="M1309" s="687">
        <v>0</v>
      </c>
      <c r="N1309" s="563">
        <v>0</v>
      </c>
      <c r="O1309" s="746" t="s">
        <v>6867</v>
      </c>
      <c r="P1309" s="547" t="s">
        <v>1588</v>
      </c>
      <c r="Q1309" s="689">
        <v>0</v>
      </c>
      <c r="R1309" s="689">
        <v>0</v>
      </c>
      <c r="S1309" s="689">
        <v>0</v>
      </c>
      <c r="T1309" s="689">
        <v>0</v>
      </c>
      <c r="U1309" s="547" t="s">
        <v>6794</v>
      </c>
      <c r="V1309" s="559" t="s">
        <v>6824</v>
      </c>
      <c r="W1309" s="658">
        <v>289</v>
      </c>
      <c r="X1309" s="547" t="s">
        <v>2193</v>
      </c>
      <c r="Y1309" s="547" t="s">
        <v>6795</v>
      </c>
      <c r="Z1309" s="547"/>
      <c r="AA1309" s="547"/>
      <c r="AB1309" s="550" t="s">
        <v>2318</v>
      </c>
    </row>
    <row r="1310" spans="1:28" ht="24" customHeight="1">
      <c r="A1310" s="605" t="s">
        <v>1710</v>
      </c>
      <c r="B1310" s="544" t="s">
        <v>6621</v>
      </c>
      <c r="C1310" s="551" t="s">
        <v>2160</v>
      </c>
      <c r="D1310" s="553" t="s">
        <v>6868</v>
      </c>
      <c r="E1310" s="660">
        <f t="shared" si="104"/>
        <v>3000</v>
      </c>
      <c r="F1310" s="563">
        <v>0</v>
      </c>
      <c r="G1310" s="563">
        <v>0</v>
      </c>
      <c r="H1310" s="563">
        <v>3000</v>
      </c>
      <c r="I1310" s="660">
        <f t="shared" si="105"/>
        <v>3561</v>
      </c>
      <c r="J1310" s="563">
        <v>0</v>
      </c>
      <c r="K1310" s="563">
        <v>0</v>
      </c>
      <c r="L1310" s="741">
        <v>3561</v>
      </c>
      <c r="M1310" s="687">
        <v>96</v>
      </c>
      <c r="N1310" s="563">
        <v>101</v>
      </c>
      <c r="O1310" s="746" t="s">
        <v>3173</v>
      </c>
      <c r="P1310" s="547" t="s">
        <v>1588</v>
      </c>
      <c r="Q1310" s="689">
        <v>59</v>
      </c>
      <c r="R1310" s="689">
        <v>39.700000000000003</v>
      </c>
      <c r="S1310" s="689">
        <v>0</v>
      </c>
      <c r="T1310" s="689">
        <v>0</v>
      </c>
      <c r="U1310" s="547" t="s">
        <v>6869</v>
      </c>
      <c r="V1310" s="547" t="s">
        <v>6870</v>
      </c>
      <c r="W1310" s="658">
        <v>16310</v>
      </c>
      <c r="X1310" s="547" t="s">
        <v>2276</v>
      </c>
      <c r="Y1310" s="547" t="s">
        <v>3161</v>
      </c>
      <c r="Z1310" s="547" t="s">
        <v>1705</v>
      </c>
      <c r="AA1310" s="547" t="s">
        <v>1703</v>
      </c>
      <c r="AB1310" s="550" t="s">
        <v>1686</v>
      </c>
    </row>
    <row r="1311" spans="1:28" ht="24" customHeight="1">
      <c r="A1311" s="606"/>
      <c r="B1311" s="544" t="s">
        <v>6621</v>
      </c>
      <c r="C1311" s="551" t="s">
        <v>2161</v>
      </c>
      <c r="D1311" s="553" t="s">
        <v>6871</v>
      </c>
      <c r="E1311" s="563">
        <f t="shared" si="104"/>
        <v>385</v>
      </c>
      <c r="F1311" s="563">
        <v>0</v>
      </c>
      <c r="G1311" s="563">
        <v>0</v>
      </c>
      <c r="H1311" s="563">
        <v>385</v>
      </c>
      <c r="I1311" s="563">
        <f t="shared" si="105"/>
        <v>390</v>
      </c>
      <c r="J1311" s="563">
        <v>0</v>
      </c>
      <c r="K1311" s="563">
        <v>0</v>
      </c>
      <c r="L1311" s="741">
        <v>390</v>
      </c>
      <c r="M1311" s="687">
        <v>92</v>
      </c>
      <c r="N1311" s="563">
        <v>15</v>
      </c>
      <c r="O1311" s="746" t="s">
        <v>3173</v>
      </c>
      <c r="P1311" s="547" t="s">
        <v>1588</v>
      </c>
      <c r="Q1311" s="689">
        <v>0</v>
      </c>
      <c r="R1311" s="689">
        <v>0</v>
      </c>
      <c r="S1311" s="689">
        <v>0</v>
      </c>
      <c r="T1311" s="689">
        <v>0</v>
      </c>
      <c r="U1311" s="547" t="s">
        <v>6869</v>
      </c>
      <c r="V1311" s="547" t="s">
        <v>6872</v>
      </c>
      <c r="W1311" s="658">
        <v>4848</v>
      </c>
      <c r="X1311" s="547" t="s">
        <v>2276</v>
      </c>
      <c r="Y1311" s="547" t="s">
        <v>3161</v>
      </c>
      <c r="Z1311" s="547" t="s">
        <v>1703</v>
      </c>
      <c r="AA1311" s="547" t="s">
        <v>1703</v>
      </c>
      <c r="AB1311" s="550" t="s">
        <v>1686</v>
      </c>
    </row>
    <row r="1312" spans="1:28" ht="24" customHeight="1">
      <c r="A1312" s="606"/>
      <c r="B1312" s="544" t="s">
        <v>6621</v>
      </c>
      <c r="C1312" s="551" t="s">
        <v>477</v>
      </c>
      <c r="D1312" s="553" t="s">
        <v>6873</v>
      </c>
      <c r="E1312" s="563">
        <f t="shared" si="104"/>
        <v>230</v>
      </c>
      <c r="F1312" s="563">
        <v>0</v>
      </c>
      <c r="G1312" s="563">
        <v>0</v>
      </c>
      <c r="H1312" s="563">
        <v>230</v>
      </c>
      <c r="I1312" s="563">
        <f t="shared" si="105"/>
        <v>160</v>
      </c>
      <c r="J1312" s="563">
        <v>0</v>
      </c>
      <c r="K1312" s="563">
        <v>0</v>
      </c>
      <c r="L1312" s="741">
        <v>160</v>
      </c>
      <c r="M1312" s="687">
        <v>92</v>
      </c>
      <c r="N1312" s="563">
        <v>3.6</v>
      </c>
      <c r="O1312" s="746" t="s">
        <v>3173</v>
      </c>
      <c r="P1312" s="547" t="s">
        <v>1588</v>
      </c>
      <c r="Q1312" s="689">
        <v>0</v>
      </c>
      <c r="R1312" s="689">
        <v>0</v>
      </c>
      <c r="S1312" s="689">
        <v>0</v>
      </c>
      <c r="T1312" s="689">
        <v>0</v>
      </c>
      <c r="U1312" s="547" t="s">
        <v>6869</v>
      </c>
      <c r="V1312" s="547" t="s">
        <v>6874</v>
      </c>
      <c r="W1312" s="658">
        <v>2941</v>
      </c>
      <c r="X1312" s="547" t="s">
        <v>2276</v>
      </c>
      <c r="Y1312" s="547" t="s">
        <v>3161</v>
      </c>
      <c r="Z1312" s="547" t="s">
        <v>1703</v>
      </c>
      <c r="AA1312" s="547" t="s">
        <v>1703</v>
      </c>
      <c r="AB1312" s="550" t="s">
        <v>1686</v>
      </c>
    </row>
    <row r="1313" spans="1:28" ht="24" customHeight="1">
      <c r="A1313" s="606"/>
      <c r="B1313" s="544" t="s">
        <v>675</v>
      </c>
      <c r="C1313" s="551" t="s">
        <v>6875</v>
      </c>
      <c r="D1313" s="553" t="s">
        <v>6876</v>
      </c>
      <c r="E1313" s="563">
        <f t="shared" si="104"/>
        <v>40</v>
      </c>
      <c r="F1313" s="563">
        <v>0</v>
      </c>
      <c r="G1313" s="563">
        <v>0</v>
      </c>
      <c r="H1313" s="563">
        <v>40</v>
      </c>
      <c r="I1313" s="563">
        <f t="shared" si="105"/>
        <v>35</v>
      </c>
      <c r="J1313" s="563">
        <v>0</v>
      </c>
      <c r="K1313" s="563">
        <v>0</v>
      </c>
      <c r="L1313" s="741">
        <v>35</v>
      </c>
      <c r="M1313" s="687">
        <v>92</v>
      </c>
      <c r="N1313" s="563">
        <v>1.5</v>
      </c>
      <c r="O1313" s="746" t="s">
        <v>3546</v>
      </c>
      <c r="P1313" s="547" t="s">
        <v>1588</v>
      </c>
      <c r="Q1313" s="689">
        <v>0</v>
      </c>
      <c r="R1313" s="689">
        <v>0</v>
      </c>
      <c r="S1313" s="689">
        <v>0</v>
      </c>
      <c r="T1313" s="689">
        <v>0</v>
      </c>
      <c r="U1313" s="547" t="s">
        <v>6877</v>
      </c>
      <c r="V1313" s="548" t="s">
        <v>6878</v>
      </c>
      <c r="W1313" s="658">
        <v>440</v>
      </c>
      <c r="X1313" s="547" t="s">
        <v>1532</v>
      </c>
      <c r="Y1313" s="547" t="s">
        <v>3232</v>
      </c>
      <c r="Z1313" s="547" t="s">
        <v>1711</v>
      </c>
      <c r="AA1313" s="547" t="s">
        <v>6879</v>
      </c>
      <c r="AB1313" s="550" t="s">
        <v>1537</v>
      </c>
    </row>
    <row r="1314" spans="1:28" ht="24" customHeight="1">
      <c r="A1314" s="606"/>
      <c r="B1314" s="544" t="s">
        <v>675</v>
      </c>
      <c r="C1314" s="551" t="s">
        <v>2409</v>
      </c>
      <c r="D1314" s="553" t="s">
        <v>6880</v>
      </c>
      <c r="E1314" s="563">
        <f t="shared" si="104"/>
        <v>25</v>
      </c>
      <c r="F1314" s="563">
        <v>0</v>
      </c>
      <c r="G1314" s="563">
        <v>25</v>
      </c>
      <c r="H1314" s="563">
        <v>0</v>
      </c>
      <c r="I1314" s="563">
        <f t="shared" si="105"/>
        <v>20</v>
      </c>
      <c r="J1314" s="563">
        <v>0</v>
      </c>
      <c r="K1314" s="563">
        <v>20</v>
      </c>
      <c r="L1314" s="741">
        <v>0</v>
      </c>
      <c r="M1314" s="687">
        <v>90</v>
      </c>
      <c r="N1314" s="563">
        <v>0.6</v>
      </c>
      <c r="O1314" s="746" t="s">
        <v>3546</v>
      </c>
      <c r="P1314" s="547" t="s">
        <v>1588</v>
      </c>
      <c r="Q1314" s="689">
        <v>0</v>
      </c>
      <c r="R1314" s="689">
        <v>0</v>
      </c>
      <c r="S1314" s="689">
        <v>0</v>
      </c>
      <c r="T1314" s="689">
        <v>0</v>
      </c>
      <c r="U1314" s="547" t="s">
        <v>6877</v>
      </c>
      <c r="V1314" s="548" t="s">
        <v>6881</v>
      </c>
      <c r="W1314" s="658">
        <v>150</v>
      </c>
      <c r="X1314" s="547" t="s">
        <v>1532</v>
      </c>
      <c r="Y1314" s="547" t="s">
        <v>3232</v>
      </c>
      <c r="Z1314" s="547" t="s">
        <v>1711</v>
      </c>
      <c r="AA1314" s="547" t="s">
        <v>6879</v>
      </c>
      <c r="AB1314" s="550" t="s">
        <v>1537</v>
      </c>
    </row>
    <row r="1315" spans="1:28" ht="24" customHeight="1">
      <c r="A1315" s="606"/>
      <c r="B1315" s="544" t="s">
        <v>675</v>
      </c>
      <c r="C1315" s="551" t="s">
        <v>6882</v>
      </c>
      <c r="D1315" s="553" t="s">
        <v>6883</v>
      </c>
      <c r="E1315" s="563">
        <f t="shared" si="104"/>
        <v>75</v>
      </c>
      <c r="F1315" s="563">
        <v>0</v>
      </c>
      <c r="G1315" s="563">
        <v>75</v>
      </c>
      <c r="H1315" s="563">
        <v>0</v>
      </c>
      <c r="I1315" s="563">
        <f t="shared" si="105"/>
        <v>61</v>
      </c>
      <c r="J1315" s="563">
        <v>0</v>
      </c>
      <c r="K1315" s="563">
        <v>61</v>
      </c>
      <c r="L1315" s="741">
        <v>0</v>
      </c>
      <c r="M1315" s="687">
        <v>94</v>
      </c>
      <c r="N1315" s="563">
        <v>4.2</v>
      </c>
      <c r="O1315" s="746" t="s">
        <v>3546</v>
      </c>
      <c r="P1315" s="547" t="s">
        <v>1588</v>
      </c>
      <c r="Q1315" s="689">
        <v>0</v>
      </c>
      <c r="R1315" s="689">
        <v>0</v>
      </c>
      <c r="S1315" s="689">
        <v>0</v>
      </c>
      <c r="T1315" s="689">
        <v>0</v>
      </c>
      <c r="U1315" s="547" t="s">
        <v>6877</v>
      </c>
      <c r="V1315" s="548" t="s">
        <v>6884</v>
      </c>
      <c r="W1315" s="658">
        <v>430</v>
      </c>
      <c r="X1315" s="547" t="s">
        <v>1532</v>
      </c>
      <c r="Y1315" s="547" t="s">
        <v>3232</v>
      </c>
      <c r="Z1315" s="547" t="s">
        <v>1711</v>
      </c>
      <c r="AA1315" s="547" t="s">
        <v>6879</v>
      </c>
      <c r="AB1315" s="550" t="s">
        <v>1537</v>
      </c>
    </row>
    <row r="1316" spans="1:28" ht="24" customHeight="1">
      <c r="A1316" s="606"/>
      <c r="B1316" s="544" t="s">
        <v>675</v>
      </c>
      <c r="C1316" s="551" t="s">
        <v>6885</v>
      </c>
      <c r="D1316" s="553" t="s">
        <v>6886</v>
      </c>
      <c r="E1316" s="563">
        <f t="shared" si="104"/>
        <v>30</v>
      </c>
      <c r="F1316" s="563">
        <v>0</v>
      </c>
      <c r="G1316" s="563">
        <v>30</v>
      </c>
      <c r="H1316" s="563">
        <v>0</v>
      </c>
      <c r="I1316" s="563">
        <f t="shared" si="105"/>
        <v>25</v>
      </c>
      <c r="J1316" s="563">
        <v>0</v>
      </c>
      <c r="K1316" s="563">
        <v>25</v>
      </c>
      <c r="L1316" s="741">
        <v>0</v>
      </c>
      <c r="M1316" s="687">
        <v>90</v>
      </c>
      <c r="N1316" s="563">
        <v>1.3</v>
      </c>
      <c r="O1316" s="746" t="s">
        <v>6887</v>
      </c>
      <c r="P1316" s="547" t="s">
        <v>1588</v>
      </c>
      <c r="Q1316" s="689">
        <v>0</v>
      </c>
      <c r="R1316" s="689">
        <v>0</v>
      </c>
      <c r="S1316" s="689">
        <v>0</v>
      </c>
      <c r="T1316" s="689">
        <v>0</v>
      </c>
      <c r="U1316" s="547" t="s">
        <v>6877</v>
      </c>
      <c r="V1316" s="548" t="s">
        <v>6888</v>
      </c>
      <c r="W1316" s="658">
        <v>117</v>
      </c>
      <c r="X1316" s="547" t="s">
        <v>1532</v>
      </c>
      <c r="Y1316" s="547" t="s">
        <v>3232</v>
      </c>
      <c r="Z1316" s="547" t="s">
        <v>1711</v>
      </c>
      <c r="AA1316" s="547" t="s">
        <v>6879</v>
      </c>
      <c r="AB1316" s="550" t="s">
        <v>1537</v>
      </c>
    </row>
    <row r="1317" spans="1:28" ht="24" customHeight="1">
      <c r="A1317" s="606"/>
      <c r="B1317" s="544" t="s">
        <v>675</v>
      </c>
      <c r="C1317" s="551" t="s">
        <v>6604</v>
      </c>
      <c r="D1317" s="553" t="s">
        <v>6889</v>
      </c>
      <c r="E1317" s="563">
        <f t="shared" si="104"/>
        <v>50</v>
      </c>
      <c r="F1317" s="563">
        <v>0</v>
      </c>
      <c r="G1317" s="563">
        <v>50</v>
      </c>
      <c r="H1317" s="563">
        <v>0</v>
      </c>
      <c r="I1317" s="563">
        <f t="shared" si="105"/>
        <v>45</v>
      </c>
      <c r="J1317" s="563">
        <v>0</v>
      </c>
      <c r="K1317" s="563">
        <v>45</v>
      </c>
      <c r="L1317" s="741">
        <v>0</v>
      </c>
      <c r="M1317" s="687">
        <v>90</v>
      </c>
      <c r="N1317" s="563">
        <v>2.8</v>
      </c>
      <c r="O1317" s="746" t="s">
        <v>3546</v>
      </c>
      <c r="P1317" s="547" t="s">
        <v>1588</v>
      </c>
      <c r="Q1317" s="689">
        <v>0</v>
      </c>
      <c r="R1317" s="689">
        <v>0</v>
      </c>
      <c r="S1317" s="689">
        <v>0</v>
      </c>
      <c r="T1317" s="689">
        <v>0</v>
      </c>
      <c r="U1317" s="547" t="s">
        <v>6877</v>
      </c>
      <c r="V1317" s="548" t="s">
        <v>6890</v>
      </c>
      <c r="W1317" s="658">
        <v>160</v>
      </c>
      <c r="X1317" s="547" t="s">
        <v>1532</v>
      </c>
      <c r="Y1317" s="547" t="s">
        <v>3232</v>
      </c>
      <c r="Z1317" s="547" t="s">
        <v>1711</v>
      </c>
      <c r="AA1317" s="547" t="s">
        <v>6879</v>
      </c>
      <c r="AB1317" s="550" t="s">
        <v>1537</v>
      </c>
    </row>
    <row r="1318" spans="1:28" ht="24" customHeight="1">
      <c r="A1318" s="606"/>
      <c r="B1318" s="544" t="s">
        <v>675</v>
      </c>
      <c r="C1318" s="551" t="s">
        <v>6891</v>
      </c>
      <c r="D1318" s="553" t="s">
        <v>6892</v>
      </c>
      <c r="E1318" s="563">
        <f t="shared" si="104"/>
        <v>50</v>
      </c>
      <c r="F1318" s="563">
        <v>0</v>
      </c>
      <c r="G1318" s="563">
        <v>50</v>
      </c>
      <c r="H1318" s="563">
        <v>0</v>
      </c>
      <c r="I1318" s="563">
        <f t="shared" si="105"/>
        <v>45</v>
      </c>
      <c r="J1318" s="563">
        <v>0</v>
      </c>
      <c r="K1318" s="563">
        <v>45</v>
      </c>
      <c r="L1318" s="741">
        <v>0</v>
      </c>
      <c r="M1318" s="687">
        <v>92</v>
      </c>
      <c r="N1318" s="563">
        <v>2.8</v>
      </c>
      <c r="O1318" s="746" t="s">
        <v>3546</v>
      </c>
      <c r="P1318" s="547" t="s">
        <v>1588</v>
      </c>
      <c r="Q1318" s="689">
        <v>0</v>
      </c>
      <c r="R1318" s="689">
        <v>0</v>
      </c>
      <c r="S1318" s="689">
        <v>0</v>
      </c>
      <c r="T1318" s="689">
        <v>0</v>
      </c>
      <c r="U1318" s="547" t="s">
        <v>6877</v>
      </c>
      <c r="V1318" s="547" t="s">
        <v>6893</v>
      </c>
      <c r="W1318" s="658">
        <v>870</v>
      </c>
      <c r="X1318" s="547" t="s">
        <v>1532</v>
      </c>
      <c r="Y1318" s="547" t="s">
        <v>3232</v>
      </c>
      <c r="Z1318" s="547" t="s">
        <v>1711</v>
      </c>
      <c r="AA1318" s="547" t="s">
        <v>6879</v>
      </c>
      <c r="AB1318" s="550" t="s">
        <v>1537</v>
      </c>
    </row>
    <row r="1319" spans="1:28" ht="24" customHeight="1">
      <c r="A1319" s="606"/>
      <c r="B1319" s="544" t="s">
        <v>675</v>
      </c>
      <c r="C1319" s="551" t="s">
        <v>6894</v>
      </c>
      <c r="D1319" s="553" t="s">
        <v>6895</v>
      </c>
      <c r="E1319" s="563">
        <f t="shared" si="104"/>
        <v>25</v>
      </c>
      <c r="F1319" s="563">
        <v>0</v>
      </c>
      <c r="G1319" s="563">
        <v>25</v>
      </c>
      <c r="H1319" s="563">
        <v>0</v>
      </c>
      <c r="I1319" s="563">
        <f t="shared" si="105"/>
        <v>20</v>
      </c>
      <c r="J1319" s="563">
        <v>0</v>
      </c>
      <c r="K1319" s="563">
        <v>20</v>
      </c>
      <c r="L1319" s="741">
        <v>0</v>
      </c>
      <c r="M1319" s="687">
        <v>91</v>
      </c>
      <c r="N1319" s="563">
        <v>0.8</v>
      </c>
      <c r="O1319" s="746" t="s">
        <v>3546</v>
      </c>
      <c r="P1319" s="547" t="s">
        <v>1588</v>
      </c>
      <c r="Q1319" s="689">
        <v>0</v>
      </c>
      <c r="R1319" s="689">
        <v>0</v>
      </c>
      <c r="S1319" s="689">
        <v>0</v>
      </c>
      <c r="T1319" s="689">
        <v>0</v>
      </c>
      <c r="U1319" s="547" t="s">
        <v>6877</v>
      </c>
      <c r="V1319" s="547" t="s">
        <v>6896</v>
      </c>
      <c r="W1319" s="658">
        <v>102</v>
      </c>
      <c r="X1319" s="547" t="s">
        <v>1532</v>
      </c>
      <c r="Y1319" s="547" t="s">
        <v>3232</v>
      </c>
      <c r="Z1319" s="547" t="s">
        <v>1705</v>
      </c>
      <c r="AA1319" s="547" t="s">
        <v>1703</v>
      </c>
      <c r="AB1319" s="550" t="s">
        <v>1686</v>
      </c>
    </row>
    <row r="1320" spans="1:28" ht="22.5" customHeight="1">
      <c r="A1320" s="606"/>
      <c r="B1320" s="544" t="s">
        <v>675</v>
      </c>
      <c r="C1320" s="551" t="s">
        <v>6897</v>
      </c>
      <c r="D1320" s="553" t="s">
        <v>6898</v>
      </c>
      <c r="E1320" s="563">
        <f t="shared" si="104"/>
        <v>40</v>
      </c>
      <c r="F1320" s="563">
        <v>0</v>
      </c>
      <c r="G1320" s="563">
        <v>40</v>
      </c>
      <c r="H1320" s="563">
        <v>0</v>
      </c>
      <c r="I1320" s="563">
        <f t="shared" si="105"/>
        <v>33</v>
      </c>
      <c r="J1320" s="563">
        <v>0</v>
      </c>
      <c r="K1320" s="563">
        <v>33</v>
      </c>
      <c r="L1320" s="741">
        <v>0</v>
      </c>
      <c r="M1320" s="687">
        <v>96</v>
      </c>
      <c r="N1320" s="563">
        <v>1.7</v>
      </c>
      <c r="O1320" s="746" t="s">
        <v>3546</v>
      </c>
      <c r="P1320" s="547" t="s">
        <v>1588</v>
      </c>
      <c r="Q1320" s="689">
        <v>0</v>
      </c>
      <c r="R1320" s="689">
        <v>0</v>
      </c>
      <c r="S1320" s="689">
        <v>0</v>
      </c>
      <c r="T1320" s="689">
        <v>0</v>
      </c>
      <c r="U1320" s="547" t="s">
        <v>6877</v>
      </c>
      <c r="V1320" s="547" t="s">
        <v>6899</v>
      </c>
      <c r="W1320" s="658">
        <v>176</v>
      </c>
      <c r="X1320" s="547" t="s">
        <v>1532</v>
      </c>
      <c r="Y1320" s="547" t="s">
        <v>3232</v>
      </c>
      <c r="Z1320" s="547" t="s">
        <v>1705</v>
      </c>
      <c r="AA1320" s="547" t="s">
        <v>1703</v>
      </c>
      <c r="AB1320" s="550" t="s">
        <v>1686</v>
      </c>
    </row>
    <row r="1321" spans="1:28" ht="24" customHeight="1">
      <c r="A1321" s="606"/>
      <c r="B1321" s="544" t="s">
        <v>675</v>
      </c>
      <c r="C1321" s="551" t="s">
        <v>6900</v>
      </c>
      <c r="D1321" s="553" t="s">
        <v>6901</v>
      </c>
      <c r="E1321" s="563">
        <f t="shared" si="104"/>
        <v>16</v>
      </c>
      <c r="F1321" s="563">
        <v>0</v>
      </c>
      <c r="G1321" s="563">
        <v>0</v>
      </c>
      <c r="H1321" s="563">
        <v>16</v>
      </c>
      <c r="I1321" s="563">
        <f t="shared" si="105"/>
        <v>12</v>
      </c>
      <c r="J1321" s="563">
        <v>0</v>
      </c>
      <c r="K1321" s="563">
        <v>0</v>
      </c>
      <c r="L1321" s="741">
        <v>12</v>
      </c>
      <c r="M1321" s="687">
        <v>91</v>
      </c>
      <c r="N1321" s="563">
        <v>0.5</v>
      </c>
      <c r="O1321" s="746" t="s">
        <v>3546</v>
      </c>
      <c r="P1321" s="547" t="s">
        <v>1588</v>
      </c>
      <c r="Q1321" s="689">
        <v>0</v>
      </c>
      <c r="R1321" s="689">
        <v>0</v>
      </c>
      <c r="S1321" s="689">
        <v>0</v>
      </c>
      <c r="T1321" s="689">
        <v>0</v>
      </c>
      <c r="U1321" s="547" t="s">
        <v>6877</v>
      </c>
      <c r="V1321" s="547" t="s">
        <v>6896</v>
      </c>
      <c r="W1321" s="658">
        <v>60</v>
      </c>
      <c r="X1321" s="547" t="s">
        <v>1532</v>
      </c>
      <c r="Y1321" s="547" t="s">
        <v>3232</v>
      </c>
      <c r="Z1321" s="547" t="s">
        <v>1703</v>
      </c>
      <c r="AA1321" s="547" t="s">
        <v>1703</v>
      </c>
      <c r="AB1321" s="550" t="s">
        <v>6902</v>
      </c>
    </row>
    <row r="1322" spans="1:28" ht="24" customHeight="1">
      <c r="A1322" s="606"/>
      <c r="B1322" s="544" t="s">
        <v>675</v>
      </c>
      <c r="C1322" s="551" t="s">
        <v>6903</v>
      </c>
      <c r="D1322" s="553" t="s">
        <v>6904</v>
      </c>
      <c r="E1322" s="563">
        <f t="shared" si="104"/>
        <v>70</v>
      </c>
      <c r="F1322" s="563">
        <v>0</v>
      </c>
      <c r="G1322" s="563">
        <v>0</v>
      </c>
      <c r="H1322" s="563">
        <v>70</v>
      </c>
      <c r="I1322" s="563">
        <f t="shared" si="105"/>
        <v>64</v>
      </c>
      <c r="J1322" s="563">
        <v>0</v>
      </c>
      <c r="K1322" s="563">
        <v>0</v>
      </c>
      <c r="L1322" s="741">
        <v>64</v>
      </c>
      <c r="M1322" s="687">
        <v>94</v>
      </c>
      <c r="N1322" s="563">
        <v>3.1</v>
      </c>
      <c r="O1322" s="746" t="s">
        <v>6905</v>
      </c>
      <c r="P1322" s="547" t="s">
        <v>1588</v>
      </c>
      <c r="Q1322" s="689">
        <v>0</v>
      </c>
      <c r="R1322" s="689">
        <v>0</v>
      </c>
      <c r="S1322" s="689">
        <v>0</v>
      </c>
      <c r="T1322" s="689">
        <v>0</v>
      </c>
      <c r="U1322" s="547" t="s">
        <v>6877</v>
      </c>
      <c r="V1322" s="547" t="s">
        <v>6906</v>
      </c>
      <c r="W1322" s="658">
        <v>480</v>
      </c>
      <c r="X1322" s="547" t="s">
        <v>1532</v>
      </c>
      <c r="Y1322" s="547" t="s">
        <v>3232</v>
      </c>
      <c r="Z1322" s="547" t="s">
        <v>1703</v>
      </c>
      <c r="AA1322" s="547" t="s">
        <v>1703</v>
      </c>
      <c r="AB1322" s="550" t="s">
        <v>1686</v>
      </c>
    </row>
    <row r="1323" spans="1:28" ht="24" customHeight="1">
      <c r="A1323" s="606"/>
      <c r="B1323" s="544" t="s">
        <v>675</v>
      </c>
      <c r="C1323" s="551" t="s">
        <v>6907</v>
      </c>
      <c r="D1323" s="553" t="s">
        <v>6908</v>
      </c>
      <c r="E1323" s="563">
        <f t="shared" si="104"/>
        <v>16</v>
      </c>
      <c r="F1323" s="563">
        <v>0</v>
      </c>
      <c r="G1323" s="563">
        <v>0</v>
      </c>
      <c r="H1323" s="563">
        <v>16</v>
      </c>
      <c r="I1323" s="563">
        <f t="shared" si="105"/>
        <v>12</v>
      </c>
      <c r="J1323" s="563">
        <v>0</v>
      </c>
      <c r="K1323" s="563">
        <v>0</v>
      </c>
      <c r="L1323" s="741">
        <v>12</v>
      </c>
      <c r="M1323" s="687">
        <v>91</v>
      </c>
      <c r="N1323" s="563">
        <v>0.5</v>
      </c>
      <c r="O1323" s="746" t="s">
        <v>3546</v>
      </c>
      <c r="P1323" s="547" t="s">
        <v>1588</v>
      </c>
      <c r="Q1323" s="689">
        <v>0</v>
      </c>
      <c r="R1323" s="689">
        <v>0</v>
      </c>
      <c r="S1323" s="689">
        <v>0</v>
      </c>
      <c r="T1323" s="689">
        <v>0</v>
      </c>
      <c r="U1323" s="547" t="s">
        <v>6877</v>
      </c>
      <c r="V1323" s="547" t="s">
        <v>6896</v>
      </c>
      <c r="W1323" s="658">
        <v>80</v>
      </c>
      <c r="X1323" s="547" t="s">
        <v>1532</v>
      </c>
      <c r="Y1323" s="547" t="s">
        <v>3232</v>
      </c>
      <c r="Z1323" s="547" t="s">
        <v>1703</v>
      </c>
      <c r="AA1323" s="547" t="s">
        <v>1703</v>
      </c>
      <c r="AB1323" s="550" t="s">
        <v>1686</v>
      </c>
    </row>
    <row r="1324" spans="1:28" ht="24" customHeight="1">
      <c r="A1324" s="606"/>
      <c r="B1324" s="544" t="s">
        <v>675</v>
      </c>
      <c r="C1324" s="551" t="s">
        <v>6909</v>
      </c>
      <c r="D1324" s="553" t="s">
        <v>6910</v>
      </c>
      <c r="E1324" s="563">
        <f t="shared" si="104"/>
        <v>16</v>
      </c>
      <c r="F1324" s="563">
        <v>0</v>
      </c>
      <c r="G1324" s="563">
        <v>0</v>
      </c>
      <c r="H1324" s="563">
        <v>16</v>
      </c>
      <c r="I1324" s="563">
        <f t="shared" si="105"/>
        <v>12</v>
      </c>
      <c r="J1324" s="563">
        <v>0</v>
      </c>
      <c r="K1324" s="563">
        <v>0</v>
      </c>
      <c r="L1324" s="741">
        <v>12</v>
      </c>
      <c r="M1324" s="687">
        <v>91</v>
      </c>
      <c r="N1324" s="563">
        <v>0.5</v>
      </c>
      <c r="O1324" s="746" t="s">
        <v>3546</v>
      </c>
      <c r="P1324" s="547" t="s">
        <v>1588</v>
      </c>
      <c r="Q1324" s="689">
        <v>0</v>
      </c>
      <c r="R1324" s="689">
        <v>0</v>
      </c>
      <c r="S1324" s="689">
        <v>0</v>
      </c>
      <c r="T1324" s="689">
        <v>0</v>
      </c>
      <c r="U1324" s="547" t="s">
        <v>6877</v>
      </c>
      <c r="V1324" s="547" t="s">
        <v>6896</v>
      </c>
      <c r="W1324" s="658">
        <v>162</v>
      </c>
      <c r="X1324" s="547" t="s">
        <v>1532</v>
      </c>
      <c r="Y1324" s="547" t="s">
        <v>3232</v>
      </c>
      <c r="Z1324" s="547" t="s">
        <v>1703</v>
      </c>
      <c r="AA1324" s="547" t="s">
        <v>1703</v>
      </c>
      <c r="AB1324" s="550" t="s">
        <v>1686</v>
      </c>
    </row>
    <row r="1325" spans="1:28" ht="24" customHeight="1">
      <c r="A1325" s="606"/>
      <c r="B1325" s="544" t="s">
        <v>675</v>
      </c>
      <c r="C1325" s="551" t="s">
        <v>6911</v>
      </c>
      <c r="D1325" s="553" t="s">
        <v>6912</v>
      </c>
      <c r="E1325" s="563">
        <f t="shared" si="104"/>
        <v>100</v>
      </c>
      <c r="F1325" s="563">
        <v>0</v>
      </c>
      <c r="G1325" s="563">
        <v>100</v>
      </c>
      <c r="H1325" s="563">
        <v>0</v>
      </c>
      <c r="I1325" s="563">
        <f t="shared" si="105"/>
        <v>90</v>
      </c>
      <c r="J1325" s="563">
        <v>0</v>
      </c>
      <c r="K1325" s="563">
        <v>0</v>
      </c>
      <c r="L1325" s="741">
        <v>90</v>
      </c>
      <c r="M1325" s="687">
        <v>94</v>
      </c>
      <c r="N1325" s="563">
        <v>8</v>
      </c>
      <c r="O1325" s="746" t="s">
        <v>6905</v>
      </c>
      <c r="P1325" s="547" t="s">
        <v>1588</v>
      </c>
      <c r="Q1325" s="689">
        <v>0</v>
      </c>
      <c r="R1325" s="689">
        <v>0</v>
      </c>
      <c r="S1325" s="689">
        <v>0</v>
      </c>
      <c r="T1325" s="689">
        <v>0</v>
      </c>
      <c r="U1325" s="547" t="s">
        <v>6877</v>
      </c>
      <c r="V1325" s="547" t="s">
        <v>6913</v>
      </c>
      <c r="W1325" s="658">
        <v>326</v>
      </c>
      <c r="X1325" s="547" t="s">
        <v>1532</v>
      </c>
      <c r="Y1325" s="547" t="s">
        <v>3232</v>
      </c>
      <c r="Z1325" s="547" t="s">
        <v>1703</v>
      </c>
      <c r="AA1325" s="547" t="s">
        <v>1703</v>
      </c>
      <c r="AB1325" s="550" t="s">
        <v>1686</v>
      </c>
    </row>
    <row r="1326" spans="1:28" ht="24" customHeight="1">
      <c r="A1326" s="606"/>
      <c r="B1326" s="544" t="s">
        <v>675</v>
      </c>
      <c r="C1326" s="551" t="s">
        <v>2400</v>
      </c>
      <c r="D1326" s="553" t="s">
        <v>6914</v>
      </c>
      <c r="E1326" s="563">
        <f t="shared" si="104"/>
        <v>25</v>
      </c>
      <c r="F1326" s="563">
        <v>0</v>
      </c>
      <c r="G1326" s="563">
        <v>0</v>
      </c>
      <c r="H1326" s="563">
        <v>25</v>
      </c>
      <c r="I1326" s="563">
        <f t="shared" si="105"/>
        <v>20</v>
      </c>
      <c r="J1326" s="563">
        <v>0</v>
      </c>
      <c r="K1326" s="563">
        <v>0</v>
      </c>
      <c r="L1326" s="741">
        <v>20</v>
      </c>
      <c r="M1326" s="687">
        <v>91</v>
      </c>
      <c r="N1326" s="563">
        <v>0.8</v>
      </c>
      <c r="O1326" s="746" t="s">
        <v>3546</v>
      </c>
      <c r="P1326" s="547" t="s">
        <v>1588</v>
      </c>
      <c r="Q1326" s="689">
        <v>0</v>
      </c>
      <c r="R1326" s="689">
        <v>0</v>
      </c>
      <c r="S1326" s="689">
        <v>0</v>
      </c>
      <c r="T1326" s="689">
        <v>0</v>
      </c>
      <c r="U1326" s="547" t="s">
        <v>6877</v>
      </c>
      <c r="V1326" s="547" t="s">
        <v>6896</v>
      </c>
      <c r="W1326" s="658">
        <v>96</v>
      </c>
      <c r="X1326" s="547" t="s">
        <v>1532</v>
      </c>
      <c r="Y1326" s="547" t="s">
        <v>3232</v>
      </c>
      <c r="Z1326" s="547" t="s">
        <v>1703</v>
      </c>
      <c r="AA1326" s="547" t="s">
        <v>1703</v>
      </c>
      <c r="AB1326" s="550" t="s">
        <v>1686</v>
      </c>
    </row>
    <row r="1327" spans="1:28" ht="24" customHeight="1">
      <c r="A1327" s="606"/>
      <c r="B1327" s="544" t="s">
        <v>675</v>
      </c>
      <c r="C1327" s="551" t="s">
        <v>6915</v>
      </c>
      <c r="D1327" s="553" t="s">
        <v>6916</v>
      </c>
      <c r="E1327" s="563">
        <f t="shared" si="104"/>
        <v>60</v>
      </c>
      <c r="F1327" s="563">
        <v>0</v>
      </c>
      <c r="G1327" s="563">
        <v>60</v>
      </c>
      <c r="H1327" s="563">
        <v>0</v>
      </c>
      <c r="I1327" s="563">
        <f t="shared" si="105"/>
        <v>45</v>
      </c>
      <c r="J1327" s="563">
        <v>0</v>
      </c>
      <c r="K1327" s="563">
        <v>0</v>
      </c>
      <c r="L1327" s="741">
        <v>45</v>
      </c>
      <c r="M1327" s="687">
        <v>90</v>
      </c>
      <c r="N1327" s="563">
        <v>4.3</v>
      </c>
      <c r="O1327" s="746" t="s">
        <v>3546</v>
      </c>
      <c r="P1327" s="547" t="s">
        <v>1588</v>
      </c>
      <c r="Q1327" s="689">
        <v>0</v>
      </c>
      <c r="R1327" s="689">
        <v>0</v>
      </c>
      <c r="S1327" s="689">
        <v>0</v>
      </c>
      <c r="T1327" s="689">
        <v>0</v>
      </c>
      <c r="U1327" s="547" t="s">
        <v>6877</v>
      </c>
      <c r="V1327" s="547" t="s">
        <v>6917</v>
      </c>
      <c r="W1327" s="658">
        <v>400</v>
      </c>
      <c r="X1327" s="547" t="s">
        <v>1532</v>
      </c>
      <c r="Y1327" s="547" t="s">
        <v>3232</v>
      </c>
      <c r="Z1327" s="547" t="s">
        <v>1703</v>
      </c>
      <c r="AA1327" s="547" t="s">
        <v>1703</v>
      </c>
      <c r="AB1327" s="550" t="s">
        <v>1686</v>
      </c>
    </row>
    <row r="1328" spans="1:28" ht="24" customHeight="1">
      <c r="A1328" s="606"/>
      <c r="B1328" s="544" t="s">
        <v>675</v>
      </c>
      <c r="C1328" s="551" t="s">
        <v>2169</v>
      </c>
      <c r="D1328" s="553" t="s">
        <v>6918</v>
      </c>
      <c r="E1328" s="563">
        <f t="shared" si="104"/>
        <v>50</v>
      </c>
      <c r="F1328" s="563">
        <v>0</v>
      </c>
      <c r="G1328" s="563">
        <v>0</v>
      </c>
      <c r="H1328" s="563">
        <v>50</v>
      </c>
      <c r="I1328" s="563">
        <f t="shared" si="105"/>
        <v>45</v>
      </c>
      <c r="J1328" s="563">
        <v>0</v>
      </c>
      <c r="K1328" s="563">
        <v>0</v>
      </c>
      <c r="L1328" s="741">
        <v>45</v>
      </c>
      <c r="M1328" s="687">
        <v>97</v>
      </c>
      <c r="N1328" s="563">
        <v>2.8</v>
      </c>
      <c r="O1328" s="746" t="s">
        <v>3546</v>
      </c>
      <c r="P1328" s="547" t="s">
        <v>1588</v>
      </c>
      <c r="Q1328" s="689">
        <v>0</v>
      </c>
      <c r="R1328" s="689">
        <v>0</v>
      </c>
      <c r="S1328" s="689">
        <v>0</v>
      </c>
      <c r="T1328" s="689">
        <v>0</v>
      </c>
      <c r="U1328" s="547" t="s">
        <v>6877</v>
      </c>
      <c r="V1328" s="547" t="s">
        <v>6878</v>
      </c>
      <c r="W1328" s="658">
        <v>540</v>
      </c>
      <c r="X1328" s="547" t="s">
        <v>1532</v>
      </c>
      <c r="Y1328" s="547" t="s">
        <v>3232</v>
      </c>
      <c r="Z1328" s="547" t="s">
        <v>1703</v>
      </c>
      <c r="AA1328" s="547" t="s">
        <v>1703</v>
      </c>
      <c r="AB1328" s="550" t="s">
        <v>1686</v>
      </c>
    </row>
    <row r="1329" spans="1:28" ht="24" customHeight="1">
      <c r="A1329" s="606"/>
      <c r="B1329" s="544" t="s">
        <v>675</v>
      </c>
      <c r="C1329" s="551" t="s">
        <v>6919</v>
      </c>
      <c r="D1329" s="553" t="s">
        <v>6920</v>
      </c>
      <c r="E1329" s="563">
        <f t="shared" si="104"/>
        <v>25</v>
      </c>
      <c r="F1329" s="563">
        <v>0</v>
      </c>
      <c r="G1329" s="563">
        <v>0</v>
      </c>
      <c r="H1329" s="563">
        <v>25</v>
      </c>
      <c r="I1329" s="563">
        <f t="shared" si="105"/>
        <v>20</v>
      </c>
      <c r="J1329" s="563">
        <v>0</v>
      </c>
      <c r="K1329" s="563">
        <v>0</v>
      </c>
      <c r="L1329" s="741">
        <v>20</v>
      </c>
      <c r="M1329" s="687">
        <v>91</v>
      </c>
      <c r="N1329" s="563">
        <v>0.8</v>
      </c>
      <c r="O1329" s="746" t="s">
        <v>3546</v>
      </c>
      <c r="P1329" s="547" t="s">
        <v>1588</v>
      </c>
      <c r="Q1329" s="689">
        <v>0</v>
      </c>
      <c r="R1329" s="689">
        <v>0</v>
      </c>
      <c r="S1329" s="689">
        <v>0</v>
      </c>
      <c r="T1329" s="689">
        <v>0</v>
      </c>
      <c r="U1329" s="547" t="s">
        <v>6877</v>
      </c>
      <c r="V1329" s="547" t="s">
        <v>6896</v>
      </c>
      <c r="W1329" s="658">
        <v>92</v>
      </c>
      <c r="X1329" s="547" t="s">
        <v>1532</v>
      </c>
      <c r="Y1329" s="547" t="s">
        <v>3232</v>
      </c>
      <c r="Z1329" s="547" t="s">
        <v>1703</v>
      </c>
      <c r="AA1329" s="547" t="s">
        <v>1703</v>
      </c>
      <c r="AB1329" s="550" t="s">
        <v>1686</v>
      </c>
    </row>
    <row r="1330" spans="1:28" ht="24" customHeight="1">
      <c r="A1330" s="606"/>
      <c r="B1330" s="544" t="s">
        <v>675</v>
      </c>
      <c r="C1330" s="551" t="s">
        <v>6921</v>
      </c>
      <c r="D1330" s="553" t="s">
        <v>6922</v>
      </c>
      <c r="E1330" s="563">
        <f t="shared" si="104"/>
        <v>16</v>
      </c>
      <c r="F1330" s="563">
        <v>0</v>
      </c>
      <c r="G1330" s="563">
        <v>0</v>
      </c>
      <c r="H1330" s="563">
        <v>16</v>
      </c>
      <c r="I1330" s="563">
        <f t="shared" si="105"/>
        <v>12</v>
      </c>
      <c r="J1330" s="563">
        <v>0</v>
      </c>
      <c r="K1330" s="563">
        <v>0</v>
      </c>
      <c r="L1330" s="741">
        <v>12</v>
      </c>
      <c r="M1330" s="687">
        <v>91</v>
      </c>
      <c r="N1330" s="563">
        <v>0.6</v>
      </c>
      <c r="O1330" s="746" t="s">
        <v>3546</v>
      </c>
      <c r="P1330" s="547" t="s">
        <v>1588</v>
      </c>
      <c r="Q1330" s="689">
        <v>0</v>
      </c>
      <c r="R1330" s="689">
        <v>0</v>
      </c>
      <c r="S1330" s="689">
        <v>0</v>
      </c>
      <c r="T1330" s="689">
        <v>0</v>
      </c>
      <c r="U1330" s="547" t="s">
        <v>6877</v>
      </c>
      <c r="V1330" s="547" t="s">
        <v>6896</v>
      </c>
      <c r="W1330" s="658">
        <v>85</v>
      </c>
      <c r="X1330" s="547" t="s">
        <v>1532</v>
      </c>
      <c r="Y1330" s="547" t="s">
        <v>3232</v>
      </c>
      <c r="Z1330" s="547" t="s">
        <v>1703</v>
      </c>
      <c r="AA1330" s="547" t="s">
        <v>1703</v>
      </c>
      <c r="AB1330" s="550" t="s">
        <v>1686</v>
      </c>
    </row>
    <row r="1331" spans="1:28" ht="24" customHeight="1">
      <c r="A1331" s="606"/>
      <c r="B1331" s="544" t="s">
        <v>675</v>
      </c>
      <c r="C1331" s="551" t="s">
        <v>2379</v>
      </c>
      <c r="D1331" s="553" t="s">
        <v>6923</v>
      </c>
      <c r="E1331" s="563">
        <f t="shared" si="104"/>
        <v>25</v>
      </c>
      <c r="F1331" s="563">
        <v>0</v>
      </c>
      <c r="G1331" s="563">
        <v>0</v>
      </c>
      <c r="H1331" s="563">
        <v>25</v>
      </c>
      <c r="I1331" s="563">
        <f t="shared" si="105"/>
        <v>23</v>
      </c>
      <c r="J1331" s="563">
        <v>0</v>
      </c>
      <c r="K1331" s="563">
        <v>0</v>
      </c>
      <c r="L1331" s="741">
        <v>23</v>
      </c>
      <c r="M1331" s="687">
        <v>97</v>
      </c>
      <c r="N1331" s="563">
        <v>1.3</v>
      </c>
      <c r="O1331" s="746" t="s">
        <v>3546</v>
      </c>
      <c r="P1331" s="547" t="s">
        <v>1588</v>
      </c>
      <c r="Q1331" s="689">
        <v>0</v>
      </c>
      <c r="R1331" s="689">
        <v>0</v>
      </c>
      <c r="S1331" s="689">
        <v>0</v>
      </c>
      <c r="T1331" s="689">
        <v>0</v>
      </c>
      <c r="U1331" s="547" t="s">
        <v>6877</v>
      </c>
      <c r="V1331" s="547" t="s">
        <v>6924</v>
      </c>
      <c r="W1331" s="658">
        <v>140</v>
      </c>
      <c r="X1331" s="547" t="s">
        <v>1532</v>
      </c>
      <c r="Y1331" s="547" t="s">
        <v>3232</v>
      </c>
      <c r="Z1331" s="547" t="s">
        <v>1703</v>
      </c>
      <c r="AA1331" s="547" t="s">
        <v>1703</v>
      </c>
      <c r="AB1331" s="550" t="s">
        <v>1537</v>
      </c>
    </row>
    <row r="1332" spans="1:28" ht="24" customHeight="1">
      <c r="A1332" s="606"/>
      <c r="B1332" s="544" t="s">
        <v>675</v>
      </c>
      <c r="C1332" s="551" t="s">
        <v>6925</v>
      </c>
      <c r="D1332" s="553" t="s">
        <v>6926</v>
      </c>
      <c r="E1332" s="563">
        <f t="shared" si="104"/>
        <v>12</v>
      </c>
      <c r="F1332" s="563">
        <v>0</v>
      </c>
      <c r="G1332" s="563">
        <v>0</v>
      </c>
      <c r="H1332" s="563">
        <v>12</v>
      </c>
      <c r="I1332" s="563">
        <f t="shared" si="105"/>
        <v>10</v>
      </c>
      <c r="J1332" s="563">
        <v>0</v>
      </c>
      <c r="K1332" s="563">
        <v>0</v>
      </c>
      <c r="L1332" s="741">
        <v>10</v>
      </c>
      <c r="M1332" s="687">
        <v>84</v>
      </c>
      <c r="N1332" s="563">
        <v>0.4</v>
      </c>
      <c r="O1332" s="746" t="s">
        <v>3546</v>
      </c>
      <c r="P1332" s="547" t="s">
        <v>1588</v>
      </c>
      <c r="Q1332" s="689">
        <v>0</v>
      </c>
      <c r="R1332" s="689">
        <v>0</v>
      </c>
      <c r="S1332" s="689">
        <v>0</v>
      </c>
      <c r="T1332" s="689">
        <v>0</v>
      </c>
      <c r="U1332" s="547" t="s">
        <v>6877</v>
      </c>
      <c r="V1332" s="547" t="s">
        <v>6927</v>
      </c>
      <c r="W1332" s="658">
        <v>54</v>
      </c>
      <c r="X1332" s="547" t="s">
        <v>1532</v>
      </c>
      <c r="Y1332" s="547" t="s">
        <v>3232</v>
      </c>
      <c r="Z1332" s="547" t="s">
        <v>1712</v>
      </c>
      <c r="AA1332" s="547" t="s">
        <v>6928</v>
      </c>
      <c r="AB1332" s="550" t="s">
        <v>1537</v>
      </c>
    </row>
    <row r="1333" spans="1:28" ht="24" customHeight="1">
      <c r="A1333" s="606"/>
      <c r="B1333" s="544" t="s">
        <v>675</v>
      </c>
      <c r="C1333" s="551" t="s">
        <v>2166</v>
      </c>
      <c r="D1333" s="553" t="s">
        <v>6929</v>
      </c>
      <c r="E1333" s="563">
        <f t="shared" si="104"/>
        <v>40</v>
      </c>
      <c r="F1333" s="563">
        <v>0</v>
      </c>
      <c r="G1333" s="563">
        <v>40</v>
      </c>
      <c r="H1333" s="563">
        <v>0</v>
      </c>
      <c r="I1333" s="563">
        <f t="shared" si="105"/>
        <v>32</v>
      </c>
      <c r="J1333" s="563">
        <v>0</v>
      </c>
      <c r="K1333" s="563">
        <v>32</v>
      </c>
      <c r="L1333" s="741">
        <v>0</v>
      </c>
      <c r="M1333" s="687">
        <v>89</v>
      </c>
      <c r="N1333" s="563">
        <v>1.5</v>
      </c>
      <c r="O1333" s="746" t="s">
        <v>3546</v>
      </c>
      <c r="P1333" s="547" t="s">
        <v>1588</v>
      </c>
      <c r="Q1333" s="689">
        <v>0</v>
      </c>
      <c r="R1333" s="689">
        <v>0</v>
      </c>
      <c r="S1333" s="689">
        <v>0</v>
      </c>
      <c r="T1333" s="689">
        <v>0</v>
      </c>
      <c r="U1333" s="547" t="s">
        <v>6877</v>
      </c>
      <c r="V1333" s="547" t="s">
        <v>6930</v>
      </c>
      <c r="W1333" s="658">
        <v>220</v>
      </c>
      <c r="X1333" s="547" t="s">
        <v>1532</v>
      </c>
      <c r="Y1333" s="547" t="s">
        <v>3232</v>
      </c>
      <c r="Z1333" s="547" t="s">
        <v>1712</v>
      </c>
      <c r="AA1333" s="547" t="s">
        <v>6928</v>
      </c>
      <c r="AB1333" s="550" t="s">
        <v>1537</v>
      </c>
    </row>
    <row r="1334" spans="1:28" ht="24" customHeight="1">
      <c r="A1334" s="606"/>
      <c r="B1334" s="544" t="s">
        <v>675</v>
      </c>
      <c r="C1334" s="551" t="s">
        <v>6931</v>
      </c>
      <c r="D1334" s="553" t="s">
        <v>6932</v>
      </c>
      <c r="E1334" s="563">
        <f t="shared" si="104"/>
        <v>55</v>
      </c>
      <c r="F1334" s="563">
        <v>0</v>
      </c>
      <c r="G1334" s="563">
        <v>0</v>
      </c>
      <c r="H1334" s="563">
        <v>55</v>
      </c>
      <c r="I1334" s="563">
        <f t="shared" si="105"/>
        <v>50</v>
      </c>
      <c r="J1334" s="563">
        <v>0</v>
      </c>
      <c r="K1334" s="563">
        <v>0</v>
      </c>
      <c r="L1334" s="741">
        <v>50</v>
      </c>
      <c r="M1334" s="687">
        <v>92</v>
      </c>
      <c r="N1334" s="563">
        <v>2.8</v>
      </c>
      <c r="O1334" s="746" t="s">
        <v>3546</v>
      </c>
      <c r="P1334" s="547" t="s">
        <v>1588</v>
      </c>
      <c r="Q1334" s="689">
        <v>0</v>
      </c>
      <c r="R1334" s="689">
        <v>0</v>
      </c>
      <c r="S1334" s="689">
        <v>0</v>
      </c>
      <c r="T1334" s="689">
        <v>0</v>
      </c>
      <c r="U1334" s="547" t="s">
        <v>6933</v>
      </c>
      <c r="V1334" s="547" t="s">
        <v>6893</v>
      </c>
      <c r="W1334" s="658">
        <v>780</v>
      </c>
      <c r="X1334" s="547" t="s">
        <v>1532</v>
      </c>
      <c r="Y1334" s="547" t="s">
        <v>3232</v>
      </c>
      <c r="Z1334" s="547" t="s">
        <v>1713</v>
      </c>
      <c r="AA1334" s="547" t="s">
        <v>6928</v>
      </c>
      <c r="AB1334" s="550" t="s">
        <v>1537</v>
      </c>
    </row>
    <row r="1335" spans="1:28" ht="24" customHeight="1">
      <c r="A1335" s="606"/>
      <c r="B1335" s="544" t="s">
        <v>675</v>
      </c>
      <c r="C1335" s="551" t="s">
        <v>6934</v>
      </c>
      <c r="D1335" s="553" t="s">
        <v>6935</v>
      </c>
      <c r="E1335" s="563">
        <f t="shared" si="104"/>
        <v>70</v>
      </c>
      <c r="F1335" s="563">
        <v>0</v>
      </c>
      <c r="G1335" s="563">
        <v>0</v>
      </c>
      <c r="H1335" s="563">
        <v>70</v>
      </c>
      <c r="I1335" s="563">
        <f t="shared" si="105"/>
        <v>65</v>
      </c>
      <c r="J1335" s="563">
        <v>0</v>
      </c>
      <c r="K1335" s="563">
        <v>0</v>
      </c>
      <c r="L1335" s="741">
        <v>65</v>
      </c>
      <c r="M1335" s="687">
        <v>95</v>
      </c>
      <c r="N1335" s="563">
        <v>3.2</v>
      </c>
      <c r="O1335" s="746" t="s">
        <v>3546</v>
      </c>
      <c r="P1335" s="547" t="s">
        <v>1588</v>
      </c>
      <c r="Q1335" s="689">
        <v>0</v>
      </c>
      <c r="R1335" s="689">
        <v>0</v>
      </c>
      <c r="S1335" s="689">
        <v>0</v>
      </c>
      <c r="T1335" s="689">
        <v>0</v>
      </c>
      <c r="U1335" s="547" t="s">
        <v>6936</v>
      </c>
      <c r="V1335" s="547" t="s">
        <v>6937</v>
      </c>
      <c r="W1335" s="658">
        <v>1200</v>
      </c>
      <c r="X1335" s="547" t="s">
        <v>1532</v>
      </c>
      <c r="Y1335" s="547" t="s">
        <v>3232</v>
      </c>
      <c r="Z1335" s="547" t="s">
        <v>1713</v>
      </c>
      <c r="AA1335" s="547" t="s">
        <v>6928</v>
      </c>
      <c r="AB1335" s="550" t="s">
        <v>1537</v>
      </c>
    </row>
    <row r="1336" spans="1:28" ht="24" customHeight="1">
      <c r="A1336" s="606"/>
      <c r="B1336" s="544" t="s">
        <v>675</v>
      </c>
      <c r="C1336" s="551" t="s">
        <v>6938</v>
      </c>
      <c r="D1336" s="553" t="s">
        <v>6939</v>
      </c>
      <c r="E1336" s="563">
        <f t="shared" si="104"/>
        <v>15</v>
      </c>
      <c r="F1336" s="563">
        <v>0</v>
      </c>
      <c r="G1336" s="563">
        <v>15</v>
      </c>
      <c r="H1336" s="563">
        <v>0</v>
      </c>
      <c r="I1336" s="563">
        <f t="shared" si="105"/>
        <v>12</v>
      </c>
      <c r="J1336" s="563">
        <v>0</v>
      </c>
      <c r="K1336" s="563">
        <v>12</v>
      </c>
      <c r="L1336" s="741">
        <v>0</v>
      </c>
      <c r="M1336" s="687">
        <v>93</v>
      </c>
      <c r="N1336" s="563">
        <v>0.5</v>
      </c>
      <c r="O1336" s="746" t="s">
        <v>3546</v>
      </c>
      <c r="P1336" s="547" t="s">
        <v>1588</v>
      </c>
      <c r="Q1336" s="689">
        <v>0</v>
      </c>
      <c r="R1336" s="689">
        <v>0</v>
      </c>
      <c r="S1336" s="689">
        <v>0</v>
      </c>
      <c r="T1336" s="689">
        <v>0</v>
      </c>
      <c r="U1336" s="547" t="s">
        <v>6877</v>
      </c>
      <c r="V1336" s="547" t="s">
        <v>6940</v>
      </c>
      <c r="W1336" s="658">
        <v>121</v>
      </c>
      <c r="X1336" s="547" t="s">
        <v>1532</v>
      </c>
      <c r="Y1336" s="547" t="s">
        <v>3232</v>
      </c>
      <c r="Z1336" s="547" t="s">
        <v>1705</v>
      </c>
      <c r="AA1336" s="547" t="s">
        <v>1703</v>
      </c>
      <c r="AB1336" s="550" t="s">
        <v>1686</v>
      </c>
    </row>
    <row r="1337" spans="1:28" ht="24" customHeight="1">
      <c r="A1337" s="606"/>
      <c r="B1337" s="544" t="s">
        <v>675</v>
      </c>
      <c r="C1337" s="551" t="s">
        <v>6941</v>
      </c>
      <c r="D1337" s="553" t="s">
        <v>6942</v>
      </c>
      <c r="E1337" s="563">
        <f t="shared" si="104"/>
        <v>40</v>
      </c>
      <c r="F1337" s="563">
        <v>0</v>
      </c>
      <c r="G1337" s="563">
        <v>40</v>
      </c>
      <c r="H1337" s="563">
        <v>0</v>
      </c>
      <c r="I1337" s="563">
        <f t="shared" si="105"/>
        <v>32</v>
      </c>
      <c r="J1337" s="563">
        <v>0</v>
      </c>
      <c r="K1337" s="563">
        <v>32</v>
      </c>
      <c r="L1337" s="741">
        <v>0</v>
      </c>
      <c r="M1337" s="687">
        <v>94</v>
      </c>
      <c r="N1337" s="563">
        <v>1.3</v>
      </c>
      <c r="O1337" s="746" t="s">
        <v>3546</v>
      </c>
      <c r="P1337" s="547" t="s">
        <v>1588</v>
      </c>
      <c r="Q1337" s="689">
        <v>0</v>
      </c>
      <c r="R1337" s="689">
        <v>0</v>
      </c>
      <c r="S1337" s="689">
        <v>0</v>
      </c>
      <c r="T1337" s="689">
        <v>0</v>
      </c>
      <c r="U1337" s="547" t="s">
        <v>6877</v>
      </c>
      <c r="V1337" s="547" t="s">
        <v>6913</v>
      </c>
      <c r="W1337" s="658">
        <v>220</v>
      </c>
      <c r="X1337" s="547" t="s">
        <v>1532</v>
      </c>
      <c r="Y1337" s="547" t="s">
        <v>3232</v>
      </c>
      <c r="Z1337" s="547" t="s">
        <v>1705</v>
      </c>
      <c r="AA1337" s="547" t="s">
        <v>1703</v>
      </c>
      <c r="AB1337" s="550" t="s">
        <v>1686</v>
      </c>
    </row>
    <row r="1338" spans="1:28" ht="24" customHeight="1">
      <c r="A1338" s="606"/>
      <c r="B1338" s="544" t="s">
        <v>675</v>
      </c>
      <c r="C1338" s="551" t="s">
        <v>2166</v>
      </c>
      <c r="D1338" s="553" t="s">
        <v>6943</v>
      </c>
      <c r="E1338" s="563">
        <f t="shared" si="104"/>
        <v>75</v>
      </c>
      <c r="F1338" s="563">
        <v>0</v>
      </c>
      <c r="G1338" s="563">
        <v>0</v>
      </c>
      <c r="H1338" s="563">
        <v>75</v>
      </c>
      <c r="I1338" s="563">
        <f t="shared" si="105"/>
        <v>70</v>
      </c>
      <c r="J1338" s="563">
        <v>0</v>
      </c>
      <c r="K1338" s="563">
        <v>0</v>
      </c>
      <c r="L1338" s="741">
        <v>70</v>
      </c>
      <c r="M1338" s="687">
        <v>94</v>
      </c>
      <c r="N1338" s="563">
        <v>3.3</v>
      </c>
      <c r="O1338" s="746" t="s">
        <v>3546</v>
      </c>
      <c r="P1338" s="547" t="s">
        <v>1588</v>
      </c>
      <c r="Q1338" s="689">
        <v>0</v>
      </c>
      <c r="R1338" s="689">
        <v>0</v>
      </c>
      <c r="S1338" s="689">
        <v>0</v>
      </c>
      <c r="T1338" s="689">
        <v>0</v>
      </c>
      <c r="U1338" s="547" t="s">
        <v>6877</v>
      </c>
      <c r="V1338" s="547" t="s">
        <v>6944</v>
      </c>
      <c r="W1338" s="658">
        <v>476</v>
      </c>
      <c r="X1338" s="547" t="s">
        <v>1532</v>
      </c>
      <c r="Y1338" s="547" t="s">
        <v>3232</v>
      </c>
      <c r="Z1338" s="547" t="s">
        <v>1705</v>
      </c>
      <c r="AA1338" s="547" t="s">
        <v>1703</v>
      </c>
      <c r="AB1338" s="550" t="s">
        <v>1686</v>
      </c>
    </row>
    <row r="1339" spans="1:28" ht="24" customHeight="1">
      <c r="A1339" s="605" t="s">
        <v>6945</v>
      </c>
      <c r="B1339" s="544" t="s">
        <v>6621</v>
      </c>
      <c r="C1339" s="551" t="s">
        <v>1715</v>
      </c>
      <c r="D1339" s="553" t="s">
        <v>6946</v>
      </c>
      <c r="E1339" s="563">
        <f>F1339+G1339+H1339</f>
        <v>11000</v>
      </c>
      <c r="F1339" s="563">
        <v>0</v>
      </c>
      <c r="G1339" s="563">
        <v>11000</v>
      </c>
      <c r="H1339" s="563">
        <v>0</v>
      </c>
      <c r="I1339" s="563">
        <f>J1339+K1339+L1339</f>
        <v>19021</v>
      </c>
      <c r="J1339" s="563">
        <v>0</v>
      </c>
      <c r="K1339" s="563">
        <v>19021</v>
      </c>
      <c r="L1339" s="741">
        <v>0</v>
      </c>
      <c r="M1339" s="687">
        <v>94.5</v>
      </c>
      <c r="N1339" s="563">
        <v>1814.6</v>
      </c>
      <c r="O1339" s="746" t="s">
        <v>6947</v>
      </c>
      <c r="P1339" s="547" t="s">
        <v>1588</v>
      </c>
      <c r="Q1339" s="689">
        <v>29</v>
      </c>
      <c r="R1339" s="689">
        <v>0</v>
      </c>
      <c r="S1339" s="689">
        <v>0</v>
      </c>
      <c r="T1339" s="689">
        <v>0</v>
      </c>
      <c r="U1339" s="547" t="s">
        <v>6948</v>
      </c>
      <c r="V1339" s="547" t="s">
        <v>6949</v>
      </c>
      <c r="W1339" s="658">
        <v>25762</v>
      </c>
      <c r="X1339" s="547" t="s">
        <v>2276</v>
      </c>
      <c r="Y1339" s="547" t="s">
        <v>1533</v>
      </c>
      <c r="Z1339" s="547" t="s">
        <v>1880</v>
      </c>
      <c r="AA1339" s="547" t="s">
        <v>1591</v>
      </c>
      <c r="AB1339" s="550" t="s">
        <v>1591</v>
      </c>
    </row>
    <row r="1340" spans="1:28" ht="24" customHeight="1">
      <c r="A1340" s="606"/>
      <c r="B1340" s="544" t="s">
        <v>6621</v>
      </c>
      <c r="C1340" s="551" t="s">
        <v>270</v>
      </c>
      <c r="D1340" s="553" t="s">
        <v>6950</v>
      </c>
      <c r="E1340" s="563">
        <f>F1340+G1340+H1340</f>
        <v>6000</v>
      </c>
      <c r="F1340" s="563">
        <v>0</v>
      </c>
      <c r="G1340" s="563">
        <v>6000</v>
      </c>
      <c r="H1340" s="563">
        <v>0</v>
      </c>
      <c r="I1340" s="563">
        <f>J1340+K1340+L1340</f>
        <v>911</v>
      </c>
      <c r="J1340" s="563">
        <v>0</v>
      </c>
      <c r="K1340" s="563">
        <v>911</v>
      </c>
      <c r="L1340" s="741">
        <v>0</v>
      </c>
      <c r="M1340" s="687">
        <v>95</v>
      </c>
      <c r="N1340" s="563">
        <v>31.2</v>
      </c>
      <c r="O1340" s="746" t="s">
        <v>6951</v>
      </c>
      <c r="P1340" s="547" t="s">
        <v>1588</v>
      </c>
      <c r="Q1340" s="689">
        <v>0</v>
      </c>
      <c r="R1340" s="689">
        <v>0</v>
      </c>
      <c r="S1340" s="689">
        <v>0</v>
      </c>
      <c r="T1340" s="689">
        <v>0</v>
      </c>
      <c r="U1340" s="547" t="s">
        <v>6948</v>
      </c>
      <c r="V1340" s="547" t="s">
        <v>6952</v>
      </c>
      <c r="W1340" s="658">
        <v>3800</v>
      </c>
      <c r="X1340" s="547" t="s">
        <v>2276</v>
      </c>
      <c r="Y1340" s="547" t="s">
        <v>1533</v>
      </c>
      <c r="Z1340" s="547" t="s">
        <v>1880</v>
      </c>
      <c r="AA1340" s="547" t="s">
        <v>1591</v>
      </c>
      <c r="AB1340" s="550" t="s">
        <v>1591</v>
      </c>
    </row>
    <row r="1341" spans="1:28" ht="24" customHeight="1">
      <c r="A1341" s="606"/>
      <c r="B1341" s="544" t="s">
        <v>6621</v>
      </c>
      <c r="C1341" s="551" t="s">
        <v>271</v>
      </c>
      <c r="D1341" s="553" t="s">
        <v>6953</v>
      </c>
      <c r="E1341" s="563">
        <f>F1341+G1341+H1341</f>
        <v>2000</v>
      </c>
      <c r="F1341" s="563">
        <v>0</v>
      </c>
      <c r="G1341" s="563">
        <v>2000</v>
      </c>
      <c r="H1341" s="563">
        <v>0</v>
      </c>
      <c r="I1341" s="563">
        <f>J1341+K1341+L1341</f>
        <v>656</v>
      </c>
      <c r="J1341" s="563">
        <v>0</v>
      </c>
      <c r="K1341" s="563">
        <v>656</v>
      </c>
      <c r="L1341" s="741">
        <v>0</v>
      </c>
      <c r="M1341" s="687">
        <v>90.8</v>
      </c>
      <c r="N1341" s="563">
        <v>16.5</v>
      </c>
      <c r="O1341" s="746" t="s">
        <v>1535</v>
      </c>
      <c r="P1341" s="547" t="s">
        <v>1588</v>
      </c>
      <c r="Q1341" s="689">
        <v>0</v>
      </c>
      <c r="R1341" s="689">
        <v>0</v>
      </c>
      <c r="S1341" s="689">
        <v>0</v>
      </c>
      <c r="T1341" s="689">
        <v>0</v>
      </c>
      <c r="U1341" s="547" t="s">
        <v>6948</v>
      </c>
      <c r="V1341" s="547" t="s">
        <v>6954</v>
      </c>
      <c r="W1341" s="658">
        <v>3285</v>
      </c>
      <c r="X1341" s="547" t="s">
        <v>2276</v>
      </c>
      <c r="Y1341" s="547" t="s">
        <v>1533</v>
      </c>
      <c r="Z1341" s="547" t="s">
        <v>1880</v>
      </c>
      <c r="AA1341" s="547" t="s">
        <v>1591</v>
      </c>
      <c r="AB1341" s="550" t="s">
        <v>1591</v>
      </c>
    </row>
    <row r="1342" spans="1:28" ht="24" customHeight="1">
      <c r="A1342" s="606"/>
      <c r="B1342" s="544" t="s">
        <v>6621</v>
      </c>
      <c r="C1342" s="551" t="s">
        <v>1599</v>
      </c>
      <c r="D1342" s="553" t="s">
        <v>6955</v>
      </c>
      <c r="E1342" s="563">
        <f>F1342+G1342+H1342</f>
        <v>800</v>
      </c>
      <c r="F1342" s="563">
        <v>0</v>
      </c>
      <c r="G1342" s="563">
        <v>800</v>
      </c>
      <c r="H1342" s="563">
        <v>0</v>
      </c>
      <c r="I1342" s="563">
        <f>J1342+K1342+L1342</f>
        <v>189</v>
      </c>
      <c r="J1342" s="563">
        <v>0</v>
      </c>
      <c r="K1342" s="563">
        <v>189</v>
      </c>
      <c r="L1342" s="741">
        <v>0</v>
      </c>
      <c r="M1342" s="687">
        <v>95.4</v>
      </c>
      <c r="N1342" s="563">
        <v>5.7</v>
      </c>
      <c r="O1342" s="746" t="s">
        <v>3173</v>
      </c>
      <c r="P1342" s="547" t="s">
        <v>6956</v>
      </c>
      <c r="Q1342" s="689">
        <v>0</v>
      </c>
      <c r="R1342" s="689">
        <v>0</v>
      </c>
      <c r="S1342" s="689">
        <v>0</v>
      </c>
      <c r="T1342" s="689">
        <v>0</v>
      </c>
      <c r="U1342" s="547" t="s">
        <v>6948</v>
      </c>
      <c r="V1342" s="547" t="s">
        <v>6957</v>
      </c>
      <c r="W1342" s="658">
        <v>5865</v>
      </c>
      <c r="X1342" s="547" t="s">
        <v>2276</v>
      </c>
      <c r="Y1342" s="547" t="s">
        <v>3399</v>
      </c>
      <c r="Z1342" s="547" t="s">
        <v>6958</v>
      </c>
      <c r="AA1342" s="547" t="s">
        <v>1686</v>
      </c>
      <c r="AB1342" s="550" t="s">
        <v>1686</v>
      </c>
    </row>
    <row r="1343" spans="1:28" ht="24" customHeight="1">
      <c r="A1343" s="605" t="s">
        <v>1716</v>
      </c>
      <c r="B1343" s="544" t="s">
        <v>675</v>
      </c>
      <c r="C1343" s="551" t="s">
        <v>6959</v>
      </c>
      <c r="D1343" s="553" t="s">
        <v>6960</v>
      </c>
      <c r="E1343" s="563">
        <f t="shared" ref="E1343:E1397" si="106">F1343+G1343+H1343</f>
        <v>20</v>
      </c>
      <c r="F1343" s="563">
        <v>0</v>
      </c>
      <c r="G1343" s="563">
        <v>20</v>
      </c>
      <c r="H1343" s="563">
        <v>0</v>
      </c>
      <c r="I1343" s="563">
        <f t="shared" ref="I1343:I1398" si="107">J1343+K1343+L1343</f>
        <v>15</v>
      </c>
      <c r="J1343" s="563">
        <v>0</v>
      </c>
      <c r="K1343" s="563">
        <v>15</v>
      </c>
      <c r="L1343" s="751">
        <v>0</v>
      </c>
      <c r="M1343" s="689">
        <f>I1343/E1343*100</f>
        <v>75</v>
      </c>
      <c r="N1343" s="563">
        <v>0</v>
      </c>
      <c r="O1343" s="746" t="s">
        <v>6961</v>
      </c>
      <c r="P1343" s="547" t="s">
        <v>1588</v>
      </c>
      <c r="Q1343" s="689">
        <v>0</v>
      </c>
      <c r="R1343" s="689">
        <v>0</v>
      </c>
      <c r="S1343" s="689">
        <v>0</v>
      </c>
      <c r="T1343" s="689">
        <v>0</v>
      </c>
      <c r="U1343" s="547" t="s">
        <v>6962</v>
      </c>
      <c r="V1343" s="548" t="s">
        <v>6963</v>
      </c>
      <c r="W1343" s="658">
        <v>456</v>
      </c>
      <c r="X1343" s="547"/>
      <c r="Y1343" s="547" t="s">
        <v>3161</v>
      </c>
      <c r="Z1343" s="547"/>
      <c r="AA1343" s="547" t="s">
        <v>1770</v>
      </c>
      <c r="AB1343" s="550" t="s">
        <v>1587</v>
      </c>
    </row>
    <row r="1344" spans="1:28" ht="24" customHeight="1">
      <c r="A1344" s="606"/>
      <c r="B1344" s="544" t="s">
        <v>675</v>
      </c>
      <c r="C1344" s="551" t="s">
        <v>6964</v>
      </c>
      <c r="D1344" s="553" t="s">
        <v>6965</v>
      </c>
      <c r="E1344" s="563">
        <f t="shared" si="106"/>
        <v>17</v>
      </c>
      <c r="F1344" s="563">
        <v>0</v>
      </c>
      <c r="G1344" s="563">
        <v>17</v>
      </c>
      <c r="H1344" s="563">
        <v>0</v>
      </c>
      <c r="I1344" s="563">
        <f t="shared" si="107"/>
        <v>13</v>
      </c>
      <c r="J1344" s="563">
        <v>0</v>
      </c>
      <c r="K1344" s="563">
        <v>13</v>
      </c>
      <c r="L1344" s="751">
        <v>0</v>
      </c>
      <c r="M1344" s="689">
        <f t="shared" ref="M1344:M1366" si="108">I1344/E1344*100</f>
        <v>76.470588235294116</v>
      </c>
      <c r="N1344" s="563">
        <v>0</v>
      </c>
      <c r="O1344" s="746" t="s">
        <v>6966</v>
      </c>
      <c r="P1344" s="547" t="s">
        <v>1588</v>
      </c>
      <c r="Q1344" s="689">
        <v>0</v>
      </c>
      <c r="R1344" s="689">
        <v>0</v>
      </c>
      <c r="S1344" s="689">
        <v>0</v>
      </c>
      <c r="T1344" s="689">
        <v>0</v>
      </c>
      <c r="U1344" s="547" t="s">
        <v>6962</v>
      </c>
      <c r="V1344" s="548" t="s">
        <v>2546</v>
      </c>
      <c r="W1344" s="658">
        <v>113</v>
      </c>
      <c r="X1344" s="547"/>
      <c r="Y1344" s="547" t="s">
        <v>6967</v>
      </c>
      <c r="Z1344" s="547"/>
      <c r="AA1344" s="547" t="s">
        <v>1770</v>
      </c>
      <c r="AB1344" s="550" t="s">
        <v>1587</v>
      </c>
    </row>
    <row r="1345" spans="1:28" ht="24" customHeight="1">
      <c r="A1345" s="606"/>
      <c r="B1345" s="544" t="s">
        <v>675</v>
      </c>
      <c r="C1345" s="551" t="s">
        <v>6968</v>
      </c>
      <c r="D1345" s="553" t="s">
        <v>6969</v>
      </c>
      <c r="E1345" s="563">
        <f t="shared" si="106"/>
        <v>90</v>
      </c>
      <c r="F1345" s="563">
        <v>0</v>
      </c>
      <c r="G1345" s="563">
        <v>90</v>
      </c>
      <c r="H1345" s="563">
        <v>0</v>
      </c>
      <c r="I1345" s="563">
        <f t="shared" si="107"/>
        <v>87</v>
      </c>
      <c r="J1345" s="563">
        <v>0</v>
      </c>
      <c r="K1345" s="563">
        <v>87</v>
      </c>
      <c r="L1345" s="751">
        <v>0</v>
      </c>
      <c r="M1345" s="689">
        <f t="shared" si="108"/>
        <v>96.666666666666671</v>
      </c>
      <c r="N1345" s="563">
        <v>0</v>
      </c>
      <c r="O1345" s="746" t="s">
        <v>1153</v>
      </c>
      <c r="P1345" s="547" t="s">
        <v>1588</v>
      </c>
      <c r="Q1345" s="689">
        <v>0</v>
      </c>
      <c r="R1345" s="689">
        <v>0</v>
      </c>
      <c r="S1345" s="689">
        <v>0</v>
      </c>
      <c r="T1345" s="689">
        <v>0</v>
      </c>
      <c r="U1345" s="547" t="s">
        <v>6962</v>
      </c>
      <c r="V1345" s="548" t="s">
        <v>6970</v>
      </c>
      <c r="W1345" s="658">
        <v>425</v>
      </c>
      <c r="X1345" s="547"/>
      <c r="Y1345" s="547" t="s">
        <v>6967</v>
      </c>
      <c r="Z1345" s="547"/>
      <c r="AA1345" s="547" t="s">
        <v>1770</v>
      </c>
      <c r="AB1345" s="550" t="s">
        <v>1587</v>
      </c>
    </row>
    <row r="1346" spans="1:28" ht="24" customHeight="1">
      <c r="A1346" s="606"/>
      <c r="B1346" s="544" t="s">
        <v>675</v>
      </c>
      <c r="C1346" s="551" t="s">
        <v>6971</v>
      </c>
      <c r="D1346" s="553" t="s">
        <v>6972</v>
      </c>
      <c r="E1346" s="563">
        <f t="shared" si="106"/>
        <v>60</v>
      </c>
      <c r="F1346" s="563">
        <v>0</v>
      </c>
      <c r="G1346" s="563">
        <v>60</v>
      </c>
      <c r="H1346" s="563">
        <v>0</v>
      </c>
      <c r="I1346" s="563">
        <f t="shared" si="107"/>
        <v>50</v>
      </c>
      <c r="J1346" s="563">
        <v>0</v>
      </c>
      <c r="K1346" s="563">
        <v>50</v>
      </c>
      <c r="L1346" s="751">
        <v>0</v>
      </c>
      <c r="M1346" s="689">
        <f t="shared" si="108"/>
        <v>83.333333333333343</v>
      </c>
      <c r="N1346" s="563">
        <v>0</v>
      </c>
      <c r="O1346" s="746" t="s">
        <v>1214</v>
      </c>
      <c r="P1346" s="547" t="s">
        <v>1588</v>
      </c>
      <c r="Q1346" s="689">
        <v>0</v>
      </c>
      <c r="R1346" s="689">
        <v>0</v>
      </c>
      <c r="S1346" s="689">
        <v>0</v>
      </c>
      <c r="T1346" s="689">
        <v>0</v>
      </c>
      <c r="U1346" s="547" t="s">
        <v>6962</v>
      </c>
      <c r="V1346" s="548" t="s">
        <v>6973</v>
      </c>
      <c r="W1346" s="658">
        <v>450</v>
      </c>
      <c r="X1346" s="547"/>
      <c r="Y1346" s="547" t="s">
        <v>6974</v>
      </c>
      <c r="Z1346" s="547"/>
      <c r="AA1346" s="547" t="s">
        <v>1770</v>
      </c>
      <c r="AB1346" s="550" t="s">
        <v>1587</v>
      </c>
    </row>
    <row r="1347" spans="1:28" ht="24" customHeight="1">
      <c r="A1347" s="606"/>
      <c r="B1347" s="544" t="s">
        <v>675</v>
      </c>
      <c r="C1347" s="551" t="s">
        <v>6975</v>
      </c>
      <c r="D1347" s="553" t="s">
        <v>6969</v>
      </c>
      <c r="E1347" s="563">
        <f t="shared" si="106"/>
        <v>130</v>
      </c>
      <c r="F1347" s="563">
        <v>0</v>
      </c>
      <c r="G1347" s="563">
        <v>130</v>
      </c>
      <c r="H1347" s="563">
        <v>0</v>
      </c>
      <c r="I1347" s="563">
        <f t="shared" si="107"/>
        <v>100</v>
      </c>
      <c r="J1347" s="563">
        <v>0</v>
      </c>
      <c r="K1347" s="563">
        <v>100</v>
      </c>
      <c r="L1347" s="751">
        <v>0</v>
      </c>
      <c r="M1347" s="689">
        <f t="shared" si="108"/>
        <v>76.923076923076934</v>
      </c>
      <c r="N1347" s="563">
        <v>0</v>
      </c>
      <c r="O1347" s="746" t="s">
        <v>1214</v>
      </c>
      <c r="P1347" s="547" t="s">
        <v>1588</v>
      </c>
      <c r="Q1347" s="689">
        <v>0</v>
      </c>
      <c r="R1347" s="689">
        <v>0</v>
      </c>
      <c r="S1347" s="689">
        <v>0</v>
      </c>
      <c r="T1347" s="689">
        <v>0</v>
      </c>
      <c r="U1347" s="547" t="s">
        <v>6962</v>
      </c>
      <c r="V1347" s="548" t="s">
        <v>6976</v>
      </c>
      <c r="W1347" s="658">
        <v>420</v>
      </c>
      <c r="X1347" s="547"/>
      <c r="Y1347" s="547" t="s">
        <v>6974</v>
      </c>
      <c r="Z1347" s="547"/>
      <c r="AA1347" s="547" t="s">
        <v>1770</v>
      </c>
      <c r="AB1347" s="550" t="s">
        <v>1587</v>
      </c>
    </row>
    <row r="1348" spans="1:28" ht="24" customHeight="1">
      <c r="A1348" s="606"/>
      <c r="B1348" s="544" t="s">
        <v>675</v>
      </c>
      <c r="C1348" s="551" t="s">
        <v>151</v>
      </c>
      <c r="D1348" s="553" t="s">
        <v>6977</v>
      </c>
      <c r="E1348" s="563">
        <f t="shared" si="106"/>
        <v>60</v>
      </c>
      <c r="F1348" s="563">
        <v>0</v>
      </c>
      <c r="G1348" s="563">
        <v>60</v>
      </c>
      <c r="H1348" s="563">
        <v>0</v>
      </c>
      <c r="I1348" s="563">
        <f t="shared" si="107"/>
        <v>50</v>
      </c>
      <c r="J1348" s="563">
        <v>0</v>
      </c>
      <c r="K1348" s="563">
        <v>50</v>
      </c>
      <c r="L1348" s="751">
        <v>0</v>
      </c>
      <c r="M1348" s="689">
        <f t="shared" si="108"/>
        <v>83.333333333333343</v>
      </c>
      <c r="N1348" s="563">
        <v>0</v>
      </c>
      <c r="O1348" s="746" t="s">
        <v>6961</v>
      </c>
      <c r="P1348" s="547" t="s">
        <v>1588</v>
      </c>
      <c r="Q1348" s="689">
        <v>0</v>
      </c>
      <c r="R1348" s="689">
        <v>0</v>
      </c>
      <c r="S1348" s="689">
        <v>0</v>
      </c>
      <c r="T1348" s="689">
        <v>0</v>
      </c>
      <c r="U1348" s="547" t="s">
        <v>6962</v>
      </c>
      <c r="V1348" s="548" t="s">
        <v>6978</v>
      </c>
      <c r="W1348" s="658">
        <v>780</v>
      </c>
      <c r="X1348" s="547"/>
      <c r="Y1348" s="547" t="s">
        <v>3161</v>
      </c>
      <c r="Z1348" s="547"/>
      <c r="AA1348" s="547" t="s">
        <v>1770</v>
      </c>
      <c r="AB1348" s="550" t="s">
        <v>1587</v>
      </c>
    </row>
    <row r="1349" spans="1:28" ht="24" customHeight="1">
      <c r="A1349" s="606"/>
      <c r="B1349" s="544" t="s">
        <v>675</v>
      </c>
      <c r="C1349" s="551" t="s">
        <v>2169</v>
      </c>
      <c r="D1349" s="553" t="s">
        <v>6979</v>
      </c>
      <c r="E1349" s="563">
        <f t="shared" si="106"/>
        <v>40</v>
      </c>
      <c r="F1349" s="563">
        <v>0</v>
      </c>
      <c r="G1349" s="563">
        <v>40</v>
      </c>
      <c r="H1349" s="563">
        <v>0</v>
      </c>
      <c r="I1349" s="563">
        <f t="shared" si="107"/>
        <v>25</v>
      </c>
      <c r="J1349" s="563">
        <v>0</v>
      </c>
      <c r="K1349" s="563">
        <v>25</v>
      </c>
      <c r="L1349" s="751">
        <v>0</v>
      </c>
      <c r="M1349" s="689">
        <f t="shared" si="108"/>
        <v>62.5</v>
      </c>
      <c r="N1349" s="563">
        <v>0</v>
      </c>
      <c r="O1349" s="746" t="s">
        <v>6980</v>
      </c>
      <c r="P1349" s="547" t="s">
        <v>1588</v>
      </c>
      <c r="Q1349" s="689">
        <v>0</v>
      </c>
      <c r="R1349" s="689">
        <v>0</v>
      </c>
      <c r="S1349" s="689">
        <v>0</v>
      </c>
      <c r="T1349" s="689">
        <v>0</v>
      </c>
      <c r="U1349" s="547" t="s">
        <v>6962</v>
      </c>
      <c r="V1349" s="548" t="s">
        <v>6981</v>
      </c>
      <c r="W1349" s="658">
        <v>135</v>
      </c>
      <c r="X1349" s="547"/>
      <c r="Y1349" s="547" t="s">
        <v>6967</v>
      </c>
      <c r="Z1349" s="547"/>
      <c r="AA1349" s="547" t="s">
        <v>1770</v>
      </c>
      <c r="AB1349" s="550" t="s">
        <v>1587</v>
      </c>
    </row>
    <row r="1350" spans="1:28" ht="24" customHeight="1">
      <c r="A1350" s="606"/>
      <c r="B1350" s="544" t="s">
        <v>675</v>
      </c>
      <c r="C1350" s="551" t="s">
        <v>2210</v>
      </c>
      <c r="D1350" s="553" t="s">
        <v>6982</v>
      </c>
      <c r="E1350" s="563">
        <f t="shared" si="106"/>
        <v>44</v>
      </c>
      <c r="F1350" s="563">
        <v>0</v>
      </c>
      <c r="G1350" s="563">
        <v>44</v>
      </c>
      <c r="H1350" s="563">
        <v>0</v>
      </c>
      <c r="I1350" s="563">
        <f t="shared" si="107"/>
        <v>40</v>
      </c>
      <c r="J1350" s="563">
        <v>0</v>
      </c>
      <c r="K1350" s="563">
        <v>40</v>
      </c>
      <c r="L1350" s="751">
        <v>0</v>
      </c>
      <c r="M1350" s="689">
        <f t="shared" si="108"/>
        <v>90.909090909090907</v>
      </c>
      <c r="N1350" s="563">
        <v>0</v>
      </c>
      <c r="O1350" s="746" t="s">
        <v>6966</v>
      </c>
      <c r="P1350" s="547" t="s">
        <v>1588</v>
      </c>
      <c r="Q1350" s="689">
        <v>0</v>
      </c>
      <c r="R1350" s="689">
        <v>0</v>
      </c>
      <c r="S1350" s="689">
        <v>0</v>
      </c>
      <c r="T1350" s="689">
        <v>0</v>
      </c>
      <c r="U1350" s="547" t="s">
        <v>6962</v>
      </c>
      <c r="V1350" s="548" t="s">
        <v>6983</v>
      </c>
      <c r="W1350" s="658">
        <v>175</v>
      </c>
      <c r="X1350" s="547"/>
      <c r="Y1350" s="547" t="s">
        <v>3161</v>
      </c>
      <c r="Z1350" s="547"/>
      <c r="AA1350" s="547" t="s">
        <v>1770</v>
      </c>
      <c r="AB1350" s="550" t="s">
        <v>1587</v>
      </c>
    </row>
    <row r="1351" spans="1:28" ht="24" customHeight="1">
      <c r="A1351" s="606"/>
      <c r="B1351" s="544" t="s">
        <v>675</v>
      </c>
      <c r="C1351" s="551" t="s">
        <v>6984</v>
      </c>
      <c r="D1351" s="553" t="s">
        <v>6985</v>
      </c>
      <c r="E1351" s="563">
        <f t="shared" si="106"/>
        <v>40</v>
      </c>
      <c r="F1351" s="563">
        <v>0</v>
      </c>
      <c r="G1351" s="563">
        <v>40</v>
      </c>
      <c r="H1351" s="563">
        <v>0</v>
      </c>
      <c r="I1351" s="563">
        <f t="shared" si="107"/>
        <v>30</v>
      </c>
      <c r="J1351" s="563">
        <v>0</v>
      </c>
      <c r="K1351" s="563">
        <v>30</v>
      </c>
      <c r="L1351" s="751">
        <v>0</v>
      </c>
      <c r="M1351" s="689">
        <f t="shared" si="108"/>
        <v>75</v>
      </c>
      <c r="N1351" s="563">
        <v>0</v>
      </c>
      <c r="O1351" s="746" t="s">
        <v>6966</v>
      </c>
      <c r="P1351" s="547" t="s">
        <v>1588</v>
      </c>
      <c r="Q1351" s="689">
        <v>0</v>
      </c>
      <c r="R1351" s="689">
        <v>0</v>
      </c>
      <c r="S1351" s="689">
        <v>0</v>
      </c>
      <c r="T1351" s="689">
        <v>0</v>
      </c>
      <c r="U1351" s="547" t="s">
        <v>6962</v>
      </c>
      <c r="V1351" s="548" t="s">
        <v>6986</v>
      </c>
      <c r="W1351" s="658">
        <v>247</v>
      </c>
      <c r="X1351" s="547"/>
      <c r="Y1351" s="547" t="s">
        <v>6967</v>
      </c>
      <c r="Z1351" s="547"/>
      <c r="AA1351" s="547" t="s">
        <v>1770</v>
      </c>
      <c r="AB1351" s="550" t="s">
        <v>1587</v>
      </c>
    </row>
    <row r="1352" spans="1:28" ht="24" customHeight="1">
      <c r="A1352" s="606"/>
      <c r="B1352" s="544" t="s">
        <v>675</v>
      </c>
      <c r="C1352" s="551" t="s">
        <v>6987</v>
      </c>
      <c r="D1352" s="553" t="s">
        <v>6985</v>
      </c>
      <c r="E1352" s="563">
        <f t="shared" si="106"/>
        <v>17</v>
      </c>
      <c r="F1352" s="563">
        <v>0</v>
      </c>
      <c r="G1352" s="563">
        <v>17</v>
      </c>
      <c r="H1352" s="563">
        <v>0</v>
      </c>
      <c r="I1352" s="563">
        <f t="shared" si="107"/>
        <v>13</v>
      </c>
      <c r="J1352" s="563">
        <v>0</v>
      </c>
      <c r="K1352" s="563">
        <v>13</v>
      </c>
      <c r="L1352" s="751">
        <v>0</v>
      </c>
      <c r="M1352" s="689">
        <f t="shared" si="108"/>
        <v>76.470588235294116</v>
      </c>
      <c r="N1352" s="563">
        <v>0</v>
      </c>
      <c r="O1352" s="746" t="s">
        <v>6966</v>
      </c>
      <c r="P1352" s="547" t="s">
        <v>1588</v>
      </c>
      <c r="Q1352" s="689">
        <v>0</v>
      </c>
      <c r="R1352" s="689">
        <v>0</v>
      </c>
      <c r="S1352" s="689">
        <v>0</v>
      </c>
      <c r="T1352" s="689">
        <v>0</v>
      </c>
      <c r="U1352" s="547" t="s">
        <v>6962</v>
      </c>
      <c r="V1352" s="548" t="s">
        <v>6988</v>
      </c>
      <c r="W1352" s="658">
        <v>228</v>
      </c>
      <c r="X1352" s="547"/>
      <c r="Y1352" s="547" t="s">
        <v>6967</v>
      </c>
      <c r="Z1352" s="547"/>
      <c r="AA1352" s="547" t="s">
        <v>1770</v>
      </c>
      <c r="AB1352" s="550" t="s">
        <v>1587</v>
      </c>
    </row>
    <row r="1353" spans="1:28" ht="24" customHeight="1">
      <c r="A1353" s="606"/>
      <c r="B1353" s="544" t="s">
        <v>675</v>
      </c>
      <c r="C1353" s="551" t="s">
        <v>6989</v>
      </c>
      <c r="D1353" s="553" t="s">
        <v>6990</v>
      </c>
      <c r="E1353" s="563">
        <f t="shared" si="106"/>
        <v>70</v>
      </c>
      <c r="F1353" s="563">
        <v>0</v>
      </c>
      <c r="G1353" s="563">
        <v>70</v>
      </c>
      <c r="H1353" s="563">
        <v>0</v>
      </c>
      <c r="I1353" s="563">
        <f t="shared" si="107"/>
        <v>60</v>
      </c>
      <c r="J1353" s="563">
        <v>0</v>
      </c>
      <c r="K1353" s="563">
        <v>60</v>
      </c>
      <c r="L1353" s="751">
        <v>0</v>
      </c>
      <c r="M1353" s="689">
        <f t="shared" si="108"/>
        <v>85.714285714285708</v>
      </c>
      <c r="N1353" s="563">
        <v>0</v>
      </c>
      <c r="O1353" s="746" t="s">
        <v>1127</v>
      </c>
      <c r="P1353" s="547" t="s">
        <v>1588</v>
      </c>
      <c r="Q1353" s="689">
        <v>0</v>
      </c>
      <c r="R1353" s="689">
        <v>0</v>
      </c>
      <c r="S1353" s="689">
        <v>0</v>
      </c>
      <c r="T1353" s="689">
        <v>0</v>
      </c>
      <c r="U1353" s="547" t="s">
        <v>6962</v>
      </c>
      <c r="V1353" s="548" t="s">
        <v>6991</v>
      </c>
      <c r="W1353" s="658">
        <v>248</v>
      </c>
      <c r="X1353" s="547"/>
      <c r="Y1353" s="547" t="s">
        <v>6967</v>
      </c>
      <c r="Z1353" s="547"/>
      <c r="AA1353" s="547" t="s">
        <v>1770</v>
      </c>
      <c r="AB1353" s="550" t="s">
        <v>1587</v>
      </c>
    </row>
    <row r="1354" spans="1:28" ht="24" customHeight="1">
      <c r="A1354" s="606"/>
      <c r="B1354" s="544" t="s">
        <v>675</v>
      </c>
      <c r="C1354" s="551" t="s">
        <v>2044</v>
      </c>
      <c r="D1354" s="553" t="s">
        <v>6992</v>
      </c>
      <c r="E1354" s="563">
        <f t="shared" si="106"/>
        <v>30</v>
      </c>
      <c r="F1354" s="563">
        <v>0</v>
      </c>
      <c r="G1354" s="563">
        <v>30</v>
      </c>
      <c r="H1354" s="563">
        <v>0</v>
      </c>
      <c r="I1354" s="563">
        <f t="shared" si="107"/>
        <v>25</v>
      </c>
      <c r="J1354" s="563">
        <v>0</v>
      </c>
      <c r="K1354" s="563">
        <v>25</v>
      </c>
      <c r="L1354" s="751">
        <v>0</v>
      </c>
      <c r="M1354" s="689">
        <f t="shared" si="108"/>
        <v>83.333333333333343</v>
      </c>
      <c r="N1354" s="563">
        <v>0</v>
      </c>
      <c r="O1354" s="746" t="s">
        <v>3451</v>
      </c>
      <c r="P1354" s="547" t="s">
        <v>1588</v>
      </c>
      <c r="Q1354" s="689">
        <v>0</v>
      </c>
      <c r="R1354" s="689">
        <v>0</v>
      </c>
      <c r="S1354" s="689">
        <v>0</v>
      </c>
      <c r="T1354" s="689">
        <v>0</v>
      </c>
      <c r="U1354" s="547" t="s">
        <v>6962</v>
      </c>
      <c r="V1354" s="548" t="s">
        <v>6993</v>
      </c>
      <c r="W1354" s="658">
        <v>219</v>
      </c>
      <c r="X1354" s="547"/>
      <c r="Y1354" s="547" t="s">
        <v>6967</v>
      </c>
      <c r="Z1354" s="547"/>
      <c r="AA1354" s="547" t="s">
        <v>1770</v>
      </c>
      <c r="AB1354" s="550" t="s">
        <v>1587</v>
      </c>
    </row>
    <row r="1355" spans="1:28" ht="24" customHeight="1">
      <c r="A1355" s="606"/>
      <c r="B1355" s="544" t="s">
        <v>675</v>
      </c>
      <c r="C1355" s="551" t="s">
        <v>6994</v>
      </c>
      <c r="D1355" s="553" t="s">
        <v>6985</v>
      </c>
      <c r="E1355" s="563">
        <f t="shared" si="106"/>
        <v>40</v>
      </c>
      <c r="F1355" s="563">
        <v>0</v>
      </c>
      <c r="G1355" s="563">
        <v>40</v>
      </c>
      <c r="H1355" s="563">
        <v>0</v>
      </c>
      <c r="I1355" s="563">
        <f t="shared" si="107"/>
        <v>35</v>
      </c>
      <c r="J1355" s="563">
        <v>0</v>
      </c>
      <c r="K1355" s="563">
        <v>35</v>
      </c>
      <c r="L1355" s="751">
        <v>0</v>
      </c>
      <c r="M1355" s="689">
        <f t="shared" si="108"/>
        <v>87.5</v>
      </c>
      <c r="N1355" s="563">
        <v>0</v>
      </c>
      <c r="O1355" s="746" t="s">
        <v>6995</v>
      </c>
      <c r="P1355" s="547" t="s">
        <v>1588</v>
      </c>
      <c r="Q1355" s="689">
        <v>0</v>
      </c>
      <c r="R1355" s="689">
        <v>0</v>
      </c>
      <c r="S1355" s="689">
        <v>0</v>
      </c>
      <c r="T1355" s="689">
        <v>0</v>
      </c>
      <c r="U1355" s="547" t="s">
        <v>6962</v>
      </c>
      <c r="V1355" s="548" t="s">
        <v>3746</v>
      </c>
      <c r="W1355" s="658">
        <v>136</v>
      </c>
      <c r="X1355" s="547"/>
      <c r="Y1355" s="547" t="s">
        <v>6967</v>
      </c>
      <c r="Z1355" s="547"/>
      <c r="AA1355" s="547" t="s">
        <v>1770</v>
      </c>
      <c r="AB1355" s="550" t="s">
        <v>1587</v>
      </c>
    </row>
    <row r="1356" spans="1:28" ht="24" customHeight="1">
      <c r="A1356" s="606"/>
      <c r="B1356" s="544" t="s">
        <v>675</v>
      </c>
      <c r="C1356" s="551" t="s">
        <v>6996</v>
      </c>
      <c r="D1356" s="553" t="s">
        <v>6990</v>
      </c>
      <c r="E1356" s="563">
        <f t="shared" si="106"/>
        <v>39</v>
      </c>
      <c r="F1356" s="563">
        <v>0</v>
      </c>
      <c r="G1356" s="563">
        <v>39</v>
      </c>
      <c r="H1356" s="563">
        <v>0</v>
      </c>
      <c r="I1356" s="563">
        <f t="shared" si="107"/>
        <v>30</v>
      </c>
      <c r="J1356" s="563">
        <v>0</v>
      </c>
      <c r="K1356" s="563">
        <v>30</v>
      </c>
      <c r="L1356" s="751">
        <v>0</v>
      </c>
      <c r="M1356" s="689">
        <f t="shared" si="108"/>
        <v>76.923076923076934</v>
      </c>
      <c r="N1356" s="563">
        <v>0</v>
      </c>
      <c r="O1356" s="746" t="s">
        <v>1153</v>
      </c>
      <c r="P1356" s="547" t="s">
        <v>1588</v>
      </c>
      <c r="Q1356" s="689">
        <v>0</v>
      </c>
      <c r="R1356" s="689">
        <v>0</v>
      </c>
      <c r="S1356" s="689">
        <v>0</v>
      </c>
      <c r="T1356" s="689">
        <v>0</v>
      </c>
      <c r="U1356" s="547" t="s">
        <v>6962</v>
      </c>
      <c r="V1356" s="548" t="s">
        <v>6997</v>
      </c>
      <c r="W1356" s="658">
        <v>228</v>
      </c>
      <c r="X1356" s="547"/>
      <c r="Y1356" s="547" t="s">
        <v>6967</v>
      </c>
      <c r="Z1356" s="547"/>
      <c r="AA1356" s="547" t="s">
        <v>1770</v>
      </c>
      <c r="AB1356" s="550" t="s">
        <v>1587</v>
      </c>
    </row>
    <row r="1357" spans="1:28" ht="24" customHeight="1">
      <c r="A1357" s="606"/>
      <c r="B1357" s="544" t="s">
        <v>675</v>
      </c>
      <c r="C1357" s="551" t="s">
        <v>1666</v>
      </c>
      <c r="D1357" s="553" t="s">
        <v>6791</v>
      </c>
      <c r="E1357" s="563">
        <f t="shared" si="106"/>
        <v>70</v>
      </c>
      <c r="F1357" s="563">
        <v>0</v>
      </c>
      <c r="G1357" s="563">
        <v>70</v>
      </c>
      <c r="H1357" s="563">
        <v>0</v>
      </c>
      <c r="I1357" s="563">
        <f t="shared" si="107"/>
        <v>56</v>
      </c>
      <c r="J1357" s="563">
        <v>0</v>
      </c>
      <c r="K1357" s="563">
        <v>56</v>
      </c>
      <c r="L1357" s="751">
        <v>0</v>
      </c>
      <c r="M1357" s="689">
        <f t="shared" si="108"/>
        <v>80</v>
      </c>
      <c r="N1357" s="563">
        <v>0</v>
      </c>
      <c r="O1357" s="746" t="s">
        <v>6998</v>
      </c>
      <c r="P1357" s="547" t="s">
        <v>1588</v>
      </c>
      <c r="Q1357" s="689">
        <v>0</v>
      </c>
      <c r="R1357" s="689">
        <v>0</v>
      </c>
      <c r="S1357" s="689">
        <v>0</v>
      </c>
      <c r="T1357" s="689">
        <v>0</v>
      </c>
      <c r="U1357" s="547" t="s">
        <v>6962</v>
      </c>
      <c r="V1357" s="548" t="s">
        <v>6999</v>
      </c>
      <c r="W1357" s="658">
        <v>408</v>
      </c>
      <c r="X1357" s="547"/>
      <c r="Y1357" s="547" t="s">
        <v>6967</v>
      </c>
      <c r="Z1357" s="547"/>
      <c r="AA1357" s="547" t="s">
        <v>1770</v>
      </c>
      <c r="AB1357" s="550" t="s">
        <v>1587</v>
      </c>
    </row>
    <row r="1358" spans="1:28" ht="24" customHeight="1">
      <c r="A1358" s="606"/>
      <c r="B1358" s="544" t="s">
        <v>675</v>
      </c>
      <c r="C1358" s="551" t="s">
        <v>7000</v>
      </c>
      <c r="D1358" s="553" t="s">
        <v>6992</v>
      </c>
      <c r="E1358" s="563">
        <f t="shared" si="106"/>
        <v>45</v>
      </c>
      <c r="F1358" s="563">
        <v>0</v>
      </c>
      <c r="G1358" s="563">
        <v>45</v>
      </c>
      <c r="H1358" s="563">
        <v>0</v>
      </c>
      <c r="I1358" s="563">
        <f t="shared" si="107"/>
        <v>29</v>
      </c>
      <c r="J1358" s="563">
        <v>0</v>
      </c>
      <c r="K1358" s="563">
        <v>29</v>
      </c>
      <c r="L1358" s="751">
        <v>0</v>
      </c>
      <c r="M1358" s="689">
        <f t="shared" si="108"/>
        <v>64.444444444444443</v>
      </c>
      <c r="N1358" s="563">
        <v>0</v>
      </c>
      <c r="O1358" s="746" t="s">
        <v>7001</v>
      </c>
      <c r="P1358" s="547" t="s">
        <v>1588</v>
      </c>
      <c r="Q1358" s="689">
        <v>0</v>
      </c>
      <c r="R1358" s="689">
        <v>0</v>
      </c>
      <c r="S1358" s="689">
        <v>0</v>
      </c>
      <c r="T1358" s="689">
        <v>0</v>
      </c>
      <c r="U1358" s="547" t="s">
        <v>6962</v>
      </c>
      <c r="V1358" s="548" t="s">
        <v>7002</v>
      </c>
      <c r="W1358" s="658">
        <v>290</v>
      </c>
      <c r="X1358" s="547"/>
      <c r="Y1358" s="547" t="s">
        <v>6967</v>
      </c>
      <c r="Z1358" s="547"/>
      <c r="AA1358" s="547" t="s">
        <v>1770</v>
      </c>
      <c r="AB1358" s="550" t="s">
        <v>1587</v>
      </c>
    </row>
    <row r="1359" spans="1:28" ht="24" customHeight="1">
      <c r="A1359" s="606"/>
      <c r="B1359" s="544" t="s">
        <v>675</v>
      </c>
      <c r="C1359" s="551" t="s">
        <v>2816</v>
      </c>
      <c r="D1359" s="553" t="s">
        <v>7003</v>
      </c>
      <c r="E1359" s="563">
        <f t="shared" si="106"/>
        <v>40</v>
      </c>
      <c r="F1359" s="563">
        <v>0</v>
      </c>
      <c r="G1359" s="563">
        <v>40</v>
      </c>
      <c r="H1359" s="563">
        <v>0</v>
      </c>
      <c r="I1359" s="563">
        <f t="shared" si="107"/>
        <v>30</v>
      </c>
      <c r="J1359" s="563">
        <v>0</v>
      </c>
      <c r="K1359" s="563">
        <v>30</v>
      </c>
      <c r="L1359" s="751">
        <v>0</v>
      </c>
      <c r="M1359" s="689">
        <f t="shared" si="108"/>
        <v>75</v>
      </c>
      <c r="N1359" s="563">
        <v>0</v>
      </c>
      <c r="O1359" s="746" t="s">
        <v>1153</v>
      </c>
      <c r="P1359" s="547" t="s">
        <v>1588</v>
      </c>
      <c r="Q1359" s="689">
        <v>0</v>
      </c>
      <c r="R1359" s="689">
        <v>0</v>
      </c>
      <c r="S1359" s="689">
        <v>0</v>
      </c>
      <c r="T1359" s="689">
        <v>0</v>
      </c>
      <c r="U1359" s="547" t="s">
        <v>6962</v>
      </c>
      <c r="V1359" s="548" t="s">
        <v>2170</v>
      </c>
      <c r="W1359" s="658">
        <v>290</v>
      </c>
      <c r="X1359" s="547"/>
      <c r="Y1359" s="547" t="s">
        <v>6967</v>
      </c>
      <c r="Z1359" s="547"/>
      <c r="AA1359" s="547" t="s">
        <v>1770</v>
      </c>
      <c r="AB1359" s="550" t="s">
        <v>1587</v>
      </c>
    </row>
    <row r="1360" spans="1:28" ht="24" customHeight="1">
      <c r="A1360" s="606"/>
      <c r="B1360" s="544" t="s">
        <v>675</v>
      </c>
      <c r="C1360" s="551" t="s">
        <v>7004</v>
      </c>
      <c r="D1360" s="553" t="s">
        <v>7005</v>
      </c>
      <c r="E1360" s="563">
        <f t="shared" si="106"/>
        <v>40</v>
      </c>
      <c r="F1360" s="563">
        <v>0</v>
      </c>
      <c r="G1360" s="563">
        <v>40</v>
      </c>
      <c r="H1360" s="563">
        <v>0</v>
      </c>
      <c r="I1360" s="563">
        <f t="shared" si="107"/>
        <v>30</v>
      </c>
      <c r="J1360" s="563">
        <v>0</v>
      </c>
      <c r="K1360" s="563">
        <v>30</v>
      </c>
      <c r="L1360" s="751">
        <v>0</v>
      </c>
      <c r="M1360" s="689">
        <f t="shared" si="108"/>
        <v>75</v>
      </c>
      <c r="N1360" s="563">
        <v>0</v>
      </c>
      <c r="O1360" s="746" t="s">
        <v>6980</v>
      </c>
      <c r="P1360" s="547" t="s">
        <v>1588</v>
      </c>
      <c r="Q1360" s="689">
        <v>0</v>
      </c>
      <c r="R1360" s="689">
        <v>0</v>
      </c>
      <c r="S1360" s="689">
        <v>0</v>
      </c>
      <c r="T1360" s="689">
        <v>0</v>
      </c>
      <c r="U1360" s="547" t="s">
        <v>6962</v>
      </c>
      <c r="V1360" s="548" t="s">
        <v>7006</v>
      </c>
      <c r="W1360" s="658">
        <v>161</v>
      </c>
      <c r="X1360" s="547"/>
      <c r="Y1360" s="547" t="s">
        <v>6967</v>
      </c>
      <c r="Z1360" s="547"/>
      <c r="AA1360" s="547" t="s">
        <v>1770</v>
      </c>
      <c r="AB1360" s="550" t="s">
        <v>1587</v>
      </c>
    </row>
    <row r="1361" spans="1:28" ht="24" customHeight="1">
      <c r="A1361" s="606"/>
      <c r="B1361" s="544" t="s">
        <v>675</v>
      </c>
      <c r="C1361" s="551" t="s">
        <v>2095</v>
      </c>
      <c r="D1361" s="553" t="s">
        <v>2095</v>
      </c>
      <c r="E1361" s="563">
        <f t="shared" si="106"/>
        <v>120</v>
      </c>
      <c r="F1361" s="563">
        <v>0</v>
      </c>
      <c r="G1361" s="563">
        <v>120</v>
      </c>
      <c r="H1361" s="563">
        <v>0</v>
      </c>
      <c r="I1361" s="563">
        <f t="shared" si="107"/>
        <v>91</v>
      </c>
      <c r="J1361" s="563">
        <v>0</v>
      </c>
      <c r="K1361" s="563">
        <v>91</v>
      </c>
      <c r="L1361" s="751">
        <v>0</v>
      </c>
      <c r="M1361" s="689">
        <f t="shared" si="108"/>
        <v>75.833333333333329</v>
      </c>
      <c r="N1361" s="563">
        <v>0</v>
      </c>
      <c r="O1361" s="746" t="s">
        <v>1214</v>
      </c>
      <c r="P1361" s="547" t="s">
        <v>1588</v>
      </c>
      <c r="Q1361" s="689">
        <v>0</v>
      </c>
      <c r="R1361" s="689">
        <v>0</v>
      </c>
      <c r="S1361" s="689">
        <v>0</v>
      </c>
      <c r="T1361" s="689">
        <v>0</v>
      </c>
      <c r="U1361" s="547" t="s">
        <v>6962</v>
      </c>
      <c r="V1361" s="548" t="s">
        <v>6963</v>
      </c>
      <c r="W1361" s="658">
        <v>1510</v>
      </c>
      <c r="X1361" s="547"/>
      <c r="Y1361" s="547" t="s">
        <v>6974</v>
      </c>
      <c r="Z1361" s="547"/>
      <c r="AA1361" s="547" t="s">
        <v>1770</v>
      </c>
      <c r="AB1361" s="550" t="s">
        <v>1587</v>
      </c>
    </row>
    <row r="1362" spans="1:28" ht="24" customHeight="1">
      <c r="A1362" s="606"/>
      <c r="B1362" s="544" t="s">
        <v>675</v>
      </c>
      <c r="C1362" s="551" t="s">
        <v>877</v>
      </c>
      <c r="D1362" s="553" t="s">
        <v>7007</v>
      </c>
      <c r="E1362" s="563">
        <f t="shared" si="106"/>
        <v>180</v>
      </c>
      <c r="F1362" s="563">
        <v>0</v>
      </c>
      <c r="G1362" s="563">
        <v>180</v>
      </c>
      <c r="H1362" s="563">
        <v>0</v>
      </c>
      <c r="I1362" s="563">
        <f t="shared" si="107"/>
        <v>160</v>
      </c>
      <c r="J1362" s="563">
        <v>0</v>
      </c>
      <c r="K1362" s="563">
        <v>160</v>
      </c>
      <c r="L1362" s="751">
        <v>0</v>
      </c>
      <c r="M1362" s="689">
        <f t="shared" si="108"/>
        <v>88.888888888888886</v>
      </c>
      <c r="N1362" s="563">
        <v>0</v>
      </c>
      <c r="O1362" s="746" t="s">
        <v>7008</v>
      </c>
      <c r="P1362" s="547" t="s">
        <v>1588</v>
      </c>
      <c r="Q1362" s="689">
        <v>0</v>
      </c>
      <c r="R1362" s="689">
        <v>0</v>
      </c>
      <c r="S1362" s="689">
        <v>0</v>
      </c>
      <c r="T1362" s="689">
        <v>0</v>
      </c>
      <c r="U1362" s="547" t="s">
        <v>6962</v>
      </c>
      <c r="V1362" s="548" t="s">
        <v>7009</v>
      </c>
      <c r="W1362" s="658">
        <v>4971</v>
      </c>
      <c r="X1362" s="547"/>
      <c r="Y1362" s="547" t="s">
        <v>3161</v>
      </c>
      <c r="Z1362" s="547"/>
      <c r="AA1362" s="547" t="s">
        <v>7010</v>
      </c>
      <c r="AB1362" s="550" t="s">
        <v>1591</v>
      </c>
    </row>
    <row r="1363" spans="1:28" ht="24" customHeight="1">
      <c r="A1363" s="606"/>
      <c r="B1363" s="544" t="s">
        <v>675</v>
      </c>
      <c r="C1363" s="551" t="s">
        <v>7011</v>
      </c>
      <c r="D1363" s="553" t="s">
        <v>7012</v>
      </c>
      <c r="E1363" s="563">
        <f t="shared" si="106"/>
        <v>60</v>
      </c>
      <c r="F1363" s="563">
        <v>0</v>
      </c>
      <c r="G1363" s="563">
        <v>60</v>
      </c>
      <c r="H1363" s="563">
        <v>0</v>
      </c>
      <c r="I1363" s="563">
        <f t="shared" si="107"/>
        <v>41</v>
      </c>
      <c r="J1363" s="563">
        <v>0</v>
      </c>
      <c r="K1363" s="563">
        <v>41</v>
      </c>
      <c r="L1363" s="751">
        <v>0</v>
      </c>
      <c r="M1363" s="689">
        <f t="shared" si="108"/>
        <v>68.333333333333329</v>
      </c>
      <c r="N1363" s="563">
        <v>0</v>
      </c>
      <c r="O1363" s="746" t="s">
        <v>7013</v>
      </c>
      <c r="P1363" s="547" t="s">
        <v>1588</v>
      </c>
      <c r="Q1363" s="689">
        <v>0</v>
      </c>
      <c r="R1363" s="689">
        <v>0</v>
      </c>
      <c r="S1363" s="689">
        <v>0</v>
      </c>
      <c r="T1363" s="689">
        <v>0</v>
      </c>
      <c r="U1363" s="547" t="s">
        <v>6962</v>
      </c>
      <c r="V1363" s="548" t="s">
        <v>2079</v>
      </c>
      <c r="W1363" s="658">
        <v>989</v>
      </c>
      <c r="X1363" s="547"/>
      <c r="Y1363" s="547" t="s">
        <v>3161</v>
      </c>
      <c r="Z1363" s="547"/>
      <c r="AA1363" s="547" t="s">
        <v>7010</v>
      </c>
      <c r="AB1363" s="550" t="s">
        <v>1591</v>
      </c>
    </row>
    <row r="1364" spans="1:28" ht="24" customHeight="1">
      <c r="A1364" s="606"/>
      <c r="B1364" s="544" t="s">
        <v>675</v>
      </c>
      <c r="C1364" s="551" t="s">
        <v>6725</v>
      </c>
      <c r="D1364" s="553" t="s">
        <v>7014</v>
      </c>
      <c r="E1364" s="563">
        <f t="shared" si="106"/>
        <v>80</v>
      </c>
      <c r="F1364" s="563">
        <v>0</v>
      </c>
      <c r="G1364" s="563">
        <v>80</v>
      </c>
      <c r="H1364" s="563">
        <v>0</v>
      </c>
      <c r="I1364" s="563">
        <f t="shared" si="107"/>
        <v>10</v>
      </c>
      <c r="J1364" s="563">
        <v>0</v>
      </c>
      <c r="K1364" s="563">
        <v>10</v>
      </c>
      <c r="L1364" s="751">
        <v>0</v>
      </c>
      <c r="M1364" s="689">
        <f t="shared" si="108"/>
        <v>12.5</v>
      </c>
      <c r="N1364" s="563">
        <v>0</v>
      </c>
      <c r="O1364" s="746" t="s">
        <v>7015</v>
      </c>
      <c r="P1364" s="547" t="s">
        <v>1588</v>
      </c>
      <c r="Q1364" s="689">
        <v>0</v>
      </c>
      <c r="R1364" s="689">
        <v>0</v>
      </c>
      <c r="S1364" s="689">
        <v>0</v>
      </c>
      <c r="T1364" s="689">
        <v>0</v>
      </c>
      <c r="U1364" s="547" t="s">
        <v>6962</v>
      </c>
      <c r="V1364" s="548" t="s">
        <v>7016</v>
      </c>
      <c r="W1364" s="658">
        <v>375</v>
      </c>
      <c r="X1364" s="547"/>
      <c r="Y1364" s="547" t="s">
        <v>6967</v>
      </c>
      <c r="Z1364" s="547"/>
      <c r="AA1364" s="547" t="s">
        <v>7010</v>
      </c>
      <c r="AB1364" s="550" t="s">
        <v>1591</v>
      </c>
    </row>
    <row r="1365" spans="1:28" ht="24" customHeight="1">
      <c r="A1365" s="606"/>
      <c r="B1365" s="544" t="s">
        <v>675</v>
      </c>
      <c r="C1365" s="551" t="s">
        <v>1970</v>
      </c>
      <c r="D1365" s="553" t="s">
        <v>7017</v>
      </c>
      <c r="E1365" s="563">
        <f t="shared" si="106"/>
        <v>30</v>
      </c>
      <c r="F1365" s="563">
        <v>0</v>
      </c>
      <c r="G1365" s="563">
        <v>30</v>
      </c>
      <c r="H1365" s="563">
        <v>0</v>
      </c>
      <c r="I1365" s="563">
        <f t="shared" si="107"/>
        <v>20</v>
      </c>
      <c r="J1365" s="563">
        <v>0</v>
      </c>
      <c r="K1365" s="563">
        <v>20</v>
      </c>
      <c r="L1365" s="751">
        <v>0</v>
      </c>
      <c r="M1365" s="689">
        <f t="shared" si="108"/>
        <v>66.666666666666657</v>
      </c>
      <c r="N1365" s="563">
        <v>0</v>
      </c>
      <c r="O1365" s="746" t="s">
        <v>7018</v>
      </c>
      <c r="P1365" s="547" t="s">
        <v>1588</v>
      </c>
      <c r="Q1365" s="689">
        <v>0</v>
      </c>
      <c r="R1365" s="689">
        <v>0</v>
      </c>
      <c r="S1365" s="689">
        <v>0</v>
      </c>
      <c r="T1365" s="689">
        <v>0</v>
      </c>
      <c r="U1365" s="547" t="s">
        <v>6962</v>
      </c>
      <c r="V1365" s="548" t="s">
        <v>7019</v>
      </c>
      <c r="W1365" s="658">
        <v>78</v>
      </c>
      <c r="X1365" s="547"/>
      <c r="Y1365" s="547" t="s">
        <v>6967</v>
      </c>
      <c r="Z1365" s="547"/>
      <c r="AA1365" s="547" t="s">
        <v>7010</v>
      </c>
      <c r="AB1365" s="550" t="s">
        <v>1591</v>
      </c>
    </row>
    <row r="1366" spans="1:28" ht="24" customHeight="1">
      <c r="A1366" s="606"/>
      <c r="B1366" s="544" t="s">
        <v>675</v>
      </c>
      <c r="C1366" s="551" t="s">
        <v>907</v>
      </c>
      <c r="D1366" s="553" t="s">
        <v>7020</v>
      </c>
      <c r="E1366" s="563">
        <f t="shared" si="106"/>
        <v>120</v>
      </c>
      <c r="F1366" s="563">
        <v>0</v>
      </c>
      <c r="G1366" s="563">
        <v>120</v>
      </c>
      <c r="H1366" s="563">
        <v>0</v>
      </c>
      <c r="I1366" s="563">
        <f t="shared" si="107"/>
        <v>80</v>
      </c>
      <c r="J1366" s="563">
        <v>0</v>
      </c>
      <c r="K1366" s="563">
        <v>80</v>
      </c>
      <c r="L1366" s="751">
        <v>0</v>
      </c>
      <c r="M1366" s="689">
        <f t="shared" si="108"/>
        <v>66.666666666666657</v>
      </c>
      <c r="N1366" s="563">
        <v>0</v>
      </c>
      <c r="O1366" s="746" t="s">
        <v>4854</v>
      </c>
      <c r="P1366" s="547" t="s">
        <v>1588</v>
      </c>
      <c r="Q1366" s="689">
        <v>0</v>
      </c>
      <c r="R1366" s="689">
        <v>0</v>
      </c>
      <c r="S1366" s="689">
        <v>0</v>
      </c>
      <c r="T1366" s="689">
        <v>0</v>
      </c>
      <c r="U1366" s="547" t="s">
        <v>6962</v>
      </c>
      <c r="V1366" s="548" t="s">
        <v>7021</v>
      </c>
      <c r="W1366" s="658">
        <v>400</v>
      </c>
      <c r="X1366" s="547"/>
      <c r="Y1366" s="547" t="s">
        <v>6967</v>
      </c>
      <c r="Z1366" s="547"/>
      <c r="AA1366" s="547" t="s">
        <v>7010</v>
      </c>
      <c r="AB1366" s="550" t="s">
        <v>1591</v>
      </c>
    </row>
    <row r="1367" spans="1:28" ht="24" customHeight="1">
      <c r="A1367" s="605" t="s">
        <v>1718</v>
      </c>
      <c r="B1367" s="544" t="s">
        <v>6621</v>
      </c>
      <c r="C1367" s="551" t="s">
        <v>2010</v>
      </c>
      <c r="D1367" s="553" t="s">
        <v>7022</v>
      </c>
      <c r="E1367" s="563">
        <f t="shared" si="106"/>
        <v>8000</v>
      </c>
      <c r="F1367" s="563">
        <v>0</v>
      </c>
      <c r="G1367" s="563">
        <v>0</v>
      </c>
      <c r="H1367" s="659">
        <v>8000</v>
      </c>
      <c r="I1367" s="563">
        <f t="shared" si="107"/>
        <v>4879</v>
      </c>
      <c r="J1367" s="563">
        <v>0</v>
      </c>
      <c r="K1367" s="563">
        <v>0</v>
      </c>
      <c r="L1367" s="741">
        <v>4879</v>
      </c>
      <c r="M1367" s="687">
        <v>93.3</v>
      </c>
      <c r="N1367" s="563">
        <v>9.1</v>
      </c>
      <c r="O1367" s="746" t="s">
        <v>3282</v>
      </c>
      <c r="P1367" s="547" t="s">
        <v>1588</v>
      </c>
      <c r="Q1367" s="689">
        <v>0</v>
      </c>
      <c r="R1367" s="689">
        <v>0</v>
      </c>
      <c r="S1367" s="689">
        <v>0</v>
      </c>
      <c r="T1367" s="689">
        <v>0</v>
      </c>
      <c r="U1367" s="547" t="s">
        <v>2317</v>
      </c>
      <c r="V1367" s="547" t="s">
        <v>7023</v>
      </c>
      <c r="W1367" s="658">
        <v>259462</v>
      </c>
      <c r="X1367" s="547" t="s">
        <v>2193</v>
      </c>
      <c r="Y1367" s="545" t="s">
        <v>3161</v>
      </c>
      <c r="Z1367" s="545" t="s">
        <v>1717</v>
      </c>
      <c r="AA1367" s="547" t="s">
        <v>1719</v>
      </c>
      <c r="AB1367" s="550" t="s">
        <v>2318</v>
      </c>
    </row>
    <row r="1368" spans="1:28" ht="24" customHeight="1">
      <c r="A1368" s="606"/>
      <c r="B1368" s="544" t="s">
        <v>7024</v>
      </c>
      <c r="C1368" s="551" t="s">
        <v>7025</v>
      </c>
      <c r="D1368" s="553" t="s">
        <v>7026</v>
      </c>
      <c r="E1368" s="563">
        <f t="shared" si="106"/>
        <v>40</v>
      </c>
      <c r="F1368" s="563">
        <v>0</v>
      </c>
      <c r="G1368" s="563">
        <v>40</v>
      </c>
      <c r="H1368" s="563">
        <v>0</v>
      </c>
      <c r="I1368" s="563">
        <f t="shared" si="107"/>
        <v>36</v>
      </c>
      <c r="J1368" s="563">
        <v>0</v>
      </c>
      <c r="K1368" s="563">
        <v>36</v>
      </c>
      <c r="L1368" s="741">
        <v>0</v>
      </c>
      <c r="M1368" s="687">
        <v>0</v>
      </c>
      <c r="N1368" s="563">
        <v>0</v>
      </c>
      <c r="O1368" s="746" t="s">
        <v>7027</v>
      </c>
      <c r="P1368" s="547" t="s">
        <v>1588</v>
      </c>
      <c r="Q1368" s="689">
        <v>0</v>
      </c>
      <c r="R1368" s="689">
        <v>0</v>
      </c>
      <c r="S1368" s="689">
        <v>0</v>
      </c>
      <c r="T1368" s="689">
        <v>0</v>
      </c>
      <c r="U1368" s="547" t="s">
        <v>7486</v>
      </c>
      <c r="V1368" s="547" t="s">
        <v>7028</v>
      </c>
      <c r="W1368" s="658">
        <v>200</v>
      </c>
      <c r="X1368" s="547" t="s">
        <v>2193</v>
      </c>
      <c r="Y1368" s="547"/>
      <c r="Z1368" s="545" t="s">
        <v>1717</v>
      </c>
      <c r="AA1368" s="547" t="s">
        <v>1719</v>
      </c>
      <c r="AB1368" s="550" t="s">
        <v>2318</v>
      </c>
    </row>
    <row r="1369" spans="1:28" ht="24" customHeight="1">
      <c r="A1369" s="606"/>
      <c r="B1369" s="544" t="s">
        <v>7024</v>
      </c>
      <c r="C1369" s="551" t="s">
        <v>2049</v>
      </c>
      <c r="D1369" s="553" t="s">
        <v>7029</v>
      </c>
      <c r="E1369" s="563">
        <f t="shared" si="106"/>
        <v>70</v>
      </c>
      <c r="F1369" s="563">
        <v>0</v>
      </c>
      <c r="G1369" s="563">
        <v>70</v>
      </c>
      <c r="H1369" s="563">
        <v>0</v>
      </c>
      <c r="I1369" s="563">
        <f t="shared" si="107"/>
        <v>63</v>
      </c>
      <c r="J1369" s="563">
        <v>0</v>
      </c>
      <c r="K1369" s="563">
        <v>63</v>
      </c>
      <c r="L1369" s="741">
        <v>0</v>
      </c>
      <c r="M1369" s="687">
        <v>0</v>
      </c>
      <c r="N1369" s="563">
        <v>0</v>
      </c>
      <c r="O1369" s="746" t="s">
        <v>7027</v>
      </c>
      <c r="P1369" s="547" t="s">
        <v>1588</v>
      </c>
      <c r="Q1369" s="689">
        <v>0</v>
      </c>
      <c r="R1369" s="689">
        <v>0</v>
      </c>
      <c r="S1369" s="689">
        <v>0</v>
      </c>
      <c r="T1369" s="689">
        <v>0</v>
      </c>
      <c r="U1369" s="547" t="s">
        <v>7486</v>
      </c>
      <c r="V1369" s="547" t="s">
        <v>7030</v>
      </c>
      <c r="W1369" s="658">
        <v>280</v>
      </c>
      <c r="X1369" s="547" t="s">
        <v>2193</v>
      </c>
      <c r="Y1369" s="547"/>
      <c r="Z1369" s="545" t="s">
        <v>1717</v>
      </c>
      <c r="AA1369" s="547" t="s">
        <v>1719</v>
      </c>
      <c r="AB1369" s="550" t="s">
        <v>2318</v>
      </c>
    </row>
    <row r="1370" spans="1:28" ht="24" customHeight="1">
      <c r="A1370" s="606"/>
      <c r="B1370" s="544" t="s">
        <v>7024</v>
      </c>
      <c r="C1370" s="551" t="s">
        <v>7031</v>
      </c>
      <c r="D1370" s="553" t="s">
        <v>7032</v>
      </c>
      <c r="E1370" s="563">
        <f t="shared" si="106"/>
        <v>40</v>
      </c>
      <c r="F1370" s="563">
        <v>0</v>
      </c>
      <c r="G1370" s="563">
        <v>40</v>
      </c>
      <c r="H1370" s="563">
        <v>0</v>
      </c>
      <c r="I1370" s="563">
        <f t="shared" si="107"/>
        <v>36</v>
      </c>
      <c r="J1370" s="563">
        <v>0</v>
      </c>
      <c r="K1370" s="563">
        <v>36</v>
      </c>
      <c r="L1370" s="741">
        <v>0</v>
      </c>
      <c r="M1370" s="687">
        <v>0</v>
      </c>
      <c r="N1370" s="563">
        <v>0</v>
      </c>
      <c r="O1370" s="746" t="s">
        <v>7027</v>
      </c>
      <c r="P1370" s="547" t="s">
        <v>1588</v>
      </c>
      <c r="Q1370" s="689">
        <v>0</v>
      </c>
      <c r="R1370" s="689">
        <v>0</v>
      </c>
      <c r="S1370" s="689">
        <v>0</v>
      </c>
      <c r="T1370" s="689">
        <v>0</v>
      </c>
      <c r="U1370" s="547" t="s">
        <v>7486</v>
      </c>
      <c r="V1370" s="547" t="s">
        <v>7033</v>
      </c>
      <c r="W1370" s="658">
        <v>391</v>
      </c>
      <c r="X1370" s="547" t="s">
        <v>2193</v>
      </c>
      <c r="Y1370" s="547"/>
      <c r="Z1370" s="545" t="s">
        <v>1717</v>
      </c>
      <c r="AA1370" s="547" t="s">
        <v>1719</v>
      </c>
      <c r="AB1370" s="550" t="s">
        <v>2318</v>
      </c>
    </row>
    <row r="1371" spans="1:28" ht="24" customHeight="1">
      <c r="A1371" s="606"/>
      <c r="B1371" s="544" t="s">
        <v>7024</v>
      </c>
      <c r="C1371" s="551" t="s">
        <v>6515</v>
      </c>
      <c r="D1371" s="553" t="s">
        <v>7034</v>
      </c>
      <c r="E1371" s="563">
        <f t="shared" si="106"/>
        <v>60</v>
      </c>
      <c r="F1371" s="563">
        <v>0</v>
      </c>
      <c r="G1371" s="563">
        <v>60</v>
      </c>
      <c r="H1371" s="563">
        <v>0</v>
      </c>
      <c r="I1371" s="563">
        <f t="shared" si="107"/>
        <v>52</v>
      </c>
      <c r="J1371" s="563">
        <v>0</v>
      </c>
      <c r="K1371" s="563">
        <v>52</v>
      </c>
      <c r="L1371" s="741">
        <v>0</v>
      </c>
      <c r="M1371" s="687">
        <v>0</v>
      </c>
      <c r="N1371" s="563">
        <v>0</v>
      </c>
      <c r="O1371" s="746" t="s">
        <v>6631</v>
      </c>
      <c r="P1371" s="547" t="s">
        <v>1588</v>
      </c>
      <c r="Q1371" s="689">
        <v>0</v>
      </c>
      <c r="R1371" s="689">
        <v>0</v>
      </c>
      <c r="S1371" s="689">
        <v>0</v>
      </c>
      <c r="T1371" s="689">
        <v>0</v>
      </c>
      <c r="U1371" s="547" t="s">
        <v>7486</v>
      </c>
      <c r="V1371" s="547" t="s">
        <v>7035</v>
      </c>
      <c r="W1371" s="658">
        <v>275</v>
      </c>
      <c r="X1371" s="547" t="s">
        <v>2193</v>
      </c>
      <c r="Y1371" s="547"/>
      <c r="Z1371" s="545" t="s">
        <v>1717</v>
      </c>
      <c r="AA1371" s="547" t="s">
        <v>1719</v>
      </c>
      <c r="AB1371" s="550" t="s">
        <v>2318</v>
      </c>
    </row>
    <row r="1372" spans="1:28" ht="24" customHeight="1">
      <c r="A1372" s="606"/>
      <c r="B1372" s="544" t="s">
        <v>7024</v>
      </c>
      <c r="C1372" s="551" t="s">
        <v>2186</v>
      </c>
      <c r="D1372" s="553" t="s">
        <v>7036</v>
      </c>
      <c r="E1372" s="563">
        <f t="shared" si="106"/>
        <v>50</v>
      </c>
      <c r="F1372" s="563">
        <v>0</v>
      </c>
      <c r="G1372" s="563">
        <v>50</v>
      </c>
      <c r="H1372" s="563">
        <v>0</v>
      </c>
      <c r="I1372" s="563">
        <f t="shared" si="107"/>
        <v>35</v>
      </c>
      <c r="J1372" s="563">
        <v>0</v>
      </c>
      <c r="K1372" s="563">
        <v>35</v>
      </c>
      <c r="L1372" s="741">
        <v>0</v>
      </c>
      <c r="M1372" s="687">
        <v>0</v>
      </c>
      <c r="N1372" s="563">
        <v>0</v>
      </c>
      <c r="O1372" s="746" t="s">
        <v>7037</v>
      </c>
      <c r="P1372" s="547" t="s">
        <v>1588</v>
      </c>
      <c r="Q1372" s="689">
        <v>0</v>
      </c>
      <c r="R1372" s="689">
        <v>0</v>
      </c>
      <c r="S1372" s="689">
        <v>0</v>
      </c>
      <c r="T1372" s="689">
        <v>0</v>
      </c>
      <c r="U1372" s="547" t="s">
        <v>7486</v>
      </c>
      <c r="V1372" s="547" t="s">
        <v>2561</v>
      </c>
      <c r="W1372" s="658">
        <v>351</v>
      </c>
      <c r="X1372" s="547" t="s">
        <v>2193</v>
      </c>
      <c r="Y1372" s="547"/>
      <c r="Z1372" s="545" t="s">
        <v>1717</v>
      </c>
      <c r="AA1372" s="547" t="s">
        <v>1719</v>
      </c>
      <c r="AB1372" s="550" t="s">
        <v>2318</v>
      </c>
    </row>
    <row r="1373" spans="1:28" ht="24" customHeight="1">
      <c r="A1373" s="606"/>
      <c r="B1373" s="544" t="s">
        <v>7024</v>
      </c>
      <c r="C1373" s="551" t="s">
        <v>7038</v>
      </c>
      <c r="D1373" s="553" t="s">
        <v>7039</v>
      </c>
      <c r="E1373" s="563">
        <f t="shared" si="106"/>
        <v>100</v>
      </c>
      <c r="F1373" s="563">
        <v>0</v>
      </c>
      <c r="G1373" s="563">
        <v>100</v>
      </c>
      <c r="H1373" s="563">
        <v>0</v>
      </c>
      <c r="I1373" s="563">
        <f t="shared" si="107"/>
        <v>70</v>
      </c>
      <c r="J1373" s="563">
        <v>0</v>
      </c>
      <c r="K1373" s="563">
        <v>70</v>
      </c>
      <c r="L1373" s="741">
        <v>0</v>
      </c>
      <c r="M1373" s="687">
        <v>0</v>
      </c>
      <c r="N1373" s="563">
        <v>0</v>
      </c>
      <c r="O1373" s="746" t="s">
        <v>7040</v>
      </c>
      <c r="P1373" s="547" t="s">
        <v>1588</v>
      </c>
      <c r="Q1373" s="689">
        <v>0</v>
      </c>
      <c r="R1373" s="689">
        <v>0</v>
      </c>
      <c r="S1373" s="689">
        <v>0</v>
      </c>
      <c r="T1373" s="689">
        <v>0</v>
      </c>
      <c r="U1373" s="547" t="s">
        <v>7486</v>
      </c>
      <c r="V1373" s="547" t="s">
        <v>7041</v>
      </c>
      <c r="W1373" s="658">
        <v>473</v>
      </c>
      <c r="X1373" s="547" t="s">
        <v>2193</v>
      </c>
      <c r="Y1373" s="545" t="s">
        <v>3161</v>
      </c>
      <c r="Z1373" s="545" t="s">
        <v>1717</v>
      </c>
      <c r="AA1373" s="547" t="s">
        <v>1719</v>
      </c>
      <c r="AB1373" s="550" t="s">
        <v>2318</v>
      </c>
    </row>
    <row r="1374" spans="1:28" ht="24" customHeight="1">
      <c r="A1374" s="606"/>
      <c r="B1374" s="544" t="s">
        <v>7024</v>
      </c>
      <c r="C1374" s="551" t="s">
        <v>7042</v>
      </c>
      <c r="D1374" s="553" t="s">
        <v>7043</v>
      </c>
      <c r="E1374" s="563">
        <f t="shared" si="106"/>
        <v>60</v>
      </c>
      <c r="F1374" s="563">
        <v>0</v>
      </c>
      <c r="G1374" s="563">
        <v>60</v>
      </c>
      <c r="H1374" s="563">
        <v>0</v>
      </c>
      <c r="I1374" s="563">
        <f t="shared" si="107"/>
        <v>51</v>
      </c>
      <c r="J1374" s="563">
        <v>0</v>
      </c>
      <c r="K1374" s="563">
        <v>51</v>
      </c>
      <c r="L1374" s="741">
        <v>0</v>
      </c>
      <c r="M1374" s="687">
        <v>0</v>
      </c>
      <c r="N1374" s="563">
        <v>0</v>
      </c>
      <c r="O1374" s="746" t="s">
        <v>7044</v>
      </c>
      <c r="P1374" s="547" t="s">
        <v>1588</v>
      </c>
      <c r="Q1374" s="689">
        <v>0</v>
      </c>
      <c r="R1374" s="689">
        <v>0</v>
      </c>
      <c r="S1374" s="689">
        <v>0</v>
      </c>
      <c r="T1374" s="689">
        <v>0</v>
      </c>
      <c r="U1374" s="547" t="s">
        <v>7486</v>
      </c>
      <c r="V1374" s="547" t="s">
        <v>7045</v>
      </c>
      <c r="W1374" s="658">
        <v>823</v>
      </c>
      <c r="X1374" s="547" t="s">
        <v>2193</v>
      </c>
      <c r="Y1374" s="547"/>
      <c r="Z1374" s="545" t="s">
        <v>1717</v>
      </c>
      <c r="AA1374" s="547" t="s">
        <v>1719</v>
      </c>
      <c r="AB1374" s="550" t="s">
        <v>2318</v>
      </c>
    </row>
    <row r="1375" spans="1:28" ht="24" customHeight="1">
      <c r="A1375" s="606"/>
      <c r="B1375" s="544" t="s">
        <v>7024</v>
      </c>
      <c r="C1375" s="551" t="s">
        <v>7046</v>
      </c>
      <c r="D1375" s="553" t="s">
        <v>7047</v>
      </c>
      <c r="E1375" s="563">
        <f t="shared" si="106"/>
        <v>20</v>
      </c>
      <c r="F1375" s="563">
        <v>0</v>
      </c>
      <c r="G1375" s="563">
        <v>20</v>
      </c>
      <c r="H1375" s="563">
        <v>0</v>
      </c>
      <c r="I1375" s="563">
        <f t="shared" si="107"/>
        <v>18</v>
      </c>
      <c r="J1375" s="563">
        <v>0</v>
      </c>
      <c r="K1375" s="563">
        <v>18</v>
      </c>
      <c r="L1375" s="741">
        <v>0</v>
      </c>
      <c r="M1375" s="687">
        <v>0</v>
      </c>
      <c r="N1375" s="563">
        <v>0</v>
      </c>
      <c r="O1375" s="746" t="s">
        <v>1127</v>
      </c>
      <c r="P1375" s="547" t="s">
        <v>1588</v>
      </c>
      <c r="Q1375" s="689">
        <v>0</v>
      </c>
      <c r="R1375" s="689">
        <v>0</v>
      </c>
      <c r="S1375" s="689">
        <v>0</v>
      </c>
      <c r="T1375" s="689">
        <v>0</v>
      </c>
      <c r="U1375" s="547" t="s">
        <v>7486</v>
      </c>
      <c r="V1375" s="547" t="s">
        <v>3863</v>
      </c>
      <c r="W1375" s="658">
        <v>200</v>
      </c>
      <c r="X1375" s="547" t="s">
        <v>2193</v>
      </c>
      <c r="Y1375" s="547"/>
      <c r="Z1375" s="545" t="s">
        <v>1717</v>
      </c>
      <c r="AA1375" s="547" t="s">
        <v>1719</v>
      </c>
      <c r="AB1375" s="550" t="s">
        <v>2318</v>
      </c>
    </row>
    <row r="1376" spans="1:28" ht="24" customHeight="1">
      <c r="A1376" s="606"/>
      <c r="B1376" s="544" t="s">
        <v>7024</v>
      </c>
      <c r="C1376" s="551" t="s">
        <v>7048</v>
      </c>
      <c r="D1376" s="553" t="s">
        <v>7049</v>
      </c>
      <c r="E1376" s="563">
        <f t="shared" si="106"/>
        <v>40</v>
      </c>
      <c r="F1376" s="563">
        <v>0</v>
      </c>
      <c r="G1376" s="563">
        <v>40</v>
      </c>
      <c r="H1376" s="563">
        <v>0</v>
      </c>
      <c r="I1376" s="563">
        <f t="shared" si="107"/>
        <v>34</v>
      </c>
      <c r="J1376" s="563">
        <v>0</v>
      </c>
      <c r="K1376" s="563">
        <v>34</v>
      </c>
      <c r="L1376" s="741">
        <v>0</v>
      </c>
      <c r="M1376" s="687">
        <v>0</v>
      </c>
      <c r="N1376" s="563">
        <v>0</v>
      </c>
      <c r="O1376" s="746" t="s">
        <v>7027</v>
      </c>
      <c r="P1376" s="547" t="s">
        <v>1588</v>
      </c>
      <c r="Q1376" s="689">
        <v>0</v>
      </c>
      <c r="R1376" s="689">
        <v>0</v>
      </c>
      <c r="S1376" s="689">
        <v>0</v>
      </c>
      <c r="T1376" s="689">
        <v>0</v>
      </c>
      <c r="U1376" s="547" t="s">
        <v>7486</v>
      </c>
      <c r="V1376" s="547" t="s">
        <v>7050</v>
      </c>
      <c r="W1376" s="658">
        <v>231</v>
      </c>
      <c r="X1376" s="547" t="s">
        <v>2193</v>
      </c>
      <c r="Y1376" s="547"/>
      <c r="Z1376" s="545" t="s">
        <v>1717</v>
      </c>
      <c r="AA1376" s="547" t="s">
        <v>1719</v>
      </c>
      <c r="AB1376" s="550" t="s">
        <v>2318</v>
      </c>
    </row>
    <row r="1377" spans="1:28" ht="24" customHeight="1">
      <c r="A1377" s="606"/>
      <c r="B1377" s="544" t="s">
        <v>7024</v>
      </c>
      <c r="C1377" s="551" t="s">
        <v>7051</v>
      </c>
      <c r="D1377" s="553" t="s">
        <v>7052</v>
      </c>
      <c r="E1377" s="563">
        <f t="shared" si="106"/>
        <v>40</v>
      </c>
      <c r="F1377" s="563">
        <v>0</v>
      </c>
      <c r="G1377" s="563">
        <v>40</v>
      </c>
      <c r="H1377" s="563">
        <v>0</v>
      </c>
      <c r="I1377" s="563">
        <f t="shared" si="107"/>
        <v>34</v>
      </c>
      <c r="J1377" s="563">
        <v>0</v>
      </c>
      <c r="K1377" s="563">
        <v>34</v>
      </c>
      <c r="L1377" s="741">
        <v>0</v>
      </c>
      <c r="M1377" s="687">
        <v>0</v>
      </c>
      <c r="N1377" s="563">
        <v>0</v>
      </c>
      <c r="O1377" s="746" t="s">
        <v>7027</v>
      </c>
      <c r="P1377" s="547" t="s">
        <v>1588</v>
      </c>
      <c r="Q1377" s="689">
        <v>0</v>
      </c>
      <c r="R1377" s="689">
        <v>0</v>
      </c>
      <c r="S1377" s="689">
        <v>0</v>
      </c>
      <c r="T1377" s="689">
        <v>0</v>
      </c>
      <c r="U1377" s="547" t="s">
        <v>7486</v>
      </c>
      <c r="V1377" s="547" t="s">
        <v>7050</v>
      </c>
      <c r="W1377" s="658">
        <v>308</v>
      </c>
      <c r="X1377" s="547" t="s">
        <v>2193</v>
      </c>
      <c r="Y1377" s="547"/>
      <c r="Z1377" s="545" t="s">
        <v>1717</v>
      </c>
      <c r="AA1377" s="547" t="s">
        <v>1719</v>
      </c>
      <c r="AB1377" s="550" t="s">
        <v>2318</v>
      </c>
    </row>
    <row r="1378" spans="1:28" ht="24" customHeight="1">
      <c r="A1378" s="606"/>
      <c r="B1378" s="544" t="s">
        <v>7024</v>
      </c>
      <c r="C1378" s="551" t="s">
        <v>7053</v>
      </c>
      <c r="D1378" s="553" t="s">
        <v>7054</v>
      </c>
      <c r="E1378" s="563">
        <f t="shared" si="106"/>
        <v>30</v>
      </c>
      <c r="F1378" s="563">
        <v>0</v>
      </c>
      <c r="G1378" s="563">
        <v>30</v>
      </c>
      <c r="H1378" s="563">
        <v>0</v>
      </c>
      <c r="I1378" s="563">
        <f t="shared" si="107"/>
        <v>21</v>
      </c>
      <c r="J1378" s="563">
        <v>0</v>
      </c>
      <c r="K1378" s="563">
        <v>21</v>
      </c>
      <c r="L1378" s="741">
        <v>0</v>
      </c>
      <c r="M1378" s="687">
        <v>0</v>
      </c>
      <c r="N1378" s="563">
        <v>0</v>
      </c>
      <c r="O1378" s="746" t="s">
        <v>7027</v>
      </c>
      <c r="P1378" s="547" t="s">
        <v>1588</v>
      </c>
      <c r="Q1378" s="689">
        <v>0</v>
      </c>
      <c r="R1378" s="689">
        <v>0</v>
      </c>
      <c r="S1378" s="689">
        <v>0</v>
      </c>
      <c r="T1378" s="689">
        <v>0</v>
      </c>
      <c r="U1378" s="547" t="s">
        <v>7486</v>
      </c>
      <c r="V1378" s="547" t="s">
        <v>2093</v>
      </c>
      <c r="W1378" s="658">
        <v>324</v>
      </c>
      <c r="X1378" s="547" t="s">
        <v>2193</v>
      </c>
      <c r="Y1378" s="547"/>
      <c r="Z1378" s="545" t="s">
        <v>1717</v>
      </c>
      <c r="AA1378" s="547" t="s">
        <v>1719</v>
      </c>
      <c r="AB1378" s="550" t="s">
        <v>2318</v>
      </c>
    </row>
    <row r="1379" spans="1:28" ht="24" customHeight="1">
      <c r="A1379" s="606"/>
      <c r="B1379" s="544" t="s">
        <v>7024</v>
      </c>
      <c r="C1379" s="551" t="s">
        <v>2134</v>
      </c>
      <c r="D1379" s="553" t="s">
        <v>7055</v>
      </c>
      <c r="E1379" s="563">
        <f t="shared" si="106"/>
        <v>60</v>
      </c>
      <c r="F1379" s="563">
        <v>0</v>
      </c>
      <c r="G1379" s="563">
        <v>60</v>
      </c>
      <c r="H1379" s="563">
        <v>0</v>
      </c>
      <c r="I1379" s="563">
        <f t="shared" si="107"/>
        <v>45</v>
      </c>
      <c r="J1379" s="563">
        <v>0</v>
      </c>
      <c r="K1379" s="563">
        <v>45</v>
      </c>
      <c r="L1379" s="741">
        <v>0</v>
      </c>
      <c r="M1379" s="687">
        <v>0</v>
      </c>
      <c r="N1379" s="563">
        <v>0</v>
      </c>
      <c r="O1379" s="746" t="s">
        <v>7027</v>
      </c>
      <c r="P1379" s="547" t="s">
        <v>1588</v>
      </c>
      <c r="Q1379" s="689">
        <v>0</v>
      </c>
      <c r="R1379" s="689">
        <v>0</v>
      </c>
      <c r="S1379" s="689">
        <v>0</v>
      </c>
      <c r="T1379" s="689">
        <v>0</v>
      </c>
      <c r="U1379" s="547" t="s">
        <v>7486</v>
      </c>
      <c r="V1379" s="547" t="s">
        <v>7028</v>
      </c>
      <c r="W1379" s="658">
        <v>200</v>
      </c>
      <c r="X1379" s="547" t="s">
        <v>2193</v>
      </c>
      <c r="Y1379" s="547"/>
      <c r="Z1379" s="545" t="s">
        <v>1717</v>
      </c>
      <c r="AA1379" s="547" t="s">
        <v>1719</v>
      </c>
      <c r="AB1379" s="550" t="s">
        <v>2318</v>
      </c>
    </row>
    <row r="1380" spans="1:28" ht="24" customHeight="1">
      <c r="A1380" s="606"/>
      <c r="B1380" s="544" t="s">
        <v>7024</v>
      </c>
      <c r="C1380" s="551" t="s">
        <v>7056</v>
      </c>
      <c r="D1380" s="553" t="s">
        <v>7057</v>
      </c>
      <c r="E1380" s="563">
        <f t="shared" si="106"/>
        <v>50</v>
      </c>
      <c r="F1380" s="563">
        <v>0</v>
      </c>
      <c r="G1380" s="563">
        <v>50</v>
      </c>
      <c r="H1380" s="563">
        <v>0</v>
      </c>
      <c r="I1380" s="563">
        <f t="shared" si="107"/>
        <v>44</v>
      </c>
      <c r="J1380" s="563">
        <v>0</v>
      </c>
      <c r="K1380" s="563">
        <v>44</v>
      </c>
      <c r="L1380" s="741">
        <v>0</v>
      </c>
      <c r="M1380" s="687">
        <v>0</v>
      </c>
      <c r="N1380" s="563">
        <v>0</v>
      </c>
      <c r="O1380" s="746" t="s">
        <v>7027</v>
      </c>
      <c r="P1380" s="547" t="s">
        <v>1588</v>
      </c>
      <c r="Q1380" s="689">
        <v>0</v>
      </c>
      <c r="R1380" s="689">
        <v>0</v>
      </c>
      <c r="S1380" s="689">
        <v>0</v>
      </c>
      <c r="T1380" s="689">
        <v>0</v>
      </c>
      <c r="U1380" s="547" t="s">
        <v>7486</v>
      </c>
      <c r="V1380" s="547" t="s">
        <v>7058</v>
      </c>
      <c r="W1380" s="658">
        <v>324</v>
      </c>
      <c r="X1380" s="547" t="s">
        <v>2193</v>
      </c>
      <c r="Y1380" s="547"/>
      <c r="Z1380" s="545" t="s">
        <v>1717</v>
      </c>
      <c r="AA1380" s="547" t="s">
        <v>1719</v>
      </c>
      <c r="AB1380" s="550" t="s">
        <v>2318</v>
      </c>
    </row>
    <row r="1381" spans="1:28" ht="24" customHeight="1">
      <c r="A1381" s="606"/>
      <c r="B1381" s="544" t="s">
        <v>7024</v>
      </c>
      <c r="C1381" s="551" t="s">
        <v>7059</v>
      </c>
      <c r="D1381" s="553" t="s">
        <v>7060</v>
      </c>
      <c r="E1381" s="563">
        <f t="shared" si="106"/>
        <v>30</v>
      </c>
      <c r="F1381" s="563">
        <v>0</v>
      </c>
      <c r="G1381" s="563">
        <v>30</v>
      </c>
      <c r="H1381" s="563">
        <v>0</v>
      </c>
      <c r="I1381" s="563">
        <f t="shared" si="107"/>
        <v>25</v>
      </c>
      <c r="J1381" s="563">
        <v>0</v>
      </c>
      <c r="K1381" s="563">
        <v>25</v>
      </c>
      <c r="L1381" s="741">
        <v>0</v>
      </c>
      <c r="M1381" s="687">
        <v>0</v>
      </c>
      <c r="N1381" s="563">
        <v>0</v>
      </c>
      <c r="O1381" s="746" t="s">
        <v>7061</v>
      </c>
      <c r="P1381" s="547" t="s">
        <v>1588</v>
      </c>
      <c r="Q1381" s="689">
        <v>0</v>
      </c>
      <c r="R1381" s="689">
        <v>0</v>
      </c>
      <c r="S1381" s="689">
        <v>0</v>
      </c>
      <c r="T1381" s="689">
        <v>0</v>
      </c>
      <c r="U1381" s="547" t="s">
        <v>7486</v>
      </c>
      <c r="V1381" s="547" t="s">
        <v>7062</v>
      </c>
      <c r="W1381" s="658">
        <v>282</v>
      </c>
      <c r="X1381" s="547" t="s">
        <v>2193</v>
      </c>
      <c r="Y1381" s="547"/>
      <c r="Z1381" s="545" t="s">
        <v>1717</v>
      </c>
      <c r="AA1381" s="547" t="s">
        <v>1719</v>
      </c>
      <c r="AB1381" s="550" t="s">
        <v>2318</v>
      </c>
    </row>
    <row r="1382" spans="1:28" ht="24" customHeight="1">
      <c r="A1382" s="606"/>
      <c r="B1382" s="544" t="s">
        <v>7024</v>
      </c>
      <c r="C1382" s="551" t="s">
        <v>7063</v>
      </c>
      <c r="D1382" s="553" t="s">
        <v>7064</v>
      </c>
      <c r="E1382" s="563">
        <f t="shared" si="106"/>
        <v>45</v>
      </c>
      <c r="F1382" s="563">
        <v>0</v>
      </c>
      <c r="G1382" s="563">
        <v>45</v>
      </c>
      <c r="H1382" s="563">
        <v>0</v>
      </c>
      <c r="I1382" s="563">
        <f t="shared" si="107"/>
        <v>45</v>
      </c>
      <c r="J1382" s="563">
        <v>0</v>
      </c>
      <c r="K1382" s="563">
        <v>45</v>
      </c>
      <c r="L1382" s="741">
        <v>0</v>
      </c>
      <c r="M1382" s="687">
        <v>0</v>
      </c>
      <c r="N1382" s="563">
        <v>0</v>
      </c>
      <c r="O1382" s="746" t="s">
        <v>7065</v>
      </c>
      <c r="P1382" s="547" t="s">
        <v>1588</v>
      </c>
      <c r="Q1382" s="689">
        <v>0</v>
      </c>
      <c r="R1382" s="689">
        <v>0</v>
      </c>
      <c r="S1382" s="689">
        <v>0</v>
      </c>
      <c r="T1382" s="689">
        <v>0</v>
      </c>
      <c r="U1382" s="547" t="s">
        <v>7486</v>
      </c>
      <c r="V1382" s="547" t="s">
        <v>7066</v>
      </c>
      <c r="W1382" s="658">
        <v>600</v>
      </c>
      <c r="X1382" s="547" t="s">
        <v>2193</v>
      </c>
      <c r="Y1382" s="545" t="s">
        <v>3161</v>
      </c>
      <c r="Z1382" s="545" t="s">
        <v>1717</v>
      </c>
      <c r="AA1382" s="547" t="s">
        <v>1719</v>
      </c>
      <c r="AB1382" s="550" t="s">
        <v>2318</v>
      </c>
    </row>
    <row r="1383" spans="1:28" ht="24" customHeight="1">
      <c r="A1383" s="606"/>
      <c r="B1383" s="544" t="s">
        <v>7024</v>
      </c>
      <c r="C1383" s="551" t="s">
        <v>7067</v>
      </c>
      <c r="D1383" s="553" t="s">
        <v>7068</v>
      </c>
      <c r="E1383" s="563">
        <f t="shared" si="106"/>
        <v>15</v>
      </c>
      <c r="F1383" s="563">
        <v>0</v>
      </c>
      <c r="G1383" s="563">
        <v>15</v>
      </c>
      <c r="H1383" s="563">
        <v>0</v>
      </c>
      <c r="I1383" s="563">
        <f t="shared" si="107"/>
        <v>13</v>
      </c>
      <c r="J1383" s="563">
        <v>0</v>
      </c>
      <c r="K1383" s="563">
        <v>13</v>
      </c>
      <c r="L1383" s="741">
        <v>0</v>
      </c>
      <c r="M1383" s="687">
        <v>0</v>
      </c>
      <c r="N1383" s="563">
        <v>0</v>
      </c>
      <c r="O1383" s="746" t="s">
        <v>7065</v>
      </c>
      <c r="P1383" s="547" t="s">
        <v>1588</v>
      </c>
      <c r="Q1383" s="689">
        <v>0</v>
      </c>
      <c r="R1383" s="689">
        <v>0</v>
      </c>
      <c r="S1383" s="689">
        <v>0</v>
      </c>
      <c r="T1383" s="689">
        <v>0</v>
      </c>
      <c r="U1383" s="547" t="s">
        <v>7486</v>
      </c>
      <c r="V1383" s="547" t="s">
        <v>7066</v>
      </c>
      <c r="W1383" s="658">
        <v>400</v>
      </c>
      <c r="X1383" s="547" t="s">
        <v>2193</v>
      </c>
      <c r="Y1383" s="545" t="s">
        <v>3161</v>
      </c>
      <c r="Z1383" s="545" t="s">
        <v>1717</v>
      </c>
      <c r="AA1383" s="547" t="s">
        <v>1719</v>
      </c>
      <c r="AB1383" s="550" t="s">
        <v>2318</v>
      </c>
    </row>
    <row r="1384" spans="1:28" ht="24" customHeight="1">
      <c r="A1384" s="606"/>
      <c r="B1384" s="544" t="s">
        <v>7024</v>
      </c>
      <c r="C1384" s="551" t="s">
        <v>6975</v>
      </c>
      <c r="D1384" s="553" t="s">
        <v>7069</v>
      </c>
      <c r="E1384" s="563">
        <f t="shared" si="106"/>
        <v>40</v>
      </c>
      <c r="F1384" s="563">
        <v>0</v>
      </c>
      <c r="G1384" s="563">
        <v>40</v>
      </c>
      <c r="H1384" s="563">
        <v>0</v>
      </c>
      <c r="I1384" s="563">
        <f t="shared" si="107"/>
        <v>35</v>
      </c>
      <c r="J1384" s="563">
        <v>0</v>
      </c>
      <c r="K1384" s="563">
        <v>35</v>
      </c>
      <c r="L1384" s="741">
        <v>0</v>
      </c>
      <c r="M1384" s="687">
        <v>0</v>
      </c>
      <c r="N1384" s="563">
        <v>0</v>
      </c>
      <c r="O1384" s="746" t="s">
        <v>3517</v>
      </c>
      <c r="P1384" s="547" t="s">
        <v>1588</v>
      </c>
      <c r="Q1384" s="689">
        <v>0</v>
      </c>
      <c r="R1384" s="689">
        <v>0</v>
      </c>
      <c r="S1384" s="689">
        <v>0</v>
      </c>
      <c r="T1384" s="689">
        <v>0</v>
      </c>
      <c r="U1384" s="547" t="s">
        <v>7486</v>
      </c>
      <c r="V1384" s="547" t="s">
        <v>7070</v>
      </c>
      <c r="W1384" s="658">
        <v>200</v>
      </c>
      <c r="X1384" s="547" t="s">
        <v>2193</v>
      </c>
      <c r="Y1384" s="547"/>
      <c r="Z1384" s="545" t="s">
        <v>1717</v>
      </c>
      <c r="AA1384" s="547" t="s">
        <v>1719</v>
      </c>
      <c r="AB1384" s="550" t="s">
        <v>2318</v>
      </c>
    </row>
    <row r="1385" spans="1:28" ht="24" customHeight="1">
      <c r="A1385" s="606"/>
      <c r="B1385" s="544" t="s">
        <v>7024</v>
      </c>
      <c r="C1385" s="551" t="s">
        <v>7071</v>
      </c>
      <c r="D1385" s="553" t="s">
        <v>7072</v>
      </c>
      <c r="E1385" s="563">
        <f t="shared" si="106"/>
        <v>20</v>
      </c>
      <c r="F1385" s="563">
        <v>0</v>
      </c>
      <c r="G1385" s="563">
        <v>20</v>
      </c>
      <c r="H1385" s="563">
        <v>0</v>
      </c>
      <c r="I1385" s="563">
        <f t="shared" si="107"/>
        <v>17</v>
      </c>
      <c r="J1385" s="563">
        <v>0</v>
      </c>
      <c r="K1385" s="563">
        <v>17</v>
      </c>
      <c r="L1385" s="741">
        <v>0</v>
      </c>
      <c r="M1385" s="687">
        <v>0</v>
      </c>
      <c r="N1385" s="563">
        <v>0</v>
      </c>
      <c r="O1385" s="746" t="s">
        <v>7027</v>
      </c>
      <c r="P1385" s="547" t="s">
        <v>1588</v>
      </c>
      <c r="Q1385" s="689">
        <v>0</v>
      </c>
      <c r="R1385" s="689">
        <v>0</v>
      </c>
      <c r="S1385" s="689">
        <v>0</v>
      </c>
      <c r="T1385" s="689">
        <v>0</v>
      </c>
      <c r="U1385" s="547" t="s">
        <v>7486</v>
      </c>
      <c r="V1385" s="547" t="s">
        <v>7028</v>
      </c>
      <c r="W1385" s="658">
        <v>100</v>
      </c>
      <c r="X1385" s="547" t="s">
        <v>2193</v>
      </c>
      <c r="Y1385" s="547"/>
      <c r="Z1385" s="545" t="s">
        <v>1717</v>
      </c>
      <c r="AA1385" s="547" t="s">
        <v>1719</v>
      </c>
      <c r="AB1385" s="550" t="s">
        <v>2318</v>
      </c>
    </row>
    <row r="1386" spans="1:28" ht="24" customHeight="1">
      <c r="A1386" s="606"/>
      <c r="B1386" s="544" t="s">
        <v>7024</v>
      </c>
      <c r="C1386" s="551" t="s">
        <v>7073</v>
      </c>
      <c r="D1386" s="553" t="s">
        <v>7074</v>
      </c>
      <c r="E1386" s="563">
        <f t="shared" si="106"/>
        <v>50</v>
      </c>
      <c r="F1386" s="563">
        <v>0</v>
      </c>
      <c r="G1386" s="563">
        <v>50</v>
      </c>
      <c r="H1386" s="563">
        <v>0</v>
      </c>
      <c r="I1386" s="563">
        <f t="shared" si="107"/>
        <v>43</v>
      </c>
      <c r="J1386" s="563">
        <v>0</v>
      </c>
      <c r="K1386" s="563">
        <v>43</v>
      </c>
      <c r="L1386" s="741">
        <v>0</v>
      </c>
      <c r="M1386" s="687">
        <v>0</v>
      </c>
      <c r="N1386" s="563">
        <v>0</v>
      </c>
      <c r="O1386" s="746" t="s">
        <v>7027</v>
      </c>
      <c r="P1386" s="547" t="s">
        <v>1588</v>
      </c>
      <c r="Q1386" s="689">
        <v>0</v>
      </c>
      <c r="R1386" s="689">
        <v>0</v>
      </c>
      <c r="S1386" s="689">
        <v>0</v>
      </c>
      <c r="T1386" s="689">
        <v>0</v>
      </c>
      <c r="U1386" s="547" t="s">
        <v>7486</v>
      </c>
      <c r="V1386" s="547" t="s">
        <v>7062</v>
      </c>
      <c r="W1386" s="658">
        <v>331</v>
      </c>
      <c r="X1386" s="547" t="s">
        <v>2193</v>
      </c>
      <c r="Y1386" s="547"/>
      <c r="Z1386" s="545" t="s">
        <v>1717</v>
      </c>
      <c r="AA1386" s="547" t="s">
        <v>1719</v>
      </c>
      <c r="AB1386" s="550" t="s">
        <v>2318</v>
      </c>
    </row>
    <row r="1387" spans="1:28" ht="24" customHeight="1">
      <c r="A1387" s="606"/>
      <c r="B1387" s="544" t="s">
        <v>7024</v>
      </c>
      <c r="C1387" s="551" t="s">
        <v>7075</v>
      </c>
      <c r="D1387" s="553" t="s">
        <v>7076</v>
      </c>
      <c r="E1387" s="563">
        <f t="shared" si="106"/>
        <v>20</v>
      </c>
      <c r="F1387" s="563">
        <v>0</v>
      </c>
      <c r="G1387" s="563">
        <v>20</v>
      </c>
      <c r="H1387" s="563">
        <v>0</v>
      </c>
      <c r="I1387" s="563">
        <f t="shared" si="107"/>
        <v>17</v>
      </c>
      <c r="J1387" s="563">
        <v>0</v>
      </c>
      <c r="K1387" s="563">
        <v>17</v>
      </c>
      <c r="L1387" s="741">
        <v>0</v>
      </c>
      <c r="M1387" s="687">
        <v>0</v>
      </c>
      <c r="N1387" s="563">
        <v>0</v>
      </c>
      <c r="O1387" s="746" t="s">
        <v>6587</v>
      </c>
      <c r="P1387" s="547" t="s">
        <v>1588</v>
      </c>
      <c r="Q1387" s="689">
        <v>0</v>
      </c>
      <c r="R1387" s="689">
        <v>0</v>
      </c>
      <c r="S1387" s="689">
        <v>0</v>
      </c>
      <c r="T1387" s="689">
        <v>0</v>
      </c>
      <c r="U1387" s="547" t="s">
        <v>7486</v>
      </c>
      <c r="V1387" s="547" t="s">
        <v>7077</v>
      </c>
      <c r="W1387" s="658">
        <v>219</v>
      </c>
      <c r="X1387" s="547" t="s">
        <v>2193</v>
      </c>
      <c r="Y1387" s="547"/>
      <c r="Z1387" s="545" t="s">
        <v>1717</v>
      </c>
      <c r="AA1387" s="547" t="s">
        <v>1719</v>
      </c>
      <c r="AB1387" s="550" t="s">
        <v>2318</v>
      </c>
    </row>
    <row r="1388" spans="1:28" ht="24" customHeight="1">
      <c r="A1388" s="606"/>
      <c r="B1388" s="544" t="s">
        <v>7024</v>
      </c>
      <c r="C1388" s="551" t="s">
        <v>7078</v>
      </c>
      <c r="D1388" s="553" t="s">
        <v>7079</v>
      </c>
      <c r="E1388" s="563">
        <f t="shared" si="106"/>
        <v>20</v>
      </c>
      <c r="F1388" s="563">
        <v>0</v>
      </c>
      <c r="G1388" s="563">
        <v>20</v>
      </c>
      <c r="H1388" s="563">
        <v>0</v>
      </c>
      <c r="I1388" s="563">
        <f t="shared" si="107"/>
        <v>17</v>
      </c>
      <c r="J1388" s="563">
        <v>0</v>
      </c>
      <c r="K1388" s="563">
        <v>17</v>
      </c>
      <c r="L1388" s="741">
        <v>0</v>
      </c>
      <c r="M1388" s="687">
        <v>0</v>
      </c>
      <c r="N1388" s="563">
        <v>0</v>
      </c>
      <c r="O1388" s="746" t="s">
        <v>6587</v>
      </c>
      <c r="P1388" s="547" t="s">
        <v>1588</v>
      </c>
      <c r="Q1388" s="689">
        <v>0</v>
      </c>
      <c r="R1388" s="689">
        <v>0</v>
      </c>
      <c r="S1388" s="689">
        <v>0</v>
      </c>
      <c r="T1388" s="689">
        <v>0</v>
      </c>
      <c r="U1388" s="547" t="s">
        <v>7486</v>
      </c>
      <c r="V1388" s="547" t="s">
        <v>7077</v>
      </c>
      <c r="W1388" s="658">
        <v>260</v>
      </c>
      <c r="X1388" s="547" t="s">
        <v>2193</v>
      </c>
      <c r="Y1388" s="547"/>
      <c r="Z1388" s="545" t="s">
        <v>1717</v>
      </c>
      <c r="AA1388" s="547" t="s">
        <v>1719</v>
      </c>
      <c r="AB1388" s="550" t="s">
        <v>2318</v>
      </c>
    </row>
    <row r="1389" spans="1:28" ht="24" customHeight="1">
      <c r="A1389" s="606"/>
      <c r="B1389" s="544" t="s">
        <v>7024</v>
      </c>
      <c r="C1389" s="551" t="s">
        <v>7080</v>
      </c>
      <c r="D1389" s="553" t="s">
        <v>7081</v>
      </c>
      <c r="E1389" s="563">
        <f t="shared" si="106"/>
        <v>60</v>
      </c>
      <c r="F1389" s="563">
        <v>0</v>
      </c>
      <c r="G1389" s="563">
        <v>60</v>
      </c>
      <c r="H1389" s="563">
        <v>0</v>
      </c>
      <c r="I1389" s="563">
        <f t="shared" si="107"/>
        <v>52</v>
      </c>
      <c r="J1389" s="563">
        <v>0</v>
      </c>
      <c r="K1389" s="563">
        <v>52</v>
      </c>
      <c r="L1389" s="741">
        <v>0</v>
      </c>
      <c r="M1389" s="687">
        <v>0</v>
      </c>
      <c r="N1389" s="563">
        <v>0</v>
      </c>
      <c r="O1389" s="746" t="s">
        <v>7027</v>
      </c>
      <c r="P1389" s="547" t="s">
        <v>1588</v>
      </c>
      <c r="Q1389" s="689">
        <v>0</v>
      </c>
      <c r="R1389" s="689">
        <v>0</v>
      </c>
      <c r="S1389" s="689">
        <v>0</v>
      </c>
      <c r="T1389" s="689">
        <v>0</v>
      </c>
      <c r="U1389" s="547" t="s">
        <v>7486</v>
      </c>
      <c r="V1389" s="547" t="s">
        <v>7062</v>
      </c>
      <c r="W1389" s="658">
        <v>361</v>
      </c>
      <c r="X1389" s="547" t="s">
        <v>2193</v>
      </c>
      <c r="Y1389" s="547"/>
      <c r="Z1389" s="545" t="s">
        <v>1717</v>
      </c>
      <c r="AA1389" s="547" t="s">
        <v>1719</v>
      </c>
      <c r="AB1389" s="550" t="s">
        <v>2318</v>
      </c>
    </row>
    <row r="1390" spans="1:28" ht="24" customHeight="1">
      <c r="A1390" s="606"/>
      <c r="B1390" s="544" t="s">
        <v>7024</v>
      </c>
      <c r="C1390" s="551" t="s">
        <v>7082</v>
      </c>
      <c r="D1390" s="553" t="s">
        <v>7083</v>
      </c>
      <c r="E1390" s="563">
        <f t="shared" si="106"/>
        <v>140</v>
      </c>
      <c r="F1390" s="563">
        <v>0</v>
      </c>
      <c r="G1390" s="563">
        <v>140</v>
      </c>
      <c r="H1390" s="563">
        <v>0</v>
      </c>
      <c r="I1390" s="563">
        <f t="shared" si="107"/>
        <v>119</v>
      </c>
      <c r="J1390" s="563">
        <v>0</v>
      </c>
      <c r="K1390" s="563">
        <v>119</v>
      </c>
      <c r="L1390" s="741">
        <v>0</v>
      </c>
      <c r="M1390" s="687">
        <v>0</v>
      </c>
      <c r="N1390" s="563">
        <v>0</v>
      </c>
      <c r="O1390" s="746" t="s">
        <v>1127</v>
      </c>
      <c r="P1390" s="547" t="s">
        <v>1588</v>
      </c>
      <c r="Q1390" s="689">
        <v>0</v>
      </c>
      <c r="R1390" s="689">
        <v>0</v>
      </c>
      <c r="S1390" s="689">
        <v>0</v>
      </c>
      <c r="T1390" s="689">
        <v>0</v>
      </c>
      <c r="U1390" s="547" t="s">
        <v>7486</v>
      </c>
      <c r="V1390" s="547" t="s">
        <v>7045</v>
      </c>
      <c r="W1390" s="658">
        <v>478</v>
      </c>
      <c r="X1390" s="547" t="s">
        <v>2193</v>
      </c>
      <c r="Y1390" s="545" t="s">
        <v>3161</v>
      </c>
      <c r="Z1390" s="545" t="s">
        <v>1717</v>
      </c>
      <c r="AA1390" s="547" t="s">
        <v>1719</v>
      </c>
      <c r="AB1390" s="550" t="s">
        <v>2318</v>
      </c>
    </row>
    <row r="1391" spans="1:28" ht="24" customHeight="1">
      <c r="A1391" s="606"/>
      <c r="B1391" s="544" t="s">
        <v>7024</v>
      </c>
      <c r="C1391" s="551" t="s">
        <v>7084</v>
      </c>
      <c r="D1391" s="553" t="s">
        <v>7085</v>
      </c>
      <c r="E1391" s="563">
        <f t="shared" si="106"/>
        <v>40</v>
      </c>
      <c r="F1391" s="563">
        <v>0</v>
      </c>
      <c r="G1391" s="563">
        <v>40</v>
      </c>
      <c r="H1391" s="563">
        <v>0</v>
      </c>
      <c r="I1391" s="563">
        <f t="shared" si="107"/>
        <v>35</v>
      </c>
      <c r="J1391" s="563">
        <v>0</v>
      </c>
      <c r="K1391" s="563">
        <v>35</v>
      </c>
      <c r="L1391" s="741">
        <v>0</v>
      </c>
      <c r="M1391" s="687">
        <v>0</v>
      </c>
      <c r="N1391" s="563">
        <v>0</v>
      </c>
      <c r="O1391" s="746" t="s">
        <v>7027</v>
      </c>
      <c r="P1391" s="547" t="s">
        <v>1588</v>
      </c>
      <c r="Q1391" s="689">
        <v>0</v>
      </c>
      <c r="R1391" s="689">
        <v>0</v>
      </c>
      <c r="S1391" s="689">
        <v>0</v>
      </c>
      <c r="T1391" s="689">
        <v>0</v>
      </c>
      <c r="U1391" s="547" t="s">
        <v>7486</v>
      </c>
      <c r="V1391" s="547" t="s">
        <v>7028</v>
      </c>
      <c r="W1391" s="658">
        <v>200</v>
      </c>
      <c r="X1391" s="547" t="s">
        <v>2193</v>
      </c>
      <c r="Y1391" s="547"/>
      <c r="Z1391" s="545" t="s">
        <v>1717</v>
      </c>
      <c r="AA1391" s="547" t="s">
        <v>1719</v>
      </c>
      <c r="AB1391" s="550" t="s">
        <v>2318</v>
      </c>
    </row>
    <row r="1392" spans="1:28" ht="24" customHeight="1">
      <c r="A1392" s="606"/>
      <c r="B1392" s="544" t="s">
        <v>7024</v>
      </c>
      <c r="C1392" s="551" t="s">
        <v>7086</v>
      </c>
      <c r="D1392" s="553" t="s">
        <v>7087</v>
      </c>
      <c r="E1392" s="563">
        <f t="shared" si="106"/>
        <v>40</v>
      </c>
      <c r="F1392" s="563">
        <v>0</v>
      </c>
      <c r="G1392" s="563">
        <v>40</v>
      </c>
      <c r="H1392" s="563">
        <v>0</v>
      </c>
      <c r="I1392" s="563">
        <f t="shared" si="107"/>
        <v>36</v>
      </c>
      <c r="J1392" s="563">
        <v>0</v>
      </c>
      <c r="K1392" s="563">
        <v>36</v>
      </c>
      <c r="L1392" s="741">
        <v>0</v>
      </c>
      <c r="M1392" s="687">
        <v>0</v>
      </c>
      <c r="N1392" s="563">
        <v>0</v>
      </c>
      <c r="O1392" s="746" t="s">
        <v>7040</v>
      </c>
      <c r="P1392" s="547" t="s">
        <v>1588</v>
      </c>
      <c r="Q1392" s="689">
        <v>0</v>
      </c>
      <c r="R1392" s="689">
        <v>0</v>
      </c>
      <c r="S1392" s="689">
        <v>0</v>
      </c>
      <c r="T1392" s="689">
        <v>0</v>
      </c>
      <c r="U1392" s="547" t="s">
        <v>7486</v>
      </c>
      <c r="V1392" s="547" t="s">
        <v>7088</v>
      </c>
      <c r="W1392" s="658">
        <v>443</v>
      </c>
      <c r="X1392" s="547" t="s">
        <v>2193</v>
      </c>
      <c r="Y1392" s="547"/>
      <c r="Z1392" s="545" t="s">
        <v>1717</v>
      </c>
      <c r="AA1392" s="547" t="s">
        <v>1719</v>
      </c>
      <c r="AB1392" s="550" t="s">
        <v>2318</v>
      </c>
    </row>
    <row r="1393" spans="1:28" ht="24" customHeight="1">
      <c r="A1393" s="606"/>
      <c r="B1393" s="544" t="s">
        <v>7024</v>
      </c>
      <c r="C1393" s="551" t="s">
        <v>7089</v>
      </c>
      <c r="D1393" s="553" t="s">
        <v>7090</v>
      </c>
      <c r="E1393" s="563">
        <f t="shared" si="106"/>
        <v>40</v>
      </c>
      <c r="F1393" s="563">
        <v>0</v>
      </c>
      <c r="G1393" s="563">
        <v>40</v>
      </c>
      <c r="H1393" s="563">
        <v>0</v>
      </c>
      <c r="I1393" s="563">
        <f t="shared" si="107"/>
        <v>35</v>
      </c>
      <c r="J1393" s="563">
        <v>0</v>
      </c>
      <c r="K1393" s="563">
        <v>35</v>
      </c>
      <c r="L1393" s="741">
        <v>0</v>
      </c>
      <c r="M1393" s="687">
        <v>0</v>
      </c>
      <c r="N1393" s="563">
        <v>0</v>
      </c>
      <c r="O1393" s="746" t="s">
        <v>7091</v>
      </c>
      <c r="P1393" s="547" t="s">
        <v>1588</v>
      </c>
      <c r="Q1393" s="689">
        <v>0</v>
      </c>
      <c r="R1393" s="689">
        <v>0</v>
      </c>
      <c r="S1393" s="689">
        <v>0</v>
      </c>
      <c r="T1393" s="689">
        <v>0</v>
      </c>
      <c r="U1393" s="547" t="s">
        <v>7486</v>
      </c>
      <c r="V1393" s="547" t="s">
        <v>7092</v>
      </c>
      <c r="W1393" s="658">
        <v>165</v>
      </c>
      <c r="X1393" s="547" t="s">
        <v>2193</v>
      </c>
      <c r="Y1393" s="547"/>
      <c r="Z1393" s="545" t="s">
        <v>1717</v>
      </c>
      <c r="AA1393" s="547" t="s">
        <v>1719</v>
      </c>
      <c r="AB1393" s="550" t="s">
        <v>2318</v>
      </c>
    </row>
    <row r="1394" spans="1:28" ht="24" customHeight="1">
      <c r="A1394" s="606"/>
      <c r="B1394" s="544" t="s">
        <v>7024</v>
      </c>
      <c r="C1394" s="551" t="s">
        <v>2044</v>
      </c>
      <c r="D1394" s="553" t="s">
        <v>7093</v>
      </c>
      <c r="E1394" s="563">
        <f t="shared" si="106"/>
        <v>45</v>
      </c>
      <c r="F1394" s="563">
        <v>0</v>
      </c>
      <c r="G1394" s="563">
        <v>45</v>
      </c>
      <c r="H1394" s="563">
        <v>0</v>
      </c>
      <c r="I1394" s="563">
        <f t="shared" si="107"/>
        <v>35</v>
      </c>
      <c r="J1394" s="563">
        <v>0</v>
      </c>
      <c r="K1394" s="563">
        <v>35</v>
      </c>
      <c r="L1394" s="741">
        <v>0</v>
      </c>
      <c r="M1394" s="687">
        <v>0</v>
      </c>
      <c r="N1394" s="563">
        <v>0</v>
      </c>
      <c r="O1394" s="746" t="s">
        <v>7091</v>
      </c>
      <c r="P1394" s="547" t="s">
        <v>1588</v>
      </c>
      <c r="Q1394" s="689">
        <v>0</v>
      </c>
      <c r="R1394" s="689">
        <v>0</v>
      </c>
      <c r="S1394" s="689">
        <v>0</v>
      </c>
      <c r="T1394" s="689">
        <v>0</v>
      </c>
      <c r="U1394" s="547" t="s">
        <v>7486</v>
      </c>
      <c r="V1394" s="547" t="s">
        <v>7094</v>
      </c>
      <c r="W1394" s="658">
        <v>410</v>
      </c>
      <c r="X1394" s="547" t="s">
        <v>2193</v>
      </c>
      <c r="Y1394" s="547"/>
      <c r="Z1394" s="545" t="s">
        <v>1717</v>
      </c>
      <c r="AA1394" s="547" t="s">
        <v>1719</v>
      </c>
      <c r="AB1394" s="550" t="s">
        <v>2318</v>
      </c>
    </row>
    <row r="1395" spans="1:28" ht="24" customHeight="1">
      <c r="A1395" s="606"/>
      <c r="B1395" s="544" t="s">
        <v>7024</v>
      </c>
      <c r="C1395" s="551" t="s">
        <v>7095</v>
      </c>
      <c r="D1395" s="553" t="s">
        <v>7096</v>
      </c>
      <c r="E1395" s="563">
        <f t="shared" si="106"/>
        <v>40</v>
      </c>
      <c r="F1395" s="563">
        <v>0</v>
      </c>
      <c r="G1395" s="563">
        <v>40</v>
      </c>
      <c r="H1395" s="563">
        <v>0</v>
      </c>
      <c r="I1395" s="563">
        <f t="shared" si="107"/>
        <v>36</v>
      </c>
      <c r="J1395" s="563">
        <v>0</v>
      </c>
      <c r="K1395" s="563">
        <v>36</v>
      </c>
      <c r="L1395" s="741">
        <v>0</v>
      </c>
      <c r="M1395" s="687">
        <v>0</v>
      </c>
      <c r="N1395" s="563">
        <v>0</v>
      </c>
      <c r="O1395" s="746" t="s">
        <v>7061</v>
      </c>
      <c r="P1395" s="547" t="s">
        <v>1588</v>
      </c>
      <c r="Q1395" s="689">
        <v>0</v>
      </c>
      <c r="R1395" s="689">
        <v>0</v>
      </c>
      <c r="S1395" s="689">
        <v>0</v>
      </c>
      <c r="T1395" s="689">
        <v>0</v>
      </c>
      <c r="U1395" s="547" t="s">
        <v>7486</v>
      </c>
      <c r="V1395" s="547" t="s">
        <v>2147</v>
      </c>
      <c r="W1395" s="658">
        <v>200</v>
      </c>
      <c r="X1395" s="547" t="s">
        <v>2193</v>
      </c>
      <c r="Y1395" s="547"/>
      <c r="Z1395" s="545" t="s">
        <v>1717</v>
      </c>
      <c r="AA1395" s="547" t="s">
        <v>1719</v>
      </c>
      <c r="AB1395" s="550" t="s">
        <v>2318</v>
      </c>
    </row>
    <row r="1396" spans="1:28" ht="24" customHeight="1">
      <c r="A1396" s="606"/>
      <c r="B1396" s="544" t="s">
        <v>7024</v>
      </c>
      <c r="C1396" s="551" t="s">
        <v>7097</v>
      </c>
      <c r="D1396" s="553" t="s">
        <v>7098</v>
      </c>
      <c r="E1396" s="563">
        <f t="shared" si="106"/>
        <v>60</v>
      </c>
      <c r="F1396" s="563">
        <v>0</v>
      </c>
      <c r="G1396" s="563">
        <v>60</v>
      </c>
      <c r="H1396" s="563">
        <v>0</v>
      </c>
      <c r="I1396" s="563">
        <f t="shared" si="107"/>
        <v>55</v>
      </c>
      <c r="J1396" s="563">
        <v>0</v>
      </c>
      <c r="K1396" s="563">
        <v>55</v>
      </c>
      <c r="L1396" s="741">
        <v>0</v>
      </c>
      <c r="M1396" s="687">
        <v>0</v>
      </c>
      <c r="N1396" s="563">
        <v>0</v>
      </c>
      <c r="O1396" s="746" t="s">
        <v>7027</v>
      </c>
      <c r="P1396" s="547" t="s">
        <v>1588</v>
      </c>
      <c r="Q1396" s="689">
        <v>0</v>
      </c>
      <c r="R1396" s="689">
        <v>0</v>
      </c>
      <c r="S1396" s="689">
        <v>0</v>
      </c>
      <c r="T1396" s="689">
        <v>0</v>
      </c>
      <c r="U1396" s="547" t="s">
        <v>7486</v>
      </c>
      <c r="V1396" s="547" t="s">
        <v>7092</v>
      </c>
      <c r="W1396" s="658">
        <v>274</v>
      </c>
      <c r="X1396" s="547" t="s">
        <v>2193</v>
      </c>
      <c r="Y1396" s="545" t="s">
        <v>3161</v>
      </c>
      <c r="Z1396" s="545" t="s">
        <v>1717</v>
      </c>
      <c r="AA1396" s="547" t="s">
        <v>1719</v>
      </c>
      <c r="AB1396" s="550" t="s">
        <v>2318</v>
      </c>
    </row>
    <row r="1397" spans="1:28" ht="24" customHeight="1">
      <c r="A1397" s="606"/>
      <c r="B1397" s="544" t="s">
        <v>7024</v>
      </c>
      <c r="C1397" s="551" t="s">
        <v>7099</v>
      </c>
      <c r="D1397" s="553" t="s">
        <v>7100</v>
      </c>
      <c r="E1397" s="563">
        <f t="shared" si="106"/>
        <v>40</v>
      </c>
      <c r="F1397" s="563">
        <v>0</v>
      </c>
      <c r="G1397" s="563">
        <v>40</v>
      </c>
      <c r="H1397" s="563">
        <v>0</v>
      </c>
      <c r="I1397" s="563">
        <f t="shared" si="107"/>
        <v>34</v>
      </c>
      <c r="J1397" s="563">
        <v>0</v>
      </c>
      <c r="K1397" s="563">
        <v>34</v>
      </c>
      <c r="L1397" s="741">
        <v>0</v>
      </c>
      <c r="M1397" s="687">
        <v>0</v>
      </c>
      <c r="N1397" s="563">
        <v>0</v>
      </c>
      <c r="O1397" s="752" t="s">
        <v>7101</v>
      </c>
      <c r="P1397" s="547" t="s">
        <v>1588</v>
      </c>
      <c r="Q1397" s="689">
        <v>0</v>
      </c>
      <c r="R1397" s="689">
        <v>0</v>
      </c>
      <c r="S1397" s="689">
        <v>0</v>
      </c>
      <c r="T1397" s="689">
        <v>0</v>
      </c>
      <c r="U1397" s="547" t="s">
        <v>7486</v>
      </c>
      <c r="V1397" s="547" t="s">
        <v>7102</v>
      </c>
      <c r="W1397" s="658">
        <v>1000</v>
      </c>
      <c r="X1397" s="547" t="s">
        <v>2193</v>
      </c>
      <c r="Y1397" s="545" t="s">
        <v>3161</v>
      </c>
      <c r="Z1397" s="545" t="s">
        <v>1717</v>
      </c>
      <c r="AA1397" s="547" t="s">
        <v>1719</v>
      </c>
      <c r="AB1397" s="550" t="s">
        <v>2318</v>
      </c>
    </row>
    <row r="1398" spans="1:28" ht="24" customHeight="1">
      <c r="A1398" s="606"/>
      <c r="B1398" s="544" t="s">
        <v>7024</v>
      </c>
      <c r="C1398" s="551" t="s">
        <v>1721</v>
      </c>
      <c r="D1398" s="553" t="s">
        <v>7103</v>
      </c>
      <c r="E1398" s="563">
        <f>F1398+G1398+H1398</f>
        <v>120</v>
      </c>
      <c r="F1398" s="563">
        <v>0</v>
      </c>
      <c r="G1398" s="563">
        <v>0</v>
      </c>
      <c r="H1398" s="563">
        <v>120</v>
      </c>
      <c r="I1398" s="563">
        <f t="shared" si="107"/>
        <v>113</v>
      </c>
      <c r="J1398" s="563">
        <v>0</v>
      </c>
      <c r="K1398" s="563">
        <v>0</v>
      </c>
      <c r="L1398" s="741">
        <v>113</v>
      </c>
      <c r="M1398" s="687">
        <v>0</v>
      </c>
      <c r="N1398" s="563">
        <v>0</v>
      </c>
      <c r="O1398" s="746" t="s">
        <v>3282</v>
      </c>
      <c r="P1398" s="547" t="s">
        <v>1588</v>
      </c>
      <c r="Q1398" s="689">
        <v>0</v>
      </c>
      <c r="R1398" s="689">
        <v>0</v>
      </c>
      <c r="S1398" s="689">
        <v>0</v>
      </c>
      <c r="T1398" s="689">
        <v>0</v>
      </c>
      <c r="U1398" s="547" t="s">
        <v>7486</v>
      </c>
      <c r="V1398" s="547" t="s">
        <v>2234</v>
      </c>
      <c r="W1398" s="658">
        <v>4895</v>
      </c>
      <c r="X1398" s="547" t="s">
        <v>2199</v>
      </c>
      <c r="Y1398" s="545" t="s">
        <v>3161</v>
      </c>
      <c r="Z1398" s="545" t="s">
        <v>1717</v>
      </c>
      <c r="AA1398" s="547" t="s">
        <v>1719</v>
      </c>
      <c r="AB1398" s="550" t="s">
        <v>2318</v>
      </c>
    </row>
    <row r="1399" spans="1:28" ht="24" customHeight="1">
      <c r="A1399" s="605" t="s">
        <v>1722</v>
      </c>
      <c r="B1399" s="544" t="s">
        <v>2201</v>
      </c>
      <c r="C1399" s="551" t="s">
        <v>2434</v>
      </c>
      <c r="D1399" s="553" t="s">
        <v>7104</v>
      </c>
      <c r="E1399" s="563">
        <f t="shared" ref="E1399:E1425" si="109">SUM(F1399:H1399)</f>
        <v>9000</v>
      </c>
      <c r="F1399" s="753" t="s">
        <v>1588</v>
      </c>
      <c r="G1399" s="563">
        <v>9000</v>
      </c>
      <c r="H1399" s="563" t="s">
        <v>1588</v>
      </c>
      <c r="I1399" s="563">
        <f t="shared" ref="I1399:I1457" si="110">SUM(J1399:L1399)</f>
        <v>6960</v>
      </c>
      <c r="J1399" s="563" t="s">
        <v>1588</v>
      </c>
      <c r="K1399" s="563">
        <v>6960</v>
      </c>
      <c r="L1399" s="741" t="s">
        <v>3211</v>
      </c>
      <c r="M1399" s="687">
        <v>93.7</v>
      </c>
      <c r="N1399" s="659">
        <v>36194</v>
      </c>
      <c r="O1399" s="746" t="s">
        <v>2319</v>
      </c>
      <c r="P1399" s="547" t="s">
        <v>1588</v>
      </c>
      <c r="Q1399" s="689">
        <v>90</v>
      </c>
      <c r="R1399" s="689">
        <v>0</v>
      </c>
      <c r="S1399" s="689" t="s">
        <v>1704</v>
      </c>
      <c r="T1399" s="689" t="s">
        <v>1704</v>
      </c>
      <c r="U1399" s="547" t="s">
        <v>2321</v>
      </c>
      <c r="V1399" s="561">
        <v>37803</v>
      </c>
      <c r="W1399" s="658">
        <v>20500</v>
      </c>
      <c r="X1399" s="547" t="s">
        <v>1532</v>
      </c>
      <c r="Y1399" s="547" t="s">
        <v>3161</v>
      </c>
      <c r="Z1399" s="547" t="s">
        <v>7105</v>
      </c>
      <c r="AA1399" s="547" t="s">
        <v>7106</v>
      </c>
      <c r="AB1399" s="550" t="s">
        <v>7107</v>
      </c>
    </row>
    <row r="1400" spans="1:28" ht="24" customHeight="1">
      <c r="A1400" s="606"/>
      <c r="B1400" s="544" t="s">
        <v>675</v>
      </c>
      <c r="C1400" s="551" t="s">
        <v>7075</v>
      </c>
      <c r="D1400" s="553" t="s">
        <v>7108</v>
      </c>
      <c r="E1400" s="563">
        <f t="shared" si="109"/>
        <v>45</v>
      </c>
      <c r="F1400" s="753" t="s">
        <v>1588</v>
      </c>
      <c r="G1400" s="563" t="s">
        <v>1588</v>
      </c>
      <c r="H1400" s="563">
        <v>45</v>
      </c>
      <c r="I1400" s="563">
        <f t="shared" si="110"/>
        <v>39</v>
      </c>
      <c r="J1400" s="563" t="s">
        <v>1588</v>
      </c>
      <c r="K1400" s="563" t="s">
        <v>1588</v>
      </c>
      <c r="L1400" s="741">
        <v>39</v>
      </c>
      <c r="M1400" s="687">
        <v>91.7</v>
      </c>
      <c r="N1400" s="563">
        <v>181.56875100000002</v>
      </c>
      <c r="O1400" s="746" t="s">
        <v>7109</v>
      </c>
      <c r="P1400" s="547" t="s">
        <v>1588</v>
      </c>
      <c r="Q1400" s="689">
        <v>0</v>
      </c>
      <c r="R1400" s="689">
        <v>0</v>
      </c>
      <c r="S1400" s="689">
        <v>0</v>
      </c>
      <c r="T1400" s="689">
        <v>0</v>
      </c>
      <c r="U1400" s="547" t="s">
        <v>2321</v>
      </c>
      <c r="V1400" s="562">
        <v>37712</v>
      </c>
      <c r="W1400" s="658">
        <v>305</v>
      </c>
      <c r="X1400" s="547" t="s">
        <v>1532</v>
      </c>
      <c r="Y1400" s="547" t="s">
        <v>1404</v>
      </c>
      <c r="Z1400" s="547" t="s">
        <v>7110</v>
      </c>
      <c r="AA1400" s="547" t="s">
        <v>7106</v>
      </c>
      <c r="AB1400" s="550" t="s">
        <v>1723</v>
      </c>
    </row>
    <row r="1401" spans="1:28" ht="24" customHeight="1">
      <c r="A1401" s="606"/>
      <c r="B1401" s="544" t="s">
        <v>675</v>
      </c>
      <c r="C1401" s="551" t="s">
        <v>2437</v>
      </c>
      <c r="D1401" s="553" t="s">
        <v>7111</v>
      </c>
      <c r="E1401" s="563">
        <f t="shared" si="109"/>
        <v>45</v>
      </c>
      <c r="F1401" s="753" t="s">
        <v>1588</v>
      </c>
      <c r="G1401" s="753" t="s">
        <v>1588</v>
      </c>
      <c r="H1401" s="563">
        <v>45</v>
      </c>
      <c r="I1401" s="563">
        <f t="shared" si="110"/>
        <v>40</v>
      </c>
      <c r="J1401" s="563" t="s">
        <v>1588</v>
      </c>
      <c r="K1401" s="753" t="s">
        <v>1588</v>
      </c>
      <c r="L1401" s="741">
        <v>40</v>
      </c>
      <c r="M1401" s="687">
        <v>91.7</v>
      </c>
      <c r="N1401" s="563">
        <v>137.66004000000001</v>
      </c>
      <c r="O1401" s="746" t="s">
        <v>7112</v>
      </c>
      <c r="P1401" s="547" t="s">
        <v>1588</v>
      </c>
      <c r="Q1401" s="689">
        <v>0</v>
      </c>
      <c r="R1401" s="689">
        <v>0</v>
      </c>
      <c r="S1401" s="689">
        <v>0</v>
      </c>
      <c r="T1401" s="689">
        <v>0</v>
      </c>
      <c r="U1401" s="547" t="s">
        <v>2321</v>
      </c>
      <c r="V1401" s="562">
        <v>38108</v>
      </c>
      <c r="W1401" s="658">
        <v>365</v>
      </c>
      <c r="X1401" s="547" t="s">
        <v>1532</v>
      </c>
      <c r="Y1401" s="547" t="s">
        <v>3161</v>
      </c>
      <c r="Z1401" s="547" t="s">
        <v>7105</v>
      </c>
      <c r="AA1401" s="547" t="s">
        <v>7106</v>
      </c>
      <c r="AB1401" s="550" t="s">
        <v>1723</v>
      </c>
    </row>
    <row r="1402" spans="1:28" ht="24" customHeight="1">
      <c r="A1402" s="606"/>
      <c r="B1402" s="544" t="s">
        <v>675</v>
      </c>
      <c r="C1402" s="551" t="s">
        <v>7113</v>
      </c>
      <c r="D1402" s="553" t="s">
        <v>7114</v>
      </c>
      <c r="E1402" s="563">
        <f t="shared" si="109"/>
        <v>15</v>
      </c>
      <c r="F1402" s="753" t="s">
        <v>1588</v>
      </c>
      <c r="G1402" s="563" t="s">
        <v>1588</v>
      </c>
      <c r="H1402" s="563">
        <v>15</v>
      </c>
      <c r="I1402" s="563">
        <f t="shared" si="110"/>
        <v>12</v>
      </c>
      <c r="J1402" s="563" t="s">
        <v>1588</v>
      </c>
      <c r="K1402" s="563" t="s">
        <v>1588</v>
      </c>
      <c r="L1402" s="741">
        <v>12</v>
      </c>
      <c r="M1402" s="687">
        <v>95.4</v>
      </c>
      <c r="N1402" s="563">
        <v>79.368984000000012</v>
      </c>
      <c r="O1402" s="746" t="s">
        <v>7115</v>
      </c>
      <c r="P1402" s="547" t="s">
        <v>1588</v>
      </c>
      <c r="Q1402" s="689">
        <v>0</v>
      </c>
      <c r="R1402" s="689">
        <v>0</v>
      </c>
      <c r="S1402" s="689">
        <v>0</v>
      </c>
      <c r="T1402" s="689">
        <v>0</v>
      </c>
      <c r="U1402" s="547" t="s">
        <v>2321</v>
      </c>
      <c r="V1402" s="562">
        <v>38322</v>
      </c>
      <c r="W1402" s="658">
        <v>230</v>
      </c>
      <c r="X1402" s="547" t="s">
        <v>1532</v>
      </c>
      <c r="Y1402" s="547" t="s">
        <v>3161</v>
      </c>
      <c r="Z1402" s="547" t="s">
        <v>7105</v>
      </c>
      <c r="AA1402" s="547" t="s">
        <v>7106</v>
      </c>
      <c r="AB1402" s="550" t="s">
        <v>1723</v>
      </c>
    </row>
    <row r="1403" spans="1:28" ht="24" customHeight="1">
      <c r="A1403" s="606"/>
      <c r="B1403" s="544" t="s">
        <v>675</v>
      </c>
      <c r="C1403" s="551" t="s">
        <v>2087</v>
      </c>
      <c r="D1403" s="553" t="s">
        <v>7116</v>
      </c>
      <c r="E1403" s="563">
        <f t="shared" si="109"/>
        <v>20</v>
      </c>
      <c r="F1403" s="563" t="s">
        <v>1588</v>
      </c>
      <c r="G1403" s="563">
        <v>20</v>
      </c>
      <c r="H1403" s="753" t="s">
        <v>1588</v>
      </c>
      <c r="I1403" s="563">
        <f t="shared" si="110"/>
        <v>17</v>
      </c>
      <c r="J1403" s="563" t="s">
        <v>1588</v>
      </c>
      <c r="K1403" s="563">
        <v>17</v>
      </c>
      <c r="L1403" s="754" t="s">
        <v>1588</v>
      </c>
      <c r="M1403" s="687">
        <v>87.5</v>
      </c>
      <c r="N1403" s="563">
        <v>53.847499999999997</v>
      </c>
      <c r="O1403" s="746" t="s">
        <v>7109</v>
      </c>
      <c r="P1403" s="547" t="s">
        <v>1588</v>
      </c>
      <c r="Q1403" s="689">
        <v>0</v>
      </c>
      <c r="R1403" s="689">
        <v>0</v>
      </c>
      <c r="S1403" s="689">
        <v>0</v>
      </c>
      <c r="T1403" s="689">
        <v>0</v>
      </c>
      <c r="U1403" s="547" t="s">
        <v>2321</v>
      </c>
      <c r="V1403" s="562">
        <v>37408</v>
      </c>
      <c r="W1403" s="658">
        <v>200</v>
      </c>
      <c r="X1403" s="547" t="s">
        <v>1532</v>
      </c>
      <c r="Y1403" s="547" t="s">
        <v>3232</v>
      </c>
      <c r="Z1403" s="547" t="s">
        <v>3759</v>
      </c>
      <c r="AA1403" s="547" t="s">
        <v>7106</v>
      </c>
      <c r="AB1403" s="550" t="s">
        <v>1723</v>
      </c>
    </row>
    <row r="1404" spans="1:28" ht="24" customHeight="1">
      <c r="A1404" s="606"/>
      <c r="B1404" s="544" t="s">
        <v>675</v>
      </c>
      <c r="C1404" s="551" t="s">
        <v>7117</v>
      </c>
      <c r="D1404" s="553" t="s">
        <v>7118</v>
      </c>
      <c r="E1404" s="563">
        <f t="shared" si="109"/>
        <v>30</v>
      </c>
      <c r="F1404" s="563" t="s">
        <v>1588</v>
      </c>
      <c r="G1404" s="563">
        <v>30</v>
      </c>
      <c r="H1404" s="753" t="s">
        <v>1588</v>
      </c>
      <c r="I1404" s="563">
        <f t="shared" si="110"/>
        <v>27</v>
      </c>
      <c r="J1404" s="563" t="s">
        <v>1588</v>
      </c>
      <c r="K1404" s="563">
        <v>27</v>
      </c>
      <c r="L1404" s="754" t="s">
        <v>1588</v>
      </c>
      <c r="M1404" s="687">
        <v>91.7</v>
      </c>
      <c r="N1404" s="563">
        <v>158.65567199999998</v>
      </c>
      <c r="O1404" s="746" t="s">
        <v>7119</v>
      </c>
      <c r="P1404" s="547" t="s">
        <v>1588</v>
      </c>
      <c r="Q1404" s="689">
        <v>0</v>
      </c>
      <c r="R1404" s="689">
        <v>0</v>
      </c>
      <c r="S1404" s="689">
        <v>0</v>
      </c>
      <c r="T1404" s="689">
        <v>0</v>
      </c>
      <c r="U1404" s="547" t="s">
        <v>2321</v>
      </c>
      <c r="V1404" s="562">
        <v>35674</v>
      </c>
      <c r="W1404" s="658">
        <v>170</v>
      </c>
      <c r="X1404" s="547" t="s">
        <v>1532</v>
      </c>
      <c r="Y1404" s="547" t="s">
        <v>1404</v>
      </c>
      <c r="Z1404" s="547" t="s">
        <v>3759</v>
      </c>
      <c r="AA1404" s="547" t="s">
        <v>7106</v>
      </c>
      <c r="AB1404" s="550" t="s">
        <v>1723</v>
      </c>
    </row>
    <row r="1405" spans="1:28" ht="24" customHeight="1">
      <c r="A1405" s="606"/>
      <c r="B1405" s="544" t="s">
        <v>675</v>
      </c>
      <c r="C1405" s="551" t="s">
        <v>7120</v>
      </c>
      <c r="D1405" s="553" t="s">
        <v>7121</v>
      </c>
      <c r="E1405" s="563">
        <f t="shared" si="109"/>
        <v>45</v>
      </c>
      <c r="F1405" s="563" t="s">
        <v>1588</v>
      </c>
      <c r="G1405" s="563">
        <v>45</v>
      </c>
      <c r="H1405" s="563" t="s">
        <v>1588</v>
      </c>
      <c r="I1405" s="563">
        <f t="shared" si="110"/>
        <v>40</v>
      </c>
      <c r="J1405" s="563" t="s">
        <v>1588</v>
      </c>
      <c r="K1405" s="563">
        <v>40</v>
      </c>
      <c r="L1405" s="741" t="s">
        <v>3211</v>
      </c>
      <c r="M1405" s="687">
        <v>96.2</v>
      </c>
      <c r="N1405" s="563">
        <v>364.52104000000003</v>
      </c>
      <c r="O1405" s="746" t="s">
        <v>7122</v>
      </c>
      <c r="P1405" s="547" t="s">
        <v>1588</v>
      </c>
      <c r="Q1405" s="689">
        <v>0</v>
      </c>
      <c r="R1405" s="689">
        <v>0</v>
      </c>
      <c r="S1405" s="689">
        <v>0</v>
      </c>
      <c r="T1405" s="689">
        <v>0</v>
      </c>
      <c r="U1405" s="547" t="s">
        <v>2321</v>
      </c>
      <c r="V1405" s="562">
        <v>36739</v>
      </c>
      <c r="W1405" s="658">
        <v>180</v>
      </c>
      <c r="X1405" s="547" t="s">
        <v>1532</v>
      </c>
      <c r="Y1405" s="547" t="s">
        <v>3232</v>
      </c>
      <c r="Z1405" s="547" t="s">
        <v>3759</v>
      </c>
      <c r="AA1405" s="547" t="s">
        <v>7106</v>
      </c>
      <c r="AB1405" s="550" t="s">
        <v>1723</v>
      </c>
    </row>
    <row r="1406" spans="1:28" ht="24" customHeight="1">
      <c r="A1406" s="606"/>
      <c r="B1406" s="544" t="s">
        <v>675</v>
      </c>
      <c r="C1406" s="551" t="s">
        <v>7123</v>
      </c>
      <c r="D1406" s="553" t="s">
        <v>7124</v>
      </c>
      <c r="E1406" s="563">
        <f t="shared" si="109"/>
        <v>20</v>
      </c>
      <c r="F1406" s="563" t="s">
        <v>1588</v>
      </c>
      <c r="G1406" s="563">
        <v>20</v>
      </c>
      <c r="H1406" s="563" t="s">
        <v>1588</v>
      </c>
      <c r="I1406" s="563">
        <f t="shared" si="110"/>
        <v>18</v>
      </c>
      <c r="J1406" s="563" t="s">
        <v>1588</v>
      </c>
      <c r="K1406" s="563">
        <v>18</v>
      </c>
      <c r="L1406" s="741" t="s">
        <v>3211</v>
      </c>
      <c r="M1406" s="687">
        <v>91.7</v>
      </c>
      <c r="N1406" s="563">
        <v>73.996397999999999</v>
      </c>
      <c r="O1406" s="746" t="s">
        <v>7125</v>
      </c>
      <c r="P1406" s="547" t="s">
        <v>1588</v>
      </c>
      <c r="Q1406" s="689">
        <v>0</v>
      </c>
      <c r="R1406" s="689">
        <v>0</v>
      </c>
      <c r="S1406" s="689">
        <v>0</v>
      </c>
      <c r="T1406" s="689">
        <v>0</v>
      </c>
      <c r="U1406" s="547" t="s">
        <v>2321</v>
      </c>
      <c r="V1406" s="562">
        <v>37712</v>
      </c>
      <c r="W1406" s="658">
        <v>310</v>
      </c>
      <c r="X1406" s="547" t="s">
        <v>1532</v>
      </c>
      <c r="Y1406" s="547" t="s">
        <v>1404</v>
      </c>
      <c r="Z1406" s="547" t="s">
        <v>3759</v>
      </c>
      <c r="AA1406" s="547" t="s">
        <v>7106</v>
      </c>
      <c r="AB1406" s="550" t="s">
        <v>1723</v>
      </c>
    </row>
    <row r="1407" spans="1:28" ht="24" customHeight="1">
      <c r="A1407" s="606"/>
      <c r="B1407" s="544" t="s">
        <v>675</v>
      </c>
      <c r="C1407" s="551" t="s">
        <v>7126</v>
      </c>
      <c r="D1407" s="553" t="s">
        <v>7127</v>
      </c>
      <c r="E1407" s="563">
        <f t="shared" si="109"/>
        <v>20</v>
      </c>
      <c r="F1407" s="563" t="s">
        <v>1588</v>
      </c>
      <c r="G1407" s="563">
        <v>20</v>
      </c>
      <c r="H1407" s="753" t="s">
        <v>1588</v>
      </c>
      <c r="I1407" s="563">
        <f t="shared" si="110"/>
        <v>18</v>
      </c>
      <c r="J1407" s="563" t="s">
        <v>1588</v>
      </c>
      <c r="K1407" s="563">
        <v>18</v>
      </c>
      <c r="L1407" s="754" t="s">
        <v>1588</v>
      </c>
      <c r="M1407" s="687">
        <v>91.5</v>
      </c>
      <c r="N1407" s="563">
        <v>128.91068999999999</v>
      </c>
      <c r="O1407" s="746" t="s">
        <v>7128</v>
      </c>
      <c r="P1407" s="547" t="s">
        <v>1588</v>
      </c>
      <c r="Q1407" s="689">
        <v>0</v>
      </c>
      <c r="R1407" s="689">
        <v>0</v>
      </c>
      <c r="S1407" s="689">
        <v>0</v>
      </c>
      <c r="T1407" s="689">
        <v>0</v>
      </c>
      <c r="U1407" s="547" t="s">
        <v>2321</v>
      </c>
      <c r="V1407" s="562">
        <v>37347</v>
      </c>
      <c r="W1407" s="658">
        <v>210</v>
      </c>
      <c r="X1407" s="547" t="s">
        <v>1532</v>
      </c>
      <c r="Y1407" s="547" t="s">
        <v>3232</v>
      </c>
      <c r="Z1407" s="547" t="s">
        <v>3759</v>
      </c>
      <c r="AA1407" s="547" t="s">
        <v>7106</v>
      </c>
      <c r="AB1407" s="550" t="s">
        <v>1723</v>
      </c>
    </row>
    <row r="1408" spans="1:28" ht="24" customHeight="1">
      <c r="A1408" s="606"/>
      <c r="B1408" s="544" t="s">
        <v>675</v>
      </c>
      <c r="C1408" s="551" t="s">
        <v>7129</v>
      </c>
      <c r="D1408" s="553" t="s">
        <v>7130</v>
      </c>
      <c r="E1408" s="563">
        <f t="shared" si="109"/>
        <v>30</v>
      </c>
      <c r="F1408" s="563" t="s">
        <v>1588</v>
      </c>
      <c r="G1408" s="563">
        <v>30</v>
      </c>
      <c r="H1408" s="753" t="s">
        <v>1588</v>
      </c>
      <c r="I1408" s="563">
        <f t="shared" si="110"/>
        <v>28</v>
      </c>
      <c r="J1408" s="563" t="s">
        <v>1588</v>
      </c>
      <c r="K1408" s="563">
        <v>28</v>
      </c>
      <c r="L1408" s="754" t="s">
        <v>1588</v>
      </c>
      <c r="M1408" s="687">
        <v>88.9</v>
      </c>
      <c r="N1408" s="563">
        <v>107.43387200000001</v>
      </c>
      <c r="O1408" s="746" t="s">
        <v>7131</v>
      </c>
      <c r="P1408" s="547" t="s">
        <v>1588</v>
      </c>
      <c r="Q1408" s="689">
        <v>0</v>
      </c>
      <c r="R1408" s="689">
        <v>0</v>
      </c>
      <c r="S1408" s="689">
        <v>0</v>
      </c>
      <c r="T1408" s="689">
        <v>0</v>
      </c>
      <c r="U1408" s="547" t="s">
        <v>2321</v>
      </c>
      <c r="V1408" s="562">
        <v>35065</v>
      </c>
      <c r="W1408" s="658">
        <v>100</v>
      </c>
      <c r="X1408" s="547" t="s">
        <v>1532</v>
      </c>
      <c r="Y1408" s="547" t="s">
        <v>1404</v>
      </c>
      <c r="Z1408" s="547" t="s">
        <v>3759</v>
      </c>
      <c r="AA1408" s="547" t="s">
        <v>7106</v>
      </c>
      <c r="AB1408" s="550" t="s">
        <v>1723</v>
      </c>
    </row>
    <row r="1409" spans="1:28" ht="24" customHeight="1">
      <c r="A1409" s="606"/>
      <c r="B1409" s="544" t="s">
        <v>675</v>
      </c>
      <c r="C1409" s="551" t="s">
        <v>7132</v>
      </c>
      <c r="D1409" s="553" t="s">
        <v>7133</v>
      </c>
      <c r="E1409" s="563">
        <f t="shared" si="109"/>
        <v>30</v>
      </c>
      <c r="F1409" s="563" t="s">
        <v>1588</v>
      </c>
      <c r="G1409" s="563">
        <v>30</v>
      </c>
      <c r="H1409" s="563" t="s">
        <v>1588</v>
      </c>
      <c r="I1409" s="563">
        <f t="shared" si="110"/>
        <v>26</v>
      </c>
      <c r="J1409" s="563" t="s">
        <v>1588</v>
      </c>
      <c r="K1409" s="563">
        <v>26</v>
      </c>
      <c r="L1409" s="741" t="s">
        <v>3211</v>
      </c>
      <c r="M1409" s="687">
        <v>92.4</v>
      </c>
      <c r="N1409" s="563">
        <v>161.63347200000001</v>
      </c>
      <c r="O1409" s="746" t="s">
        <v>7134</v>
      </c>
      <c r="P1409" s="547" t="s">
        <v>1588</v>
      </c>
      <c r="Q1409" s="689">
        <v>0</v>
      </c>
      <c r="R1409" s="689">
        <v>0</v>
      </c>
      <c r="S1409" s="689">
        <v>0</v>
      </c>
      <c r="T1409" s="689">
        <v>0</v>
      </c>
      <c r="U1409" s="547" t="s">
        <v>2321</v>
      </c>
      <c r="V1409" s="562">
        <v>36161</v>
      </c>
      <c r="W1409" s="658">
        <v>170</v>
      </c>
      <c r="X1409" s="547" t="s">
        <v>1532</v>
      </c>
      <c r="Y1409" s="547" t="s">
        <v>1404</v>
      </c>
      <c r="Z1409" s="547" t="s">
        <v>1588</v>
      </c>
      <c r="AA1409" s="547" t="s">
        <v>1588</v>
      </c>
      <c r="AB1409" s="550" t="s">
        <v>1723</v>
      </c>
    </row>
    <row r="1410" spans="1:28" ht="24" customHeight="1">
      <c r="A1410" s="606"/>
      <c r="B1410" s="544" t="s">
        <v>675</v>
      </c>
      <c r="C1410" s="551" t="s">
        <v>7135</v>
      </c>
      <c r="D1410" s="553" t="s">
        <v>7136</v>
      </c>
      <c r="E1410" s="563">
        <f t="shared" si="109"/>
        <v>45</v>
      </c>
      <c r="F1410" s="563" t="s">
        <v>1588</v>
      </c>
      <c r="G1410" s="563">
        <v>45</v>
      </c>
      <c r="H1410" s="563" t="s">
        <v>1588</v>
      </c>
      <c r="I1410" s="563">
        <f t="shared" si="110"/>
        <v>41</v>
      </c>
      <c r="J1410" s="563" t="s">
        <v>1588</v>
      </c>
      <c r="K1410" s="563">
        <v>41</v>
      </c>
      <c r="L1410" s="741" t="s">
        <v>3211</v>
      </c>
      <c r="M1410" s="687">
        <v>91.7</v>
      </c>
      <c r="N1410" s="563">
        <v>121.62629500000001</v>
      </c>
      <c r="O1410" s="746" t="s">
        <v>7137</v>
      </c>
      <c r="P1410" s="547" t="s">
        <v>1588</v>
      </c>
      <c r="Q1410" s="689">
        <v>0</v>
      </c>
      <c r="R1410" s="689">
        <v>0</v>
      </c>
      <c r="S1410" s="689">
        <v>0</v>
      </c>
      <c r="T1410" s="689">
        <v>0</v>
      </c>
      <c r="U1410" s="547" t="s">
        <v>2321</v>
      </c>
      <c r="V1410" s="562">
        <v>37987</v>
      </c>
      <c r="W1410" s="658">
        <v>670</v>
      </c>
      <c r="X1410" s="547" t="s">
        <v>1532</v>
      </c>
      <c r="Y1410" s="547" t="s">
        <v>1404</v>
      </c>
      <c r="Z1410" s="547" t="s">
        <v>1588</v>
      </c>
      <c r="AA1410" s="547" t="s">
        <v>1588</v>
      </c>
      <c r="AB1410" s="550" t="s">
        <v>1723</v>
      </c>
    </row>
    <row r="1411" spans="1:28" ht="24" customHeight="1">
      <c r="A1411" s="606"/>
      <c r="B1411" s="544" t="s">
        <v>675</v>
      </c>
      <c r="C1411" s="551" t="s">
        <v>7138</v>
      </c>
      <c r="D1411" s="553" t="s">
        <v>7139</v>
      </c>
      <c r="E1411" s="563">
        <f t="shared" si="109"/>
        <v>70</v>
      </c>
      <c r="F1411" s="563" t="s">
        <v>1588</v>
      </c>
      <c r="G1411" s="563">
        <v>70</v>
      </c>
      <c r="H1411" s="563" t="s">
        <v>1588</v>
      </c>
      <c r="I1411" s="563">
        <f t="shared" si="110"/>
        <v>60</v>
      </c>
      <c r="J1411" s="563" t="s">
        <v>1588</v>
      </c>
      <c r="K1411" s="563">
        <v>60</v>
      </c>
      <c r="L1411" s="741" t="s">
        <v>3211</v>
      </c>
      <c r="M1411" s="687">
        <v>94.6</v>
      </c>
      <c r="N1411" s="563">
        <v>200.41956000000002</v>
      </c>
      <c r="O1411" s="746" t="s">
        <v>7140</v>
      </c>
      <c r="P1411" s="547" t="s">
        <v>1588</v>
      </c>
      <c r="Q1411" s="689">
        <v>0</v>
      </c>
      <c r="R1411" s="689">
        <v>0</v>
      </c>
      <c r="S1411" s="689">
        <v>0</v>
      </c>
      <c r="T1411" s="689">
        <v>0</v>
      </c>
      <c r="U1411" s="547" t="s">
        <v>2321</v>
      </c>
      <c r="V1411" s="562">
        <v>36617</v>
      </c>
      <c r="W1411" s="658">
        <v>310</v>
      </c>
      <c r="X1411" s="547" t="s">
        <v>1532</v>
      </c>
      <c r="Y1411" s="547" t="s">
        <v>3232</v>
      </c>
      <c r="Z1411" s="547" t="s">
        <v>1588</v>
      </c>
      <c r="AA1411" s="547" t="s">
        <v>1588</v>
      </c>
      <c r="AB1411" s="550" t="s">
        <v>1723</v>
      </c>
    </row>
    <row r="1412" spans="1:28" ht="24" customHeight="1">
      <c r="A1412" s="606"/>
      <c r="B1412" s="544" t="s">
        <v>675</v>
      </c>
      <c r="C1412" s="551" t="s">
        <v>7141</v>
      </c>
      <c r="D1412" s="553" t="s">
        <v>7142</v>
      </c>
      <c r="E1412" s="563">
        <f t="shared" si="109"/>
        <v>35</v>
      </c>
      <c r="F1412" s="563" t="s">
        <v>1588</v>
      </c>
      <c r="G1412" s="563" t="s">
        <v>1588</v>
      </c>
      <c r="H1412" s="563">
        <v>35</v>
      </c>
      <c r="I1412" s="563">
        <f t="shared" si="110"/>
        <v>30</v>
      </c>
      <c r="J1412" s="563" t="s">
        <v>1588</v>
      </c>
      <c r="K1412" s="563" t="s">
        <v>1588</v>
      </c>
      <c r="L1412" s="741">
        <v>30</v>
      </c>
      <c r="M1412" s="687">
        <v>97.5</v>
      </c>
      <c r="N1412" s="563">
        <v>240.34725</v>
      </c>
      <c r="O1412" s="746" t="s">
        <v>7109</v>
      </c>
      <c r="P1412" s="547" t="s">
        <v>1588</v>
      </c>
      <c r="Q1412" s="689">
        <v>0</v>
      </c>
      <c r="R1412" s="689">
        <v>0</v>
      </c>
      <c r="S1412" s="689">
        <v>0</v>
      </c>
      <c r="T1412" s="689">
        <v>0</v>
      </c>
      <c r="U1412" s="547" t="s">
        <v>2321</v>
      </c>
      <c r="V1412" s="562">
        <v>38108</v>
      </c>
      <c r="W1412" s="658">
        <v>440</v>
      </c>
      <c r="X1412" s="547" t="s">
        <v>1532</v>
      </c>
      <c r="Y1412" s="547" t="s">
        <v>3161</v>
      </c>
      <c r="Z1412" s="547" t="s">
        <v>1588</v>
      </c>
      <c r="AA1412" s="547" t="s">
        <v>1588</v>
      </c>
      <c r="AB1412" s="550" t="s">
        <v>1723</v>
      </c>
    </row>
    <row r="1413" spans="1:28" ht="24" customHeight="1">
      <c r="A1413" s="606"/>
      <c r="B1413" s="544" t="s">
        <v>675</v>
      </c>
      <c r="C1413" s="551" t="s">
        <v>7143</v>
      </c>
      <c r="D1413" s="553" t="s">
        <v>7144</v>
      </c>
      <c r="E1413" s="563">
        <f t="shared" si="109"/>
        <v>45</v>
      </c>
      <c r="F1413" s="563" t="s">
        <v>1588</v>
      </c>
      <c r="G1413" s="563">
        <v>45</v>
      </c>
      <c r="H1413" s="753" t="s">
        <v>1588</v>
      </c>
      <c r="I1413" s="563">
        <f t="shared" si="110"/>
        <v>40</v>
      </c>
      <c r="J1413" s="563" t="s">
        <v>1588</v>
      </c>
      <c r="K1413" s="563">
        <v>40</v>
      </c>
      <c r="L1413" s="754" t="s">
        <v>1588</v>
      </c>
      <c r="M1413" s="687">
        <v>95.4</v>
      </c>
      <c r="N1413" s="563">
        <v>256.93128000000002</v>
      </c>
      <c r="O1413" s="746" t="s">
        <v>7145</v>
      </c>
      <c r="P1413" s="547" t="s">
        <v>1588</v>
      </c>
      <c r="Q1413" s="689">
        <v>0</v>
      </c>
      <c r="R1413" s="689">
        <v>0</v>
      </c>
      <c r="S1413" s="689">
        <v>0</v>
      </c>
      <c r="T1413" s="689">
        <v>0</v>
      </c>
      <c r="U1413" s="547" t="s">
        <v>2321</v>
      </c>
      <c r="V1413" s="562">
        <v>36982</v>
      </c>
      <c r="W1413" s="658">
        <v>299</v>
      </c>
      <c r="X1413" s="547" t="s">
        <v>1532</v>
      </c>
      <c r="Y1413" s="547" t="s">
        <v>3232</v>
      </c>
      <c r="Z1413" s="547" t="s">
        <v>1588</v>
      </c>
      <c r="AA1413" s="547" t="s">
        <v>1588</v>
      </c>
      <c r="AB1413" s="550" t="s">
        <v>1723</v>
      </c>
    </row>
    <row r="1414" spans="1:28" ht="24" customHeight="1">
      <c r="A1414" s="606"/>
      <c r="B1414" s="544" t="s">
        <v>675</v>
      </c>
      <c r="C1414" s="551" t="s">
        <v>7146</v>
      </c>
      <c r="D1414" s="553" t="s">
        <v>7144</v>
      </c>
      <c r="E1414" s="563">
        <f t="shared" si="109"/>
        <v>300</v>
      </c>
      <c r="F1414" s="563" t="s">
        <v>1588</v>
      </c>
      <c r="G1414" s="563">
        <v>300</v>
      </c>
      <c r="H1414" s="563" t="s">
        <v>1588</v>
      </c>
      <c r="I1414" s="563">
        <f t="shared" si="110"/>
        <v>280</v>
      </c>
      <c r="J1414" s="563" t="s">
        <v>1588</v>
      </c>
      <c r="K1414" s="563">
        <v>280</v>
      </c>
      <c r="L1414" s="741" t="s">
        <v>3211</v>
      </c>
      <c r="M1414" s="687">
        <v>88.6</v>
      </c>
      <c r="N1414" s="659">
        <v>1031.5166399999998</v>
      </c>
      <c r="O1414" s="746" t="s">
        <v>7134</v>
      </c>
      <c r="P1414" s="547" t="s">
        <v>1588</v>
      </c>
      <c r="Q1414" s="689">
        <v>0</v>
      </c>
      <c r="R1414" s="689">
        <v>0</v>
      </c>
      <c r="S1414" s="689">
        <v>0</v>
      </c>
      <c r="T1414" s="689">
        <v>0</v>
      </c>
      <c r="U1414" s="547" t="s">
        <v>2321</v>
      </c>
      <c r="V1414" s="562">
        <v>34820</v>
      </c>
      <c r="W1414" s="658">
        <v>394</v>
      </c>
      <c r="X1414" s="547" t="s">
        <v>1532</v>
      </c>
      <c r="Y1414" s="547" t="s">
        <v>3232</v>
      </c>
      <c r="Z1414" s="547" t="s">
        <v>1588</v>
      </c>
      <c r="AA1414" s="547" t="s">
        <v>1588</v>
      </c>
      <c r="AB1414" s="550" t="s">
        <v>1723</v>
      </c>
    </row>
    <row r="1415" spans="1:28" ht="24" customHeight="1">
      <c r="A1415" s="606"/>
      <c r="B1415" s="544" t="s">
        <v>675</v>
      </c>
      <c r="C1415" s="551" t="s">
        <v>7147</v>
      </c>
      <c r="D1415" s="553" t="s">
        <v>7148</v>
      </c>
      <c r="E1415" s="563">
        <f t="shared" si="109"/>
        <v>90</v>
      </c>
      <c r="F1415" s="563" t="s">
        <v>1588</v>
      </c>
      <c r="G1415" s="563">
        <v>90</v>
      </c>
      <c r="H1415" s="563" t="s">
        <v>1588</v>
      </c>
      <c r="I1415" s="563">
        <f t="shared" si="110"/>
        <v>80</v>
      </c>
      <c r="J1415" s="563" t="s">
        <v>1588</v>
      </c>
      <c r="K1415" s="563">
        <v>80</v>
      </c>
      <c r="L1415" s="741" t="s">
        <v>3211</v>
      </c>
      <c r="M1415" s="687">
        <v>92.5</v>
      </c>
      <c r="N1415" s="563">
        <v>376.95600000000002</v>
      </c>
      <c r="O1415" s="746" t="s">
        <v>7149</v>
      </c>
      <c r="P1415" s="547" t="s">
        <v>1588</v>
      </c>
      <c r="Q1415" s="689">
        <v>0</v>
      </c>
      <c r="R1415" s="689">
        <v>0</v>
      </c>
      <c r="S1415" s="689">
        <v>0</v>
      </c>
      <c r="T1415" s="689">
        <v>0</v>
      </c>
      <c r="U1415" s="547" t="s">
        <v>2321</v>
      </c>
      <c r="V1415" s="562">
        <v>37408</v>
      </c>
      <c r="W1415" s="658">
        <v>360</v>
      </c>
      <c r="X1415" s="547" t="s">
        <v>1532</v>
      </c>
      <c r="Y1415" s="547" t="s">
        <v>720</v>
      </c>
      <c r="Z1415" s="547" t="s">
        <v>1588</v>
      </c>
      <c r="AA1415" s="547" t="s">
        <v>1588</v>
      </c>
      <c r="AB1415" s="550" t="s">
        <v>1723</v>
      </c>
    </row>
    <row r="1416" spans="1:28" ht="24" customHeight="1">
      <c r="A1416" s="606"/>
      <c r="B1416" s="544" t="s">
        <v>675</v>
      </c>
      <c r="C1416" s="551" t="s">
        <v>7150</v>
      </c>
      <c r="D1416" s="553" t="s">
        <v>7151</v>
      </c>
      <c r="E1416" s="563">
        <f t="shared" si="109"/>
        <v>5</v>
      </c>
      <c r="F1416" s="753" t="s">
        <v>1588</v>
      </c>
      <c r="G1416" s="563">
        <v>5</v>
      </c>
      <c r="H1416" s="753" t="s">
        <v>1588</v>
      </c>
      <c r="I1416" s="563">
        <f t="shared" si="110"/>
        <v>4</v>
      </c>
      <c r="J1416" s="753" t="s">
        <v>1588</v>
      </c>
      <c r="K1416" s="563">
        <v>4</v>
      </c>
      <c r="L1416" s="754" t="s">
        <v>1588</v>
      </c>
      <c r="M1416" s="687">
        <v>95.4</v>
      </c>
      <c r="N1416" s="563">
        <v>29.79</v>
      </c>
      <c r="O1416" s="746" t="s">
        <v>5660</v>
      </c>
      <c r="P1416" s="547" t="s">
        <v>1588</v>
      </c>
      <c r="Q1416" s="689">
        <v>0</v>
      </c>
      <c r="R1416" s="689">
        <v>0</v>
      </c>
      <c r="S1416" s="689">
        <v>0</v>
      </c>
      <c r="T1416" s="689">
        <v>0</v>
      </c>
      <c r="U1416" s="547" t="s">
        <v>2321</v>
      </c>
      <c r="V1416" s="562">
        <v>36982</v>
      </c>
      <c r="W1416" s="658">
        <v>30</v>
      </c>
      <c r="X1416" s="547" t="s">
        <v>1532</v>
      </c>
      <c r="Y1416" s="547" t="s">
        <v>1404</v>
      </c>
      <c r="Z1416" s="548" t="s">
        <v>1588</v>
      </c>
      <c r="AA1416" s="548" t="s">
        <v>1588</v>
      </c>
      <c r="AB1416" s="550" t="s">
        <v>1723</v>
      </c>
    </row>
    <row r="1417" spans="1:28" ht="24" customHeight="1">
      <c r="A1417" s="606"/>
      <c r="B1417" s="544" t="s">
        <v>675</v>
      </c>
      <c r="C1417" s="551" t="s">
        <v>7152</v>
      </c>
      <c r="D1417" s="553" t="s">
        <v>7153</v>
      </c>
      <c r="E1417" s="563">
        <f t="shared" si="109"/>
        <v>45</v>
      </c>
      <c r="F1417" s="563" t="s">
        <v>1588</v>
      </c>
      <c r="G1417" s="563" t="s">
        <v>1588</v>
      </c>
      <c r="H1417" s="563">
        <v>45</v>
      </c>
      <c r="I1417" s="563">
        <f t="shared" si="110"/>
        <v>41</v>
      </c>
      <c r="J1417" s="563" t="s">
        <v>1588</v>
      </c>
      <c r="K1417" s="563" t="s">
        <v>1588</v>
      </c>
      <c r="L1417" s="741">
        <v>41</v>
      </c>
      <c r="M1417" s="687">
        <v>97.5</v>
      </c>
      <c r="N1417" s="563">
        <v>175.73009999999999</v>
      </c>
      <c r="O1417" s="746" t="s">
        <v>7154</v>
      </c>
      <c r="P1417" s="547" t="s">
        <v>1588</v>
      </c>
      <c r="Q1417" s="689">
        <v>0</v>
      </c>
      <c r="R1417" s="689">
        <v>0</v>
      </c>
      <c r="S1417" s="689">
        <v>0</v>
      </c>
      <c r="T1417" s="689">
        <v>0</v>
      </c>
      <c r="U1417" s="547" t="s">
        <v>2321</v>
      </c>
      <c r="V1417" s="562">
        <v>38322</v>
      </c>
      <c r="W1417" s="658">
        <v>492</v>
      </c>
      <c r="X1417" s="547" t="s">
        <v>1532</v>
      </c>
      <c r="Y1417" s="547" t="s">
        <v>3161</v>
      </c>
      <c r="Z1417" s="547" t="s">
        <v>1588</v>
      </c>
      <c r="AA1417" s="547" t="s">
        <v>1588</v>
      </c>
      <c r="AB1417" s="550" t="s">
        <v>1723</v>
      </c>
    </row>
    <row r="1418" spans="1:28" ht="24" customHeight="1">
      <c r="A1418" s="606"/>
      <c r="B1418" s="544" t="s">
        <v>675</v>
      </c>
      <c r="C1418" s="551" t="s">
        <v>7155</v>
      </c>
      <c r="D1418" s="553" t="s">
        <v>7156</v>
      </c>
      <c r="E1418" s="563">
        <f t="shared" si="109"/>
        <v>30</v>
      </c>
      <c r="F1418" s="563" t="s">
        <v>1588</v>
      </c>
      <c r="G1418" s="563">
        <v>30</v>
      </c>
      <c r="H1418" s="563" t="s">
        <v>1588</v>
      </c>
      <c r="I1418" s="563">
        <f t="shared" si="110"/>
        <v>25</v>
      </c>
      <c r="J1418" s="563" t="s">
        <v>1588</v>
      </c>
      <c r="K1418" s="563">
        <v>25</v>
      </c>
      <c r="L1418" s="741" t="s">
        <v>3211</v>
      </c>
      <c r="M1418" s="687">
        <v>88.9</v>
      </c>
      <c r="N1418" s="563">
        <v>141.506575</v>
      </c>
      <c r="O1418" s="746" t="s">
        <v>7157</v>
      </c>
      <c r="P1418" s="547" t="s">
        <v>1588</v>
      </c>
      <c r="Q1418" s="689">
        <v>0</v>
      </c>
      <c r="R1418" s="689">
        <v>0</v>
      </c>
      <c r="S1418" s="689">
        <v>0</v>
      </c>
      <c r="T1418" s="689">
        <v>0</v>
      </c>
      <c r="U1418" s="547" t="s">
        <v>2321</v>
      </c>
      <c r="V1418" s="562">
        <v>35065</v>
      </c>
      <c r="W1418" s="658">
        <v>100</v>
      </c>
      <c r="X1418" s="547" t="s">
        <v>1532</v>
      </c>
      <c r="Y1418" s="547" t="s">
        <v>1404</v>
      </c>
      <c r="Z1418" s="547" t="s">
        <v>7158</v>
      </c>
      <c r="AA1418" s="547" t="s">
        <v>7159</v>
      </c>
      <c r="AB1418" s="550" t="s">
        <v>1723</v>
      </c>
    </row>
    <row r="1419" spans="1:28" ht="24" customHeight="1">
      <c r="A1419" s="606"/>
      <c r="B1419" s="544" t="s">
        <v>675</v>
      </c>
      <c r="C1419" s="551" t="s">
        <v>7160</v>
      </c>
      <c r="D1419" s="553" t="s">
        <v>7161</v>
      </c>
      <c r="E1419" s="563">
        <f t="shared" si="109"/>
        <v>30</v>
      </c>
      <c r="F1419" s="563" t="s">
        <v>1588</v>
      </c>
      <c r="G1419" s="563">
        <v>30</v>
      </c>
      <c r="H1419" s="563" t="s">
        <v>1588</v>
      </c>
      <c r="I1419" s="563">
        <f t="shared" si="110"/>
        <v>28</v>
      </c>
      <c r="J1419" s="563" t="s">
        <v>1588</v>
      </c>
      <c r="K1419" s="563">
        <v>28</v>
      </c>
      <c r="L1419" s="741" t="s">
        <v>3211</v>
      </c>
      <c r="M1419" s="687">
        <v>86.7</v>
      </c>
      <c r="N1419" s="563">
        <v>98.997528000000017</v>
      </c>
      <c r="O1419" s="746" t="s">
        <v>7162</v>
      </c>
      <c r="P1419" s="547" t="s">
        <v>1588</v>
      </c>
      <c r="Q1419" s="689">
        <v>0</v>
      </c>
      <c r="R1419" s="689">
        <v>0</v>
      </c>
      <c r="S1419" s="689">
        <v>0</v>
      </c>
      <c r="T1419" s="689">
        <v>0</v>
      </c>
      <c r="U1419" s="547" t="s">
        <v>2321</v>
      </c>
      <c r="V1419" s="562">
        <v>35796</v>
      </c>
      <c r="W1419" s="658">
        <v>310</v>
      </c>
      <c r="X1419" s="547" t="s">
        <v>1532</v>
      </c>
      <c r="Y1419" s="547" t="s">
        <v>1404</v>
      </c>
      <c r="Z1419" s="547" t="s">
        <v>1588</v>
      </c>
      <c r="AA1419" s="547" t="s">
        <v>7159</v>
      </c>
      <c r="AB1419" s="550" t="s">
        <v>1723</v>
      </c>
    </row>
    <row r="1420" spans="1:28" ht="24" customHeight="1">
      <c r="A1420" s="606"/>
      <c r="B1420" s="544" t="s">
        <v>675</v>
      </c>
      <c r="C1420" s="551" t="s">
        <v>7163</v>
      </c>
      <c r="D1420" s="553" t="s">
        <v>7164</v>
      </c>
      <c r="E1420" s="563">
        <f t="shared" si="109"/>
        <v>20</v>
      </c>
      <c r="F1420" s="563" t="s">
        <v>1588</v>
      </c>
      <c r="G1420" s="563">
        <v>20</v>
      </c>
      <c r="H1420" s="753" t="s">
        <v>1588</v>
      </c>
      <c r="I1420" s="563">
        <f t="shared" si="110"/>
        <v>18</v>
      </c>
      <c r="J1420" s="563" t="s">
        <v>1588</v>
      </c>
      <c r="K1420" s="563">
        <v>18</v>
      </c>
      <c r="L1420" s="741">
        <v>0</v>
      </c>
      <c r="M1420" s="687">
        <v>86.7</v>
      </c>
      <c r="N1420" s="563">
        <v>119.63559599999999</v>
      </c>
      <c r="O1420" s="746" t="s">
        <v>7109</v>
      </c>
      <c r="P1420" s="547" t="s">
        <v>1588</v>
      </c>
      <c r="Q1420" s="689">
        <v>0</v>
      </c>
      <c r="R1420" s="689">
        <v>0</v>
      </c>
      <c r="S1420" s="689">
        <v>0</v>
      </c>
      <c r="T1420" s="689">
        <v>0</v>
      </c>
      <c r="U1420" s="547" t="s">
        <v>2321</v>
      </c>
      <c r="V1420" s="562">
        <v>35065</v>
      </c>
      <c r="W1420" s="658">
        <v>210</v>
      </c>
      <c r="X1420" s="547" t="s">
        <v>1532</v>
      </c>
      <c r="Y1420" s="547" t="s">
        <v>1404</v>
      </c>
      <c r="Z1420" s="547" t="s">
        <v>1588</v>
      </c>
      <c r="AA1420" s="547" t="s">
        <v>1588</v>
      </c>
      <c r="AB1420" s="550" t="s">
        <v>1723</v>
      </c>
    </row>
    <row r="1421" spans="1:28" ht="24" customHeight="1">
      <c r="A1421" s="606"/>
      <c r="B1421" s="544" t="s">
        <v>675</v>
      </c>
      <c r="C1421" s="551" t="s">
        <v>7165</v>
      </c>
      <c r="D1421" s="553" t="s">
        <v>7166</v>
      </c>
      <c r="E1421" s="563">
        <f t="shared" si="109"/>
        <v>40</v>
      </c>
      <c r="F1421" s="563" t="s">
        <v>1588</v>
      </c>
      <c r="G1421" s="563">
        <v>40</v>
      </c>
      <c r="H1421" s="753" t="s">
        <v>1588</v>
      </c>
      <c r="I1421" s="563">
        <f t="shared" si="110"/>
        <v>37</v>
      </c>
      <c r="J1421" s="563" t="s">
        <v>1588</v>
      </c>
      <c r="K1421" s="563">
        <v>37</v>
      </c>
      <c r="L1421" s="741">
        <v>0</v>
      </c>
      <c r="M1421" s="687">
        <v>88.3</v>
      </c>
      <c r="N1421" s="563">
        <v>100.724693</v>
      </c>
      <c r="O1421" s="746" t="s">
        <v>7109</v>
      </c>
      <c r="P1421" s="547" t="s">
        <v>1588</v>
      </c>
      <c r="Q1421" s="689">
        <v>0</v>
      </c>
      <c r="R1421" s="689">
        <v>0</v>
      </c>
      <c r="S1421" s="689">
        <v>0</v>
      </c>
      <c r="T1421" s="689">
        <v>0</v>
      </c>
      <c r="U1421" s="547" t="s">
        <v>2321</v>
      </c>
      <c r="V1421" s="562">
        <v>34731</v>
      </c>
      <c r="W1421" s="658">
        <v>180</v>
      </c>
      <c r="X1421" s="547" t="s">
        <v>1532</v>
      </c>
      <c r="Y1421" s="547" t="s">
        <v>1404</v>
      </c>
      <c r="Z1421" s="547" t="s">
        <v>1588</v>
      </c>
      <c r="AA1421" s="547" t="s">
        <v>7106</v>
      </c>
      <c r="AB1421" s="550" t="s">
        <v>1723</v>
      </c>
    </row>
    <row r="1422" spans="1:28" ht="24" customHeight="1">
      <c r="A1422" s="606"/>
      <c r="B1422" s="544" t="s">
        <v>675</v>
      </c>
      <c r="C1422" s="551" t="s">
        <v>7167</v>
      </c>
      <c r="D1422" s="553" t="s">
        <v>7168</v>
      </c>
      <c r="E1422" s="563">
        <f t="shared" si="109"/>
        <v>50</v>
      </c>
      <c r="F1422" s="563" t="s">
        <v>1588</v>
      </c>
      <c r="G1422" s="563">
        <v>50</v>
      </c>
      <c r="H1422" s="753" t="s">
        <v>1588</v>
      </c>
      <c r="I1422" s="563">
        <f t="shared" si="110"/>
        <v>43</v>
      </c>
      <c r="J1422" s="563" t="s">
        <v>1588</v>
      </c>
      <c r="K1422" s="563">
        <v>43</v>
      </c>
      <c r="L1422" s="741">
        <v>0</v>
      </c>
      <c r="M1422" s="687">
        <v>91.7</v>
      </c>
      <c r="N1422" s="563">
        <v>173.693555</v>
      </c>
      <c r="O1422" s="746" t="s">
        <v>7169</v>
      </c>
      <c r="P1422" s="547" t="s">
        <v>1588</v>
      </c>
      <c r="Q1422" s="689">
        <v>0</v>
      </c>
      <c r="R1422" s="689">
        <v>0</v>
      </c>
      <c r="S1422" s="689">
        <v>0</v>
      </c>
      <c r="T1422" s="689">
        <v>0</v>
      </c>
      <c r="U1422" s="547" t="s">
        <v>2321</v>
      </c>
      <c r="V1422" s="562">
        <v>35796</v>
      </c>
      <c r="W1422" s="658">
        <v>260</v>
      </c>
      <c r="X1422" s="547" t="s">
        <v>1532</v>
      </c>
      <c r="Y1422" s="547" t="s">
        <v>3232</v>
      </c>
      <c r="Z1422" s="547" t="s">
        <v>1588</v>
      </c>
      <c r="AA1422" s="547" t="s">
        <v>7159</v>
      </c>
      <c r="AB1422" s="550" t="s">
        <v>1723</v>
      </c>
    </row>
    <row r="1423" spans="1:28" ht="24" customHeight="1">
      <c r="A1423" s="606"/>
      <c r="B1423" s="544" t="s">
        <v>675</v>
      </c>
      <c r="C1423" s="551" t="s">
        <v>7170</v>
      </c>
      <c r="D1423" s="553" t="s">
        <v>7171</v>
      </c>
      <c r="E1423" s="563">
        <f t="shared" si="109"/>
        <v>35</v>
      </c>
      <c r="F1423" s="563" t="s">
        <v>1588</v>
      </c>
      <c r="G1423" s="563">
        <v>35</v>
      </c>
      <c r="H1423" s="563" t="s">
        <v>1588</v>
      </c>
      <c r="I1423" s="563">
        <f t="shared" si="110"/>
        <v>32</v>
      </c>
      <c r="J1423" s="563" t="s">
        <v>1588</v>
      </c>
      <c r="K1423" s="563">
        <v>32</v>
      </c>
      <c r="L1423" s="741" t="s">
        <v>3211</v>
      </c>
      <c r="M1423" s="687">
        <v>93.8</v>
      </c>
      <c r="N1423" s="563">
        <v>95.961151999999984</v>
      </c>
      <c r="O1423" s="746" t="s">
        <v>7172</v>
      </c>
      <c r="P1423" s="547" t="s">
        <v>5679</v>
      </c>
      <c r="Q1423" s="689">
        <v>0</v>
      </c>
      <c r="R1423" s="689">
        <v>0</v>
      </c>
      <c r="S1423" s="689">
        <v>0</v>
      </c>
      <c r="T1423" s="689">
        <v>0</v>
      </c>
      <c r="U1423" s="547" t="s">
        <v>2321</v>
      </c>
      <c r="V1423" s="562">
        <v>38626</v>
      </c>
      <c r="W1423" s="658">
        <v>328</v>
      </c>
      <c r="X1423" s="547" t="s">
        <v>1532</v>
      </c>
      <c r="Y1423" s="547" t="s">
        <v>1404</v>
      </c>
      <c r="Z1423" s="547" t="s">
        <v>7173</v>
      </c>
      <c r="AA1423" s="547" t="s">
        <v>7159</v>
      </c>
      <c r="AB1423" s="550" t="s">
        <v>1723</v>
      </c>
    </row>
    <row r="1424" spans="1:28" ht="24" customHeight="1">
      <c r="A1424" s="606"/>
      <c r="B1424" s="544" t="s">
        <v>675</v>
      </c>
      <c r="C1424" s="551" t="s">
        <v>6515</v>
      </c>
      <c r="D1424" s="553" t="s">
        <v>7174</v>
      </c>
      <c r="E1424" s="563">
        <f t="shared" si="109"/>
        <v>90</v>
      </c>
      <c r="F1424" s="563" t="s">
        <v>1588</v>
      </c>
      <c r="G1424" s="563" t="s">
        <v>1588</v>
      </c>
      <c r="H1424" s="563">
        <v>90</v>
      </c>
      <c r="I1424" s="563">
        <f t="shared" si="110"/>
        <v>85</v>
      </c>
      <c r="J1424" s="563" t="s">
        <v>1588</v>
      </c>
      <c r="K1424" s="563" t="s">
        <v>1588</v>
      </c>
      <c r="L1424" s="741">
        <v>85</v>
      </c>
      <c r="M1424" s="687">
        <v>93.2</v>
      </c>
      <c r="N1424" s="563">
        <v>483.71732000000009</v>
      </c>
      <c r="O1424" s="746" t="s">
        <v>7175</v>
      </c>
      <c r="P1424" s="547" t="s">
        <v>1588</v>
      </c>
      <c r="Q1424" s="689">
        <v>0</v>
      </c>
      <c r="R1424" s="689">
        <v>0</v>
      </c>
      <c r="S1424" s="689">
        <v>0</v>
      </c>
      <c r="T1424" s="689">
        <v>0</v>
      </c>
      <c r="U1424" s="547" t="s">
        <v>2321</v>
      </c>
      <c r="V1424" s="562">
        <v>38687</v>
      </c>
      <c r="W1424" s="658">
        <v>828</v>
      </c>
      <c r="X1424" s="547" t="s">
        <v>1532</v>
      </c>
      <c r="Y1424" s="547" t="s">
        <v>3161</v>
      </c>
      <c r="Z1424" s="547" t="s">
        <v>1588</v>
      </c>
      <c r="AA1424" s="547" t="s">
        <v>1588</v>
      </c>
      <c r="AB1424" s="550" t="s">
        <v>1723</v>
      </c>
    </row>
    <row r="1425" spans="1:28" ht="24" customHeight="1">
      <c r="A1425" s="606"/>
      <c r="B1425" s="544" t="s">
        <v>675</v>
      </c>
      <c r="C1425" s="551" t="s">
        <v>7176</v>
      </c>
      <c r="D1425" s="553" t="s">
        <v>7177</v>
      </c>
      <c r="E1425" s="563">
        <f t="shared" si="109"/>
        <v>40</v>
      </c>
      <c r="F1425" s="753" t="s">
        <v>1588</v>
      </c>
      <c r="G1425" s="753" t="s">
        <v>1588</v>
      </c>
      <c r="H1425" s="753">
        <v>40</v>
      </c>
      <c r="I1425" s="563">
        <f t="shared" si="110"/>
        <v>35</v>
      </c>
      <c r="J1425" s="753" t="s">
        <v>1588</v>
      </c>
      <c r="K1425" s="753" t="s">
        <v>1588</v>
      </c>
      <c r="L1425" s="754">
        <v>35</v>
      </c>
      <c r="M1425" s="687">
        <v>90.8</v>
      </c>
      <c r="N1425" s="563">
        <v>123.14</v>
      </c>
      <c r="O1425" s="746" t="s">
        <v>7178</v>
      </c>
      <c r="P1425" s="547" t="s">
        <v>5679</v>
      </c>
      <c r="Q1425" s="689">
        <v>0</v>
      </c>
      <c r="R1425" s="689">
        <v>0</v>
      </c>
      <c r="S1425" s="689">
        <v>0</v>
      </c>
      <c r="T1425" s="689">
        <v>0</v>
      </c>
      <c r="U1425" s="547" t="s">
        <v>2321</v>
      </c>
      <c r="V1425" s="562">
        <v>38930</v>
      </c>
      <c r="W1425" s="658">
        <v>339</v>
      </c>
      <c r="X1425" s="547" t="s">
        <v>1532</v>
      </c>
      <c r="Y1425" s="547" t="s">
        <v>3161</v>
      </c>
      <c r="Z1425" s="548" t="s">
        <v>1588</v>
      </c>
      <c r="AA1425" s="547" t="s">
        <v>7106</v>
      </c>
      <c r="AB1425" s="550" t="s">
        <v>1723</v>
      </c>
    </row>
    <row r="1426" spans="1:28" ht="24" customHeight="1">
      <c r="A1426" s="605" t="s">
        <v>1724</v>
      </c>
      <c r="B1426" s="544" t="s">
        <v>2201</v>
      </c>
      <c r="C1426" s="551" t="s">
        <v>2322</v>
      </c>
      <c r="D1426" s="553" t="s">
        <v>7179</v>
      </c>
      <c r="E1426" s="563">
        <f t="shared" ref="E1426:E1457" si="111">SUM(F1426:H1426)</f>
        <v>5500</v>
      </c>
      <c r="F1426" s="659">
        <v>0</v>
      </c>
      <c r="G1426" s="659">
        <v>5500</v>
      </c>
      <c r="H1426" s="659">
        <v>0</v>
      </c>
      <c r="I1426" s="563">
        <f t="shared" si="110"/>
        <v>4006</v>
      </c>
      <c r="J1426" s="659">
        <v>0</v>
      </c>
      <c r="K1426" s="659">
        <v>4006</v>
      </c>
      <c r="L1426" s="741">
        <v>0</v>
      </c>
      <c r="M1426" s="687">
        <f>K1426/E1426*100</f>
        <v>72.836363636363629</v>
      </c>
      <c r="N1426" s="659">
        <v>0</v>
      </c>
      <c r="O1426" s="755" t="s">
        <v>3173</v>
      </c>
      <c r="P1426" s="563">
        <v>0</v>
      </c>
      <c r="Q1426" s="689">
        <v>0</v>
      </c>
      <c r="R1426" s="689">
        <v>0</v>
      </c>
      <c r="S1426" s="689">
        <v>0</v>
      </c>
      <c r="T1426" s="689">
        <v>0</v>
      </c>
      <c r="U1426" s="547" t="s">
        <v>7180</v>
      </c>
      <c r="V1426" s="564" t="s">
        <v>7181</v>
      </c>
      <c r="W1426" s="658">
        <v>11141</v>
      </c>
      <c r="X1426" s="547" t="s">
        <v>1532</v>
      </c>
      <c r="Y1426" s="547" t="s">
        <v>3161</v>
      </c>
      <c r="Z1426" s="547" t="s">
        <v>1588</v>
      </c>
      <c r="AA1426" s="547" t="s">
        <v>7182</v>
      </c>
      <c r="AB1426" s="550" t="s">
        <v>1591</v>
      </c>
    </row>
    <row r="1427" spans="1:28" ht="24" customHeight="1">
      <c r="A1427" s="606"/>
      <c r="B1427" s="544" t="s">
        <v>2201</v>
      </c>
      <c r="C1427" s="551" t="s">
        <v>7183</v>
      </c>
      <c r="D1427" s="553" t="s">
        <v>7184</v>
      </c>
      <c r="E1427" s="659">
        <f t="shared" si="111"/>
        <v>56000</v>
      </c>
      <c r="F1427" s="659">
        <v>0</v>
      </c>
      <c r="G1427" s="659">
        <v>56000</v>
      </c>
      <c r="H1427" s="659">
        <v>0</v>
      </c>
      <c r="I1427" s="659">
        <f t="shared" si="110"/>
        <v>20218</v>
      </c>
      <c r="J1427" s="659">
        <v>0</v>
      </c>
      <c r="K1427" s="659">
        <v>20218</v>
      </c>
      <c r="L1427" s="741">
        <v>0</v>
      </c>
      <c r="M1427" s="687">
        <f>I1427/G1427*100</f>
        <v>36.103571428571428</v>
      </c>
      <c r="N1427" s="659">
        <v>0</v>
      </c>
      <c r="O1427" s="755" t="s">
        <v>3523</v>
      </c>
      <c r="P1427" s="563">
        <v>0</v>
      </c>
      <c r="Q1427" s="689">
        <v>32.4</v>
      </c>
      <c r="R1427" s="689">
        <v>0</v>
      </c>
      <c r="S1427" s="689">
        <v>0</v>
      </c>
      <c r="T1427" s="689">
        <v>0</v>
      </c>
      <c r="U1427" s="547" t="s">
        <v>7185</v>
      </c>
      <c r="V1427" s="564" t="s">
        <v>7186</v>
      </c>
      <c r="W1427" s="658">
        <v>43945</v>
      </c>
      <c r="X1427" s="547" t="s">
        <v>1532</v>
      </c>
      <c r="Y1427" s="547" t="s">
        <v>7187</v>
      </c>
      <c r="Z1427" s="547" t="s">
        <v>1588</v>
      </c>
      <c r="AA1427" s="547" t="s">
        <v>1588</v>
      </c>
      <c r="AB1427" s="550" t="s">
        <v>1587</v>
      </c>
    </row>
    <row r="1428" spans="1:28" ht="24" customHeight="1">
      <c r="A1428" s="606"/>
      <c r="B1428" s="544" t="s">
        <v>7024</v>
      </c>
      <c r="C1428" s="551" t="s">
        <v>7188</v>
      </c>
      <c r="D1428" s="553" t="s">
        <v>7189</v>
      </c>
      <c r="E1428" s="563">
        <f t="shared" si="111"/>
        <v>40</v>
      </c>
      <c r="F1428" s="563">
        <v>0</v>
      </c>
      <c r="G1428" s="563">
        <v>40</v>
      </c>
      <c r="H1428" s="563">
        <v>0</v>
      </c>
      <c r="I1428" s="563">
        <f t="shared" si="110"/>
        <v>32</v>
      </c>
      <c r="J1428" s="563">
        <v>0</v>
      </c>
      <c r="K1428" s="563">
        <v>32</v>
      </c>
      <c r="L1428" s="741">
        <v>0</v>
      </c>
      <c r="M1428" s="687">
        <f t="shared" ref="M1428:M1457" si="112">I1428/E1428*100</f>
        <v>80</v>
      </c>
      <c r="N1428" s="563">
        <v>0</v>
      </c>
      <c r="O1428" s="755" t="s">
        <v>6585</v>
      </c>
      <c r="P1428" s="563" t="s">
        <v>1588</v>
      </c>
      <c r="Q1428" s="689">
        <v>0</v>
      </c>
      <c r="R1428" s="689">
        <v>0</v>
      </c>
      <c r="S1428" s="689">
        <v>0</v>
      </c>
      <c r="T1428" s="689">
        <v>0</v>
      </c>
      <c r="U1428" s="547" t="s">
        <v>7180</v>
      </c>
      <c r="V1428" s="565">
        <v>2002.5</v>
      </c>
      <c r="W1428" s="658">
        <v>308</v>
      </c>
      <c r="X1428" s="547" t="s">
        <v>1532</v>
      </c>
      <c r="Y1428" s="547" t="s">
        <v>7190</v>
      </c>
      <c r="Z1428" s="547"/>
      <c r="AA1428" s="547" t="s">
        <v>7182</v>
      </c>
      <c r="AB1428" s="550" t="s">
        <v>1591</v>
      </c>
    </row>
    <row r="1429" spans="1:28" ht="24" customHeight="1">
      <c r="A1429" s="606"/>
      <c r="B1429" s="544" t="s">
        <v>7024</v>
      </c>
      <c r="C1429" s="551" t="s">
        <v>7191</v>
      </c>
      <c r="D1429" s="553" t="s">
        <v>7192</v>
      </c>
      <c r="E1429" s="563">
        <f t="shared" si="111"/>
        <v>60</v>
      </c>
      <c r="F1429" s="563">
        <v>0</v>
      </c>
      <c r="G1429" s="563">
        <v>60</v>
      </c>
      <c r="H1429" s="563">
        <v>0</v>
      </c>
      <c r="I1429" s="563">
        <f t="shared" si="110"/>
        <v>52</v>
      </c>
      <c r="J1429" s="563">
        <v>0</v>
      </c>
      <c r="K1429" s="563">
        <v>52</v>
      </c>
      <c r="L1429" s="741">
        <v>0</v>
      </c>
      <c r="M1429" s="687">
        <f>I1429/E1429*100</f>
        <v>86.666666666666671</v>
      </c>
      <c r="N1429" s="563">
        <v>0</v>
      </c>
      <c r="O1429" s="755" t="s">
        <v>7193</v>
      </c>
      <c r="P1429" s="563" t="s">
        <v>1588</v>
      </c>
      <c r="Q1429" s="689">
        <v>0</v>
      </c>
      <c r="R1429" s="689">
        <v>0</v>
      </c>
      <c r="S1429" s="689">
        <v>0</v>
      </c>
      <c r="T1429" s="689">
        <v>0</v>
      </c>
      <c r="U1429" s="547" t="s">
        <v>7180</v>
      </c>
      <c r="V1429" s="565">
        <v>2001.3</v>
      </c>
      <c r="W1429" s="658">
        <v>488</v>
      </c>
      <c r="X1429" s="547" t="s">
        <v>1532</v>
      </c>
      <c r="Y1429" s="547" t="s">
        <v>7190</v>
      </c>
      <c r="Z1429" s="547"/>
      <c r="AA1429" s="547" t="s">
        <v>7194</v>
      </c>
      <c r="AB1429" s="550" t="s">
        <v>1587</v>
      </c>
    </row>
    <row r="1430" spans="1:28" ht="24" customHeight="1">
      <c r="A1430" s="606"/>
      <c r="B1430" s="544" t="s">
        <v>7024</v>
      </c>
      <c r="C1430" s="551" t="s">
        <v>7195</v>
      </c>
      <c r="D1430" s="553" t="s">
        <v>7196</v>
      </c>
      <c r="E1430" s="563">
        <f t="shared" si="111"/>
        <v>60</v>
      </c>
      <c r="F1430" s="563">
        <v>0</v>
      </c>
      <c r="G1430" s="563">
        <v>60</v>
      </c>
      <c r="H1430" s="563">
        <v>0</v>
      </c>
      <c r="I1430" s="563">
        <f t="shared" si="110"/>
        <v>55</v>
      </c>
      <c r="J1430" s="563">
        <v>0</v>
      </c>
      <c r="K1430" s="563">
        <v>55</v>
      </c>
      <c r="L1430" s="741">
        <v>0</v>
      </c>
      <c r="M1430" s="687">
        <f>I1430/E1430*100</f>
        <v>91.666666666666657</v>
      </c>
      <c r="N1430" s="563">
        <v>0</v>
      </c>
      <c r="O1430" s="755" t="s">
        <v>7193</v>
      </c>
      <c r="P1430" s="563" t="s">
        <v>1588</v>
      </c>
      <c r="Q1430" s="689">
        <v>0</v>
      </c>
      <c r="R1430" s="689">
        <v>0</v>
      </c>
      <c r="S1430" s="689">
        <v>0</v>
      </c>
      <c r="T1430" s="689">
        <v>0</v>
      </c>
      <c r="U1430" s="547" t="s">
        <v>7180</v>
      </c>
      <c r="V1430" s="565">
        <v>2002.5</v>
      </c>
      <c r="W1430" s="658">
        <v>387</v>
      </c>
      <c r="X1430" s="547" t="s">
        <v>1532</v>
      </c>
      <c r="Y1430" s="547" t="s">
        <v>7190</v>
      </c>
      <c r="Z1430" s="547"/>
      <c r="AA1430" s="547" t="s">
        <v>7197</v>
      </c>
      <c r="AB1430" s="550" t="s">
        <v>1591</v>
      </c>
    </row>
    <row r="1431" spans="1:28" ht="24" customHeight="1">
      <c r="A1431" s="606"/>
      <c r="B1431" s="544" t="s">
        <v>7024</v>
      </c>
      <c r="C1431" s="551" t="s">
        <v>7198</v>
      </c>
      <c r="D1431" s="553" t="s">
        <v>7199</v>
      </c>
      <c r="E1431" s="563">
        <f t="shared" si="111"/>
        <v>30</v>
      </c>
      <c r="F1431" s="563">
        <v>0</v>
      </c>
      <c r="G1431" s="563">
        <v>30</v>
      </c>
      <c r="H1431" s="563">
        <v>0</v>
      </c>
      <c r="I1431" s="563">
        <f t="shared" si="110"/>
        <v>28</v>
      </c>
      <c r="J1431" s="563">
        <v>0</v>
      </c>
      <c r="K1431" s="563">
        <v>28</v>
      </c>
      <c r="L1431" s="741">
        <v>0</v>
      </c>
      <c r="M1431" s="687">
        <f>I1431/E1431*100</f>
        <v>93.333333333333329</v>
      </c>
      <c r="N1431" s="563">
        <v>0</v>
      </c>
      <c r="O1431" s="755" t="s">
        <v>7200</v>
      </c>
      <c r="P1431" s="563" t="s">
        <v>1588</v>
      </c>
      <c r="Q1431" s="689">
        <v>0</v>
      </c>
      <c r="R1431" s="689">
        <v>0</v>
      </c>
      <c r="S1431" s="689">
        <v>0</v>
      </c>
      <c r="T1431" s="689">
        <v>0</v>
      </c>
      <c r="U1431" s="547" t="s">
        <v>7180</v>
      </c>
      <c r="V1431" s="565">
        <v>38590</v>
      </c>
      <c r="W1431" s="658">
        <v>160</v>
      </c>
      <c r="X1431" s="547" t="s">
        <v>1532</v>
      </c>
      <c r="Y1431" s="547" t="s">
        <v>7190</v>
      </c>
      <c r="Z1431" s="547"/>
      <c r="AA1431" s="547" t="s">
        <v>7182</v>
      </c>
      <c r="AB1431" s="550" t="s">
        <v>1591</v>
      </c>
    </row>
    <row r="1432" spans="1:28" ht="24" customHeight="1">
      <c r="A1432" s="606"/>
      <c r="B1432" s="544" t="s">
        <v>7024</v>
      </c>
      <c r="C1432" s="551" t="s">
        <v>7201</v>
      </c>
      <c r="D1432" s="553" t="s">
        <v>7202</v>
      </c>
      <c r="E1432" s="563">
        <f t="shared" si="111"/>
        <v>32</v>
      </c>
      <c r="F1432" s="563">
        <v>0</v>
      </c>
      <c r="G1432" s="563">
        <v>32</v>
      </c>
      <c r="H1432" s="563">
        <v>0</v>
      </c>
      <c r="I1432" s="563">
        <f t="shared" si="110"/>
        <v>28</v>
      </c>
      <c r="J1432" s="563">
        <v>0</v>
      </c>
      <c r="K1432" s="563">
        <v>28</v>
      </c>
      <c r="L1432" s="741">
        <v>0</v>
      </c>
      <c r="M1432" s="687">
        <f t="shared" si="112"/>
        <v>87.5</v>
      </c>
      <c r="N1432" s="563">
        <v>0</v>
      </c>
      <c r="O1432" s="755" t="s">
        <v>7203</v>
      </c>
      <c r="P1432" s="563" t="s">
        <v>1588</v>
      </c>
      <c r="Q1432" s="689">
        <v>0</v>
      </c>
      <c r="R1432" s="689">
        <v>0</v>
      </c>
      <c r="S1432" s="689">
        <v>0</v>
      </c>
      <c r="T1432" s="689">
        <v>0</v>
      </c>
      <c r="U1432" s="547" t="s">
        <v>7180</v>
      </c>
      <c r="V1432" s="565">
        <v>1998.3</v>
      </c>
      <c r="W1432" s="658">
        <v>390</v>
      </c>
      <c r="X1432" s="547" t="s">
        <v>1532</v>
      </c>
      <c r="Y1432" s="547" t="s">
        <v>7190</v>
      </c>
      <c r="Z1432" s="547"/>
      <c r="AA1432" s="547" t="s">
        <v>1662</v>
      </c>
      <c r="AB1432" s="550" t="s">
        <v>1591</v>
      </c>
    </row>
    <row r="1433" spans="1:28" ht="24" customHeight="1">
      <c r="A1433" s="606"/>
      <c r="B1433" s="544" t="s">
        <v>7024</v>
      </c>
      <c r="C1433" s="551" t="s">
        <v>7204</v>
      </c>
      <c r="D1433" s="553" t="s">
        <v>7205</v>
      </c>
      <c r="E1433" s="563">
        <f t="shared" si="111"/>
        <v>70</v>
      </c>
      <c r="F1433" s="563">
        <v>0</v>
      </c>
      <c r="G1433" s="563">
        <v>70</v>
      </c>
      <c r="H1433" s="563">
        <v>0</v>
      </c>
      <c r="I1433" s="563">
        <f t="shared" si="110"/>
        <v>44</v>
      </c>
      <c r="J1433" s="563">
        <v>0</v>
      </c>
      <c r="K1433" s="563">
        <v>44</v>
      </c>
      <c r="L1433" s="741">
        <v>0</v>
      </c>
      <c r="M1433" s="687">
        <f t="shared" si="112"/>
        <v>62.857142857142854</v>
      </c>
      <c r="N1433" s="563">
        <v>0</v>
      </c>
      <c r="O1433" s="755" t="s">
        <v>7206</v>
      </c>
      <c r="P1433" s="563" t="s">
        <v>1588</v>
      </c>
      <c r="Q1433" s="689">
        <v>0</v>
      </c>
      <c r="R1433" s="689">
        <v>0</v>
      </c>
      <c r="S1433" s="689">
        <v>0</v>
      </c>
      <c r="T1433" s="689">
        <v>0</v>
      </c>
      <c r="U1433" s="547" t="s">
        <v>7207</v>
      </c>
      <c r="V1433" s="565">
        <v>2003.1</v>
      </c>
      <c r="W1433" s="658">
        <v>400</v>
      </c>
      <c r="X1433" s="547" t="s">
        <v>1532</v>
      </c>
      <c r="Y1433" s="547" t="s">
        <v>7190</v>
      </c>
      <c r="Z1433" s="547"/>
      <c r="AA1433" s="547" t="s">
        <v>1591</v>
      </c>
      <c r="AB1433" s="550" t="s">
        <v>1591</v>
      </c>
    </row>
    <row r="1434" spans="1:28" ht="24" customHeight="1">
      <c r="A1434" s="606"/>
      <c r="B1434" s="544" t="s">
        <v>7024</v>
      </c>
      <c r="C1434" s="551" t="s">
        <v>7208</v>
      </c>
      <c r="D1434" s="553" t="s">
        <v>7209</v>
      </c>
      <c r="E1434" s="563">
        <f t="shared" si="111"/>
        <v>30</v>
      </c>
      <c r="F1434" s="563">
        <v>0</v>
      </c>
      <c r="G1434" s="563">
        <v>30</v>
      </c>
      <c r="H1434" s="563">
        <v>0</v>
      </c>
      <c r="I1434" s="563">
        <f t="shared" si="110"/>
        <v>26</v>
      </c>
      <c r="J1434" s="563">
        <v>0</v>
      </c>
      <c r="K1434" s="563">
        <v>26</v>
      </c>
      <c r="L1434" s="741">
        <v>0</v>
      </c>
      <c r="M1434" s="687">
        <f t="shared" si="112"/>
        <v>86.666666666666671</v>
      </c>
      <c r="N1434" s="563">
        <v>0</v>
      </c>
      <c r="O1434" s="755" t="s">
        <v>7210</v>
      </c>
      <c r="P1434" s="563" t="s">
        <v>1588</v>
      </c>
      <c r="Q1434" s="689">
        <v>0</v>
      </c>
      <c r="R1434" s="689">
        <v>0</v>
      </c>
      <c r="S1434" s="689">
        <v>0</v>
      </c>
      <c r="T1434" s="689">
        <v>0</v>
      </c>
      <c r="U1434" s="547" t="s">
        <v>7180</v>
      </c>
      <c r="V1434" s="565">
        <v>2004.8</v>
      </c>
      <c r="W1434" s="658">
        <v>284</v>
      </c>
      <c r="X1434" s="547" t="s">
        <v>1532</v>
      </c>
      <c r="Y1434" s="547" t="s">
        <v>7190</v>
      </c>
      <c r="Z1434" s="547"/>
      <c r="AA1434" s="547" t="s">
        <v>1591</v>
      </c>
      <c r="AB1434" s="550" t="s">
        <v>1591</v>
      </c>
    </row>
    <row r="1435" spans="1:28" ht="24" customHeight="1">
      <c r="A1435" s="606"/>
      <c r="B1435" s="544" t="s">
        <v>7024</v>
      </c>
      <c r="C1435" s="551" t="s">
        <v>7211</v>
      </c>
      <c r="D1435" s="553" t="s">
        <v>7212</v>
      </c>
      <c r="E1435" s="563">
        <f t="shared" si="111"/>
        <v>20</v>
      </c>
      <c r="F1435" s="563">
        <v>0</v>
      </c>
      <c r="G1435" s="563">
        <v>20</v>
      </c>
      <c r="H1435" s="563">
        <v>0</v>
      </c>
      <c r="I1435" s="563">
        <f t="shared" si="110"/>
        <v>18</v>
      </c>
      <c r="J1435" s="563">
        <v>0</v>
      </c>
      <c r="K1435" s="563">
        <v>18</v>
      </c>
      <c r="L1435" s="741">
        <v>0</v>
      </c>
      <c r="M1435" s="687">
        <f t="shared" si="112"/>
        <v>90</v>
      </c>
      <c r="N1435" s="563">
        <v>0</v>
      </c>
      <c r="O1435" s="755" t="s">
        <v>7210</v>
      </c>
      <c r="P1435" s="563" t="s">
        <v>1588</v>
      </c>
      <c r="Q1435" s="689">
        <v>0</v>
      </c>
      <c r="R1435" s="689">
        <v>0</v>
      </c>
      <c r="S1435" s="689">
        <v>0</v>
      </c>
      <c r="T1435" s="689">
        <v>0</v>
      </c>
      <c r="U1435" s="547" t="s">
        <v>7180</v>
      </c>
      <c r="V1435" s="565">
        <v>2003.9</v>
      </c>
      <c r="W1435" s="658">
        <v>310</v>
      </c>
      <c r="X1435" s="547" t="s">
        <v>1532</v>
      </c>
      <c r="Y1435" s="547" t="s">
        <v>7190</v>
      </c>
      <c r="Z1435" s="547"/>
      <c r="AA1435" s="547" t="s">
        <v>1591</v>
      </c>
      <c r="AB1435" s="550" t="s">
        <v>1591</v>
      </c>
    </row>
    <row r="1436" spans="1:28" ht="24" customHeight="1">
      <c r="A1436" s="606"/>
      <c r="B1436" s="544" t="s">
        <v>7024</v>
      </c>
      <c r="C1436" s="551" t="s">
        <v>7213</v>
      </c>
      <c r="D1436" s="553" t="s">
        <v>7214</v>
      </c>
      <c r="E1436" s="563">
        <f t="shared" si="111"/>
        <v>46</v>
      </c>
      <c r="F1436" s="563">
        <v>0</v>
      </c>
      <c r="G1436" s="563">
        <v>46</v>
      </c>
      <c r="H1436" s="563">
        <v>0</v>
      </c>
      <c r="I1436" s="563">
        <f t="shared" si="110"/>
        <v>40</v>
      </c>
      <c r="J1436" s="563">
        <v>0</v>
      </c>
      <c r="K1436" s="563">
        <v>40</v>
      </c>
      <c r="L1436" s="741">
        <v>0</v>
      </c>
      <c r="M1436" s="687">
        <f t="shared" si="112"/>
        <v>86.956521739130437</v>
      </c>
      <c r="N1436" s="563">
        <v>0</v>
      </c>
      <c r="O1436" s="755" t="s">
        <v>7203</v>
      </c>
      <c r="P1436" s="563" t="s">
        <v>1588</v>
      </c>
      <c r="Q1436" s="689">
        <v>0</v>
      </c>
      <c r="R1436" s="689">
        <v>0</v>
      </c>
      <c r="S1436" s="689">
        <v>0</v>
      </c>
      <c r="T1436" s="689">
        <v>0</v>
      </c>
      <c r="U1436" s="547" t="s">
        <v>7180</v>
      </c>
      <c r="V1436" s="565">
        <v>1998.3</v>
      </c>
      <c r="W1436" s="658">
        <v>331</v>
      </c>
      <c r="X1436" s="547" t="s">
        <v>1532</v>
      </c>
      <c r="Y1436" s="547" t="s">
        <v>7190</v>
      </c>
      <c r="Z1436" s="547"/>
      <c r="AA1436" s="547" t="s">
        <v>1591</v>
      </c>
      <c r="AB1436" s="550" t="s">
        <v>1591</v>
      </c>
    </row>
    <row r="1437" spans="1:28" ht="24" customHeight="1">
      <c r="A1437" s="606"/>
      <c r="B1437" s="544" t="s">
        <v>7024</v>
      </c>
      <c r="C1437" s="551" t="s">
        <v>7215</v>
      </c>
      <c r="D1437" s="553" t="s">
        <v>7216</v>
      </c>
      <c r="E1437" s="563">
        <f t="shared" si="111"/>
        <v>46</v>
      </c>
      <c r="F1437" s="563">
        <v>0</v>
      </c>
      <c r="G1437" s="563">
        <v>46</v>
      </c>
      <c r="H1437" s="563">
        <v>0</v>
      </c>
      <c r="I1437" s="563">
        <f t="shared" si="110"/>
        <v>44</v>
      </c>
      <c r="J1437" s="563">
        <v>0</v>
      </c>
      <c r="K1437" s="563">
        <v>44</v>
      </c>
      <c r="L1437" s="741">
        <v>0</v>
      </c>
      <c r="M1437" s="687">
        <f t="shared" si="112"/>
        <v>95.652173913043484</v>
      </c>
      <c r="N1437" s="563">
        <v>0</v>
      </c>
      <c r="O1437" s="755" t="s">
        <v>7203</v>
      </c>
      <c r="P1437" s="563" t="s">
        <v>1588</v>
      </c>
      <c r="Q1437" s="689">
        <v>0</v>
      </c>
      <c r="R1437" s="689">
        <v>0</v>
      </c>
      <c r="S1437" s="689">
        <v>0</v>
      </c>
      <c r="T1437" s="689">
        <v>0</v>
      </c>
      <c r="U1437" s="547" t="s">
        <v>7180</v>
      </c>
      <c r="V1437" s="565">
        <v>1999.1</v>
      </c>
      <c r="W1437" s="658">
        <v>501</v>
      </c>
      <c r="X1437" s="547" t="s">
        <v>1532</v>
      </c>
      <c r="Y1437" s="547" t="s">
        <v>7190</v>
      </c>
      <c r="Z1437" s="547"/>
      <c r="AA1437" s="547" t="s">
        <v>1591</v>
      </c>
      <c r="AB1437" s="550" t="s">
        <v>1591</v>
      </c>
    </row>
    <row r="1438" spans="1:28" ht="24" customHeight="1">
      <c r="A1438" s="606"/>
      <c r="B1438" s="544" t="s">
        <v>7024</v>
      </c>
      <c r="C1438" s="551" t="s">
        <v>7217</v>
      </c>
      <c r="D1438" s="553" t="s">
        <v>7218</v>
      </c>
      <c r="E1438" s="563">
        <f t="shared" si="111"/>
        <v>70</v>
      </c>
      <c r="F1438" s="563">
        <v>0</v>
      </c>
      <c r="G1438" s="563">
        <v>70</v>
      </c>
      <c r="H1438" s="563">
        <v>0</v>
      </c>
      <c r="I1438" s="563">
        <f t="shared" si="110"/>
        <v>50</v>
      </c>
      <c r="J1438" s="563">
        <v>0</v>
      </c>
      <c r="K1438" s="563">
        <v>50</v>
      </c>
      <c r="L1438" s="741">
        <v>0</v>
      </c>
      <c r="M1438" s="687">
        <f t="shared" si="112"/>
        <v>71.428571428571431</v>
      </c>
      <c r="N1438" s="563">
        <v>0</v>
      </c>
      <c r="O1438" s="755" t="s">
        <v>7210</v>
      </c>
      <c r="P1438" s="563" t="s">
        <v>1588</v>
      </c>
      <c r="Q1438" s="689">
        <v>0</v>
      </c>
      <c r="R1438" s="689">
        <v>0</v>
      </c>
      <c r="S1438" s="689">
        <v>0</v>
      </c>
      <c r="T1438" s="689">
        <v>0</v>
      </c>
      <c r="U1438" s="547" t="s">
        <v>7180</v>
      </c>
      <c r="V1438" s="565">
        <v>2003.8</v>
      </c>
      <c r="W1438" s="658">
        <v>503</v>
      </c>
      <c r="X1438" s="547" t="s">
        <v>1532</v>
      </c>
      <c r="Y1438" s="547" t="s">
        <v>7190</v>
      </c>
      <c r="Z1438" s="547"/>
      <c r="AA1438" s="547" t="s">
        <v>1591</v>
      </c>
      <c r="AB1438" s="550" t="s">
        <v>1591</v>
      </c>
    </row>
    <row r="1439" spans="1:28" ht="24" customHeight="1">
      <c r="A1439" s="606"/>
      <c r="B1439" s="544" t="s">
        <v>7024</v>
      </c>
      <c r="C1439" s="551" t="s">
        <v>7219</v>
      </c>
      <c r="D1439" s="553" t="s">
        <v>7220</v>
      </c>
      <c r="E1439" s="563">
        <f t="shared" si="111"/>
        <v>50</v>
      </c>
      <c r="F1439" s="563">
        <v>0</v>
      </c>
      <c r="G1439" s="563">
        <v>50</v>
      </c>
      <c r="H1439" s="563">
        <v>0</v>
      </c>
      <c r="I1439" s="563">
        <f t="shared" si="110"/>
        <v>41</v>
      </c>
      <c r="J1439" s="563">
        <v>0</v>
      </c>
      <c r="K1439" s="563">
        <v>41</v>
      </c>
      <c r="L1439" s="741">
        <v>0</v>
      </c>
      <c r="M1439" s="687">
        <f>I1439/G1439*100</f>
        <v>82</v>
      </c>
      <c r="N1439" s="563">
        <v>0</v>
      </c>
      <c r="O1439" s="755" t="s">
        <v>7203</v>
      </c>
      <c r="P1439" s="563" t="s">
        <v>1588</v>
      </c>
      <c r="Q1439" s="689">
        <v>0</v>
      </c>
      <c r="R1439" s="689">
        <v>0</v>
      </c>
      <c r="S1439" s="689">
        <v>0</v>
      </c>
      <c r="T1439" s="689">
        <v>0</v>
      </c>
      <c r="U1439" s="547" t="s">
        <v>7180</v>
      </c>
      <c r="V1439" s="565">
        <v>35855</v>
      </c>
      <c r="W1439" s="658">
        <v>376</v>
      </c>
      <c r="X1439" s="547" t="s">
        <v>1532</v>
      </c>
      <c r="Y1439" s="547" t="s">
        <v>7190</v>
      </c>
      <c r="Z1439" s="547"/>
      <c r="AA1439" s="547" t="s">
        <v>1591</v>
      </c>
      <c r="AB1439" s="550" t="s">
        <v>1591</v>
      </c>
    </row>
    <row r="1440" spans="1:28" ht="24" customHeight="1">
      <c r="A1440" s="606"/>
      <c r="B1440" s="544" t="s">
        <v>7024</v>
      </c>
      <c r="C1440" s="551" t="s">
        <v>7221</v>
      </c>
      <c r="D1440" s="553" t="s">
        <v>7222</v>
      </c>
      <c r="E1440" s="563">
        <f t="shared" si="111"/>
        <v>136</v>
      </c>
      <c r="F1440" s="563">
        <v>0</v>
      </c>
      <c r="G1440" s="563">
        <v>136</v>
      </c>
      <c r="H1440" s="563">
        <v>0</v>
      </c>
      <c r="I1440" s="563">
        <f t="shared" si="110"/>
        <v>37</v>
      </c>
      <c r="J1440" s="563">
        <v>0</v>
      </c>
      <c r="K1440" s="563">
        <v>37</v>
      </c>
      <c r="L1440" s="741">
        <v>0</v>
      </c>
      <c r="M1440" s="687">
        <f t="shared" si="112"/>
        <v>27.205882352941174</v>
      </c>
      <c r="N1440" s="563">
        <v>0</v>
      </c>
      <c r="O1440" s="755" t="s">
        <v>7223</v>
      </c>
      <c r="P1440" s="563" t="s">
        <v>1588</v>
      </c>
      <c r="Q1440" s="689">
        <v>0</v>
      </c>
      <c r="R1440" s="689">
        <v>0</v>
      </c>
      <c r="S1440" s="689">
        <v>0</v>
      </c>
      <c r="T1440" s="689">
        <v>0</v>
      </c>
      <c r="U1440" s="547" t="s">
        <v>7180</v>
      </c>
      <c r="V1440" s="565">
        <v>2000.2</v>
      </c>
      <c r="W1440" s="658">
        <v>400</v>
      </c>
      <c r="X1440" s="547" t="s">
        <v>1532</v>
      </c>
      <c r="Y1440" s="547" t="s">
        <v>7190</v>
      </c>
      <c r="Z1440" s="547"/>
      <c r="AA1440" s="547" t="s">
        <v>7224</v>
      </c>
      <c r="AB1440" s="550" t="s">
        <v>1591</v>
      </c>
    </row>
    <row r="1441" spans="1:28" ht="24" customHeight="1">
      <c r="A1441" s="606"/>
      <c r="B1441" s="544" t="s">
        <v>7024</v>
      </c>
      <c r="C1441" s="551" t="s">
        <v>7225</v>
      </c>
      <c r="D1441" s="553" t="s">
        <v>7226</v>
      </c>
      <c r="E1441" s="563">
        <f t="shared" si="111"/>
        <v>70</v>
      </c>
      <c r="F1441" s="563">
        <v>0</v>
      </c>
      <c r="G1441" s="563">
        <v>70</v>
      </c>
      <c r="H1441" s="563">
        <v>0</v>
      </c>
      <c r="I1441" s="563">
        <f t="shared" si="110"/>
        <v>50</v>
      </c>
      <c r="J1441" s="563">
        <v>0</v>
      </c>
      <c r="K1441" s="563">
        <v>50</v>
      </c>
      <c r="L1441" s="741">
        <v>0</v>
      </c>
      <c r="M1441" s="687">
        <f t="shared" si="112"/>
        <v>71.428571428571431</v>
      </c>
      <c r="N1441" s="563">
        <v>0</v>
      </c>
      <c r="O1441" s="755" t="s">
        <v>7227</v>
      </c>
      <c r="P1441" s="563" t="s">
        <v>1588</v>
      </c>
      <c r="Q1441" s="689">
        <v>0</v>
      </c>
      <c r="R1441" s="689">
        <v>0</v>
      </c>
      <c r="S1441" s="689">
        <v>0</v>
      </c>
      <c r="T1441" s="689">
        <v>0</v>
      </c>
      <c r="U1441" s="547" t="s">
        <v>7180</v>
      </c>
      <c r="V1441" s="565">
        <v>2003.9</v>
      </c>
      <c r="W1441" s="658">
        <v>665</v>
      </c>
      <c r="X1441" s="547" t="s">
        <v>1532</v>
      </c>
      <c r="Y1441" s="547" t="s">
        <v>7190</v>
      </c>
      <c r="Z1441" s="547"/>
      <c r="AA1441" s="547" t="s">
        <v>1591</v>
      </c>
      <c r="AB1441" s="550" t="s">
        <v>1591</v>
      </c>
    </row>
    <row r="1442" spans="1:28" ht="24" customHeight="1">
      <c r="A1442" s="606"/>
      <c r="B1442" s="544" t="s">
        <v>7024</v>
      </c>
      <c r="C1442" s="551" t="s">
        <v>7228</v>
      </c>
      <c r="D1442" s="553" t="s">
        <v>7229</v>
      </c>
      <c r="E1442" s="563">
        <f t="shared" si="111"/>
        <v>20</v>
      </c>
      <c r="F1442" s="563">
        <v>0</v>
      </c>
      <c r="G1442" s="563">
        <v>20</v>
      </c>
      <c r="H1442" s="563">
        <v>0</v>
      </c>
      <c r="I1442" s="563">
        <f t="shared" si="110"/>
        <v>18</v>
      </c>
      <c r="J1442" s="563">
        <v>0</v>
      </c>
      <c r="K1442" s="563">
        <v>18</v>
      </c>
      <c r="L1442" s="741">
        <v>0</v>
      </c>
      <c r="M1442" s="687">
        <f t="shared" si="112"/>
        <v>90</v>
      </c>
      <c r="N1442" s="563">
        <v>0</v>
      </c>
      <c r="O1442" s="755" t="s">
        <v>3451</v>
      </c>
      <c r="P1442" s="563" t="s">
        <v>1588</v>
      </c>
      <c r="Q1442" s="689">
        <v>0</v>
      </c>
      <c r="R1442" s="689">
        <v>0</v>
      </c>
      <c r="S1442" s="689">
        <v>0</v>
      </c>
      <c r="T1442" s="689">
        <v>0</v>
      </c>
      <c r="U1442" s="547" t="s">
        <v>7180</v>
      </c>
      <c r="V1442" s="565">
        <v>2003.6</v>
      </c>
      <c r="W1442" s="658">
        <v>350</v>
      </c>
      <c r="X1442" s="547" t="s">
        <v>1532</v>
      </c>
      <c r="Y1442" s="547" t="s">
        <v>7190</v>
      </c>
      <c r="Z1442" s="547"/>
      <c r="AA1442" s="547" t="s">
        <v>1591</v>
      </c>
      <c r="AB1442" s="550" t="s">
        <v>1591</v>
      </c>
    </row>
    <row r="1443" spans="1:28" ht="24" customHeight="1">
      <c r="A1443" s="606"/>
      <c r="B1443" s="544" t="s">
        <v>7024</v>
      </c>
      <c r="C1443" s="551" t="s">
        <v>7230</v>
      </c>
      <c r="D1443" s="553" t="s">
        <v>7231</v>
      </c>
      <c r="E1443" s="563">
        <f t="shared" si="111"/>
        <v>30</v>
      </c>
      <c r="F1443" s="563">
        <v>0</v>
      </c>
      <c r="G1443" s="563">
        <v>30</v>
      </c>
      <c r="H1443" s="563">
        <v>0</v>
      </c>
      <c r="I1443" s="563">
        <f t="shared" si="110"/>
        <v>28</v>
      </c>
      <c r="J1443" s="563">
        <v>0</v>
      </c>
      <c r="K1443" s="563">
        <v>28</v>
      </c>
      <c r="L1443" s="741">
        <v>0</v>
      </c>
      <c r="M1443" s="687">
        <f t="shared" si="112"/>
        <v>93.333333333333329</v>
      </c>
      <c r="N1443" s="563">
        <v>0</v>
      </c>
      <c r="O1443" s="755" t="s">
        <v>7232</v>
      </c>
      <c r="P1443" s="563" t="s">
        <v>1588</v>
      </c>
      <c r="Q1443" s="689">
        <v>0</v>
      </c>
      <c r="R1443" s="689">
        <v>0</v>
      </c>
      <c r="S1443" s="689">
        <v>0</v>
      </c>
      <c r="T1443" s="689">
        <v>0</v>
      </c>
      <c r="U1443" s="547" t="s">
        <v>7180</v>
      </c>
      <c r="V1443" s="565">
        <v>1999.1</v>
      </c>
      <c r="W1443" s="658">
        <v>221</v>
      </c>
      <c r="X1443" s="547" t="s">
        <v>1532</v>
      </c>
      <c r="Y1443" s="547" t="s">
        <v>7190</v>
      </c>
      <c r="Z1443" s="547"/>
      <c r="AA1443" s="547" t="s">
        <v>7182</v>
      </c>
      <c r="AB1443" s="550" t="s">
        <v>1591</v>
      </c>
    </row>
    <row r="1444" spans="1:28" ht="24" customHeight="1">
      <c r="A1444" s="606"/>
      <c r="B1444" s="544" t="s">
        <v>7024</v>
      </c>
      <c r="C1444" s="551" t="s">
        <v>7233</v>
      </c>
      <c r="D1444" s="553" t="s">
        <v>7234</v>
      </c>
      <c r="E1444" s="563">
        <f t="shared" si="111"/>
        <v>50</v>
      </c>
      <c r="F1444" s="563">
        <v>0</v>
      </c>
      <c r="G1444" s="563">
        <v>50</v>
      </c>
      <c r="H1444" s="563">
        <v>0</v>
      </c>
      <c r="I1444" s="563">
        <f t="shared" si="110"/>
        <v>41</v>
      </c>
      <c r="J1444" s="563">
        <v>0</v>
      </c>
      <c r="K1444" s="563">
        <v>41</v>
      </c>
      <c r="L1444" s="741">
        <v>0</v>
      </c>
      <c r="M1444" s="687">
        <f>I1444/E1444*100</f>
        <v>82</v>
      </c>
      <c r="N1444" s="563">
        <v>0</v>
      </c>
      <c r="O1444" s="755" t="s">
        <v>7235</v>
      </c>
      <c r="P1444" s="563" t="s">
        <v>1588</v>
      </c>
      <c r="Q1444" s="689">
        <v>0</v>
      </c>
      <c r="R1444" s="689">
        <v>0</v>
      </c>
      <c r="S1444" s="689">
        <v>0</v>
      </c>
      <c r="T1444" s="689">
        <v>0</v>
      </c>
      <c r="U1444" s="547" t="s">
        <v>7180</v>
      </c>
      <c r="V1444" s="565">
        <v>1999.12</v>
      </c>
      <c r="W1444" s="658">
        <v>376</v>
      </c>
      <c r="X1444" s="547" t="s">
        <v>1532</v>
      </c>
      <c r="Y1444" s="547" t="s">
        <v>7190</v>
      </c>
      <c r="Z1444" s="547"/>
      <c r="AA1444" s="547" t="s">
        <v>1883</v>
      </c>
      <c r="AB1444" s="550" t="s">
        <v>1591</v>
      </c>
    </row>
    <row r="1445" spans="1:28" ht="24" customHeight="1">
      <c r="A1445" s="606"/>
      <c r="B1445" s="544" t="s">
        <v>7024</v>
      </c>
      <c r="C1445" s="551" t="s">
        <v>7236</v>
      </c>
      <c r="D1445" s="553" t="s">
        <v>7237</v>
      </c>
      <c r="E1445" s="563">
        <f t="shared" si="111"/>
        <v>50</v>
      </c>
      <c r="F1445" s="563">
        <v>0</v>
      </c>
      <c r="G1445" s="563">
        <v>50</v>
      </c>
      <c r="H1445" s="563">
        <v>0</v>
      </c>
      <c r="I1445" s="563">
        <f t="shared" si="110"/>
        <v>37</v>
      </c>
      <c r="J1445" s="563">
        <v>0</v>
      </c>
      <c r="K1445" s="563">
        <v>37</v>
      </c>
      <c r="L1445" s="741">
        <v>0</v>
      </c>
      <c r="M1445" s="687">
        <f t="shared" si="112"/>
        <v>74</v>
      </c>
      <c r="N1445" s="563">
        <v>0</v>
      </c>
      <c r="O1445" s="755" t="s">
        <v>6499</v>
      </c>
      <c r="P1445" s="563" t="s">
        <v>1588</v>
      </c>
      <c r="Q1445" s="689">
        <v>0</v>
      </c>
      <c r="R1445" s="689">
        <v>0</v>
      </c>
      <c r="S1445" s="689">
        <v>0</v>
      </c>
      <c r="T1445" s="689">
        <v>0</v>
      </c>
      <c r="U1445" s="547" t="s">
        <v>7180</v>
      </c>
      <c r="V1445" s="565">
        <v>1998.6</v>
      </c>
      <c r="W1445" s="658">
        <v>300</v>
      </c>
      <c r="X1445" s="547" t="s">
        <v>1532</v>
      </c>
      <c r="Y1445" s="547" t="s">
        <v>7190</v>
      </c>
      <c r="Z1445" s="547"/>
      <c r="AA1445" s="547" t="s">
        <v>7238</v>
      </c>
      <c r="AB1445" s="550" t="s">
        <v>1591</v>
      </c>
    </row>
    <row r="1446" spans="1:28" ht="24" customHeight="1">
      <c r="A1446" s="606"/>
      <c r="B1446" s="544" t="s">
        <v>7024</v>
      </c>
      <c r="C1446" s="551" t="s">
        <v>7239</v>
      </c>
      <c r="D1446" s="553" t="s">
        <v>7240</v>
      </c>
      <c r="E1446" s="563">
        <f t="shared" si="111"/>
        <v>40</v>
      </c>
      <c r="F1446" s="563">
        <v>0</v>
      </c>
      <c r="G1446" s="563">
        <v>40</v>
      </c>
      <c r="H1446" s="563">
        <v>0</v>
      </c>
      <c r="I1446" s="563">
        <f t="shared" si="110"/>
        <v>38</v>
      </c>
      <c r="J1446" s="563">
        <v>0</v>
      </c>
      <c r="K1446" s="563">
        <v>38</v>
      </c>
      <c r="L1446" s="741">
        <v>0</v>
      </c>
      <c r="M1446" s="687">
        <f t="shared" si="112"/>
        <v>95</v>
      </c>
      <c r="N1446" s="563">
        <v>0</v>
      </c>
      <c r="O1446" s="755" t="s">
        <v>7241</v>
      </c>
      <c r="P1446" s="563" t="s">
        <v>1588</v>
      </c>
      <c r="Q1446" s="689">
        <v>0</v>
      </c>
      <c r="R1446" s="689">
        <v>0</v>
      </c>
      <c r="S1446" s="689">
        <v>0</v>
      </c>
      <c r="T1446" s="689">
        <v>0</v>
      </c>
      <c r="U1446" s="547" t="s">
        <v>7180</v>
      </c>
      <c r="V1446" s="565">
        <v>2004.3</v>
      </c>
      <c r="W1446" s="658">
        <v>200</v>
      </c>
      <c r="X1446" s="547" t="s">
        <v>1532</v>
      </c>
      <c r="Y1446" s="547" t="s">
        <v>7190</v>
      </c>
      <c r="Z1446" s="547"/>
      <c r="AA1446" s="547" t="s">
        <v>3004</v>
      </c>
      <c r="AB1446" s="550" t="s">
        <v>1591</v>
      </c>
    </row>
    <row r="1447" spans="1:28" ht="24" customHeight="1">
      <c r="A1447" s="606"/>
      <c r="B1447" s="544" t="s">
        <v>7024</v>
      </c>
      <c r="C1447" s="551" t="s">
        <v>7242</v>
      </c>
      <c r="D1447" s="553" t="s">
        <v>7234</v>
      </c>
      <c r="E1447" s="563">
        <f t="shared" si="111"/>
        <v>58</v>
      </c>
      <c r="F1447" s="563">
        <v>0</v>
      </c>
      <c r="G1447" s="563">
        <v>58</v>
      </c>
      <c r="H1447" s="563">
        <v>0</v>
      </c>
      <c r="I1447" s="563">
        <f t="shared" si="110"/>
        <v>56</v>
      </c>
      <c r="J1447" s="563">
        <v>0</v>
      </c>
      <c r="K1447" s="563">
        <v>56</v>
      </c>
      <c r="L1447" s="741">
        <v>0</v>
      </c>
      <c r="M1447" s="687">
        <f t="shared" si="112"/>
        <v>96.551724137931032</v>
      </c>
      <c r="N1447" s="563">
        <v>0</v>
      </c>
      <c r="O1447" s="755" t="s">
        <v>7235</v>
      </c>
      <c r="P1447" s="563" t="s">
        <v>1588</v>
      </c>
      <c r="Q1447" s="689">
        <v>0</v>
      </c>
      <c r="R1447" s="689">
        <v>0</v>
      </c>
      <c r="S1447" s="689">
        <v>0</v>
      </c>
      <c r="T1447" s="689">
        <v>0</v>
      </c>
      <c r="U1447" s="547" t="s">
        <v>7180</v>
      </c>
      <c r="V1447" s="565">
        <v>1999.3</v>
      </c>
      <c r="W1447" s="658">
        <v>400</v>
      </c>
      <c r="X1447" s="547" t="s">
        <v>1532</v>
      </c>
      <c r="Y1447" s="547" t="s">
        <v>7190</v>
      </c>
      <c r="Z1447" s="547"/>
      <c r="AA1447" s="547" t="s">
        <v>3004</v>
      </c>
      <c r="AB1447" s="550" t="s">
        <v>1591</v>
      </c>
    </row>
    <row r="1448" spans="1:28" ht="24" customHeight="1">
      <c r="A1448" s="606"/>
      <c r="B1448" s="544" t="s">
        <v>7024</v>
      </c>
      <c r="C1448" s="551" t="s">
        <v>7243</v>
      </c>
      <c r="D1448" s="553" t="s">
        <v>7244</v>
      </c>
      <c r="E1448" s="563">
        <f t="shared" si="111"/>
        <v>70</v>
      </c>
      <c r="F1448" s="563">
        <v>0</v>
      </c>
      <c r="G1448" s="563">
        <v>70</v>
      </c>
      <c r="H1448" s="563">
        <v>0</v>
      </c>
      <c r="I1448" s="563">
        <f t="shared" si="110"/>
        <v>55</v>
      </c>
      <c r="J1448" s="563">
        <v>0</v>
      </c>
      <c r="K1448" s="563">
        <v>55</v>
      </c>
      <c r="L1448" s="741">
        <v>0</v>
      </c>
      <c r="M1448" s="687">
        <f t="shared" si="112"/>
        <v>78.571428571428569</v>
      </c>
      <c r="N1448" s="563">
        <v>0</v>
      </c>
      <c r="O1448" s="755" t="s">
        <v>7245</v>
      </c>
      <c r="P1448" s="563" t="s">
        <v>1588</v>
      </c>
      <c r="Q1448" s="689">
        <v>0</v>
      </c>
      <c r="R1448" s="689">
        <v>0</v>
      </c>
      <c r="S1448" s="689">
        <v>0</v>
      </c>
      <c r="T1448" s="689">
        <v>0</v>
      </c>
      <c r="U1448" s="547" t="s">
        <v>7180</v>
      </c>
      <c r="V1448" s="565">
        <v>38353</v>
      </c>
      <c r="W1448" s="658">
        <v>800</v>
      </c>
      <c r="X1448" s="547" t="s">
        <v>1532</v>
      </c>
      <c r="Y1448" s="547" t="s">
        <v>7190</v>
      </c>
      <c r="Z1448" s="547"/>
      <c r="AA1448" s="547" t="s">
        <v>3004</v>
      </c>
      <c r="AB1448" s="550" t="s">
        <v>1591</v>
      </c>
    </row>
    <row r="1449" spans="1:28" ht="24" customHeight="1">
      <c r="A1449" s="606"/>
      <c r="B1449" s="544" t="s">
        <v>7024</v>
      </c>
      <c r="C1449" s="551" t="s">
        <v>7246</v>
      </c>
      <c r="D1449" s="553" t="s">
        <v>7247</v>
      </c>
      <c r="E1449" s="563">
        <f t="shared" si="111"/>
        <v>20</v>
      </c>
      <c r="F1449" s="563">
        <v>0</v>
      </c>
      <c r="G1449" s="563">
        <v>20</v>
      </c>
      <c r="H1449" s="563">
        <v>0</v>
      </c>
      <c r="I1449" s="563">
        <f t="shared" si="110"/>
        <v>17</v>
      </c>
      <c r="J1449" s="563">
        <v>0</v>
      </c>
      <c r="K1449" s="563">
        <v>17</v>
      </c>
      <c r="L1449" s="741">
        <v>0</v>
      </c>
      <c r="M1449" s="687">
        <f t="shared" si="112"/>
        <v>85</v>
      </c>
      <c r="N1449" s="563">
        <v>0</v>
      </c>
      <c r="O1449" s="755" t="s">
        <v>7248</v>
      </c>
      <c r="P1449" s="563" t="s">
        <v>1588</v>
      </c>
      <c r="Q1449" s="689">
        <v>0</v>
      </c>
      <c r="R1449" s="689">
        <v>0</v>
      </c>
      <c r="S1449" s="689">
        <v>0</v>
      </c>
      <c r="T1449" s="689">
        <v>0</v>
      </c>
      <c r="U1449" s="547" t="s">
        <v>7180</v>
      </c>
      <c r="V1449" s="565">
        <v>38529.300000000003</v>
      </c>
      <c r="W1449" s="658">
        <v>308</v>
      </c>
      <c r="X1449" s="547" t="s">
        <v>1532</v>
      </c>
      <c r="Y1449" s="547" t="s">
        <v>7190</v>
      </c>
      <c r="Z1449" s="547"/>
      <c r="AA1449" s="547" t="s">
        <v>1591</v>
      </c>
      <c r="AB1449" s="550" t="s">
        <v>1591</v>
      </c>
    </row>
    <row r="1450" spans="1:28" ht="24" customHeight="1">
      <c r="A1450" s="606"/>
      <c r="B1450" s="544" t="s">
        <v>7024</v>
      </c>
      <c r="C1450" s="551" t="s">
        <v>7249</v>
      </c>
      <c r="D1450" s="553" t="s">
        <v>7250</v>
      </c>
      <c r="E1450" s="563">
        <f t="shared" si="111"/>
        <v>45</v>
      </c>
      <c r="F1450" s="563">
        <v>0</v>
      </c>
      <c r="G1450" s="563">
        <v>45</v>
      </c>
      <c r="H1450" s="563">
        <v>0</v>
      </c>
      <c r="I1450" s="563">
        <f t="shared" si="110"/>
        <v>31</v>
      </c>
      <c r="J1450" s="563">
        <v>0</v>
      </c>
      <c r="K1450" s="563">
        <v>31</v>
      </c>
      <c r="L1450" s="741">
        <v>0</v>
      </c>
      <c r="M1450" s="687">
        <f t="shared" si="112"/>
        <v>68.888888888888886</v>
      </c>
      <c r="N1450" s="563">
        <v>0</v>
      </c>
      <c r="O1450" s="755" t="s">
        <v>2770</v>
      </c>
      <c r="P1450" s="563" t="s">
        <v>1588</v>
      </c>
      <c r="Q1450" s="689">
        <v>0</v>
      </c>
      <c r="R1450" s="689">
        <v>0</v>
      </c>
      <c r="S1450" s="689">
        <v>0</v>
      </c>
      <c r="T1450" s="689">
        <v>0</v>
      </c>
      <c r="U1450" s="547" t="s">
        <v>7180</v>
      </c>
      <c r="V1450" s="565">
        <v>38699</v>
      </c>
      <c r="W1450" s="658">
        <v>468</v>
      </c>
      <c r="X1450" s="547" t="s">
        <v>1532</v>
      </c>
      <c r="Y1450" s="547" t="s">
        <v>7190</v>
      </c>
      <c r="Z1450" s="547"/>
      <c r="AA1450" s="547" t="s">
        <v>1591</v>
      </c>
      <c r="AB1450" s="550" t="s">
        <v>1591</v>
      </c>
    </row>
    <row r="1451" spans="1:28" ht="24" customHeight="1">
      <c r="A1451" s="606"/>
      <c r="B1451" s="544" t="s">
        <v>7024</v>
      </c>
      <c r="C1451" s="551" t="s">
        <v>7251</v>
      </c>
      <c r="D1451" s="553" t="s">
        <v>7252</v>
      </c>
      <c r="E1451" s="563">
        <f t="shared" si="111"/>
        <v>40</v>
      </c>
      <c r="F1451" s="563">
        <v>0</v>
      </c>
      <c r="G1451" s="563">
        <v>40</v>
      </c>
      <c r="H1451" s="563">
        <v>0</v>
      </c>
      <c r="I1451" s="563">
        <f t="shared" si="110"/>
        <v>28</v>
      </c>
      <c r="J1451" s="563">
        <v>0</v>
      </c>
      <c r="K1451" s="563">
        <v>28</v>
      </c>
      <c r="L1451" s="741">
        <v>0</v>
      </c>
      <c r="M1451" s="687">
        <f t="shared" si="112"/>
        <v>70</v>
      </c>
      <c r="N1451" s="563">
        <v>0</v>
      </c>
      <c r="O1451" s="755" t="s">
        <v>7253</v>
      </c>
      <c r="P1451" s="563" t="s">
        <v>1588</v>
      </c>
      <c r="Q1451" s="689">
        <v>0</v>
      </c>
      <c r="R1451" s="689">
        <v>0</v>
      </c>
      <c r="S1451" s="689">
        <v>0</v>
      </c>
      <c r="T1451" s="689">
        <v>0</v>
      </c>
      <c r="U1451" s="547" t="s">
        <v>7180</v>
      </c>
      <c r="V1451" s="565">
        <v>1999.12</v>
      </c>
      <c r="W1451" s="658">
        <v>284</v>
      </c>
      <c r="X1451" s="547" t="s">
        <v>1532</v>
      </c>
      <c r="Y1451" s="547" t="s">
        <v>7190</v>
      </c>
      <c r="Z1451" s="547"/>
      <c r="AA1451" s="547" t="s">
        <v>7254</v>
      </c>
      <c r="AB1451" s="550" t="s">
        <v>1591</v>
      </c>
    </row>
    <row r="1452" spans="1:28" ht="24" customHeight="1">
      <c r="A1452" s="606"/>
      <c r="B1452" s="544" t="s">
        <v>7024</v>
      </c>
      <c r="C1452" s="551" t="s">
        <v>7255</v>
      </c>
      <c r="D1452" s="553" t="s">
        <v>7256</v>
      </c>
      <c r="E1452" s="563">
        <f t="shared" si="111"/>
        <v>40</v>
      </c>
      <c r="F1452" s="563">
        <v>0</v>
      </c>
      <c r="G1452" s="563">
        <v>40</v>
      </c>
      <c r="H1452" s="563">
        <v>0</v>
      </c>
      <c r="I1452" s="563">
        <f t="shared" si="110"/>
        <v>37</v>
      </c>
      <c r="J1452" s="563">
        <v>0</v>
      </c>
      <c r="K1452" s="563">
        <v>37</v>
      </c>
      <c r="L1452" s="741">
        <v>0</v>
      </c>
      <c r="M1452" s="687">
        <f t="shared" si="112"/>
        <v>92.5</v>
      </c>
      <c r="N1452" s="563">
        <v>0</v>
      </c>
      <c r="O1452" s="755" t="s">
        <v>5737</v>
      </c>
      <c r="P1452" s="563" t="s">
        <v>1588</v>
      </c>
      <c r="Q1452" s="689">
        <v>0</v>
      </c>
      <c r="R1452" s="689">
        <v>0</v>
      </c>
      <c r="S1452" s="689">
        <v>0</v>
      </c>
      <c r="T1452" s="689">
        <v>0</v>
      </c>
      <c r="U1452" s="547" t="s">
        <v>7180</v>
      </c>
      <c r="V1452" s="565">
        <v>2002.5</v>
      </c>
      <c r="W1452" s="658">
        <v>306</v>
      </c>
      <c r="X1452" s="547" t="s">
        <v>1532</v>
      </c>
      <c r="Y1452" s="547" t="s">
        <v>7190</v>
      </c>
      <c r="Z1452" s="547"/>
      <c r="AA1452" s="547" t="s">
        <v>7182</v>
      </c>
      <c r="AB1452" s="550" t="s">
        <v>1591</v>
      </c>
    </row>
    <row r="1453" spans="1:28" ht="24" customHeight="1">
      <c r="A1453" s="606"/>
      <c r="B1453" s="544" t="s">
        <v>7024</v>
      </c>
      <c r="C1453" s="551" t="s">
        <v>7257</v>
      </c>
      <c r="D1453" s="553" t="s">
        <v>7258</v>
      </c>
      <c r="E1453" s="563">
        <f t="shared" si="111"/>
        <v>30</v>
      </c>
      <c r="F1453" s="563">
        <v>0</v>
      </c>
      <c r="G1453" s="563">
        <v>30</v>
      </c>
      <c r="H1453" s="563">
        <v>0</v>
      </c>
      <c r="I1453" s="563">
        <f t="shared" si="110"/>
        <v>30</v>
      </c>
      <c r="J1453" s="563">
        <v>0</v>
      </c>
      <c r="K1453" s="563">
        <v>30</v>
      </c>
      <c r="L1453" s="741">
        <v>0</v>
      </c>
      <c r="M1453" s="687">
        <f t="shared" si="112"/>
        <v>100</v>
      </c>
      <c r="N1453" s="563">
        <v>0</v>
      </c>
      <c r="O1453" s="755" t="s">
        <v>7259</v>
      </c>
      <c r="P1453" s="563" t="s">
        <v>1588</v>
      </c>
      <c r="Q1453" s="689">
        <v>0</v>
      </c>
      <c r="R1453" s="689">
        <v>0</v>
      </c>
      <c r="S1453" s="689">
        <v>0</v>
      </c>
      <c r="T1453" s="689">
        <v>0</v>
      </c>
      <c r="U1453" s="547" t="s">
        <v>7180</v>
      </c>
      <c r="V1453" s="565">
        <v>39214</v>
      </c>
      <c r="W1453" s="658">
        <v>385</v>
      </c>
      <c r="X1453" s="547" t="s">
        <v>1532</v>
      </c>
      <c r="Y1453" s="547" t="s">
        <v>7190</v>
      </c>
      <c r="Z1453" s="547"/>
      <c r="AA1453" s="547"/>
      <c r="AB1453" s="550"/>
    </row>
    <row r="1454" spans="1:28" ht="24" customHeight="1">
      <c r="A1454" s="606"/>
      <c r="B1454" s="544" t="s">
        <v>7024</v>
      </c>
      <c r="C1454" s="551" t="s">
        <v>7260</v>
      </c>
      <c r="D1454" s="553" t="s">
        <v>7261</v>
      </c>
      <c r="E1454" s="563">
        <f t="shared" si="111"/>
        <v>47</v>
      </c>
      <c r="F1454" s="563">
        <v>0</v>
      </c>
      <c r="G1454" s="563">
        <v>47</v>
      </c>
      <c r="H1454" s="563">
        <v>0</v>
      </c>
      <c r="I1454" s="563">
        <f t="shared" si="110"/>
        <v>45</v>
      </c>
      <c r="J1454" s="563">
        <v>0</v>
      </c>
      <c r="K1454" s="563">
        <v>45</v>
      </c>
      <c r="L1454" s="741">
        <v>0</v>
      </c>
      <c r="M1454" s="687">
        <f t="shared" si="112"/>
        <v>95.744680851063833</v>
      </c>
      <c r="N1454" s="563">
        <v>0</v>
      </c>
      <c r="O1454" s="755" t="s">
        <v>7259</v>
      </c>
      <c r="P1454" s="563" t="s">
        <v>1588</v>
      </c>
      <c r="Q1454" s="689">
        <v>0</v>
      </c>
      <c r="R1454" s="689">
        <v>0</v>
      </c>
      <c r="S1454" s="689">
        <v>0</v>
      </c>
      <c r="T1454" s="689">
        <v>0</v>
      </c>
      <c r="U1454" s="547" t="s">
        <v>7180</v>
      </c>
      <c r="V1454" s="565">
        <v>2004</v>
      </c>
      <c r="W1454" s="658">
        <v>543</v>
      </c>
      <c r="X1454" s="547"/>
      <c r="Y1454" s="547" t="s">
        <v>7190</v>
      </c>
      <c r="Z1454" s="547"/>
      <c r="AA1454" s="547"/>
      <c r="AB1454" s="550"/>
    </row>
    <row r="1455" spans="1:28" ht="24" customHeight="1">
      <c r="A1455" s="606"/>
      <c r="B1455" s="544" t="s">
        <v>7024</v>
      </c>
      <c r="C1455" s="551" t="s">
        <v>7262</v>
      </c>
      <c r="D1455" s="553" t="s">
        <v>7263</v>
      </c>
      <c r="E1455" s="563">
        <f t="shared" si="111"/>
        <v>40</v>
      </c>
      <c r="F1455" s="563">
        <v>0</v>
      </c>
      <c r="G1455" s="563">
        <v>40</v>
      </c>
      <c r="H1455" s="563">
        <v>0</v>
      </c>
      <c r="I1455" s="563">
        <f t="shared" si="110"/>
        <v>38</v>
      </c>
      <c r="J1455" s="563">
        <v>0</v>
      </c>
      <c r="K1455" s="563">
        <v>38</v>
      </c>
      <c r="L1455" s="741">
        <v>0</v>
      </c>
      <c r="M1455" s="687">
        <f t="shared" si="112"/>
        <v>95</v>
      </c>
      <c r="N1455" s="563">
        <v>0</v>
      </c>
      <c r="O1455" s="755" t="s">
        <v>7193</v>
      </c>
      <c r="P1455" s="563" t="s">
        <v>1588</v>
      </c>
      <c r="Q1455" s="689">
        <v>0</v>
      </c>
      <c r="R1455" s="689">
        <v>0</v>
      </c>
      <c r="S1455" s="689">
        <v>0</v>
      </c>
      <c r="T1455" s="689">
        <v>0</v>
      </c>
      <c r="U1455" s="547" t="s">
        <v>7180</v>
      </c>
      <c r="V1455" s="565">
        <v>2002.5</v>
      </c>
      <c r="W1455" s="658">
        <v>413</v>
      </c>
      <c r="X1455" s="547" t="s">
        <v>1532</v>
      </c>
      <c r="Y1455" s="547" t="s">
        <v>7190</v>
      </c>
      <c r="Z1455" s="547"/>
      <c r="AA1455" s="547" t="s">
        <v>7194</v>
      </c>
      <c r="AB1455" s="550" t="s">
        <v>1587</v>
      </c>
    </row>
    <row r="1456" spans="1:28" ht="24" customHeight="1">
      <c r="A1456" s="606"/>
      <c r="B1456" s="544" t="s">
        <v>7024</v>
      </c>
      <c r="C1456" s="551" t="s">
        <v>7264</v>
      </c>
      <c r="D1456" s="553" t="s">
        <v>7265</v>
      </c>
      <c r="E1456" s="563">
        <f t="shared" si="111"/>
        <v>39</v>
      </c>
      <c r="F1456" s="563">
        <v>0</v>
      </c>
      <c r="G1456" s="563">
        <v>39</v>
      </c>
      <c r="H1456" s="563">
        <v>0</v>
      </c>
      <c r="I1456" s="563">
        <f t="shared" si="110"/>
        <v>36</v>
      </c>
      <c r="J1456" s="563">
        <v>0</v>
      </c>
      <c r="K1456" s="563">
        <v>36</v>
      </c>
      <c r="L1456" s="741">
        <v>0</v>
      </c>
      <c r="M1456" s="687">
        <f t="shared" si="112"/>
        <v>92.307692307692307</v>
      </c>
      <c r="N1456" s="563">
        <v>0</v>
      </c>
      <c r="O1456" s="755" t="s">
        <v>7203</v>
      </c>
      <c r="P1456" s="563" t="s">
        <v>1588</v>
      </c>
      <c r="Q1456" s="689">
        <v>0</v>
      </c>
      <c r="R1456" s="689">
        <v>0</v>
      </c>
      <c r="S1456" s="689">
        <v>0</v>
      </c>
      <c r="T1456" s="689">
        <v>0</v>
      </c>
      <c r="U1456" s="547" t="s">
        <v>7180</v>
      </c>
      <c r="V1456" s="565">
        <v>1998.4</v>
      </c>
      <c r="W1456" s="658">
        <v>541</v>
      </c>
      <c r="X1456" s="547" t="s">
        <v>1532</v>
      </c>
      <c r="Y1456" s="547" t="s">
        <v>7190</v>
      </c>
      <c r="Z1456" s="547"/>
      <c r="AA1456" s="547" t="s">
        <v>7266</v>
      </c>
      <c r="AB1456" s="550" t="s">
        <v>1587</v>
      </c>
    </row>
    <row r="1457" spans="1:28" ht="24" customHeight="1">
      <c r="A1457" s="606"/>
      <c r="B1457" s="544" t="s">
        <v>7024</v>
      </c>
      <c r="C1457" s="551" t="s">
        <v>7267</v>
      </c>
      <c r="D1457" s="553" t="s">
        <v>7268</v>
      </c>
      <c r="E1457" s="563">
        <f t="shared" si="111"/>
        <v>40</v>
      </c>
      <c r="F1457" s="563">
        <v>0</v>
      </c>
      <c r="G1457" s="563">
        <v>40</v>
      </c>
      <c r="H1457" s="563">
        <v>0</v>
      </c>
      <c r="I1457" s="563">
        <f t="shared" si="110"/>
        <v>35</v>
      </c>
      <c r="J1457" s="563">
        <v>0</v>
      </c>
      <c r="K1457" s="563">
        <v>35</v>
      </c>
      <c r="L1457" s="741">
        <v>0</v>
      </c>
      <c r="M1457" s="687">
        <f t="shared" si="112"/>
        <v>87.5</v>
      </c>
      <c r="N1457" s="563">
        <v>0</v>
      </c>
      <c r="O1457" s="755" t="s">
        <v>7269</v>
      </c>
      <c r="P1457" s="563" t="s">
        <v>1588</v>
      </c>
      <c r="Q1457" s="689">
        <v>0</v>
      </c>
      <c r="R1457" s="689">
        <v>0</v>
      </c>
      <c r="S1457" s="689">
        <v>0</v>
      </c>
      <c r="T1457" s="689">
        <v>0</v>
      </c>
      <c r="U1457" s="547" t="s">
        <v>7180</v>
      </c>
      <c r="V1457" s="565">
        <v>2004.3</v>
      </c>
      <c r="W1457" s="658">
        <v>200</v>
      </c>
      <c r="X1457" s="547" t="s">
        <v>1532</v>
      </c>
      <c r="Y1457" s="547" t="s">
        <v>7190</v>
      </c>
      <c r="Z1457" s="547"/>
      <c r="AA1457" s="547" t="s">
        <v>7194</v>
      </c>
      <c r="AB1457" s="550" t="s">
        <v>1587</v>
      </c>
    </row>
    <row r="1458" spans="1:28" ht="24" customHeight="1">
      <c r="A1458" s="605" t="s">
        <v>1725</v>
      </c>
      <c r="B1458" s="544" t="s">
        <v>2201</v>
      </c>
      <c r="C1458" s="551" t="s">
        <v>2435</v>
      </c>
      <c r="D1458" s="553" t="s">
        <v>7270</v>
      </c>
      <c r="E1458" s="563">
        <f t="shared" ref="E1458:E1479" si="113">SUM(F1458:H1458)</f>
        <v>4500</v>
      </c>
      <c r="F1458" s="563">
        <v>0</v>
      </c>
      <c r="G1458" s="563">
        <v>4500</v>
      </c>
      <c r="H1458" s="563">
        <v>0</v>
      </c>
      <c r="I1458" s="563">
        <f>J1458+K1458+L1458</f>
        <v>2414</v>
      </c>
      <c r="J1458" s="563">
        <v>0</v>
      </c>
      <c r="K1458" s="563">
        <v>2414</v>
      </c>
      <c r="L1458" s="741">
        <v>0</v>
      </c>
      <c r="M1458" s="687">
        <f>I1458/G1458*100</f>
        <v>53.644444444444439</v>
      </c>
      <c r="N1458" s="659">
        <v>13379</v>
      </c>
      <c r="O1458" s="746" t="s">
        <v>7271</v>
      </c>
      <c r="P1458" s="547" t="s">
        <v>1588</v>
      </c>
      <c r="Q1458" s="689">
        <v>0</v>
      </c>
      <c r="R1458" s="689">
        <v>31</v>
      </c>
      <c r="S1458" s="689">
        <v>0</v>
      </c>
      <c r="T1458" s="689">
        <v>0</v>
      </c>
      <c r="U1458" s="547" t="s">
        <v>7272</v>
      </c>
      <c r="V1458" s="547" t="s">
        <v>7273</v>
      </c>
      <c r="W1458" s="658">
        <v>10745</v>
      </c>
      <c r="X1458" s="547" t="s">
        <v>1532</v>
      </c>
      <c r="Y1458" s="547" t="s">
        <v>4034</v>
      </c>
      <c r="Z1458" s="547" t="s">
        <v>1726</v>
      </c>
      <c r="AA1458" s="547" t="s">
        <v>1591</v>
      </c>
      <c r="AB1458" s="550" t="s">
        <v>1591</v>
      </c>
    </row>
    <row r="1459" spans="1:28" ht="24" customHeight="1">
      <c r="A1459" s="606"/>
      <c r="B1459" s="544" t="s">
        <v>2201</v>
      </c>
      <c r="C1459" s="551" t="s">
        <v>487</v>
      </c>
      <c r="D1459" s="553" t="s">
        <v>7274</v>
      </c>
      <c r="E1459" s="563">
        <f t="shared" si="113"/>
        <v>3000</v>
      </c>
      <c r="F1459" s="563">
        <v>0</v>
      </c>
      <c r="G1459" s="563">
        <v>3000</v>
      </c>
      <c r="H1459" s="563">
        <v>0</v>
      </c>
      <c r="I1459" s="563">
        <f t="shared" ref="I1459:I1479" si="114">J1459+K1459+L1459</f>
        <v>1664</v>
      </c>
      <c r="J1459" s="563">
        <v>0</v>
      </c>
      <c r="K1459" s="563">
        <v>1664</v>
      </c>
      <c r="L1459" s="741">
        <v>0</v>
      </c>
      <c r="M1459" s="687">
        <f t="shared" ref="M1459:M1479" si="115">I1459/G1459*100</f>
        <v>55.466666666666661</v>
      </c>
      <c r="N1459" s="659">
        <v>12126</v>
      </c>
      <c r="O1459" s="746" t="s">
        <v>7271</v>
      </c>
      <c r="P1459" s="547" t="s">
        <v>1588</v>
      </c>
      <c r="Q1459" s="689">
        <v>0</v>
      </c>
      <c r="R1459" s="689">
        <v>0</v>
      </c>
      <c r="S1459" s="689">
        <v>0</v>
      </c>
      <c r="T1459" s="689">
        <v>0</v>
      </c>
      <c r="U1459" s="547" t="s">
        <v>7275</v>
      </c>
      <c r="V1459" s="547" t="s">
        <v>2163</v>
      </c>
      <c r="W1459" s="658">
        <v>9183</v>
      </c>
      <c r="X1459" s="547" t="s">
        <v>1532</v>
      </c>
      <c r="Y1459" s="547" t="s">
        <v>4034</v>
      </c>
      <c r="Z1459" s="547" t="s">
        <v>1727</v>
      </c>
      <c r="AA1459" s="547" t="s">
        <v>1591</v>
      </c>
      <c r="AB1459" s="550" t="s">
        <v>1591</v>
      </c>
    </row>
    <row r="1460" spans="1:28" ht="24" customHeight="1">
      <c r="A1460" s="606"/>
      <c r="B1460" s="544" t="s">
        <v>675</v>
      </c>
      <c r="C1460" s="551" t="s">
        <v>7276</v>
      </c>
      <c r="D1460" s="553" t="s">
        <v>7277</v>
      </c>
      <c r="E1460" s="563">
        <f t="shared" si="113"/>
        <v>60</v>
      </c>
      <c r="F1460" s="563">
        <v>0</v>
      </c>
      <c r="G1460" s="563">
        <v>60</v>
      </c>
      <c r="H1460" s="563">
        <v>0</v>
      </c>
      <c r="I1460" s="563">
        <f t="shared" si="114"/>
        <v>60</v>
      </c>
      <c r="J1460" s="563">
        <v>0</v>
      </c>
      <c r="K1460" s="563">
        <v>60</v>
      </c>
      <c r="L1460" s="741">
        <v>0</v>
      </c>
      <c r="M1460" s="687">
        <f t="shared" si="115"/>
        <v>100</v>
      </c>
      <c r="N1460" s="659">
        <v>366.6</v>
      </c>
      <c r="O1460" s="746" t="s">
        <v>1249</v>
      </c>
      <c r="P1460" s="547" t="s">
        <v>1588</v>
      </c>
      <c r="Q1460" s="689">
        <v>0</v>
      </c>
      <c r="R1460" s="689">
        <v>0</v>
      </c>
      <c r="S1460" s="689">
        <v>0</v>
      </c>
      <c r="T1460" s="689">
        <v>0</v>
      </c>
      <c r="U1460" s="547" t="s">
        <v>7272</v>
      </c>
      <c r="V1460" s="547" t="s">
        <v>6330</v>
      </c>
      <c r="W1460" s="658">
        <v>345</v>
      </c>
      <c r="X1460" s="547" t="s">
        <v>1532</v>
      </c>
      <c r="Y1460" s="547" t="s">
        <v>3566</v>
      </c>
      <c r="Z1460" s="547"/>
      <c r="AA1460" s="547" t="s">
        <v>1591</v>
      </c>
      <c r="AB1460" s="550" t="s">
        <v>1591</v>
      </c>
    </row>
    <row r="1461" spans="1:28" ht="24" customHeight="1">
      <c r="A1461" s="606"/>
      <c r="B1461" s="544" t="s">
        <v>675</v>
      </c>
      <c r="C1461" s="551" t="s">
        <v>7278</v>
      </c>
      <c r="D1461" s="553" t="s">
        <v>7279</v>
      </c>
      <c r="E1461" s="563">
        <f t="shared" si="113"/>
        <v>46</v>
      </c>
      <c r="F1461" s="563">
        <v>0</v>
      </c>
      <c r="G1461" s="563">
        <v>46</v>
      </c>
      <c r="H1461" s="563">
        <v>0</v>
      </c>
      <c r="I1461" s="563">
        <f t="shared" si="114"/>
        <v>46</v>
      </c>
      <c r="J1461" s="563">
        <v>0</v>
      </c>
      <c r="K1461" s="563">
        <v>46</v>
      </c>
      <c r="L1461" s="741">
        <v>0</v>
      </c>
      <c r="M1461" s="687">
        <f t="shared" si="115"/>
        <v>100</v>
      </c>
      <c r="N1461" s="659">
        <v>135.69999999999999</v>
      </c>
      <c r="O1461" s="746" t="s">
        <v>5089</v>
      </c>
      <c r="P1461" s="547" t="s">
        <v>1588</v>
      </c>
      <c r="Q1461" s="689">
        <v>0</v>
      </c>
      <c r="R1461" s="689">
        <v>0</v>
      </c>
      <c r="S1461" s="689">
        <v>0</v>
      </c>
      <c r="T1461" s="689">
        <v>0</v>
      </c>
      <c r="U1461" s="547" t="s">
        <v>7272</v>
      </c>
      <c r="V1461" s="547" t="s">
        <v>7280</v>
      </c>
      <c r="W1461" s="658">
        <v>296</v>
      </c>
      <c r="X1461" s="547" t="s">
        <v>1532</v>
      </c>
      <c r="Y1461" s="547"/>
      <c r="Z1461" s="547"/>
      <c r="AA1461" s="547" t="s">
        <v>1591</v>
      </c>
      <c r="AB1461" s="550" t="s">
        <v>1591</v>
      </c>
    </row>
    <row r="1462" spans="1:28" ht="24" customHeight="1">
      <c r="A1462" s="606"/>
      <c r="B1462" s="544" t="s">
        <v>675</v>
      </c>
      <c r="C1462" s="551" t="s">
        <v>7281</v>
      </c>
      <c r="D1462" s="553" t="s">
        <v>7282</v>
      </c>
      <c r="E1462" s="563">
        <f t="shared" si="113"/>
        <v>25</v>
      </c>
      <c r="F1462" s="563">
        <v>0</v>
      </c>
      <c r="G1462" s="563">
        <v>25</v>
      </c>
      <c r="H1462" s="563">
        <v>0</v>
      </c>
      <c r="I1462" s="563">
        <f t="shared" si="114"/>
        <v>25</v>
      </c>
      <c r="J1462" s="563">
        <v>0</v>
      </c>
      <c r="K1462" s="563">
        <v>25</v>
      </c>
      <c r="L1462" s="741">
        <v>0</v>
      </c>
      <c r="M1462" s="687">
        <f t="shared" si="115"/>
        <v>100</v>
      </c>
      <c r="N1462" s="659">
        <v>121</v>
      </c>
      <c r="O1462" s="746" t="s">
        <v>6587</v>
      </c>
      <c r="P1462" s="547" t="s">
        <v>1588</v>
      </c>
      <c r="Q1462" s="689">
        <v>0</v>
      </c>
      <c r="R1462" s="689">
        <v>0</v>
      </c>
      <c r="S1462" s="689">
        <v>0</v>
      </c>
      <c r="T1462" s="689">
        <v>0</v>
      </c>
      <c r="U1462" s="547" t="s">
        <v>7272</v>
      </c>
      <c r="V1462" s="547" t="s">
        <v>7283</v>
      </c>
      <c r="W1462" s="658">
        <v>201</v>
      </c>
      <c r="X1462" s="547" t="s">
        <v>1532</v>
      </c>
      <c r="Y1462" s="547"/>
      <c r="Z1462" s="547"/>
      <c r="AA1462" s="547" t="s">
        <v>1591</v>
      </c>
      <c r="AB1462" s="550" t="s">
        <v>1591</v>
      </c>
    </row>
    <row r="1463" spans="1:28" ht="24" customHeight="1">
      <c r="A1463" s="606"/>
      <c r="B1463" s="544" t="s">
        <v>675</v>
      </c>
      <c r="C1463" s="551" t="s">
        <v>7284</v>
      </c>
      <c r="D1463" s="553" t="s">
        <v>7285</v>
      </c>
      <c r="E1463" s="563">
        <f t="shared" si="113"/>
        <v>40</v>
      </c>
      <c r="F1463" s="563">
        <v>0</v>
      </c>
      <c r="G1463" s="563">
        <v>40</v>
      </c>
      <c r="H1463" s="563">
        <v>0</v>
      </c>
      <c r="I1463" s="563">
        <f t="shared" si="114"/>
        <v>40</v>
      </c>
      <c r="J1463" s="563">
        <v>0</v>
      </c>
      <c r="K1463" s="563">
        <v>40</v>
      </c>
      <c r="L1463" s="741">
        <v>0</v>
      </c>
      <c r="M1463" s="687">
        <f t="shared" si="115"/>
        <v>100</v>
      </c>
      <c r="N1463" s="659">
        <v>0</v>
      </c>
      <c r="O1463" s="746" t="s">
        <v>7286</v>
      </c>
      <c r="P1463" s="547" t="s">
        <v>7286</v>
      </c>
      <c r="Q1463" s="689">
        <v>0</v>
      </c>
      <c r="R1463" s="689">
        <v>0</v>
      </c>
      <c r="S1463" s="689">
        <v>0</v>
      </c>
      <c r="T1463" s="689">
        <v>0</v>
      </c>
      <c r="U1463" s="547" t="s">
        <v>7272</v>
      </c>
      <c r="V1463" s="547" t="s">
        <v>7287</v>
      </c>
      <c r="W1463" s="658">
        <v>604</v>
      </c>
      <c r="X1463" s="547" t="s">
        <v>1532</v>
      </c>
      <c r="Y1463" s="547"/>
      <c r="Z1463" s="547"/>
      <c r="AA1463" s="547" t="s">
        <v>1591</v>
      </c>
      <c r="AB1463" s="550" t="s">
        <v>1591</v>
      </c>
    </row>
    <row r="1464" spans="1:28" ht="24" customHeight="1">
      <c r="A1464" s="606"/>
      <c r="B1464" s="544" t="s">
        <v>675</v>
      </c>
      <c r="C1464" s="551" t="s">
        <v>7288</v>
      </c>
      <c r="D1464" s="553" t="s">
        <v>7289</v>
      </c>
      <c r="E1464" s="563">
        <f t="shared" si="113"/>
        <v>40</v>
      </c>
      <c r="F1464" s="563">
        <v>0</v>
      </c>
      <c r="G1464" s="563">
        <v>40</v>
      </c>
      <c r="H1464" s="563">
        <v>0</v>
      </c>
      <c r="I1464" s="563">
        <f t="shared" si="114"/>
        <v>39</v>
      </c>
      <c r="J1464" s="563">
        <v>0</v>
      </c>
      <c r="K1464" s="563">
        <v>39</v>
      </c>
      <c r="L1464" s="741">
        <v>0</v>
      </c>
      <c r="M1464" s="687">
        <f t="shared" si="115"/>
        <v>97.5</v>
      </c>
      <c r="N1464" s="659">
        <v>419</v>
      </c>
      <c r="O1464" s="746" t="s">
        <v>7290</v>
      </c>
      <c r="P1464" s="547" t="s">
        <v>1588</v>
      </c>
      <c r="Q1464" s="689">
        <v>0</v>
      </c>
      <c r="R1464" s="689">
        <v>0</v>
      </c>
      <c r="S1464" s="689">
        <v>0</v>
      </c>
      <c r="T1464" s="689">
        <v>0</v>
      </c>
      <c r="U1464" s="547" t="s">
        <v>7272</v>
      </c>
      <c r="V1464" s="547" t="s">
        <v>7291</v>
      </c>
      <c r="W1464" s="658">
        <v>268</v>
      </c>
      <c r="X1464" s="547" t="s">
        <v>1532</v>
      </c>
      <c r="Y1464" s="547"/>
      <c r="Z1464" s="547"/>
      <c r="AA1464" s="547" t="s">
        <v>1596</v>
      </c>
      <c r="AB1464" s="550" t="s">
        <v>1997</v>
      </c>
    </row>
    <row r="1465" spans="1:28" ht="24" customHeight="1">
      <c r="A1465" s="606"/>
      <c r="B1465" s="544" t="s">
        <v>675</v>
      </c>
      <c r="C1465" s="551" t="s">
        <v>7292</v>
      </c>
      <c r="D1465" s="553" t="s">
        <v>7293</v>
      </c>
      <c r="E1465" s="563">
        <f t="shared" si="113"/>
        <v>40</v>
      </c>
      <c r="F1465" s="563">
        <v>0</v>
      </c>
      <c r="G1465" s="563">
        <v>40</v>
      </c>
      <c r="H1465" s="563">
        <v>0</v>
      </c>
      <c r="I1465" s="563">
        <f t="shared" si="114"/>
        <v>40</v>
      </c>
      <c r="J1465" s="563">
        <v>0</v>
      </c>
      <c r="K1465" s="563">
        <v>40</v>
      </c>
      <c r="L1465" s="741">
        <v>0</v>
      </c>
      <c r="M1465" s="687">
        <f t="shared" si="115"/>
        <v>100</v>
      </c>
      <c r="N1465" s="659">
        <v>196</v>
      </c>
      <c r="O1465" s="746" t="s">
        <v>7294</v>
      </c>
      <c r="P1465" s="547" t="s">
        <v>1588</v>
      </c>
      <c r="Q1465" s="689">
        <v>0</v>
      </c>
      <c r="R1465" s="689">
        <v>0</v>
      </c>
      <c r="S1465" s="689">
        <v>0</v>
      </c>
      <c r="T1465" s="689">
        <v>0</v>
      </c>
      <c r="U1465" s="547" t="s">
        <v>7272</v>
      </c>
      <c r="V1465" s="547" t="s">
        <v>7295</v>
      </c>
      <c r="W1465" s="658">
        <v>290</v>
      </c>
      <c r="X1465" s="547" t="s">
        <v>1532</v>
      </c>
      <c r="Y1465" s="547"/>
      <c r="Z1465" s="547"/>
      <c r="AA1465" s="547" t="s">
        <v>1591</v>
      </c>
      <c r="AB1465" s="550" t="s">
        <v>1591</v>
      </c>
    </row>
    <row r="1466" spans="1:28" ht="24" customHeight="1">
      <c r="A1466" s="606"/>
      <c r="B1466" s="544" t="s">
        <v>675</v>
      </c>
      <c r="C1466" s="551" t="s">
        <v>7296</v>
      </c>
      <c r="D1466" s="553" t="s">
        <v>7297</v>
      </c>
      <c r="E1466" s="563">
        <f t="shared" si="113"/>
        <v>50</v>
      </c>
      <c r="F1466" s="563">
        <v>0</v>
      </c>
      <c r="G1466" s="563">
        <v>50</v>
      </c>
      <c r="H1466" s="563">
        <v>0</v>
      </c>
      <c r="I1466" s="563">
        <f t="shared" si="114"/>
        <v>50</v>
      </c>
      <c r="J1466" s="563">
        <v>0</v>
      </c>
      <c r="K1466" s="563">
        <v>50</v>
      </c>
      <c r="L1466" s="741">
        <v>0</v>
      </c>
      <c r="M1466" s="687">
        <f t="shared" si="115"/>
        <v>100</v>
      </c>
      <c r="N1466" s="659">
        <v>371.5</v>
      </c>
      <c r="O1466" s="746" t="s">
        <v>7298</v>
      </c>
      <c r="P1466" s="547" t="s">
        <v>1588</v>
      </c>
      <c r="Q1466" s="689">
        <v>0</v>
      </c>
      <c r="R1466" s="689">
        <v>0</v>
      </c>
      <c r="S1466" s="689">
        <v>0</v>
      </c>
      <c r="T1466" s="689">
        <v>0</v>
      </c>
      <c r="U1466" s="547" t="s">
        <v>7272</v>
      </c>
      <c r="V1466" s="547" t="s">
        <v>7299</v>
      </c>
      <c r="W1466" s="658">
        <v>410</v>
      </c>
      <c r="X1466" s="547" t="s">
        <v>1532</v>
      </c>
      <c r="Y1466" s="547" t="s">
        <v>1533</v>
      </c>
      <c r="Z1466" s="547"/>
      <c r="AA1466" s="547" t="s">
        <v>1591</v>
      </c>
      <c r="AB1466" s="550" t="s">
        <v>1591</v>
      </c>
    </row>
    <row r="1467" spans="1:28" ht="24" customHeight="1">
      <c r="A1467" s="606"/>
      <c r="B1467" s="544" t="s">
        <v>675</v>
      </c>
      <c r="C1467" s="551" t="s">
        <v>6665</v>
      </c>
      <c r="D1467" s="553" t="s">
        <v>7300</v>
      </c>
      <c r="E1467" s="563">
        <f t="shared" si="113"/>
        <v>30</v>
      </c>
      <c r="F1467" s="563">
        <v>0</v>
      </c>
      <c r="G1467" s="563">
        <v>30</v>
      </c>
      <c r="H1467" s="563">
        <v>0</v>
      </c>
      <c r="I1467" s="563">
        <f t="shared" si="114"/>
        <v>25.2</v>
      </c>
      <c r="J1467" s="563">
        <v>0</v>
      </c>
      <c r="K1467" s="563">
        <v>25.2</v>
      </c>
      <c r="L1467" s="741">
        <v>0</v>
      </c>
      <c r="M1467" s="687">
        <f t="shared" si="115"/>
        <v>84</v>
      </c>
      <c r="N1467" s="659">
        <v>98.7</v>
      </c>
      <c r="O1467" s="746" t="s">
        <v>7301</v>
      </c>
      <c r="P1467" s="547" t="s">
        <v>1588</v>
      </c>
      <c r="Q1467" s="689">
        <v>0</v>
      </c>
      <c r="R1467" s="689">
        <v>0</v>
      </c>
      <c r="S1467" s="689">
        <v>0</v>
      </c>
      <c r="T1467" s="689">
        <v>0</v>
      </c>
      <c r="U1467" s="547" t="s">
        <v>7272</v>
      </c>
      <c r="V1467" s="547" t="s">
        <v>7302</v>
      </c>
      <c r="W1467" s="658">
        <v>254</v>
      </c>
      <c r="X1467" s="547" t="s">
        <v>1532</v>
      </c>
      <c r="Y1467" s="547" t="s">
        <v>4034</v>
      </c>
      <c r="Z1467" s="547"/>
      <c r="AA1467" s="547" t="s">
        <v>1591</v>
      </c>
      <c r="AB1467" s="550" t="s">
        <v>1591</v>
      </c>
    </row>
    <row r="1468" spans="1:28" ht="24" customHeight="1">
      <c r="A1468" s="606"/>
      <c r="B1468" s="544" t="s">
        <v>675</v>
      </c>
      <c r="C1468" s="551" t="s">
        <v>7303</v>
      </c>
      <c r="D1468" s="553" t="s">
        <v>7304</v>
      </c>
      <c r="E1468" s="563">
        <f t="shared" si="113"/>
        <v>30</v>
      </c>
      <c r="F1468" s="563">
        <v>0</v>
      </c>
      <c r="G1468" s="563">
        <v>30</v>
      </c>
      <c r="H1468" s="563">
        <v>0</v>
      </c>
      <c r="I1468" s="563">
        <f t="shared" si="114"/>
        <v>30</v>
      </c>
      <c r="J1468" s="563">
        <v>0</v>
      </c>
      <c r="K1468" s="563">
        <v>30</v>
      </c>
      <c r="L1468" s="741">
        <v>0</v>
      </c>
      <c r="M1468" s="687">
        <f t="shared" si="115"/>
        <v>100</v>
      </c>
      <c r="N1468" s="659">
        <v>106.5</v>
      </c>
      <c r="O1468" s="746" t="s">
        <v>7290</v>
      </c>
      <c r="P1468" s="547" t="s">
        <v>1588</v>
      </c>
      <c r="Q1468" s="689">
        <v>0</v>
      </c>
      <c r="R1468" s="689">
        <v>0</v>
      </c>
      <c r="S1468" s="689">
        <v>0</v>
      </c>
      <c r="T1468" s="689">
        <v>0</v>
      </c>
      <c r="U1468" s="547" t="s">
        <v>7272</v>
      </c>
      <c r="V1468" s="547" t="s">
        <v>7291</v>
      </c>
      <c r="W1468" s="658">
        <v>251</v>
      </c>
      <c r="X1468" s="547" t="s">
        <v>1532</v>
      </c>
      <c r="Y1468" s="547"/>
      <c r="Z1468" s="547" t="s">
        <v>7305</v>
      </c>
      <c r="AA1468" s="547" t="s">
        <v>1596</v>
      </c>
      <c r="AB1468" s="550" t="s">
        <v>1997</v>
      </c>
    </row>
    <row r="1469" spans="1:28" ht="24" customHeight="1">
      <c r="A1469" s="606"/>
      <c r="B1469" s="544" t="s">
        <v>675</v>
      </c>
      <c r="C1469" s="551" t="s">
        <v>7306</v>
      </c>
      <c r="D1469" s="553" t="s">
        <v>7307</v>
      </c>
      <c r="E1469" s="563">
        <f t="shared" si="113"/>
        <v>30</v>
      </c>
      <c r="F1469" s="563">
        <v>0</v>
      </c>
      <c r="G1469" s="563">
        <v>30</v>
      </c>
      <c r="H1469" s="563">
        <v>0</v>
      </c>
      <c r="I1469" s="563">
        <f t="shared" si="114"/>
        <v>30</v>
      </c>
      <c r="J1469" s="563">
        <v>0</v>
      </c>
      <c r="K1469" s="563">
        <v>30</v>
      </c>
      <c r="L1469" s="741">
        <v>0</v>
      </c>
      <c r="M1469" s="687">
        <f t="shared" si="115"/>
        <v>100</v>
      </c>
      <c r="N1469" s="659">
        <v>147.6</v>
      </c>
      <c r="O1469" s="746" t="s">
        <v>7308</v>
      </c>
      <c r="P1469" s="547" t="s">
        <v>1588</v>
      </c>
      <c r="Q1469" s="689">
        <v>0</v>
      </c>
      <c r="R1469" s="689">
        <v>0</v>
      </c>
      <c r="S1469" s="689">
        <v>0</v>
      </c>
      <c r="T1469" s="689">
        <v>0</v>
      </c>
      <c r="U1469" s="547" t="s">
        <v>7272</v>
      </c>
      <c r="V1469" s="547" t="s">
        <v>7309</v>
      </c>
      <c r="W1469" s="658">
        <v>457</v>
      </c>
      <c r="X1469" s="547" t="s">
        <v>1532</v>
      </c>
      <c r="Y1469" s="547"/>
      <c r="Z1469" s="547"/>
      <c r="AA1469" s="547" t="s">
        <v>1596</v>
      </c>
      <c r="AB1469" s="550" t="s">
        <v>1997</v>
      </c>
    </row>
    <row r="1470" spans="1:28" ht="24" customHeight="1">
      <c r="A1470" s="606"/>
      <c r="B1470" s="544" t="s">
        <v>675</v>
      </c>
      <c r="C1470" s="551" t="s">
        <v>7310</v>
      </c>
      <c r="D1470" s="553" t="s">
        <v>7311</v>
      </c>
      <c r="E1470" s="563">
        <f t="shared" si="113"/>
        <v>80</v>
      </c>
      <c r="F1470" s="563">
        <v>0</v>
      </c>
      <c r="G1470" s="563">
        <v>80</v>
      </c>
      <c r="H1470" s="563">
        <v>0</v>
      </c>
      <c r="I1470" s="563">
        <f t="shared" si="114"/>
        <v>77.599999999999994</v>
      </c>
      <c r="J1470" s="563">
        <v>0</v>
      </c>
      <c r="K1470" s="563">
        <v>77.599999999999994</v>
      </c>
      <c r="L1470" s="741">
        <v>0</v>
      </c>
      <c r="M1470" s="687">
        <f t="shared" si="115"/>
        <v>97</v>
      </c>
      <c r="N1470" s="659">
        <v>577.29999999999995</v>
      </c>
      <c r="O1470" s="746" t="s">
        <v>7298</v>
      </c>
      <c r="P1470" s="547" t="s">
        <v>1588</v>
      </c>
      <c r="Q1470" s="689">
        <v>0</v>
      </c>
      <c r="R1470" s="689">
        <v>0</v>
      </c>
      <c r="S1470" s="689">
        <v>0</v>
      </c>
      <c r="T1470" s="689">
        <v>0</v>
      </c>
      <c r="U1470" s="547" t="s">
        <v>7272</v>
      </c>
      <c r="V1470" s="547" t="s">
        <v>7312</v>
      </c>
      <c r="W1470" s="658">
        <v>413</v>
      </c>
      <c r="X1470" s="547" t="s">
        <v>1532</v>
      </c>
      <c r="Y1470" s="547" t="s">
        <v>1533</v>
      </c>
      <c r="Z1470" s="547"/>
      <c r="AA1470" s="547" t="s">
        <v>1596</v>
      </c>
      <c r="AB1470" s="550" t="s">
        <v>1997</v>
      </c>
    </row>
    <row r="1471" spans="1:28" ht="24" customHeight="1">
      <c r="A1471" s="606"/>
      <c r="B1471" s="544" t="s">
        <v>675</v>
      </c>
      <c r="C1471" s="551" t="s">
        <v>7313</v>
      </c>
      <c r="D1471" s="553" t="s">
        <v>7314</v>
      </c>
      <c r="E1471" s="563">
        <f t="shared" si="113"/>
        <v>10</v>
      </c>
      <c r="F1471" s="563">
        <v>0</v>
      </c>
      <c r="G1471" s="563">
        <v>10</v>
      </c>
      <c r="H1471" s="563">
        <v>0</v>
      </c>
      <c r="I1471" s="563">
        <f t="shared" si="114"/>
        <v>10</v>
      </c>
      <c r="J1471" s="563">
        <v>0</v>
      </c>
      <c r="K1471" s="563">
        <v>10</v>
      </c>
      <c r="L1471" s="741">
        <v>0</v>
      </c>
      <c r="M1471" s="687">
        <f t="shared" si="115"/>
        <v>100</v>
      </c>
      <c r="N1471" s="659">
        <v>78.3</v>
      </c>
      <c r="O1471" s="746" t="s">
        <v>7315</v>
      </c>
      <c r="P1471" s="547" t="s">
        <v>1588</v>
      </c>
      <c r="Q1471" s="689">
        <v>0</v>
      </c>
      <c r="R1471" s="689">
        <v>0</v>
      </c>
      <c r="S1471" s="689">
        <v>0</v>
      </c>
      <c r="T1471" s="689">
        <v>0</v>
      </c>
      <c r="U1471" s="547" t="s">
        <v>7272</v>
      </c>
      <c r="V1471" s="547" t="s">
        <v>7316</v>
      </c>
      <c r="W1471" s="658">
        <v>98</v>
      </c>
      <c r="X1471" s="547" t="s">
        <v>1532</v>
      </c>
      <c r="Y1471" s="547"/>
      <c r="Z1471" s="547"/>
      <c r="AA1471" s="547" t="s">
        <v>1596</v>
      </c>
      <c r="AB1471" s="550" t="s">
        <v>1997</v>
      </c>
    </row>
    <row r="1472" spans="1:28" ht="24" customHeight="1">
      <c r="A1472" s="606"/>
      <c r="B1472" s="544" t="s">
        <v>675</v>
      </c>
      <c r="C1472" s="551" t="s">
        <v>7317</v>
      </c>
      <c r="D1472" s="553" t="s">
        <v>4178</v>
      </c>
      <c r="E1472" s="563">
        <f t="shared" si="113"/>
        <v>45</v>
      </c>
      <c r="F1472" s="563">
        <v>0</v>
      </c>
      <c r="G1472" s="563">
        <v>45</v>
      </c>
      <c r="H1472" s="563">
        <v>0</v>
      </c>
      <c r="I1472" s="563">
        <f t="shared" si="114"/>
        <v>45</v>
      </c>
      <c r="J1472" s="563">
        <v>0</v>
      </c>
      <c r="K1472" s="563">
        <v>45</v>
      </c>
      <c r="L1472" s="741">
        <v>0</v>
      </c>
      <c r="M1472" s="687">
        <f t="shared" si="115"/>
        <v>100</v>
      </c>
      <c r="N1472" s="659">
        <v>207.5</v>
      </c>
      <c r="O1472" s="746" t="s">
        <v>7315</v>
      </c>
      <c r="P1472" s="547" t="s">
        <v>1588</v>
      </c>
      <c r="Q1472" s="689">
        <v>0</v>
      </c>
      <c r="R1472" s="689">
        <v>0</v>
      </c>
      <c r="S1472" s="689">
        <v>0</v>
      </c>
      <c r="T1472" s="689">
        <v>0</v>
      </c>
      <c r="U1472" s="547" t="s">
        <v>7272</v>
      </c>
      <c r="V1472" s="547" t="s">
        <v>7316</v>
      </c>
      <c r="W1472" s="658">
        <v>385</v>
      </c>
      <c r="X1472" s="547" t="s">
        <v>1532</v>
      </c>
      <c r="Y1472" s="547"/>
      <c r="Z1472" s="547"/>
      <c r="AA1472" s="547" t="s">
        <v>1596</v>
      </c>
      <c r="AB1472" s="550" t="s">
        <v>1997</v>
      </c>
    </row>
    <row r="1473" spans="1:28" ht="24" customHeight="1">
      <c r="A1473" s="606"/>
      <c r="B1473" s="544" t="s">
        <v>675</v>
      </c>
      <c r="C1473" s="551" t="s">
        <v>2039</v>
      </c>
      <c r="D1473" s="553" t="s">
        <v>4179</v>
      </c>
      <c r="E1473" s="563">
        <f t="shared" si="113"/>
        <v>45</v>
      </c>
      <c r="F1473" s="563">
        <v>0</v>
      </c>
      <c r="G1473" s="563">
        <v>45</v>
      </c>
      <c r="H1473" s="563">
        <v>0</v>
      </c>
      <c r="I1473" s="563">
        <f t="shared" si="114"/>
        <v>45</v>
      </c>
      <c r="J1473" s="563">
        <v>0</v>
      </c>
      <c r="K1473" s="563">
        <v>45</v>
      </c>
      <c r="L1473" s="741">
        <v>0</v>
      </c>
      <c r="M1473" s="687">
        <f t="shared" si="115"/>
        <v>100</v>
      </c>
      <c r="N1473" s="659">
        <v>342.5</v>
      </c>
      <c r="O1473" s="746" t="s">
        <v>3014</v>
      </c>
      <c r="P1473" s="547" t="s">
        <v>1588</v>
      </c>
      <c r="Q1473" s="689">
        <v>0</v>
      </c>
      <c r="R1473" s="689">
        <v>0</v>
      </c>
      <c r="S1473" s="689">
        <v>0</v>
      </c>
      <c r="T1473" s="689">
        <v>0</v>
      </c>
      <c r="U1473" s="547" t="s">
        <v>7272</v>
      </c>
      <c r="V1473" s="547" t="s">
        <v>4180</v>
      </c>
      <c r="W1473" s="658">
        <v>402</v>
      </c>
      <c r="X1473" s="547" t="s">
        <v>1532</v>
      </c>
      <c r="Y1473" s="547"/>
      <c r="Z1473" s="547"/>
      <c r="AA1473" s="547" t="s">
        <v>1596</v>
      </c>
      <c r="AB1473" s="550" t="s">
        <v>1997</v>
      </c>
    </row>
    <row r="1474" spans="1:28" ht="24" customHeight="1">
      <c r="A1474" s="606"/>
      <c r="B1474" s="544" t="s">
        <v>675</v>
      </c>
      <c r="C1474" s="551" t="s">
        <v>2045</v>
      </c>
      <c r="D1474" s="553" t="s">
        <v>4181</v>
      </c>
      <c r="E1474" s="563">
        <f t="shared" si="113"/>
        <v>80</v>
      </c>
      <c r="F1474" s="563">
        <v>0</v>
      </c>
      <c r="G1474" s="563">
        <v>80</v>
      </c>
      <c r="H1474" s="563">
        <v>0</v>
      </c>
      <c r="I1474" s="563">
        <f t="shared" si="114"/>
        <v>80</v>
      </c>
      <c r="J1474" s="563">
        <v>0</v>
      </c>
      <c r="K1474" s="563">
        <v>80</v>
      </c>
      <c r="L1474" s="741">
        <v>0</v>
      </c>
      <c r="M1474" s="687">
        <f t="shared" si="115"/>
        <v>100</v>
      </c>
      <c r="N1474" s="659">
        <v>358.4</v>
      </c>
      <c r="O1474" s="746" t="s">
        <v>4182</v>
      </c>
      <c r="P1474" s="547" t="s">
        <v>1588</v>
      </c>
      <c r="Q1474" s="689">
        <v>0</v>
      </c>
      <c r="R1474" s="689">
        <v>0</v>
      </c>
      <c r="S1474" s="689">
        <v>0</v>
      </c>
      <c r="T1474" s="689">
        <v>0</v>
      </c>
      <c r="U1474" s="547" t="s">
        <v>7272</v>
      </c>
      <c r="V1474" s="547" t="s">
        <v>4183</v>
      </c>
      <c r="W1474" s="658">
        <v>424</v>
      </c>
      <c r="X1474" s="547" t="s">
        <v>1532</v>
      </c>
      <c r="Y1474" s="547" t="s">
        <v>4184</v>
      </c>
      <c r="Z1474" s="547"/>
      <c r="AA1474" s="547" t="s">
        <v>1596</v>
      </c>
      <c r="AB1474" s="550" t="s">
        <v>1997</v>
      </c>
    </row>
    <row r="1475" spans="1:28" ht="24" customHeight="1">
      <c r="A1475" s="606"/>
      <c r="B1475" s="544" t="s">
        <v>675</v>
      </c>
      <c r="C1475" s="551" t="s">
        <v>5394</v>
      </c>
      <c r="D1475" s="553" t="s">
        <v>4185</v>
      </c>
      <c r="E1475" s="563">
        <f t="shared" si="113"/>
        <v>20</v>
      </c>
      <c r="F1475" s="563">
        <v>0</v>
      </c>
      <c r="G1475" s="563">
        <v>20</v>
      </c>
      <c r="H1475" s="563">
        <v>0</v>
      </c>
      <c r="I1475" s="563">
        <f t="shared" si="114"/>
        <v>20</v>
      </c>
      <c r="J1475" s="563">
        <v>0</v>
      </c>
      <c r="K1475" s="563">
        <v>20</v>
      </c>
      <c r="L1475" s="741">
        <v>0</v>
      </c>
      <c r="M1475" s="687">
        <f t="shared" si="115"/>
        <v>100</v>
      </c>
      <c r="N1475" s="659">
        <v>37.799999999999997</v>
      </c>
      <c r="O1475" s="746" t="s">
        <v>4186</v>
      </c>
      <c r="P1475" s="547" t="s">
        <v>1588</v>
      </c>
      <c r="Q1475" s="689">
        <v>0</v>
      </c>
      <c r="R1475" s="689">
        <v>0</v>
      </c>
      <c r="S1475" s="689">
        <v>0</v>
      </c>
      <c r="T1475" s="689">
        <v>0</v>
      </c>
      <c r="U1475" s="547" t="s">
        <v>7272</v>
      </c>
      <c r="V1475" s="547" t="s">
        <v>4187</v>
      </c>
      <c r="W1475" s="658">
        <v>229</v>
      </c>
      <c r="X1475" s="547" t="s">
        <v>1532</v>
      </c>
      <c r="Y1475" s="547"/>
      <c r="Z1475" s="547"/>
      <c r="AA1475" s="547" t="s">
        <v>1596</v>
      </c>
      <c r="AB1475" s="550" t="s">
        <v>1997</v>
      </c>
    </row>
    <row r="1476" spans="1:28" ht="24" customHeight="1">
      <c r="A1476" s="606"/>
      <c r="B1476" s="544" t="s">
        <v>675</v>
      </c>
      <c r="C1476" s="551" t="s">
        <v>4188</v>
      </c>
      <c r="D1476" s="553" t="s">
        <v>4189</v>
      </c>
      <c r="E1476" s="563">
        <f t="shared" si="113"/>
        <v>20</v>
      </c>
      <c r="F1476" s="563">
        <v>0</v>
      </c>
      <c r="G1476" s="563">
        <v>20</v>
      </c>
      <c r="H1476" s="563">
        <v>0</v>
      </c>
      <c r="I1476" s="563">
        <f t="shared" si="114"/>
        <v>20</v>
      </c>
      <c r="J1476" s="563">
        <v>0</v>
      </c>
      <c r="K1476" s="563">
        <v>20</v>
      </c>
      <c r="L1476" s="741">
        <v>0</v>
      </c>
      <c r="M1476" s="687">
        <f t="shared" si="115"/>
        <v>100</v>
      </c>
      <c r="N1476" s="659">
        <v>86.8</v>
      </c>
      <c r="O1476" s="746" t="s">
        <v>4186</v>
      </c>
      <c r="P1476" s="547" t="s">
        <v>1588</v>
      </c>
      <c r="Q1476" s="689">
        <v>0</v>
      </c>
      <c r="R1476" s="689">
        <v>0</v>
      </c>
      <c r="S1476" s="689">
        <v>0</v>
      </c>
      <c r="T1476" s="689">
        <v>0</v>
      </c>
      <c r="U1476" s="547" t="s">
        <v>7272</v>
      </c>
      <c r="V1476" s="547" t="s">
        <v>4190</v>
      </c>
      <c r="W1476" s="658">
        <v>308</v>
      </c>
      <c r="X1476" s="547" t="s">
        <v>1532</v>
      </c>
      <c r="Y1476" s="547"/>
      <c r="Z1476" s="547"/>
      <c r="AA1476" s="547" t="s">
        <v>1596</v>
      </c>
      <c r="AB1476" s="550" t="s">
        <v>1997</v>
      </c>
    </row>
    <row r="1477" spans="1:28" ht="24" customHeight="1">
      <c r="A1477" s="606"/>
      <c r="B1477" s="544" t="s">
        <v>675</v>
      </c>
      <c r="C1477" s="551" t="s">
        <v>4191</v>
      </c>
      <c r="D1477" s="553" t="s">
        <v>4192</v>
      </c>
      <c r="E1477" s="563">
        <f t="shared" si="113"/>
        <v>30</v>
      </c>
      <c r="F1477" s="563">
        <v>0</v>
      </c>
      <c r="G1477" s="563">
        <v>30</v>
      </c>
      <c r="H1477" s="563">
        <v>0</v>
      </c>
      <c r="I1477" s="563">
        <f t="shared" si="114"/>
        <v>30</v>
      </c>
      <c r="J1477" s="563">
        <v>0</v>
      </c>
      <c r="K1477" s="563">
        <v>30</v>
      </c>
      <c r="L1477" s="741">
        <v>0</v>
      </c>
      <c r="M1477" s="687">
        <f t="shared" si="115"/>
        <v>100</v>
      </c>
      <c r="N1477" s="659">
        <v>0</v>
      </c>
      <c r="O1477" s="746" t="s">
        <v>7286</v>
      </c>
      <c r="P1477" s="547" t="s">
        <v>7286</v>
      </c>
      <c r="Q1477" s="689">
        <v>0</v>
      </c>
      <c r="R1477" s="689">
        <v>0</v>
      </c>
      <c r="S1477" s="689">
        <v>0</v>
      </c>
      <c r="T1477" s="689">
        <v>0</v>
      </c>
      <c r="U1477" s="547" t="s">
        <v>7272</v>
      </c>
      <c r="V1477" s="547" t="s">
        <v>7287</v>
      </c>
      <c r="W1477" s="658">
        <v>515</v>
      </c>
      <c r="X1477" s="547" t="s">
        <v>1532</v>
      </c>
      <c r="Y1477" s="547"/>
      <c r="Z1477" s="547"/>
      <c r="AA1477" s="547" t="s">
        <v>1596</v>
      </c>
      <c r="AB1477" s="550" t="s">
        <v>1997</v>
      </c>
    </row>
    <row r="1478" spans="1:28" ht="24" customHeight="1">
      <c r="A1478" s="606"/>
      <c r="B1478" s="544" t="s">
        <v>675</v>
      </c>
      <c r="C1478" s="551" t="s">
        <v>4193</v>
      </c>
      <c r="D1478" s="553" t="s">
        <v>4194</v>
      </c>
      <c r="E1478" s="563">
        <f t="shared" si="113"/>
        <v>39</v>
      </c>
      <c r="F1478" s="563">
        <v>0</v>
      </c>
      <c r="G1478" s="563">
        <v>39</v>
      </c>
      <c r="H1478" s="563">
        <v>0</v>
      </c>
      <c r="I1478" s="563">
        <f t="shared" si="114"/>
        <v>32</v>
      </c>
      <c r="J1478" s="563">
        <v>0</v>
      </c>
      <c r="K1478" s="563">
        <v>32</v>
      </c>
      <c r="L1478" s="741">
        <v>0</v>
      </c>
      <c r="M1478" s="687">
        <f t="shared" si="115"/>
        <v>82.051282051282044</v>
      </c>
      <c r="N1478" s="659">
        <v>131.6</v>
      </c>
      <c r="O1478" s="746" t="s">
        <v>5089</v>
      </c>
      <c r="P1478" s="547" t="s">
        <v>1588</v>
      </c>
      <c r="Q1478" s="689">
        <v>0</v>
      </c>
      <c r="R1478" s="689">
        <v>0</v>
      </c>
      <c r="S1478" s="689">
        <v>0</v>
      </c>
      <c r="T1478" s="689">
        <v>0</v>
      </c>
      <c r="U1478" s="547" t="s">
        <v>7272</v>
      </c>
      <c r="V1478" s="547" t="s">
        <v>4195</v>
      </c>
      <c r="W1478" s="658">
        <v>334</v>
      </c>
      <c r="X1478" s="547" t="s">
        <v>1532</v>
      </c>
      <c r="Y1478" s="547"/>
      <c r="Z1478" s="547"/>
      <c r="AA1478" s="547" t="s">
        <v>1596</v>
      </c>
      <c r="AB1478" s="550" t="s">
        <v>1997</v>
      </c>
    </row>
    <row r="1479" spans="1:28" ht="24" customHeight="1">
      <c r="A1479" s="606"/>
      <c r="B1479" s="544" t="s">
        <v>675</v>
      </c>
      <c r="C1479" s="551" t="s">
        <v>4196</v>
      </c>
      <c r="D1479" s="553" t="s">
        <v>4197</v>
      </c>
      <c r="E1479" s="563">
        <f t="shared" si="113"/>
        <v>30</v>
      </c>
      <c r="F1479" s="563">
        <v>0</v>
      </c>
      <c r="G1479" s="563">
        <v>30</v>
      </c>
      <c r="H1479" s="563">
        <v>0</v>
      </c>
      <c r="I1479" s="563">
        <f t="shared" si="114"/>
        <v>27.91</v>
      </c>
      <c r="J1479" s="563">
        <v>0</v>
      </c>
      <c r="K1479" s="563">
        <v>27.91</v>
      </c>
      <c r="L1479" s="741">
        <v>0</v>
      </c>
      <c r="M1479" s="687">
        <f t="shared" si="115"/>
        <v>93.033333333333331</v>
      </c>
      <c r="N1479" s="659">
        <v>85.7</v>
      </c>
      <c r="O1479" s="746" t="s">
        <v>6980</v>
      </c>
      <c r="P1479" s="547" t="s">
        <v>1588</v>
      </c>
      <c r="Q1479" s="689">
        <v>0</v>
      </c>
      <c r="R1479" s="689">
        <v>0</v>
      </c>
      <c r="S1479" s="689">
        <v>0</v>
      </c>
      <c r="T1479" s="689">
        <v>0</v>
      </c>
      <c r="U1479" s="547" t="s">
        <v>7272</v>
      </c>
      <c r="V1479" s="547" t="s">
        <v>4187</v>
      </c>
      <c r="W1479" s="658">
        <v>196</v>
      </c>
      <c r="X1479" s="547" t="s">
        <v>1532</v>
      </c>
      <c r="Y1479" s="547"/>
      <c r="Z1479" s="547"/>
      <c r="AA1479" s="547" t="s">
        <v>1596</v>
      </c>
      <c r="AB1479" s="550" t="s">
        <v>1997</v>
      </c>
    </row>
    <row r="1480" spans="1:28" ht="24" customHeight="1">
      <c r="A1480" s="605" t="s">
        <v>1728</v>
      </c>
      <c r="B1480" s="544" t="s">
        <v>2201</v>
      </c>
      <c r="C1480" s="551" t="s">
        <v>2436</v>
      </c>
      <c r="D1480" s="553" t="s">
        <v>4198</v>
      </c>
      <c r="E1480" s="563">
        <v>9000</v>
      </c>
      <c r="F1480" s="563">
        <v>0</v>
      </c>
      <c r="G1480" s="563">
        <v>9000</v>
      </c>
      <c r="H1480" s="563">
        <v>0</v>
      </c>
      <c r="I1480" s="563">
        <v>5642</v>
      </c>
      <c r="J1480" s="563">
        <v>0</v>
      </c>
      <c r="K1480" s="563">
        <v>5642</v>
      </c>
      <c r="L1480" s="741">
        <v>0</v>
      </c>
      <c r="M1480" s="687">
        <v>62.77</v>
      </c>
      <c r="N1480" s="563">
        <v>25222.6</v>
      </c>
      <c r="O1480" s="746" t="s">
        <v>3714</v>
      </c>
      <c r="P1480" s="547" t="s">
        <v>1588</v>
      </c>
      <c r="Q1480" s="689">
        <v>16</v>
      </c>
      <c r="R1480" s="689">
        <v>185</v>
      </c>
      <c r="S1480" s="689">
        <v>0</v>
      </c>
      <c r="T1480" s="689">
        <v>0</v>
      </c>
      <c r="U1480" s="547" t="s">
        <v>2369</v>
      </c>
      <c r="V1480" s="548" t="s">
        <v>4199</v>
      </c>
      <c r="W1480" s="658">
        <v>26152</v>
      </c>
      <c r="X1480" s="547" t="s">
        <v>1532</v>
      </c>
      <c r="Y1480" s="547" t="s">
        <v>1588</v>
      </c>
      <c r="Z1480" s="547" t="s">
        <v>1729</v>
      </c>
      <c r="AA1480" s="547" t="s">
        <v>1591</v>
      </c>
      <c r="AB1480" s="550" t="s">
        <v>4200</v>
      </c>
    </row>
    <row r="1481" spans="1:28" ht="24" customHeight="1">
      <c r="A1481" s="606"/>
      <c r="B1481" s="544" t="s">
        <v>675</v>
      </c>
      <c r="C1481" s="551" t="s">
        <v>4201</v>
      </c>
      <c r="D1481" s="553" t="s">
        <v>4202</v>
      </c>
      <c r="E1481" s="563">
        <v>25</v>
      </c>
      <c r="F1481" s="563">
        <v>0</v>
      </c>
      <c r="G1481" s="563">
        <f>SUM(E1481)</f>
        <v>25</v>
      </c>
      <c r="H1481" s="563">
        <v>0</v>
      </c>
      <c r="I1481" s="563">
        <f t="shared" ref="I1481:I1499" si="116">J1481+K1481+L1481</f>
        <v>24</v>
      </c>
      <c r="J1481" s="563">
        <v>0</v>
      </c>
      <c r="K1481" s="563">
        <v>24</v>
      </c>
      <c r="L1481" s="741">
        <v>0</v>
      </c>
      <c r="M1481" s="687">
        <f>K1481/E1481*100</f>
        <v>96</v>
      </c>
      <c r="N1481" s="563">
        <v>0</v>
      </c>
      <c r="O1481" s="746" t="s">
        <v>4203</v>
      </c>
      <c r="P1481" s="547" t="s">
        <v>1588</v>
      </c>
      <c r="Q1481" s="689">
        <v>0</v>
      </c>
      <c r="R1481" s="689">
        <v>0</v>
      </c>
      <c r="S1481" s="689">
        <v>0</v>
      </c>
      <c r="T1481" s="689">
        <v>0</v>
      </c>
      <c r="U1481" s="547" t="s">
        <v>7487</v>
      </c>
      <c r="V1481" s="547" t="s">
        <v>4204</v>
      </c>
      <c r="W1481" s="658">
        <v>200</v>
      </c>
      <c r="X1481" s="547" t="s">
        <v>2193</v>
      </c>
      <c r="Y1481" s="547" t="s">
        <v>4205</v>
      </c>
      <c r="Z1481" s="547" t="s">
        <v>1730</v>
      </c>
      <c r="AA1481" s="547" t="s">
        <v>1591</v>
      </c>
      <c r="AB1481" s="550" t="s">
        <v>1591</v>
      </c>
    </row>
    <row r="1482" spans="1:28" ht="24" customHeight="1">
      <c r="A1482" s="606"/>
      <c r="B1482" s="544" t="s">
        <v>675</v>
      </c>
      <c r="C1482" s="551" t="s">
        <v>4206</v>
      </c>
      <c r="D1482" s="553" t="s">
        <v>4207</v>
      </c>
      <c r="E1482" s="563">
        <v>30</v>
      </c>
      <c r="F1482" s="563">
        <v>0</v>
      </c>
      <c r="G1482" s="563">
        <f t="shared" ref="G1482:G1499" si="117">SUM(E1482)</f>
        <v>30</v>
      </c>
      <c r="H1482" s="563">
        <v>0</v>
      </c>
      <c r="I1482" s="563">
        <f t="shared" si="116"/>
        <v>28</v>
      </c>
      <c r="J1482" s="563">
        <v>0</v>
      </c>
      <c r="K1482" s="563">
        <v>28</v>
      </c>
      <c r="L1482" s="741">
        <v>0</v>
      </c>
      <c r="M1482" s="687">
        <f t="shared" ref="M1482:M1499" si="118">K1482/E1482*100</f>
        <v>93.333333333333329</v>
      </c>
      <c r="N1482" s="563">
        <v>0</v>
      </c>
      <c r="O1482" s="746" t="s">
        <v>4208</v>
      </c>
      <c r="P1482" s="547" t="s">
        <v>1588</v>
      </c>
      <c r="Q1482" s="689">
        <v>0</v>
      </c>
      <c r="R1482" s="689">
        <v>0</v>
      </c>
      <c r="S1482" s="689">
        <v>0</v>
      </c>
      <c r="T1482" s="689">
        <v>0</v>
      </c>
      <c r="U1482" s="547" t="s">
        <v>7487</v>
      </c>
      <c r="V1482" s="547" t="s">
        <v>4209</v>
      </c>
      <c r="W1482" s="658">
        <v>229</v>
      </c>
      <c r="X1482" s="547" t="s">
        <v>2193</v>
      </c>
      <c r="Y1482" s="547" t="s">
        <v>4205</v>
      </c>
      <c r="Z1482" s="547" t="s">
        <v>1730</v>
      </c>
      <c r="AA1482" s="547" t="s">
        <v>1591</v>
      </c>
      <c r="AB1482" s="550" t="s">
        <v>1591</v>
      </c>
    </row>
    <row r="1483" spans="1:28" ht="24" customHeight="1">
      <c r="A1483" s="606"/>
      <c r="B1483" s="544" t="s">
        <v>675</v>
      </c>
      <c r="C1483" s="551" t="s">
        <v>4210</v>
      </c>
      <c r="D1483" s="553" t="s">
        <v>4211</v>
      </c>
      <c r="E1483" s="563">
        <v>100</v>
      </c>
      <c r="F1483" s="563">
        <v>0</v>
      </c>
      <c r="G1483" s="563">
        <f t="shared" si="117"/>
        <v>100</v>
      </c>
      <c r="H1483" s="563">
        <v>0</v>
      </c>
      <c r="I1483" s="563">
        <f t="shared" si="116"/>
        <v>75</v>
      </c>
      <c r="J1483" s="563">
        <v>0</v>
      </c>
      <c r="K1483" s="563">
        <v>75</v>
      </c>
      <c r="L1483" s="741">
        <v>0</v>
      </c>
      <c r="M1483" s="687">
        <f t="shared" si="118"/>
        <v>75</v>
      </c>
      <c r="N1483" s="563">
        <v>0</v>
      </c>
      <c r="O1483" s="746" t="s">
        <v>4212</v>
      </c>
      <c r="P1483" s="547" t="s">
        <v>1588</v>
      </c>
      <c r="Q1483" s="689">
        <v>0</v>
      </c>
      <c r="R1483" s="689">
        <v>0</v>
      </c>
      <c r="S1483" s="689">
        <v>0</v>
      </c>
      <c r="T1483" s="689">
        <v>0</v>
      </c>
      <c r="U1483" s="547" t="s">
        <v>7487</v>
      </c>
      <c r="V1483" s="547" t="s">
        <v>4213</v>
      </c>
      <c r="W1483" s="658">
        <v>507</v>
      </c>
      <c r="X1483" s="547" t="s">
        <v>2193</v>
      </c>
      <c r="Y1483" s="547" t="s">
        <v>4205</v>
      </c>
      <c r="Z1483" s="547" t="s">
        <v>1730</v>
      </c>
      <c r="AA1483" s="547" t="s">
        <v>1591</v>
      </c>
      <c r="AB1483" s="550" t="s">
        <v>1591</v>
      </c>
    </row>
    <row r="1484" spans="1:28" ht="24" customHeight="1">
      <c r="A1484" s="606"/>
      <c r="B1484" s="544" t="s">
        <v>675</v>
      </c>
      <c r="C1484" s="551" t="s">
        <v>4214</v>
      </c>
      <c r="D1484" s="553" t="s">
        <v>4215</v>
      </c>
      <c r="E1484" s="563">
        <v>30</v>
      </c>
      <c r="F1484" s="563">
        <v>0</v>
      </c>
      <c r="G1484" s="563">
        <f t="shared" si="117"/>
        <v>30</v>
      </c>
      <c r="H1484" s="563">
        <v>0</v>
      </c>
      <c r="I1484" s="563">
        <f t="shared" si="116"/>
        <v>29</v>
      </c>
      <c r="J1484" s="563">
        <v>0</v>
      </c>
      <c r="K1484" s="563">
        <v>29</v>
      </c>
      <c r="L1484" s="741">
        <v>0</v>
      </c>
      <c r="M1484" s="687">
        <f t="shared" si="118"/>
        <v>96.666666666666671</v>
      </c>
      <c r="N1484" s="563">
        <v>0</v>
      </c>
      <c r="O1484" s="746" t="s">
        <v>4216</v>
      </c>
      <c r="P1484" s="547" t="s">
        <v>1588</v>
      </c>
      <c r="Q1484" s="689">
        <v>0</v>
      </c>
      <c r="R1484" s="689">
        <v>0</v>
      </c>
      <c r="S1484" s="689">
        <v>0</v>
      </c>
      <c r="T1484" s="689">
        <v>0</v>
      </c>
      <c r="U1484" s="547" t="s">
        <v>7487</v>
      </c>
      <c r="V1484" s="547" t="s">
        <v>5311</v>
      </c>
      <c r="W1484" s="658">
        <v>350</v>
      </c>
      <c r="X1484" s="547" t="s">
        <v>2193</v>
      </c>
      <c r="Y1484" s="547" t="s">
        <v>4205</v>
      </c>
      <c r="Z1484" s="547" t="s">
        <v>1729</v>
      </c>
      <c r="AA1484" s="547" t="s">
        <v>1591</v>
      </c>
      <c r="AB1484" s="550" t="s">
        <v>1591</v>
      </c>
    </row>
    <row r="1485" spans="1:28" ht="24" customHeight="1">
      <c r="A1485" s="606"/>
      <c r="B1485" s="544" t="s">
        <v>675</v>
      </c>
      <c r="C1485" s="551" t="s">
        <v>4217</v>
      </c>
      <c r="D1485" s="553" t="s">
        <v>4218</v>
      </c>
      <c r="E1485" s="563">
        <v>25</v>
      </c>
      <c r="F1485" s="563">
        <v>0</v>
      </c>
      <c r="G1485" s="563">
        <f t="shared" si="117"/>
        <v>25</v>
      </c>
      <c r="H1485" s="563">
        <v>0</v>
      </c>
      <c r="I1485" s="563">
        <f t="shared" si="116"/>
        <v>19</v>
      </c>
      <c r="J1485" s="563">
        <v>0</v>
      </c>
      <c r="K1485" s="563">
        <v>19</v>
      </c>
      <c r="L1485" s="741">
        <v>0</v>
      </c>
      <c r="M1485" s="687">
        <f t="shared" si="118"/>
        <v>76</v>
      </c>
      <c r="N1485" s="563">
        <v>0</v>
      </c>
      <c r="O1485" s="746" t="s">
        <v>4219</v>
      </c>
      <c r="P1485" s="547" t="s">
        <v>1588</v>
      </c>
      <c r="Q1485" s="689">
        <v>0</v>
      </c>
      <c r="R1485" s="689">
        <v>0</v>
      </c>
      <c r="S1485" s="689">
        <v>0</v>
      </c>
      <c r="T1485" s="689">
        <v>0</v>
      </c>
      <c r="U1485" s="547" t="s">
        <v>7487</v>
      </c>
      <c r="V1485" s="547" t="s">
        <v>4220</v>
      </c>
      <c r="W1485" s="658">
        <v>190</v>
      </c>
      <c r="X1485" s="547" t="s">
        <v>2193</v>
      </c>
      <c r="Y1485" s="547" t="s">
        <v>4205</v>
      </c>
      <c r="Z1485" s="547" t="s">
        <v>1729</v>
      </c>
      <c r="AA1485" s="547" t="s">
        <v>1591</v>
      </c>
      <c r="AB1485" s="550" t="s">
        <v>1591</v>
      </c>
    </row>
    <row r="1486" spans="1:28" ht="24" customHeight="1">
      <c r="A1486" s="606"/>
      <c r="B1486" s="544" t="s">
        <v>675</v>
      </c>
      <c r="C1486" s="551" t="s">
        <v>4221</v>
      </c>
      <c r="D1486" s="553" t="s">
        <v>4222</v>
      </c>
      <c r="E1486" s="563">
        <v>50</v>
      </c>
      <c r="F1486" s="563">
        <v>0</v>
      </c>
      <c r="G1486" s="563">
        <f t="shared" si="117"/>
        <v>50</v>
      </c>
      <c r="H1486" s="563">
        <v>0</v>
      </c>
      <c r="I1486" s="563">
        <f t="shared" si="116"/>
        <v>46</v>
      </c>
      <c r="J1486" s="563">
        <v>0</v>
      </c>
      <c r="K1486" s="563">
        <v>46</v>
      </c>
      <c r="L1486" s="741">
        <v>0</v>
      </c>
      <c r="M1486" s="687">
        <f t="shared" si="118"/>
        <v>92</v>
      </c>
      <c r="N1486" s="563">
        <v>0</v>
      </c>
      <c r="O1486" s="746" t="s">
        <v>4223</v>
      </c>
      <c r="P1486" s="547" t="s">
        <v>1588</v>
      </c>
      <c r="Q1486" s="689">
        <v>0</v>
      </c>
      <c r="R1486" s="689">
        <v>0</v>
      </c>
      <c r="S1486" s="689">
        <v>0</v>
      </c>
      <c r="T1486" s="689">
        <v>0</v>
      </c>
      <c r="U1486" s="547" t="s">
        <v>7487</v>
      </c>
      <c r="V1486" s="547" t="s">
        <v>4224</v>
      </c>
      <c r="W1486" s="658">
        <v>280</v>
      </c>
      <c r="X1486" s="547" t="s">
        <v>2193</v>
      </c>
      <c r="Y1486" s="547" t="s">
        <v>4205</v>
      </c>
      <c r="Z1486" s="547" t="s">
        <v>1729</v>
      </c>
      <c r="AA1486" s="547" t="s">
        <v>1591</v>
      </c>
      <c r="AB1486" s="550" t="s">
        <v>1591</v>
      </c>
    </row>
    <row r="1487" spans="1:28" ht="24" customHeight="1">
      <c r="A1487" s="606"/>
      <c r="B1487" s="544" t="s">
        <v>675</v>
      </c>
      <c r="C1487" s="551" t="s">
        <v>4225</v>
      </c>
      <c r="D1487" s="553" t="s">
        <v>4226</v>
      </c>
      <c r="E1487" s="563">
        <v>50</v>
      </c>
      <c r="F1487" s="563">
        <v>0</v>
      </c>
      <c r="G1487" s="563">
        <f t="shared" si="117"/>
        <v>50</v>
      </c>
      <c r="H1487" s="563">
        <v>0</v>
      </c>
      <c r="I1487" s="563">
        <f t="shared" si="116"/>
        <v>46</v>
      </c>
      <c r="J1487" s="563">
        <v>0</v>
      </c>
      <c r="K1487" s="563">
        <v>46</v>
      </c>
      <c r="L1487" s="741">
        <v>0</v>
      </c>
      <c r="M1487" s="687">
        <f t="shared" si="118"/>
        <v>92</v>
      </c>
      <c r="N1487" s="563">
        <v>0</v>
      </c>
      <c r="O1487" s="746" t="s">
        <v>4223</v>
      </c>
      <c r="P1487" s="547" t="s">
        <v>1588</v>
      </c>
      <c r="Q1487" s="689">
        <v>0</v>
      </c>
      <c r="R1487" s="689">
        <v>0</v>
      </c>
      <c r="S1487" s="689">
        <v>0</v>
      </c>
      <c r="T1487" s="689">
        <v>0</v>
      </c>
      <c r="U1487" s="547" t="s">
        <v>7487</v>
      </c>
      <c r="V1487" s="547" t="s">
        <v>4224</v>
      </c>
      <c r="W1487" s="658">
        <v>392</v>
      </c>
      <c r="X1487" s="547" t="s">
        <v>2193</v>
      </c>
      <c r="Y1487" s="547" t="s">
        <v>4205</v>
      </c>
      <c r="Z1487" s="547" t="s">
        <v>1729</v>
      </c>
      <c r="AA1487" s="547" t="s">
        <v>1591</v>
      </c>
      <c r="AB1487" s="550" t="s">
        <v>1591</v>
      </c>
    </row>
    <row r="1488" spans="1:28" ht="24" customHeight="1">
      <c r="A1488" s="606"/>
      <c r="B1488" s="544" t="s">
        <v>675</v>
      </c>
      <c r="C1488" s="551" t="s">
        <v>4227</v>
      </c>
      <c r="D1488" s="553" t="s">
        <v>4228</v>
      </c>
      <c r="E1488" s="563">
        <v>30</v>
      </c>
      <c r="F1488" s="563">
        <v>0</v>
      </c>
      <c r="G1488" s="563">
        <f t="shared" si="117"/>
        <v>30</v>
      </c>
      <c r="H1488" s="563">
        <v>0</v>
      </c>
      <c r="I1488" s="563">
        <f t="shared" si="116"/>
        <v>24</v>
      </c>
      <c r="J1488" s="563">
        <v>0</v>
      </c>
      <c r="K1488" s="563">
        <v>24</v>
      </c>
      <c r="L1488" s="741">
        <v>0</v>
      </c>
      <c r="M1488" s="687">
        <f t="shared" si="118"/>
        <v>80</v>
      </c>
      <c r="N1488" s="563">
        <v>0</v>
      </c>
      <c r="O1488" s="746" t="s">
        <v>4229</v>
      </c>
      <c r="P1488" s="547" t="s">
        <v>1588</v>
      </c>
      <c r="Q1488" s="689">
        <v>0</v>
      </c>
      <c r="R1488" s="689">
        <v>0</v>
      </c>
      <c r="S1488" s="689">
        <v>0</v>
      </c>
      <c r="T1488" s="689">
        <v>0</v>
      </c>
      <c r="U1488" s="547" t="s">
        <v>7487</v>
      </c>
      <c r="V1488" s="547" t="s">
        <v>4230</v>
      </c>
      <c r="W1488" s="658">
        <v>270</v>
      </c>
      <c r="X1488" s="547" t="s">
        <v>2193</v>
      </c>
      <c r="Y1488" s="547" t="s">
        <v>4205</v>
      </c>
      <c r="Z1488" s="547" t="s">
        <v>1729</v>
      </c>
      <c r="AA1488" s="547" t="s">
        <v>1591</v>
      </c>
      <c r="AB1488" s="550" t="s">
        <v>1591</v>
      </c>
    </row>
    <row r="1489" spans="1:28" ht="24" customHeight="1">
      <c r="A1489" s="606"/>
      <c r="B1489" s="544" t="s">
        <v>675</v>
      </c>
      <c r="C1489" s="551" t="s">
        <v>4231</v>
      </c>
      <c r="D1489" s="553" t="s">
        <v>4232</v>
      </c>
      <c r="E1489" s="563">
        <v>20</v>
      </c>
      <c r="F1489" s="563">
        <v>0</v>
      </c>
      <c r="G1489" s="563">
        <f t="shared" si="117"/>
        <v>20</v>
      </c>
      <c r="H1489" s="563">
        <v>0</v>
      </c>
      <c r="I1489" s="563">
        <f t="shared" si="116"/>
        <v>14</v>
      </c>
      <c r="J1489" s="563">
        <v>0</v>
      </c>
      <c r="K1489" s="563">
        <v>14</v>
      </c>
      <c r="L1489" s="741">
        <v>0</v>
      </c>
      <c r="M1489" s="687">
        <f t="shared" si="118"/>
        <v>70</v>
      </c>
      <c r="N1489" s="563">
        <v>0</v>
      </c>
      <c r="O1489" s="746" t="s">
        <v>4233</v>
      </c>
      <c r="P1489" s="547" t="s">
        <v>1588</v>
      </c>
      <c r="Q1489" s="689">
        <v>0</v>
      </c>
      <c r="R1489" s="689">
        <v>0</v>
      </c>
      <c r="S1489" s="689">
        <v>0</v>
      </c>
      <c r="T1489" s="689">
        <v>0</v>
      </c>
      <c r="U1489" s="547" t="s">
        <v>7487</v>
      </c>
      <c r="V1489" s="547" t="s">
        <v>4234</v>
      </c>
      <c r="W1489" s="658">
        <v>210</v>
      </c>
      <c r="X1489" s="547" t="s">
        <v>2193</v>
      </c>
      <c r="Y1489" s="547" t="s">
        <v>4205</v>
      </c>
      <c r="Z1489" s="547" t="s">
        <v>1729</v>
      </c>
      <c r="AA1489" s="547" t="s">
        <v>1591</v>
      </c>
      <c r="AB1489" s="550" t="s">
        <v>1591</v>
      </c>
    </row>
    <row r="1490" spans="1:28" ht="24" customHeight="1">
      <c r="A1490" s="606"/>
      <c r="B1490" s="544" t="s">
        <v>675</v>
      </c>
      <c r="C1490" s="551" t="s">
        <v>4235</v>
      </c>
      <c r="D1490" s="553" t="s">
        <v>4236</v>
      </c>
      <c r="E1490" s="563">
        <v>30</v>
      </c>
      <c r="F1490" s="563">
        <v>0</v>
      </c>
      <c r="G1490" s="563">
        <f t="shared" si="117"/>
        <v>30</v>
      </c>
      <c r="H1490" s="563">
        <v>0</v>
      </c>
      <c r="I1490" s="563">
        <f t="shared" si="116"/>
        <v>23</v>
      </c>
      <c r="J1490" s="563">
        <v>0</v>
      </c>
      <c r="K1490" s="563">
        <v>23</v>
      </c>
      <c r="L1490" s="741">
        <v>0</v>
      </c>
      <c r="M1490" s="687">
        <f t="shared" si="118"/>
        <v>76.666666666666671</v>
      </c>
      <c r="N1490" s="563">
        <v>0</v>
      </c>
      <c r="O1490" s="746" t="s">
        <v>4237</v>
      </c>
      <c r="P1490" s="547" t="s">
        <v>1588</v>
      </c>
      <c r="Q1490" s="689">
        <v>0</v>
      </c>
      <c r="R1490" s="689">
        <v>0</v>
      </c>
      <c r="S1490" s="689">
        <v>0</v>
      </c>
      <c r="T1490" s="689">
        <v>0</v>
      </c>
      <c r="U1490" s="547" t="s">
        <v>7487</v>
      </c>
      <c r="V1490" s="547" t="s">
        <v>4238</v>
      </c>
      <c r="W1490" s="658">
        <v>274</v>
      </c>
      <c r="X1490" s="547" t="s">
        <v>2193</v>
      </c>
      <c r="Y1490" s="547" t="s">
        <v>4205</v>
      </c>
      <c r="Z1490" s="547" t="s">
        <v>1729</v>
      </c>
      <c r="AA1490" s="547" t="s">
        <v>1591</v>
      </c>
      <c r="AB1490" s="550" t="s">
        <v>1591</v>
      </c>
    </row>
    <row r="1491" spans="1:28" ht="24" customHeight="1">
      <c r="A1491" s="606"/>
      <c r="B1491" s="544" t="s">
        <v>675</v>
      </c>
      <c r="C1491" s="551" t="s">
        <v>4239</v>
      </c>
      <c r="D1491" s="553" t="s">
        <v>4240</v>
      </c>
      <c r="E1491" s="563">
        <v>30</v>
      </c>
      <c r="F1491" s="563">
        <v>0</v>
      </c>
      <c r="G1491" s="563">
        <f t="shared" si="117"/>
        <v>30</v>
      </c>
      <c r="H1491" s="563">
        <v>0</v>
      </c>
      <c r="I1491" s="563">
        <f t="shared" si="116"/>
        <v>25</v>
      </c>
      <c r="J1491" s="563">
        <v>0</v>
      </c>
      <c r="K1491" s="563">
        <v>25</v>
      </c>
      <c r="L1491" s="741">
        <v>0</v>
      </c>
      <c r="M1491" s="687">
        <f t="shared" si="118"/>
        <v>83.333333333333343</v>
      </c>
      <c r="N1491" s="563">
        <v>0</v>
      </c>
      <c r="O1491" s="746" t="s">
        <v>4241</v>
      </c>
      <c r="P1491" s="547" t="s">
        <v>1588</v>
      </c>
      <c r="Q1491" s="689">
        <v>0</v>
      </c>
      <c r="R1491" s="689">
        <v>0</v>
      </c>
      <c r="S1491" s="689">
        <v>0</v>
      </c>
      <c r="T1491" s="689">
        <v>0</v>
      </c>
      <c r="U1491" s="547" t="s">
        <v>7487</v>
      </c>
      <c r="V1491" s="547" t="s">
        <v>4242</v>
      </c>
      <c r="W1491" s="658">
        <v>287</v>
      </c>
      <c r="X1491" s="547" t="s">
        <v>2193</v>
      </c>
      <c r="Y1491" s="547" t="s">
        <v>4205</v>
      </c>
      <c r="Z1491" s="547" t="s">
        <v>1729</v>
      </c>
      <c r="AA1491" s="547" t="s">
        <v>1591</v>
      </c>
      <c r="AB1491" s="550" t="s">
        <v>1591</v>
      </c>
    </row>
    <row r="1492" spans="1:28" ht="24" customHeight="1">
      <c r="A1492" s="606"/>
      <c r="B1492" s="544" t="s">
        <v>675</v>
      </c>
      <c r="C1492" s="551" t="s">
        <v>4243</v>
      </c>
      <c r="D1492" s="553" t="s">
        <v>4244</v>
      </c>
      <c r="E1492" s="563">
        <v>20</v>
      </c>
      <c r="F1492" s="563">
        <v>0</v>
      </c>
      <c r="G1492" s="563">
        <f t="shared" si="117"/>
        <v>20</v>
      </c>
      <c r="H1492" s="563">
        <v>0</v>
      </c>
      <c r="I1492" s="563">
        <f t="shared" si="116"/>
        <v>15</v>
      </c>
      <c r="J1492" s="563">
        <v>0</v>
      </c>
      <c r="K1492" s="563">
        <v>15</v>
      </c>
      <c r="L1492" s="741">
        <v>0</v>
      </c>
      <c r="M1492" s="687">
        <f t="shared" si="118"/>
        <v>75</v>
      </c>
      <c r="N1492" s="563">
        <v>0</v>
      </c>
      <c r="O1492" s="746" t="s">
        <v>4237</v>
      </c>
      <c r="P1492" s="547" t="s">
        <v>1588</v>
      </c>
      <c r="Q1492" s="689">
        <v>0</v>
      </c>
      <c r="R1492" s="689">
        <v>0</v>
      </c>
      <c r="S1492" s="689">
        <v>0</v>
      </c>
      <c r="T1492" s="689">
        <v>0</v>
      </c>
      <c r="U1492" s="547" t="s">
        <v>7487</v>
      </c>
      <c r="V1492" s="547" t="s">
        <v>4238</v>
      </c>
      <c r="W1492" s="658">
        <v>431</v>
      </c>
      <c r="X1492" s="547" t="s">
        <v>2193</v>
      </c>
      <c r="Y1492" s="547" t="s">
        <v>4205</v>
      </c>
      <c r="Z1492" s="547" t="s">
        <v>1729</v>
      </c>
      <c r="AA1492" s="547" t="s">
        <v>1591</v>
      </c>
      <c r="AB1492" s="550" t="s">
        <v>1591</v>
      </c>
    </row>
    <row r="1493" spans="1:28" ht="24" customHeight="1">
      <c r="A1493" s="606"/>
      <c r="B1493" s="544" t="s">
        <v>675</v>
      </c>
      <c r="C1493" s="551" t="s">
        <v>4245</v>
      </c>
      <c r="D1493" s="553" t="s">
        <v>4246</v>
      </c>
      <c r="E1493" s="563">
        <v>20</v>
      </c>
      <c r="F1493" s="563">
        <v>0</v>
      </c>
      <c r="G1493" s="563">
        <f t="shared" si="117"/>
        <v>20</v>
      </c>
      <c r="H1493" s="563">
        <v>0</v>
      </c>
      <c r="I1493" s="563">
        <f t="shared" si="116"/>
        <v>16</v>
      </c>
      <c r="J1493" s="563">
        <v>0</v>
      </c>
      <c r="K1493" s="563">
        <v>16</v>
      </c>
      <c r="L1493" s="741">
        <v>0</v>
      </c>
      <c r="M1493" s="687">
        <f t="shared" si="118"/>
        <v>80</v>
      </c>
      <c r="N1493" s="563">
        <v>0</v>
      </c>
      <c r="O1493" s="746" t="s">
        <v>4237</v>
      </c>
      <c r="P1493" s="547" t="s">
        <v>1588</v>
      </c>
      <c r="Q1493" s="689">
        <v>0</v>
      </c>
      <c r="R1493" s="689">
        <v>0</v>
      </c>
      <c r="S1493" s="689">
        <v>0</v>
      </c>
      <c r="T1493" s="689">
        <v>0</v>
      </c>
      <c r="U1493" s="547" t="s">
        <v>7487</v>
      </c>
      <c r="V1493" s="547" t="s">
        <v>2234</v>
      </c>
      <c r="W1493" s="658">
        <v>316</v>
      </c>
      <c r="X1493" s="547" t="s">
        <v>2193</v>
      </c>
      <c r="Y1493" s="547" t="s">
        <v>4205</v>
      </c>
      <c r="Z1493" s="547" t="s">
        <v>1729</v>
      </c>
      <c r="AA1493" s="547" t="s">
        <v>1591</v>
      </c>
      <c r="AB1493" s="550" t="s">
        <v>1591</v>
      </c>
    </row>
    <row r="1494" spans="1:28" ht="24" customHeight="1">
      <c r="A1494" s="606"/>
      <c r="B1494" s="544" t="s">
        <v>675</v>
      </c>
      <c r="C1494" s="551" t="s">
        <v>4247</v>
      </c>
      <c r="D1494" s="553" t="s">
        <v>4248</v>
      </c>
      <c r="E1494" s="563">
        <v>55</v>
      </c>
      <c r="F1494" s="563">
        <v>0</v>
      </c>
      <c r="G1494" s="563">
        <f t="shared" si="117"/>
        <v>55</v>
      </c>
      <c r="H1494" s="563">
        <v>0</v>
      </c>
      <c r="I1494" s="563">
        <f t="shared" si="116"/>
        <v>43</v>
      </c>
      <c r="J1494" s="563">
        <v>0</v>
      </c>
      <c r="K1494" s="563">
        <v>43</v>
      </c>
      <c r="L1494" s="741">
        <v>0</v>
      </c>
      <c r="M1494" s="687">
        <f t="shared" si="118"/>
        <v>78.181818181818187</v>
      </c>
      <c r="N1494" s="563">
        <v>0</v>
      </c>
      <c r="O1494" s="746" t="s">
        <v>4241</v>
      </c>
      <c r="P1494" s="547" t="s">
        <v>1588</v>
      </c>
      <c r="Q1494" s="689">
        <v>0</v>
      </c>
      <c r="R1494" s="689">
        <v>0</v>
      </c>
      <c r="S1494" s="689">
        <v>0</v>
      </c>
      <c r="T1494" s="689">
        <v>0</v>
      </c>
      <c r="U1494" s="547" t="s">
        <v>7487</v>
      </c>
      <c r="V1494" s="547" t="s">
        <v>4249</v>
      </c>
      <c r="W1494" s="658">
        <v>720</v>
      </c>
      <c r="X1494" s="547" t="s">
        <v>2193</v>
      </c>
      <c r="Y1494" s="547" t="s">
        <v>4205</v>
      </c>
      <c r="Z1494" s="547" t="s">
        <v>1587</v>
      </c>
      <c r="AA1494" s="547" t="s">
        <v>1587</v>
      </c>
      <c r="AB1494" s="550" t="s">
        <v>1587</v>
      </c>
    </row>
    <row r="1495" spans="1:28" ht="24" customHeight="1">
      <c r="A1495" s="606"/>
      <c r="B1495" s="544" t="s">
        <v>675</v>
      </c>
      <c r="C1495" s="551" t="s">
        <v>4250</v>
      </c>
      <c r="D1495" s="553" t="s">
        <v>4251</v>
      </c>
      <c r="E1495" s="563">
        <v>80</v>
      </c>
      <c r="F1495" s="563">
        <v>0</v>
      </c>
      <c r="G1495" s="563">
        <f t="shared" si="117"/>
        <v>80</v>
      </c>
      <c r="H1495" s="563">
        <v>0</v>
      </c>
      <c r="I1495" s="563">
        <f t="shared" si="116"/>
        <v>56</v>
      </c>
      <c r="J1495" s="563">
        <v>0</v>
      </c>
      <c r="K1495" s="563">
        <v>56</v>
      </c>
      <c r="L1495" s="741">
        <v>0</v>
      </c>
      <c r="M1495" s="687">
        <f t="shared" si="118"/>
        <v>70</v>
      </c>
      <c r="N1495" s="563">
        <v>0</v>
      </c>
      <c r="O1495" s="746" t="s">
        <v>4212</v>
      </c>
      <c r="P1495" s="547" t="s">
        <v>1588</v>
      </c>
      <c r="Q1495" s="689">
        <v>0</v>
      </c>
      <c r="R1495" s="689">
        <v>0</v>
      </c>
      <c r="S1495" s="689">
        <v>0</v>
      </c>
      <c r="T1495" s="689">
        <v>0</v>
      </c>
      <c r="U1495" s="547" t="s">
        <v>7487</v>
      </c>
      <c r="V1495" s="547" t="s">
        <v>4252</v>
      </c>
      <c r="W1495" s="658">
        <v>350</v>
      </c>
      <c r="X1495" s="547" t="s">
        <v>2193</v>
      </c>
      <c r="Y1495" s="547" t="s">
        <v>4205</v>
      </c>
      <c r="Z1495" s="547" t="s">
        <v>1730</v>
      </c>
      <c r="AA1495" s="547" t="s">
        <v>1591</v>
      </c>
      <c r="AB1495" s="550" t="s">
        <v>1591</v>
      </c>
    </row>
    <row r="1496" spans="1:28" ht="24" customHeight="1">
      <c r="A1496" s="606"/>
      <c r="B1496" s="544" t="s">
        <v>675</v>
      </c>
      <c r="C1496" s="551" t="s">
        <v>4253</v>
      </c>
      <c r="D1496" s="553" t="s">
        <v>4254</v>
      </c>
      <c r="E1496" s="563">
        <v>60</v>
      </c>
      <c r="F1496" s="563">
        <v>0</v>
      </c>
      <c r="G1496" s="563">
        <f t="shared" si="117"/>
        <v>60</v>
      </c>
      <c r="H1496" s="563">
        <v>0</v>
      </c>
      <c r="I1496" s="563">
        <f t="shared" si="116"/>
        <v>48</v>
      </c>
      <c r="J1496" s="563">
        <v>0</v>
      </c>
      <c r="K1496" s="563">
        <v>48</v>
      </c>
      <c r="L1496" s="741">
        <v>0</v>
      </c>
      <c r="M1496" s="687">
        <f t="shared" si="118"/>
        <v>80</v>
      </c>
      <c r="N1496" s="563">
        <v>0</v>
      </c>
      <c r="O1496" s="746" t="s">
        <v>4255</v>
      </c>
      <c r="P1496" s="547" t="s">
        <v>1588</v>
      </c>
      <c r="Q1496" s="689">
        <v>0</v>
      </c>
      <c r="R1496" s="689">
        <v>0</v>
      </c>
      <c r="S1496" s="689">
        <v>0</v>
      </c>
      <c r="T1496" s="689">
        <v>0</v>
      </c>
      <c r="U1496" s="547" t="s">
        <v>7487</v>
      </c>
      <c r="V1496" s="547" t="s">
        <v>4256</v>
      </c>
      <c r="W1496" s="658">
        <v>648</v>
      </c>
      <c r="X1496" s="547" t="s">
        <v>2193</v>
      </c>
      <c r="Y1496" s="547" t="s">
        <v>4205</v>
      </c>
      <c r="Z1496" s="547" t="s">
        <v>1729</v>
      </c>
      <c r="AA1496" s="547" t="s">
        <v>1591</v>
      </c>
      <c r="AB1496" s="550" t="s">
        <v>1591</v>
      </c>
    </row>
    <row r="1497" spans="1:28" ht="24" customHeight="1">
      <c r="A1497" s="606"/>
      <c r="B1497" s="544" t="s">
        <v>675</v>
      </c>
      <c r="C1497" s="551" t="s">
        <v>4257</v>
      </c>
      <c r="D1497" s="553" t="s">
        <v>4258</v>
      </c>
      <c r="E1497" s="563">
        <v>50</v>
      </c>
      <c r="F1497" s="563">
        <v>0</v>
      </c>
      <c r="G1497" s="563">
        <f t="shared" si="117"/>
        <v>50</v>
      </c>
      <c r="H1497" s="563">
        <v>0</v>
      </c>
      <c r="I1497" s="563">
        <f t="shared" si="116"/>
        <v>44</v>
      </c>
      <c r="J1497" s="563">
        <v>0</v>
      </c>
      <c r="K1497" s="563">
        <v>44</v>
      </c>
      <c r="L1497" s="741">
        <v>0</v>
      </c>
      <c r="M1497" s="687">
        <f t="shared" si="118"/>
        <v>88</v>
      </c>
      <c r="N1497" s="563">
        <v>0</v>
      </c>
      <c r="O1497" s="746" t="s">
        <v>4259</v>
      </c>
      <c r="P1497" s="547" t="s">
        <v>1588</v>
      </c>
      <c r="Q1497" s="689">
        <v>0</v>
      </c>
      <c r="R1497" s="689">
        <v>0</v>
      </c>
      <c r="S1497" s="689">
        <v>0</v>
      </c>
      <c r="T1497" s="689">
        <v>0</v>
      </c>
      <c r="U1497" s="547" t="s">
        <v>7487</v>
      </c>
      <c r="V1497" s="547" t="s">
        <v>2080</v>
      </c>
      <c r="W1497" s="658">
        <v>360</v>
      </c>
      <c r="X1497" s="547" t="s">
        <v>2193</v>
      </c>
      <c r="Y1497" s="547" t="s">
        <v>4205</v>
      </c>
      <c r="Z1497" s="547" t="s">
        <v>1729</v>
      </c>
      <c r="AA1497" s="547" t="s">
        <v>1591</v>
      </c>
      <c r="AB1497" s="550" t="s">
        <v>1591</v>
      </c>
    </row>
    <row r="1498" spans="1:28" ht="24" customHeight="1">
      <c r="A1498" s="606"/>
      <c r="B1498" s="544" t="s">
        <v>675</v>
      </c>
      <c r="C1498" s="551" t="s">
        <v>4260</v>
      </c>
      <c r="D1498" s="553" t="s">
        <v>4261</v>
      </c>
      <c r="E1498" s="563">
        <v>45</v>
      </c>
      <c r="F1498" s="563">
        <v>0</v>
      </c>
      <c r="G1498" s="563">
        <f t="shared" si="117"/>
        <v>45</v>
      </c>
      <c r="H1498" s="563">
        <v>0</v>
      </c>
      <c r="I1498" s="563">
        <f t="shared" si="116"/>
        <v>37</v>
      </c>
      <c r="J1498" s="563">
        <v>0</v>
      </c>
      <c r="K1498" s="563">
        <v>37</v>
      </c>
      <c r="L1498" s="741">
        <v>0</v>
      </c>
      <c r="M1498" s="687">
        <f t="shared" si="118"/>
        <v>82.222222222222214</v>
      </c>
      <c r="N1498" s="563">
        <v>0</v>
      </c>
      <c r="O1498" s="746" t="s">
        <v>4262</v>
      </c>
      <c r="P1498" s="547" t="s">
        <v>1588</v>
      </c>
      <c r="Q1498" s="689">
        <v>0</v>
      </c>
      <c r="R1498" s="689">
        <v>0</v>
      </c>
      <c r="S1498" s="689">
        <v>0</v>
      </c>
      <c r="T1498" s="689">
        <v>0</v>
      </c>
      <c r="U1498" s="547" t="s">
        <v>7487</v>
      </c>
      <c r="V1498" s="547" t="s">
        <v>4263</v>
      </c>
      <c r="W1498" s="658"/>
      <c r="X1498" s="547"/>
      <c r="Y1498" s="547"/>
      <c r="Z1498" s="547"/>
      <c r="AA1498" s="547"/>
      <c r="AB1498" s="550"/>
    </row>
    <row r="1499" spans="1:28" ht="24" customHeight="1">
      <c r="A1499" s="606"/>
      <c r="B1499" s="544" t="s">
        <v>675</v>
      </c>
      <c r="C1499" s="551" t="s">
        <v>4264</v>
      </c>
      <c r="D1499" s="553" t="s">
        <v>4265</v>
      </c>
      <c r="E1499" s="563">
        <v>65</v>
      </c>
      <c r="F1499" s="563">
        <v>0</v>
      </c>
      <c r="G1499" s="563">
        <f t="shared" si="117"/>
        <v>65</v>
      </c>
      <c r="H1499" s="563">
        <v>0</v>
      </c>
      <c r="I1499" s="563">
        <f t="shared" si="116"/>
        <v>53</v>
      </c>
      <c r="J1499" s="563">
        <v>0</v>
      </c>
      <c r="K1499" s="563">
        <v>53</v>
      </c>
      <c r="L1499" s="741">
        <v>0</v>
      </c>
      <c r="M1499" s="687">
        <f t="shared" si="118"/>
        <v>81.538461538461533</v>
      </c>
      <c r="N1499" s="563">
        <v>0</v>
      </c>
      <c r="O1499" s="746" t="s">
        <v>4266</v>
      </c>
      <c r="P1499" s="547" t="s">
        <v>1588</v>
      </c>
      <c r="Q1499" s="689">
        <v>0</v>
      </c>
      <c r="R1499" s="689">
        <v>0</v>
      </c>
      <c r="S1499" s="689">
        <v>0</v>
      </c>
      <c r="T1499" s="689">
        <v>0</v>
      </c>
      <c r="U1499" s="547" t="s">
        <v>7487</v>
      </c>
      <c r="V1499" s="547" t="s">
        <v>4263</v>
      </c>
      <c r="W1499" s="658"/>
      <c r="X1499" s="547"/>
      <c r="Y1499" s="547"/>
      <c r="Z1499" s="547"/>
      <c r="AA1499" s="547"/>
      <c r="AB1499" s="550"/>
    </row>
    <row r="1500" spans="1:28" ht="24" customHeight="1">
      <c r="A1500" s="605" t="s">
        <v>1731</v>
      </c>
      <c r="B1500" s="544" t="s">
        <v>2201</v>
      </c>
      <c r="C1500" s="551" t="s">
        <v>2370</v>
      </c>
      <c r="D1500" s="553" t="s">
        <v>4267</v>
      </c>
      <c r="E1500" s="563">
        <f>F1500+G1500+H1500</f>
        <v>7500</v>
      </c>
      <c r="F1500" s="563">
        <v>0</v>
      </c>
      <c r="G1500" s="563">
        <v>0</v>
      </c>
      <c r="H1500" s="563">
        <v>7500</v>
      </c>
      <c r="I1500" s="563">
        <f>J1500+K1500+L1500</f>
        <v>6000</v>
      </c>
      <c r="J1500" s="563">
        <v>0</v>
      </c>
      <c r="K1500" s="563">
        <v>0</v>
      </c>
      <c r="L1500" s="741">
        <v>6000</v>
      </c>
      <c r="M1500" s="687">
        <f>I1500/E1500*100</f>
        <v>80</v>
      </c>
      <c r="N1500" s="563">
        <f>AE1500*I1500*M1500*0.001</f>
        <v>0</v>
      </c>
      <c r="O1500" s="746" t="s">
        <v>3347</v>
      </c>
      <c r="P1500" s="547" t="s">
        <v>1588</v>
      </c>
      <c r="Q1500" s="689">
        <v>32</v>
      </c>
      <c r="R1500" s="689">
        <v>0</v>
      </c>
      <c r="S1500" s="689">
        <v>11</v>
      </c>
      <c r="T1500" s="689">
        <v>0</v>
      </c>
      <c r="U1500" s="547" t="s">
        <v>7488</v>
      </c>
      <c r="V1500" s="547" t="s">
        <v>4268</v>
      </c>
      <c r="W1500" s="658">
        <v>20788</v>
      </c>
      <c r="X1500" s="547" t="s">
        <v>1532</v>
      </c>
      <c r="Y1500" s="547" t="s">
        <v>3336</v>
      </c>
      <c r="Z1500" s="547" t="s">
        <v>1587</v>
      </c>
      <c r="AA1500" s="547" t="s">
        <v>1596</v>
      </c>
      <c r="AB1500" s="550"/>
    </row>
    <row r="1501" spans="1:28" ht="24" customHeight="1">
      <c r="A1501" s="606"/>
      <c r="B1501" s="544" t="s">
        <v>675</v>
      </c>
      <c r="C1501" s="551" t="s">
        <v>4269</v>
      </c>
      <c r="D1501" s="553" t="s">
        <v>4270</v>
      </c>
      <c r="E1501" s="563">
        <f t="shared" ref="E1501:E1564" si="119">F1501+G1501+H1501</f>
        <v>30</v>
      </c>
      <c r="F1501" s="563">
        <v>0</v>
      </c>
      <c r="G1501" s="563">
        <v>0</v>
      </c>
      <c r="H1501" s="563">
        <v>30</v>
      </c>
      <c r="I1501" s="563">
        <f t="shared" ref="I1501:I1564" si="120">J1501+K1501+L1501</f>
        <v>25</v>
      </c>
      <c r="J1501" s="563">
        <v>0</v>
      </c>
      <c r="K1501" s="563">
        <v>0</v>
      </c>
      <c r="L1501" s="741">
        <v>25</v>
      </c>
      <c r="M1501" s="687">
        <f t="shared" ref="M1501:M1519" si="121">I1501/E1501*100</f>
        <v>83.333333333333343</v>
      </c>
      <c r="N1501" s="563">
        <f t="shared" ref="N1501:N1519" si="122">AE1501*I1501*M1501*0.001</f>
        <v>0</v>
      </c>
      <c r="O1501" s="746" t="s">
        <v>5698</v>
      </c>
      <c r="P1501" s="547" t="s">
        <v>1588</v>
      </c>
      <c r="Q1501" s="689">
        <v>0</v>
      </c>
      <c r="R1501" s="689">
        <v>0</v>
      </c>
      <c r="S1501" s="689">
        <v>0</v>
      </c>
      <c r="T1501" s="689">
        <v>0</v>
      </c>
      <c r="U1501" s="547"/>
      <c r="V1501" s="547" t="s">
        <v>2088</v>
      </c>
      <c r="W1501" s="658">
        <v>205</v>
      </c>
      <c r="X1501" s="547" t="s">
        <v>1532</v>
      </c>
      <c r="Y1501" s="547" t="s">
        <v>3336</v>
      </c>
      <c r="Z1501" s="547"/>
      <c r="AA1501" s="547"/>
      <c r="AB1501" s="550"/>
    </row>
    <row r="1502" spans="1:28" ht="24" customHeight="1">
      <c r="A1502" s="606"/>
      <c r="B1502" s="544" t="s">
        <v>675</v>
      </c>
      <c r="C1502" s="551" t="s">
        <v>4271</v>
      </c>
      <c r="D1502" s="553" t="s">
        <v>4272</v>
      </c>
      <c r="E1502" s="563">
        <f t="shared" si="119"/>
        <v>40</v>
      </c>
      <c r="F1502" s="563">
        <v>0</v>
      </c>
      <c r="G1502" s="563">
        <v>0</v>
      </c>
      <c r="H1502" s="563">
        <v>40</v>
      </c>
      <c r="I1502" s="563">
        <f t="shared" si="120"/>
        <v>30</v>
      </c>
      <c r="J1502" s="563">
        <v>0</v>
      </c>
      <c r="K1502" s="563">
        <v>0</v>
      </c>
      <c r="L1502" s="741">
        <v>30</v>
      </c>
      <c r="M1502" s="687">
        <f t="shared" si="121"/>
        <v>75</v>
      </c>
      <c r="N1502" s="563">
        <f t="shared" si="122"/>
        <v>0</v>
      </c>
      <c r="O1502" s="746" t="s">
        <v>1127</v>
      </c>
      <c r="P1502" s="547" t="s">
        <v>1588</v>
      </c>
      <c r="Q1502" s="689">
        <v>0</v>
      </c>
      <c r="R1502" s="689">
        <v>0</v>
      </c>
      <c r="S1502" s="689">
        <v>0</v>
      </c>
      <c r="T1502" s="689">
        <v>0</v>
      </c>
      <c r="U1502" s="547"/>
      <c r="V1502" s="547" t="s">
        <v>4273</v>
      </c>
      <c r="W1502" s="658">
        <v>174</v>
      </c>
      <c r="X1502" s="547" t="s">
        <v>1532</v>
      </c>
      <c r="Y1502" s="547" t="s">
        <v>3336</v>
      </c>
      <c r="Z1502" s="547"/>
      <c r="AA1502" s="547"/>
      <c r="AB1502" s="550"/>
    </row>
    <row r="1503" spans="1:28" ht="24" customHeight="1">
      <c r="A1503" s="606"/>
      <c r="B1503" s="544" t="s">
        <v>675</v>
      </c>
      <c r="C1503" s="551" t="s">
        <v>2133</v>
      </c>
      <c r="D1503" s="553" t="s">
        <v>4274</v>
      </c>
      <c r="E1503" s="563">
        <f t="shared" si="119"/>
        <v>30</v>
      </c>
      <c r="F1503" s="563">
        <v>0</v>
      </c>
      <c r="G1503" s="563">
        <v>0</v>
      </c>
      <c r="H1503" s="563">
        <v>30</v>
      </c>
      <c r="I1503" s="563">
        <f t="shared" si="120"/>
        <v>24</v>
      </c>
      <c r="J1503" s="563">
        <v>0</v>
      </c>
      <c r="K1503" s="563">
        <v>0</v>
      </c>
      <c r="L1503" s="741">
        <v>24</v>
      </c>
      <c r="M1503" s="687">
        <f t="shared" si="121"/>
        <v>80</v>
      </c>
      <c r="N1503" s="563">
        <f t="shared" si="122"/>
        <v>0</v>
      </c>
      <c r="O1503" s="746" t="s">
        <v>4275</v>
      </c>
      <c r="P1503" s="547" t="s">
        <v>1588</v>
      </c>
      <c r="Q1503" s="689">
        <v>0</v>
      </c>
      <c r="R1503" s="689">
        <v>0</v>
      </c>
      <c r="S1503" s="689">
        <v>0</v>
      </c>
      <c r="T1503" s="689">
        <v>0</v>
      </c>
      <c r="U1503" s="547"/>
      <c r="V1503" s="547" t="s">
        <v>4276</v>
      </c>
      <c r="W1503" s="658">
        <v>136</v>
      </c>
      <c r="X1503" s="547" t="s">
        <v>1532</v>
      </c>
      <c r="Y1503" s="547" t="s">
        <v>3336</v>
      </c>
      <c r="Z1503" s="547"/>
      <c r="AA1503" s="547"/>
      <c r="AB1503" s="550"/>
    </row>
    <row r="1504" spans="1:28" ht="24" customHeight="1">
      <c r="A1504" s="606"/>
      <c r="B1504" s="544" t="s">
        <v>675</v>
      </c>
      <c r="C1504" s="551" t="s">
        <v>6545</v>
      </c>
      <c r="D1504" s="553" t="s">
        <v>4277</v>
      </c>
      <c r="E1504" s="563">
        <f t="shared" si="119"/>
        <v>23</v>
      </c>
      <c r="F1504" s="563">
        <v>0</v>
      </c>
      <c r="G1504" s="563">
        <v>0</v>
      </c>
      <c r="H1504" s="563">
        <v>23</v>
      </c>
      <c r="I1504" s="563">
        <f t="shared" si="120"/>
        <v>19</v>
      </c>
      <c r="J1504" s="563">
        <v>0</v>
      </c>
      <c r="K1504" s="563">
        <v>0</v>
      </c>
      <c r="L1504" s="741">
        <v>19</v>
      </c>
      <c r="M1504" s="687">
        <f t="shared" si="121"/>
        <v>82.608695652173907</v>
      </c>
      <c r="N1504" s="563">
        <f t="shared" si="122"/>
        <v>0</v>
      </c>
      <c r="O1504" s="746" t="s">
        <v>5089</v>
      </c>
      <c r="P1504" s="547" t="s">
        <v>1588</v>
      </c>
      <c r="Q1504" s="689">
        <v>0</v>
      </c>
      <c r="R1504" s="689">
        <v>0</v>
      </c>
      <c r="S1504" s="689">
        <v>0</v>
      </c>
      <c r="T1504" s="689">
        <v>0</v>
      </c>
      <c r="U1504" s="547"/>
      <c r="V1504" s="547" t="s">
        <v>4278</v>
      </c>
      <c r="W1504" s="658">
        <v>182</v>
      </c>
      <c r="X1504" s="547" t="s">
        <v>1532</v>
      </c>
      <c r="Y1504" s="547" t="s">
        <v>3336</v>
      </c>
      <c r="Z1504" s="547"/>
      <c r="AA1504" s="547"/>
      <c r="AB1504" s="550"/>
    </row>
    <row r="1505" spans="1:28" ht="24" customHeight="1">
      <c r="A1505" s="606"/>
      <c r="B1505" s="544" t="s">
        <v>675</v>
      </c>
      <c r="C1505" s="551" t="s">
        <v>6732</v>
      </c>
      <c r="D1505" s="553" t="s">
        <v>4279</v>
      </c>
      <c r="E1505" s="563">
        <f t="shared" si="119"/>
        <v>40</v>
      </c>
      <c r="F1505" s="563">
        <v>0</v>
      </c>
      <c r="G1505" s="563">
        <v>0</v>
      </c>
      <c r="H1505" s="563">
        <v>40</v>
      </c>
      <c r="I1505" s="563">
        <f t="shared" si="120"/>
        <v>32</v>
      </c>
      <c r="J1505" s="563">
        <v>0</v>
      </c>
      <c r="K1505" s="563">
        <v>0</v>
      </c>
      <c r="L1505" s="741">
        <v>32</v>
      </c>
      <c r="M1505" s="687">
        <f t="shared" si="121"/>
        <v>80</v>
      </c>
      <c r="N1505" s="563">
        <f t="shared" si="122"/>
        <v>0</v>
      </c>
      <c r="O1505" s="746" t="s">
        <v>1127</v>
      </c>
      <c r="P1505" s="547" t="s">
        <v>1588</v>
      </c>
      <c r="Q1505" s="689">
        <v>0</v>
      </c>
      <c r="R1505" s="689">
        <v>0</v>
      </c>
      <c r="S1505" s="689">
        <v>0</v>
      </c>
      <c r="T1505" s="689">
        <v>0</v>
      </c>
      <c r="U1505" s="547"/>
      <c r="V1505" s="547" t="s">
        <v>4280</v>
      </c>
      <c r="W1505" s="658">
        <v>243</v>
      </c>
      <c r="X1505" s="547" t="s">
        <v>1532</v>
      </c>
      <c r="Y1505" s="547" t="s">
        <v>3336</v>
      </c>
      <c r="Z1505" s="547"/>
      <c r="AA1505" s="547"/>
      <c r="AB1505" s="550"/>
    </row>
    <row r="1506" spans="1:28" ht="24" customHeight="1">
      <c r="A1506" s="606"/>
      <c r="B1506" s="544" t="s">
        <v>675</v>
      </c>
      <c r="C1506" s="551" t="s">
        <v>2164</v>
      </c>
      <c r="D1506" s="553" t="s">
        <v>4281</v>
      </c>
      <c r="E1506" s="563">
        <f>F1506+G1506+H1506</f>
        <v>45</v>
      </c>
      <c r="F1506" s="563">
        <v>0</v>
      </c>
      <c r="G1506" s="563">
        <v>0</v>
      </c>
      <c r="H1506" s="563">
        <v>45</v>
      </c>
      <c r="I1506" s="563">
        <f>J1506+K1506+L1506</f>
        <v>31</v>
      </c>
      <c r="J1506" s="563">
        <v>0</v>
      </c>
      <c r="K1506" s="563">
        <v>0</v>
      </c>
      <c r="L1506" s="741">
        <v>31</v>
      </c>
      <c r="M1506" s="687">
        <f>I1506/E1506*100</f>
        <v>68.888888888888886</v>
      </c>
      <c r="N1506" s="563">
        <f>AE1506*I1506*M1506*0.001</f>
        <v>0</v>
      </c>
      <c r="O1506" s="746" t="s">
        <v>4282</v>
      </c>
      <c r="P1506" s="547" t="s">
        <v>1588</v>
      </c>
      <c r="Q1506" s="689">
        <v>0</v>
      </c>
      <c r="R1506" s="689">
        <v>0</v>
      </c>
      <c r="S1506" s="689">
        <v>0</v>
      </c>
      <c r="T1506" s="689">
        <v>0</v>
      </c>
      <c r="U1506" s="547"/>
      <c r="V1506" s="547" t="s">
        <v>4283</v>
      </c>
      <c r="W1506" s="658">
        <v>404</v>
      </c>
      <c r="X1506" s="547" t="s">
        <v>1532</v>
      </c>
      <c r="Y1506" s="547" t="s">
        <v>3336</v>
      </c>
      <c r="Z1506" s="547"/>
      <c r="AA1506" s="547"/>
      <c r="AB1506" s="550"/>
    </row>
    <row r="1507" spans="1:28" ht="24" customHeight="1">
      <c r="A1507" s="606"/>
      <c r="B1507" s="544" t="s">
        <v>675</v>
      </c>
      <c r="C1507" s="551" t="s">
        <v>4284</v>
      </c>
      <c r="D1507" s="553" t="s">
        <v>4285</v>
      </c>
      <c r="E1507" s="563">
        <f>F1507+G1507+H1507</f>
        <v>35</v>
      </c>
      <c r="F1507" s="563">
        <v>0</v>
      </c>
      <c r="G1507" s="563">
        <v>0</v>
      </c>
      <c r="H1507" s="563">
        <v>35</v>
      </c>
      <c r="I1507" s="563">
        <f>J1507+K1507+L1507</f>
        <v>23</v>
      </c>
      <c r="J1507" s="563">
        <v>0</v>
      </c>
      <c r="K1507" s="563">
        <v>0</v>
      </c>
      <c r="L1507" s="741">
        <v>23</v>
      </c>
      <c r="M1507" s="687">
        <f>I1507/E1507*100</f>
        <v>65.714285714285708</v>
      </c>
      <c r="N1507" s="563">
        <f>AE1507*I1507*M1507*0.001</f>
        <v>0</v>
      </c>
      <c r="O1507" s="746" t="s">
        <v>4286</v>
      </c>
      <c r="P1507" s="547" t="s">
        <v>1588</v>
      </c>
      <c r="Q1507" s="689">
        <v>0</v>
      </c>
      <c r="R1507" s="689">
        <v>0</v>
      </c>
      <c r="S1507" s="689">
        <v>0</v>
      </c>
      <c r="T1507" s="689">
        <v>0</v>
      </c>
      <c r="U1507" s="547"/>
      <c r="V1507" s="547" t="s">
        <v>5319</v>
      </c>
      <c r="W1507" s="658">
        <v>338</v>
      </c>
      <c r="X1507" s="547" t="s">
        <v>1532</v>
      </c>
      <c r="Y1507" s="547" t="s">
        <v>3336</v>
      </c>
      <c r="Z1507" s="547"/>
      <c r="AA1507" s="547"/>
      <c r="AB1507" s="550"/>
    </row>
    <row r="1508" spans="1:28" ht="24" customHeight="1">
      <c r="A1508" s="606"/>
      <c r="B1508" s="544" t="s">
        <v>675</v>
      </c>
      <c r="C1508" s="551" t="s">
        <v>2392</v>
      </c>
      <c r="D1508" s="553" t="s">
        <v>4287</v>
      </c>
      <c r="E1508" s="563">
        <f t="shared" si="119"/>
        <v>30</v>
      </c>
      <c r="F1508" s="563">
        <v>0</v>
      </c>
      <c r="G1508" s="563">
        <v>0</v>
      </c>
      <c r="H1508" s="563">
        <v>30</v>
      </c>
      <c r="I1508" s="563">
        <f t="shared" si="120"/>
        <v>20</v>
      </c>
      <c r="J1508" s="563">
        <v>0</v>
      </c>
      <c r="K1508" s="563">
        <v>0</v>
      </c>
      <c r="L1508" s="741">
        <v>20</v>
      </c>
      <c r="M1508" s="687">
        <f t="shared" si="121"/>
        <v>66.666666666666657</v>
      </c>
      <c r="N1508" s="563">
        <f t="shared" si="122"/>
        <v>0</v>
      </c>
      <c r="O1508" s="746" t="s">
        <v>4288</v>
      </c>
      <c r="P1508" s="547" t="s">
        <v>1588</v>
      </c>
      <c r="Q1508" s="689">
        <v>0</v>
      </c>
      <c r="R1508" s="689">
        <v>0</v>
      </c>
      <c r="S1508" s="689">
        <v>0</v>
      </c>
      <c r="T1508" s="689">
        <v>0</v>
      </c>
      <c r="U1508" s="547"/>
      <c r="V1508" s="547" t="s">
        <v>4289</v>
      </c>
      <c r="W1508" s="658">
        <v>318</v>
      </c>
      <c r="X1508" s="547" t="s">
        <v>1532</v>
      </c>
      <c r="Y1508" s="547" t="s">
        <v>3336</v>
      </c>
      <c r="Z1508" s="547"/>
      <c r="AA1508" s="547"/>
      <c r="AB1508" s="550"/>
    </row>
    <row r="1509" spans="1:28" ht="24" customHeight="1">
      <c r="A1509" s="606"/>
      <c r="B1509" s="544" t="s">
        <v>675</v>
      </c>
      <c r="C1509" s="551" t="s">
        <v>4290</v>
      </c>
      <c r="D1509" s="553" t="s">
        <v>4291</v>
      </c>
      <c r="E1509" s="563">
        <f>F1509+G1509+H1509</f>
        <v>45</v>
      </c>
      <c r="F1509" s="563">
        <v>0</v>
      </c>
      <c r="G1509" s="563">
        <v>0</v>
      </c>
      <c r="H1509" s="563">
        <v>45</v>
      </c>
      <c r="I1509" s="563">
        <f>J1509+K1509+L1509</f>
        <v>35</v>
      </c>
      <c r="J1509" s="563">
        <v>0</v>
      </c>
      <c r="K1509" s="563">
        <v>0</v>
      </c>
      <c r="L1509" s="741">
        <v>35</v>
      </c>
      <c r="M1509" s="687">
        <f>I1509/E1509*100</f>
        <v>77.777777777777786</v>
      </c>
      <c r="N1509" s="563">
        <f>AE1509*I1509*M1509*0.001</f>
        <v>0</v>
      </c>
      <c r="O1509" s="746" t="s">
        <v>5071</v>
      </c>
      <c r="P1509" s="547" t="s">
        <v>1588</v>
      </c>
      <c r="Q1509" s="689">
        <v>0</v>
      </c>
      <c r="R1509" s="689">
        <v>0</v>
      </c>
      <c r="S1509" s="689">
        <v>0</v>
      </c>
      <c r="T1509" s="689">
        <v>0</v>
      </c>
      <c r="U1509" s="547"/>
      <c r="V1509" s="547" t="s">
        <v>4292</v>
      </c>
      <c r="W1509" s="658">
        <v>330</v>
      </c>
      <c r="X1509" s="547" t="s">
        <v>1532</v>
      </c>
      <c r="Y1509" s="547" t="s">
        <v>3336</v>
      </c>
      <c r="Z1509" s="547"/>
      <c r="AA1509" s="547"/>
      <c r="AB1509" s="550"/>
    </row>
    <row r="1510" spans="1:28" ht="24" customHeight="1">
      <c r="A1510" s="606"/>
      <c r="B1510" s="544" t="s">
        <v>675</v>
      </c>
      <c r="C1510" s="551" t="s">
        <v>6655</v>
      </c>
      <c r="D1510" s="553" t="s">
        <v>4293</v>
      </c>
      <c r="E1510" s="563">
        <f t="shared" si="119"/>
        <v>40</v>
      </c>
      <c r="F1510" s="563">
        <v>0</v>
      </c>
      <c r="G1510" s="563">
        <v>0</v>
      </c>
      <c r="H1510" s="563">
        <v>40</v>
      </c>
      <c r="I1510" s="563">
        <f t="shared" si="120"/>
        <v>28</v>
      </c>
      <c r="J1510" s="563">
        <v>0</v>
      </c>
      <c r="K1510" s="563">
        <v>0</v>
      </c>
      <c r="L1510" s="741">
        <v>28</v>
      </c>
      <c r="M1510" s="687">
        <f t="shared" si="121"/>
        <v>70</v>
      </c>
      <c r="N1510" s="563">
        <f t="shared" si="122"/>
        <v>0</v>
      </c>
      <c r="O1510" s="746" t="s">
        <v>4294</v>
      </c>
      <c r="P1510" s="547" t="s">
        <v>1588</v>
      </c>
      <c r="Q1510" s="689">
        <v>0</v>
      </c>
      <c r="R1510" s="689">
        <v>0</v>
      </c>
      <c r="S1510" s="689">
        <v>0</v>
      </c>
      <c r="T1510" s="689">
        <v>0</v>
      </c>
      <c r="U1510" s="547"/>
      <c r="V1510" s="547" t="s">
        <v>4295</v>
      </c>
      <c r="W1510" s="658">
        <v>345</v>
      </c>
      <c r="X1510" s="547" t="s">
        <v>1532</v>
      </c>
      <c r="Y1510" s="547" t="s">
        <v>3336</v>
      </c>
      <c r="Z1510" s="547"/>
      <c r="AA1510" s="547"/>
      <c r="AB1510" s="550"/>
    </row>
    <row r="1511" spans="1:28" ht="24" customHeight="1">
      <c r="A1511" s="606"/>
      <c r="B1511" s="544" t="s">
        <v>675</v>
      </c>
      <c r="C1511" s="551" t="s">
        <v>4296</v>
      </c>
      <c r="D1511" s="553" t="s">
        <v>4297</v>
      </c>
      <c r="E1511" s="563">
        <f t="shared" si="119"/>
        <v>30</v>
      </c>
      <c r="F1511" s="563">
        <v>0</v>
      </c>
      <c r="G1511" s="563">
        <v>0</v>
      </c>
      <c r="H1511" s="563">
        <v>30</v>
      </c>
      <c r="I1511" s="563">
        <f t="shared" si="120"/>
        <v>22</v>
      </c>
      <c r="J1511" s="563">
        <v>0</v>
      </c>
      <c r="K1511" s="563">
        <v>0</v>
      </c>
      <c r="L1511" s="741">
        <v>22</v>
      </c>
      <c r="M1511" s="687">
        <f t="shared" si="121"/>
        <v>73.333333333333329</v>
      </c>
      <c r="N1511" s="563">
        <f t="shared" si="122"/>
        <v>0</v>
      </c>
      <c r="O1511" s="746" t="s">
        <v>4298</v>
      </c>
      <c r="P1511" s="547" t="s">
        <v>1588</v>
      </c>
      <c r="Q1511" s="689">
        <v>0</v>
      </c>
      <c r="R1511" s="689">
        <v>0</v>
      </c>
      <c r="S1511" s="689">
        <v>0</v>
      </c>
      <c r="T1511" s="689">
        <v>0</v>
      </c>
      <c r="U1511" s="547"/>
      <c r="V1511" s="547" t="s">
        <v>4299</v>
      </c>
      <c r="W1511" s="658">
        <v>329</v>
      </c>
      <c r="X1511" s="547" t="s">
        <v>1532</v>
      </c>
      <c r="Y1511" s="547" t="s">
        <v>3336</v>
      </c>
      <c r="Z1511" s="547"/>
      <c r="AA1511" s="547"/>
      <c r="AB1511" s="550"/>
    </row>
    <row r="1512" spans="1:28" ht="24" customHeight="1">
      <c r="A1512" s="606"/>
      <c r="B1512" s="544" t="s">
        <v>675</v>
      </c>
      <c r="C1512" s="551" t="s">
        <v>4300</v>
      </c>
      <c r="D1512" s="553" t="s">
        <v>4301</v>
      </c>
      <c r="E1512" s="563">
        <f>F1512+G1512+H1512</f>
        <v>32</v>
      </c>
      <c r="F1512" s="563">
        <v>0</v>
      </c>
      <c r="G1512" s="563">
        <v>0</v>
      </c>
      <c r="H1512" s="563">
        <v>32</v>
      </c>
      <c r="I1512" s="563">
        <f>J1512+K1512+L1512</f>
        <v>21</v>
      </c>
      <c r="J1512" s="563">
        <v>0</v>
      </c>
      <c r="K1512" s="563">
        <v>0</v>
      </c>
      <c r="L1512" s="741">
        <v>21</v>
      </c>
      <c r="M1512" s="687">
        <f>I1512/E1512*100</f>
        <v>65.625</v>
      </c>
      <c r="N1512" s="563">
        <f>AE1512*I1512*M1512*0.001</f>
        <v>0</v>
      </c>
      <c r="O1512" s="746" t="s">
        <v>4302</v>
      </c>
      <c r="P1512" s="547" t="s">
        <v>1588</v>
      </c>
      <c r="Q1512" s="689">
        <v>0</v>
      </c>
      <c r="R1512" s="689">
        <v>0</v>
      </c>
      <c r="S1512" s="689">
        <v>0</v>
      </c>
      <c r="T1512" s="689">
        <v>0</v>
      </c>
      <c r="U1512" s="547"/>
      <c r="V1512" s="547" t="s">
        <v>4303</v>
      </c>
      <c r="W1512" s="658">
        <v>275</v>
      </c>
      <c r="X1512" s="547" t="s">
        <v>1532</v>
      </c>
      <c r="Y1512" s="547" t="s">
        <v>3336</v>
      </c>
      <c r="Z1512" s="547"/>
      <c r="AA1512" s="547"/>
      <c r="AB1512" s="550"/>
    </row>
    <row r="1513" spans="1:28" ht="24" customHeight="1">
      <c r="A1513" s="606"/>
      <c r="B1513" s="544" t="s">
        <v>675</v>
      </c>
      <c r="C1513" s="551" t="s">
        <v>4304</v>
      </c>
      <c r="D1513" s="553" t="s">
        <v>4305</v>
      </c>
      <c r="E1513" s="563">
        <f t="shared" si="119"/>
        <v>70</v>
      </c>
      <c r="F1513" s="563">
        <v>0</v>
      </c>
      <c r="G1513" s="563">
        <v>0</v>
      </c>
      <c r="H1513" s="563">
        <v>70</v>
      </c>
      <c r="I1513" s="563">
        <f t="shared" si="120"/>
        <v>51</v>
      </c>
      <c r="J1513" s="563">
        <v>0</v>
      </c>
      <c r="K1513" s="563">
        <v>0</v>
      </c>
      <c r="L1513" s="741">
        <v>51</v>
      </c>
      <c r="M1513" s="687">
        <f t="shared" si="121"/>
        <v>72.857142857142847</v>
      </c>
      <c r="N1513" s="563">
        <f t="shared" si="122"/>
        <v>0</v>
      </c>
      <c r="O1513" s="746" t="s">
        <v>1127</v>
      </c>
      <c r="P1513" s="547" t="s">
        <v>1588</v>
      </c>
      <c r="Q1513" s="689">
        <v>0</v>
      </c>
      <c r="R1513" s="689">
        <v>0</v>
      </c>
      <c r="S1513" s="689">
        <v>0</v>
      </c>
      <c r="T1513" s="689">
        <v>0</v>
      </c>
      <c r="U1513" s="547"/>
      <c r="V1513" s="547" t="s">
        <v>4299</v>
      </c>
      <c r="W1513" s="658">
        <v>335</v>
      </c>
      <c r="X1513" s="547" t="s">
        <v>1532</v>
      </c>
      <c r="Y1513" s="547" t="s">
        <v>3336</v>
      </c>
      <c r="Z1513" s="547"/>
      <c r="AA1513" s="547"/>
      <c r="AB1513" s="550"/>
    </row>
    <row r="1514" spans="1:28" ht="24" customHeight="1">
      <c r="A1514" s="606"/>
      <c r="B1514" s="544" t="s">
        <v>675</v>
      </c>
      <c r="C1514" s="551" t="s">
        <v>4306</v>
      </c>
      <c r="D1514" s="553" t="s">
        <v>4307</v>
      </c>
      <c r="E1514" s="563">
        <f t="shared" si="119"/>
        <v>110</v>
      </c>
      <c r="F1514" s="563">
        <v>0</v>
      </c>
      <c r="G1514" s="563">
        <v>0</v>
      </c>
      <c r="H1514" s="563">
        <v>110</v>
      </c>
      <c r="I1514" s="563">
        <f t="shared" si="120"/>
        <v>70</v>
      </c>
      <c r="J1514" s="563">
        <v>0</v>
      </c>
      <c r="K1514" s="563">
        <v>0</v>
      </c>
      <c r="L1514" s="741">
        <v>70</v>
      </c>
      <c r="M1514" s="687">
        <f t="shared" si="121"/>
        <v>63.636363636363633</v>
      </c>
      <c r="N1514" s="563">
        <f t="shared" si="122"/>
        <v>0</v>
      </c>
      <c r="O1514" s="746" t="s">
        <v>1127</v>
      </c>
      <c r="P1514" s="547" t="s">
        <v>1588</v>
      </c>
      <c r="Q1514" s="689">
        <v>0</v>
      </c>
      <c r="R1514" s="689">
        <v>0</v>
      </c>
      <c r="S1514" s="689">
        <v>0</v>
      </c>
      <c r="T1514" s="689">
        <v>0</v>
      </c>
      <c r="U1514" s="547"/>
      <c r="V1514" s="547" t="s">
        <v>4299</v>
      </c>
      <c r="W1514" s="658">
        <v>473</v>
      </c>
      <c r="X1514" s="547" t="s">
        <v>1532</v>
      </c>
      <c r="Y1514" s="547" t="s">
        <v>3336</v>
      </c>
      <c r="Z1514" s="547"/>
      <c r="AA1514" s="547"/>
      <c r="AB1514" s="550"/>
    </row>
    <row r="1515" spans="1:28" ht="24" customHeight="1">
      <c r="A1515" s="606"/>
      <c r="B1515" s="544" t="s">
        <v>675</v>
      </c>
      <c r="C1515" s="551" t="s">
        <v>4308</v>
      </c>
      <c r="D1515" s="553" t="s">
        <v>4309</v>
      </c>
      <c r="E1515" s="563">
        <f t="shared" si="119"/>
        <v>30</v>
      </c>
      <c r="F1515" s="563">
        <v>0</v>
      </c>
      <c r="G1515" s="563">
        <v>0</v>
      </c>
      <c r="H1515" s="563">
        <v>30</v>
      </c>
      <c r="I1515" s="563">
        <f t="shared" si="120"/>
        <v>21</v>
      </c>
      <c r="J1515" s="563">
        <v>0</v>
      </c>
      <c r="K1515" s="563">
        <v>0</v>
      </c>
      <c r="L1515" s="741">
        <v>21</v>
      </c>
      <c r="M1515" s="687">
        <f t="shared" si="121"/>
        <v>70</v>
      </c>
      <c r="N1515" s="563">
        <f t="shared" si="122"/>
        <v>0</v>
      </c>
      <c r="O1515" s="746" t="s">
        <v>4286</v>
      </c>
      <c r="P1515" s="547" t="s">
        <v>1588</v>
      </c>
      <c r="Q1515" s="689">
        <v>0</v>
      </c>
      <c r="R1515" s="689">
        <v>0</v>
      </c>
      <c r="S1515" s="689">
        <v>0</v>
      </c>
      <c r="T1515" s="689">
        <v>0</v>
      </c>
      <c r="U1515" s="547"/>
      <c r="V1515" s="547" t="s">
        <v>2098</v>
      </c>
      <c r="W1515" s="658">
        <v>310</v>
      </c>
      <c r="X1515" s="547" t="s">
        <v>1532</v>
      </c>
      <c r="Y1515" s="547" t="s">
        <v>3336</v>
      </c>
      <c r="Z1515" s="547"/>
      <c r="AA1515" s="547"/>
      <c r="AB1515" s="550"/>
    </row>
    <row r="1516" spans="1:28" ht="24" customHeight="1">
      <c r="A1516" s="606"/>
      <c r="B1516" s="544" t="s">
        <v>675</v>
      </c>
      <c r="C1516" s="551" t="s">
        <v>2043</v>
      </c>
      <c r="D1516" s="553" t="s">
        <v>4310</v>
      </c>
      <c r="E1516" s="563">
        <f t="shared" si="119"/>
        <v>60</v>
      </c>
      <c r="F1516" s="659">
        <v>0</v>
      </c>
      <c r="G1516" s="659">
        <v>0</v>
      </c>
      <c r="H1516" s="659">
        <v>60</v>
      </c>
      <c r="I1516" s="659">
        <f t="shared" si="120"/>
        <v>51</v>
      </c>
      <c r="J1516" s="659">
        <v>0</v>
      </c>
      <c r="K1516" s="659">
        <v>0</v>
      </c>
      <c r="L1516" s="741">
        <v>51</v>
      </c>
      <c r="M1516" s="687">
        <f t="shared" si="121"/>
        <v>85</v>
      </c>
      <c r="N1516" s="659">
        <f t="shared" si="122"/>
        <v>0</v>
      </c>
      <c r="O1516" s="746" t="s">
        <v>2967</v>
      </c>
      <c r="P1516" s="547" t="s">
        <v>1588</v>
      </c>
      <c r="Q1516" s="689">
        <v>0</v>
      </c>
      <c r="R1516" s="689">
        <v>0</v>
      </c>
      <c r="S1516" s="689">
        <v>0</v>
      </c>
      <c r="T1516" s="689">
        <v>0</v>
      </c>
      <c r="U1516" s="547"/>
      <c r="V1516" s="547" t="s">
        <v>4311</v>
      </c>
      <c r="W1516" s="658">
        <v>599</v>
      </c>
      <c r="X1516" s="547" t="s">
        <v>1532</v>
      </c>
      <c r="Y1516" s="547" t="s">
        <v>3336</v>
      </c>
      <c r="Z1516" s="547"/>
      <c r="AA1516" s="547"/>
      <c r="AB1516" s="550"/>
    </row>
    <row r="1517" spans="1:28" ht="24" customHeight="1">
      <c r="A1517" s="606"/>
      <c r="B1517" s="544" t="s">
        <v>675</v>
      </c>
      <c r="C1517" s="551" t="s">
        <v>4312</v>
      </c>
      <c r="D1517" s="553" t="s">
        <v>4313</v>
      </c>
      <c r="E1517" s="563">
        <f t="shared" si="119"/>
        <v>48</v>
      </c>
      <c r="F1517" s="659">
        <v>0</v>
      </c>
      <c r="G1517" s="659">
        <v>0</v>
      </c>
      <c r="H1517" s="659">
        <v>48</v>
      </c>
      <c r="I1517" s="659">
        <f t="shared" si="120"/>
        <v>39</v>
      </c>
      <c r="J1517" s="659">
        <v>0</v>
      </c>
      <c r="K1517" s="659">
        <v>0</v>
      </c>
      <c r="L1517" s="741">
        <v>39</v>
      </c>
      <c r="M1517" s="687">
        <f>I1517/E1517*100</f>
        <v>81.25</v>
      </c>
      <c r="N1517" s="659">
        <f t="shared" si="122"/>
        <v>0</v>
      </c>
      <c r="O1517" s="746" t="s">
        <v>4314</v>
      </c>
      <c r="P1517" s="547" t="s">
        <v>1588</v>
      </c>
      <c r="Q1517" s="689">
        <v>0</v>
      </c>
      <c r="R1517" s="689">
        <v>0</v>
      </c>
      <c r="S1517" s="689">
        <v>0</v>
      </c>
      <c r="T1517" s="689">
        <v>0</v>
      </c>
      <c r="U1517" s="547"/>
      <c r="V1517" s="547" t="s">
        <v>4315</v>
      </c>
      <c r="W1517" s="658">
        <v>488</v>
      </c>
      <c r="X1517" s="547" t="s">
        <v>1532</v>
      </c>
      <c r="Y1517" s="547" t="s">
        <v>3336</v>
      </c>
      <c r="Z1517" s="547"/>
      <c r="AA1517" s="547"/>
      <c r="AB1517" s="550"/>
    </row>
    <row r="1518" spans="1:28" ht="24" customHeight="1">
      <c r="A1518" s="606"/>
      <c r="B1518" s="544" t="s">
        <v>675</v>
      </c>
      <c r="C1518" s="551" t="s">
        <v>4316</v>
      </c>
      <c r="D1518" s="553" t="s">
        <v>4317</v>
      </c>
      <c r="E1518" s="563">
        <f>F1518+G1518+H1518</f>
        <v>30</v>
      </c>
      <c r="F1518" s="659">
        <v>0</v>
      </c>
      <c r="G1518" s="659">
        <v>0</v>
      </c>
      <c r="H1518" s="659">
        <v>30</v>
      </c>
      <c r="I1518" s="659">
        <f>J1518+K1518+L1518</f>
        <v>22</v>
      </c>
      <c r="J1518" s="659">
        <v>0</v>
      </c>
      <c r="K1518" s="659">
        <v>0</v>
      </c>
      <c r="L1518" s="741">
        <v>22</v>
      </c>
      <c r="M1518" s="687">
        <f>I1518/E1518*100</f>
        <v>73.333333333333329</v>
      </c>
      <c r="N1518" s="659">
        <f>AE1518*I1518*M1518*0.001</f>
        <v>0</v>
      </c>
      <c r="O1518" s="746" t="s">
        <v>4318</v>
      </c>
      <c r="P1518" s="547" t="s">
        <v>1588</v>
      </c>
      <c r="Q1518" s="689">
        <v>0</v>
      </c>
      <c r="R1518" s="689">
        <v>0</v>
      </c>
      <c r="S1518" s="689">
        <v>0</v>
      </c>
      <c r="T1518" s="689">
        <v>0</v>
      </c>
      <c r="U1518" s="547"/>
      <c r="V1518" s="547" t="s">
        <v>4319</v>
      </c>
      <c r="W1518" s="658">
        <v>444</v>
      </c>
      <c r="X1518" s="547" t="s">
        <v>1532</v>
      </c>
      <c r="Y1518" s="547" t="s">
        <v>3336</v>
      </c>
      <c r="Z1518" s="547"/>
      <c r="AA1518" s="547"/>
      <c r="AB1518" s="550"/>
    </row>
    <row r="1519" spans="1:28" ht="24" customHeight="1">
      <c r="A1519" s="606"/>
      <c r="B1519" s="544" t="s">
        <v>675</v>
      </c>
      <c r="C1519" s="551" t="s">
        <v>4320</v>
      </c>
      <c r="D1519" s="553" t="s">
        <v>4321</v>
      </c>
      <c r="E1519" s="563">
        <f t="shared" si="119"/>
        <v>120</v>
      </c>
      <c r="F1519" s="659">
        <v>0</v>
      </c>
      <c r="G1519" s="659">
        <v>0</v>
      </c>
      <c r="H1519" s="659">
        <v>120</v>
      </c>
      <c r="I1519" s="659">
        <f t="shared" si="120"/>
        <v>98</v>
      </c>
      <c r="J1519" s="659">
        <v>0</v>
      </c>
      <c r="K1519" s="659">
        <v>0</v>
      </c>
      <c r="L1519" s="741">
        <v>98</v>
      </c>
      <c r="M1519" s="687">
        <f t="shared" si="121"/>
        <v>81.666666666666671</v>
      </c>
      <c r="N1519" s="659">
        <f t="shared" si="122"/>
        <v>0</v>
      </c>
      <c r="O1519" s="746" t="s">
        <v>4322</v>
      </c>
      <c r="P1519" s="547" t="s">
        <v>1588</v>
      </c>
      <c r="Q1519" s="689">
        <v>0</v>
      </c>
      <c r="R1519" s="689">
        <v>0</v>
      </c>
      <c r="S1519" s="689">
        <v>0</v>
      </c>
      <c r="T1519" s="689">
        <v>0</v>
      </c>
      <c r="U1519" s="547"/>
      <c r="V1519" s="547" t="s">
        <v>4323</v>
      </c>
      <c r="W1519" s="658">
        <v>890</v>
      </c>
      <c r="X1519" s="547" t="s">
        <v>1532</v>
      </c>
      <c r="Y1519" s="547" t="s">
        <v>3336</v>
      </c>
      <c r="Z1519" s="547"/>
      <c r="AA1519" s="547"/>
      <c r="AB1519" s="550"/>
    </row>
    <row r="1520" spans="1:28" ht="24" customHeight="1">
      <c r="A1520" s="605" t="s">
        <v>1732</v>
      </c>
      <c r="B1520" s="544" t="s">
        <v>2201</v>
      </c>
      <c r="C1520" s="551" t="s">
        <v>2040</v>
      </c>
      <c r="D1520" s="553" t="s">
        <v>4324</v>
      </c>
      <c r="E1520" s="659">
        <f t="shared" si="119"/>
        <v>11000</v>
      </c>
      <c r="F1520" s="659">
        <v>0</v>
      </c>
      <c r="G1520" s="659">
        <v>11000</v>
      </c>
      <c r="H1520" s="659">
        <v>0</v>
      </c>
      <c r="I1520" s="659">
        <f t="shared" si="120"/>
        <v>10600</v>
      </c>
      <c r="J1520" s="659">
        <v>0</v>
      </c>
      <c r="K1520" s="659">
        <v>10600</v>
      </c>
      <c r="L1520" s="741">
        <v>0</v>
      </c>
      <c r="M1520" s="687">
        <v>78.400000000000006</v>
      </c>
      <c r="N1520" s="659">
        <v>73.7</v>
      </c>
      <c r="O1520" s="746" t="s">
        <v>7271</v>
      </c>
      <c r="P1520" s="547" t="s">
        <v>1588</v>
      </c>
      <c r="Q1520" s="689">
        <v>26.2</v>
      </c>
      <c r="R1520" s="689">
        <v>0</v>
      </c>
      <c r="S1520" s="689">
        <v>21</v>
      </c>
      <c r="T1520" s="689">
        <v>0</v>
      </c>
      <c r="U1520" s="547" t="s">
        <v>7489</v>
      </c>
      <c r="V1520" s="548" t="s">
        <v>4325</v>
      </c>
      <c r="W1520" s="658">
        <v>20411</v>
      </c>
      <c r="X1520" s="547" t="s">
        <v>2193</v>
      </c>
      <c r="Y1520" s="547" t="s">
        <v>1533</v>
      </c>
      <c r="Z1520" s="547" t="s">
        <v>1733</v>
      </c>
      <c r="AA1520" s="547" t="s">
        <v>1591</v>
      </c>
      <c r="AB1520" s="550" t="s">
        <v>1591</v>
      </c>
    </row>
    <row r="1521" spans="1:28" ht="24" customHeight="1">
      <c r="A1521" s="606"/>
      <c r="B1521" s="544" t="s">
        <v>675</v>
      </c>
      <c r="C1521" s="551" t="s">
        <v>4326</v>
      </c>
      <c r="D1521" s="553" t="s">
        <v>4327</v>
      </c>
      <c r="E1521" s="659">
        <f t="shared" si="119"/>
        <v>20</v>
      </c>
      <c r="F1521" s="659">
        <v>0</v>
      </c>
      <c r="G1521" s="659">
        <v>20</v>
      </c>
      <c r="H1521" s="659">
        <v>0</v>
      </c>
      <c r="I1521" s="659">
        <f t="shared" si="120"/>
        <v>20</v>
      </c>
      <c r="J1521" s="659">
        <v>0</v>
      </c>
      <c r="K1521" s="659">
        <v>20</v>
      </c>
      <c r="L1521" s="741">
        <v>0</v>
      </c>
      <c r="M1521" s="687">
        <v>0</v>
      </c>
      <c r="N1521" s="659">
        <v>0</v>
      </c>
      <c r="O1521" s="746" t="s">
        <v>3230</v>
      </c>
      <c r="P1521" s="547" t="s">
        <v>1588</v>
      </c>
      <c r="Q1521" s="689">
        <v>0</v>
      </c>
      <c r="R1521" s="689">
        <v>0</v>
      </c>
      <c r="S1521" s="689">
        <v>0</v>
      </c>
      <c r="T1521" s="689">
        <v>0</v>
      </c>
      <c r="U1521" s="547" t="s">
        <v>7490</v>
      </c>
      <c r="V1521" s="547" t="s">
        <v>4328</v>
      </c>
      <c r="W1521" s="658">
        <v>295</v>
      </c>
      <c r="X1521" s="547" t="s">
        <v>2193</v>
      </c>
      <c r="Y1521" s="547" t="s">
        <v>3161</v>
      </c>
      <c r="Z1521" s="547" t="s">
        <v>4329</v>
      </c>
      <c r="AA1521" s="547" t="s">
        <v>1733</v>
      </c>
      <c r="AB1521" s="550" t="s">
        <v>1591</v>
      </c>
    </row>
    <row r="1522" spans="1:28" ht="24" customHeight="1">
      <c r="A1522" s="606"/>
      <c r="B1522" s="544" t="s">
        <v>675</v>
      </c>
      <c r="C1522" s="551" t="s">
        <v>4330</v>
      </c>
      <c r="D1522" s="553" t="s">
        <v>4331</v>
      </c>
      <c r="E1522" s="662">
        <f t="shared" si="119"/>
        <v>40</v>
      </c>
      <c r="F1522" s="659">
        <v>0</v>
      </c>
      <c r="G1522" s="662">
        <v>40</v>
      </c>
      <c r="H1522" s="659">
        <v>0</v>
      </c>
      <c r="I1522" s="662">
        <f t="shared" si="120"/>
        <v>40</v>
      </c>
      <c r="J1522" s="659">
        <v>0</v>
      </c>
      <c r="K1522" s="662">
        <v>40</v>
      </c>
      <c r="L1522" s="741">
        <v>0</v>
      </c>
      <c r="M1522" s="687">
        <v>0</v>
      </c>
      <c r="N1522" s="659">
        <v>0</v>
      </c>
      <c r="O1522" s="746" t="s">
        <v>4332</v>
      </c>
      <c r="P1522" s="547" t="s">
        <v>1588</v>
      </c>
      <c r="Q1522" s="689">
        <v>0</v>
      </c>
      <c r="R1522" s="689">
        <v>0</v>
      </c>
      <c r="S1522" s="689">
        <v>0</v>
      </c>
      <c r="T1522" s="689">
        <v>0</v>
      </c>
      <c r="U1522" s="547" t="s">
        <v>7490</v>
      </c>
      <c r="V1522" s="547" t="s">
        <v>4333</v>
      </c>
      <c r="W1522" s="658">
        <v>230</v>
      </c>
      <c r="X1522" s="547" t="s">
        <v>2193</v>
      </c>
      <c r="Y1522" s="547" t="s">
        <v>3161</v>
      </c>
      <c r="Z1522" s="547" t="s">
        <v>1733</v>
      </c>
      <c r="AA1522" s="547" t="s">
        <v>1733</v>
      </c>
      <c r="AB1522" s="550" t="s">
        <v>1591</v>
      </c>
    </row>
    <row r="1523" spans="1:28" ht="24" customHeight="1">
      <c r="A1523" s="606"/>
      <c r="B1523" s="544" t="s">
        <v>675</v>
      </c>
      <c r="C1523" s="551" t="s">
        <v>4334</v>
      </c>
      <c r="D1523" s="553" t="s">
        <v>4335</v>
      </c>
      <c r="E1523" s="659">
        <f t="shared" si="119"/>
        <v>60</v>
      </c>
      <c r="F1523" s="659">
        <v>0</v>
      </c>
      <c r="G1523" s="659">
        <v>60</v>
      </c>
      <c r="H1523" s="659">
        <v>0</v>
      </c>
      <c r="I1523" s="659">
        <f t="shared" si="120"/>
        <v>60</v>
      </c>
      <c r="J1523" s="659">
        <v>0</v>
      </c>
      <c r="K1523" s="659">
        <v>60</v>
      </c>
      <c r="L1523" s="741">
        <v>0</v>
      </c>
      <c r="M1523" s="687">
        <v>0</v>
      </c>
      <c r="N1523" s="659">
        <v>0</v>
      </c>
      <c r="O1523" s="746" t="s">
        <v>4237</v>
      </c>
      <c r="P1523" s="547" t="s">
        <v>1588</v>
      </c>
      <c r="Q1523" s="689">
        <v>0</v>
      </c>
      <c r="R1523" s="689">
        <v>0</v>
      </c>
      <c r="S1523" s="689">
        <v>0</v>
      </c>
      <c r="T1523" s="689">
        <v>0</v>
      </c>
      <c r="U1523" s="547" t="s">
        <v>7490</v>
      </c>
      <c r="V1523" s="547" t="s">
        <v>4336</v>
      </c>
      <c r="W1523" s="658">
        <v>332</v>
      </c>
      <c r="X1523" s="547" t="s">
        <v>2193</v>
      </c>
      <c r="Y1523" s="547" t="s">
        <v>3161</v>
      </c>
      <c r="Z1523" s="547" t="s">
        <v>3028</v>
      </c>
      <c r="AA1523" s="547" t="s">
        <v>1591</v>
      </c>
      <c r="AB1523" s="550" t="s">
        <v>1591</v>
      </c>
    </row>
    <row r="1524" spans="1:28" ht="24" customHeight="1">
      <c r="A1524" s="606"/>
      <c r="B1524" s="544" t="s">
        <v>675</v>
      </c>
      <c r="C1524" s="551" t="s">
        <v>4337</v>
      </c>
      <c r="D1524" s="553" t="s">
        <v>4338</v>
      </c>
      <c r="E1524" s="662">
        <f t="shared" si="119"/>
        <v>30</v>
      </c>
      <c r="F1524" s="659">
        <v>0</v>
      </c>
      <c r="G1524" s="662">
        <v>30</v>
      </c>
      <c r="H1524" s="659">
        <v>0</v>
      </c>
      <c r="I1524" s="662">
        <f t="shared" si="120"/>
        <v>30</v>
      </c>
      <c r="J1524" s="659">
        <v>0</v>
      </c>
      <c r="K1524" s="662">
        <v>30</v>
      </c>
      <c r="L1524" s="741">
        <v>0</v>
      </c>
      <c r="M1524" s="687">
        <v>0</v>
      </c>
      <c r="N1524" s="659">
        <v>0</v>
      </c>
      <c r="O1524" s="746" t="s">
        <v>4339</v>
      </c>
      <c r="P1524" s="547" t="s">
        <v>1588</v>
      </c>
      <c r="Q1524" s="689">
        <v>0</v>
      </c>
      <c r="R1524" s="689">
        <v>0</v>
      </c>
      <c r="S1524" s="689">
        <v>0</v>
      </c>
      <c r="T1524" s="689">
        <v>0</v>
      </c>
      <c r="U1524" s="547" t="s">
        <v>7490</v>
      </c>
      <c r="V1524" s="547" t="s">
        <v>4340</v>
      </c>
      <c r="W1524" s="658">
        <v>94</v>
      </c>
      <c r="X1524" s="547" t="s">
        <v>2193</v>
      </c>
      <c r="Y1524" s="547" t="s">
        <v>3161</v>
      </c>
      <c r="Z1524" s="547" t="s">
        <v>3028</v>
      </c>
      <c r="AA1524" s="547" t="s">
        <v>1591</v>
      </c>
      <c r="AB1524" s="550" t="s">
        <v>1591</v>
      </c>
    </row>
    <row r="1525" spans="1:28" ht="24" customHeight="1">
      <c r="A1525" s="606"/>
      <c r="B1525" s="544" t="s">
        <v>675</v>
      </c>
      <c r="C1525" s="551" t="s">
        <v>4341</v>
      </c>
      <c r="D1525" s="553" t="s">
        <v>4342</v>
      </c>
      <c r="E1525" s="662">
        <f t="shared" si="119"/>
        <v>30</v>
      </c>
      <c r="F1525" s="659">
        <v>0</v>
      </c>
      <c r="G1525" s="662">
        <v>30</v>
      </c>
      <c r="H1525" s="659">
        <v>0</v>
      </c>
      <c r="I1525" s="662">
        <f t="shared" si="120"/>
        <v>30</v>
      </c>
      <c r="J1525" s="659">
        <v>0</v>
      </c>
      <c r="K1525" s="662">
        <v>30</v>
      </c>
      <c r="L1525" s="741">
        <v>0</v>
      </c>
      <c r="M1525" s="687">
        <v>0</v>
      </c>
      <c r="N1525" s="659">
        <v>0</v>
      </c>
      <c r="O1525" s="746" t="s">
        <v>4343</v>
      </c>
      <c r="P1525" s="547" t="s">
        <v>1588</v>
      </c>
      <c r="Q1525" s="689">
        <v>0</v>
      </c>
      <c r="R1525" s="689">
        <v>0</v>
      </c>
      <c r="S1525" s="689">
        <v>0</v>
      </c>
      <c r="T1525" s="689">
        <v>0</v>
      </c>
      <c r="U1525" s="547" t="s">
        <v>7490</v>
      </c>
      <c r="V1525" s="547" t="s">
        <v>4276</v>
      </c>
      <c r="W1525" s="658">
        <v>67</v>
      </c>
      <c r="X1525" s="547" t="s">
        <v>2193</v>
      </c>
      <c r="Y1525" s="547" t="s">
        <v>3161</v>
      </c>
      <c r="Z1525" s="547" t="s">
        <v>3028</v>
      </c>
      <c r="AA1525" s="547" t="s">
        <v>1591</v>
      </c>
      <c r="AB1525" s="550" t="s">
        <v>1591</v>
      </c>
    </row>
    <row r="1526" spans="1:28" ht="24" customHeight="1">
      <c r="A1526" s="606"/>
      <c r="B1526" s="544" t="s">
        <v>675</v>
      </c>
      <c r="C1526" s="551" t="s">
        <v>4344</v>
      </c>
      <c r="D1526" s="553" t="s">
        <v>4345</v>
      </c>
      <c r="E1526" s="662">
        <f t="shared" si="119"/>
        <v>30</v>
      </c>
      <c r="F1526" s="659">
        <v>0</v>
      </c>
      <c r="G1526" s="662">
        <v>30</v>
      </c>
      <c r="H1526" s="659">
        <v>0</v>
      </c>
      <c r="I1526" s="662">
        <f t="shared" si="120"/>
        <v>30</v>
      </c>
      <c r="J1526" s="659">
        <v>0</v>
      </c>
      <c r="K1526" s="662">
        <v>30</v>
      </c>
      <c r="L1526" s="741">
        <v>0</v>
      </c>
      <c r="M1526" s="687">
        <v>0</v>
      </c>
      <c r="N1526" s="659">
        <v>0</v>
      </c>
      <c r="O1526" s="746" t="s">
        <v>4346</v>
      </c>
      <c r="P1526" s="547" t="s">
        <v>1588</v>
      </c>
      <c r="Q1526" s="689">
        <v>0</v>
      </c>
      <c r="R1526" s="689">
        <v>0</v>
      </c>
      <c r="S1526" s="689">
        <v>0</v>
      </c>
      <c r="T1526" s="689">
        <v>0</v>
      </c>
      <c r="U1526" s="547" t="s">
        <v>7490</v>
      </c>
      <c r="V1526" s="547" t="s">
        <v>4347</v>
      </c>
      <c r="W1526" s="658">
        <v>200</v>
      </c>
      <c r="X1526" s="547" t="s">
        <v>2193</v>
      </c>
      <c r="Y1526" s="547" t="s">
        <v>3161</v>
      </c>
      <c r="Z1526" s="547" t="s">
        <v>3028</v>
      </c>
      <c r="AA1526" s="547" t="s">
        <v>1591</v>
      </c>
      <c r="AB1526" s="550" t="s">
        <v>1591</v>
      </c>
    </row>
    <row r="1527" spans="1:28" ht="24" customHeight="1">
      <c r="A1527" s="606"/>
      <c r="B1527" s="544" t="s">
        <v>675</v>
      </c>
      <c r="C1527" s="551" t="s">
        <v>4348</v>
      </c>
      <c r="D1527" s="553" t="s">
        <v>4349</v>
      </c>
      <c r="E1527" s="563">
        <f t="shared" si="119"/>
        <v>45</v>
      </c>
      <c r="F1527" s="659">
        <v>0</v>
      </c>
      <c r="G1527" s="659">
        <v>45</v>
      </c>
      <c r="H1527" s="659">
        <v>0</v>
      </c>
      <c r="I1527" s="659">
        <f t="shared" si="120"/>
        <v>45</v>
      </c>
      <c r="J1527" s="659">
        <v>0</v>
      </c>
      <c r="K1527" s="659">
        <v>45</v>
      </c>
      <c r="L1527" s="741">
        <v>0</v>
      </c>
      <c r="M1527" s="687">
        <v>0</v>
      </c>
      <c r="N1527" s="659">
        <v>0</v>
      </c>
      <c r="O1527" s="746" t="s">
        <v>4350</v>
      </c>
      <c r="P1527" s="547" t="s">
        <v>1588</v>
      </c>
      <c r="Q1527" s="689">
        <v>0</v>
      </c>
      <c r="R1527" s="689">
        <v>0</v>
      </c>
      <c r="S1527" s="689">
        <v>0</v>
      </c>
      <c r="T1527" s="689">
        <v>0</v>
      </c>
      <c r="U1527" s="547" t="s">
        <v>7490</v>
      </c>
      <c r="V1527" s="548" t="s">
        <v>4351</v>
      </c>
      <c r="W1527" s="658">
        <v>876</v>
      </c>
      <c r="X1527" s="547" t="s">
        <v>2193</v>
      </c>
      <c r="Y1527" s="547" t="s">
        <v>3161</v>
      </c>
      <c r="Z1527" s="547" t="s">
        <v>4352</v>
      </c>
      <c r="AA1527" s="547" t="s">
        <v>1591</v>
      </c>
      <c r="AB1527" s="550" t="s">
        <v>1591</v>
      </c>
    </row>
    <row r="1528" spans="1:28" ht="24" customHeight="1">
      <c r="A1528" s="606"/>
      <c r="B1528" s="544" t="s">
        <v>675</v>
      </c>
      <c r="C1528" s="551" t="s">
        <v>4353</v>
      </c>
      <c r="D1528" s="553" t="s">
        <v>4354</v>
      </c>
      <c r="E1528" s="662">
        <f t="shared" si="119"/>
        <v>30</v>
      </c>
      <c r="F1528" s="659">
        <v>0</v>
      </c>
      <c r="G1528" s="662">
        <v>30</v>
      </c>
      <c r="H1528" s="659">
        <v>0</v>
      </c>
      <c r="I1528" s="662">
        <f t="shared" si="120"/>
        <v>30</v>
      </c>
      <c r="J1528" s="659">
        <v>0</v>
      </c>
      <c r="K1528" s="662">
        <v>30</v>
      </c>
      <c r="L1528" s="741">
        <v>0</v>
      </c>
      <c r="M1528" s="687">
        <v>0</v>
      </c>
      <c r="N1528" s="659">
        <v>0</v>
      </c>
      <c r="O1528" s="746" t="s">
        <v>4355</v>
      </c>
      <c r="P1528" s="547" t="s">
        <v>1588</v>
      </c>
      <c r="Q1528" s="689">
        <v>0</v>
      </c>
      <c r="R1528" s="689">
        <v>0</v>
      </c>
      <c r="S1528" s="689">
        <v>0</v>
      </c>
      <c r="T1528" s="689">
        <v>0</v>
      </c>
      <c r="U1528" s="547" t="s">
        <v>7490</v>
      </c>
      <c r="V1528" s="547" t="s">
        <v>4356</v>
      </c>
      <c r="W1528" s="658">
        <v>190</v>
      </c>
      <c r="X1528" s="547" t="s">
        <v>2193</v>
      </c>
      <c r="Y1528" s="547" t="s">
        <v>3161</v>
      </c>
      <c r="Z1528" s="547" t="s">
        <v>1734</v>
      </c>
      <c r="AA1528" s="547" t="s">
        <v>1591</v>
      </c>
      <c r="AB1528" s="550" t="s">
        <v>1591</v>
      </c>
    </row>
    <row r="1529" spans="1:28" ht="24" customHeight="1">
      <c r="A1529" s="606"/>
      <c r="B1529" s="544" t="s">
        <v>675</v>
      </c>
      <c r="C1529" s="551" t="s">
        <v>2105</v>
      </c>
      <c r="D1529" s="553" t="s">
        <v>4357</v>
      </c>
      <c r="E1529" s="662">
        <f t="shared" si="119"/>
        <v>30</v>
      </c>
      <c r="F1529" s="659">
        <v>0</v>
      </c>
      <c r="G1529" s="662">
        <v>30</v>
      </c>
      <c r="H1529" s="659">
        <v>0</v>
      </c>
      <c r="I1529" s="662">
        <f t="shared" si="120"/>
        <v>30</v>
      </c>
      <c r="J1529" s="659">
        <v>0</v>
      </c>
      <c r="K1529" s="662">
        <v>30</v>
      </c>
      <c r="L1529" s="741">
        <v>0</v>
      </c>
      <c r="M1529" s="687">
        <v>0</v>
      </c>
      <c r="N1529" s="659">
        <v>0</v>
      </c>
      <c r="O1529" s="746" t="s">
        <v>4358</v>
      </c>
      <c r="P1529" s="547" t="s">
        <v>1588</v>
      </c>
      <c r="Q1529" s="689">
        <v>0</v>
      </c>
      <c r="R1529" s="689">
        <v>0</v>
      </c>
      <c r="S1529" s="689">
        <v>0</v>
      </c>
      <c r="T1529" s="689">
        <v>0</v>
      </c>
      <c r="U1529" s="547" t="s">
        <v>7490</v>
      </c>
      <c r="V1529" s="547" t="s">
        <v>4359</v>
      </c>
      <c r="W1529" s="658">
        <v>362</v>
      </c>
      <c r="X1529" s="547" t="s">
        <v>2193</v>
      </c>
      <c r="Y1529" s="547" t="s">
        <v>3161</v>
      </c>
      <c r="Z1529" s="547" t="s">
        <v>1734</v>
      </c>
      <c r="AA1529" s="547" t="s">
        <v>1591</v>
      </c>
      <c r="AB1529" s="550" t="s">
        <v>1591</v>
      </c>
    </row>
    <row r="1530" spans="1:28" ht="24" customHeight="1">
      <c r="A1530" s="606"/>
      <c r="B1530" s="544" t="s">
        <v>675</v>
      </c>
      <c r="C1530" s="551" t="s">
        <v>811</v>
      </c>
      <c r="D1530" s="553" t="s">
        <v>4360</v>
      </c>
      <c r="E1530" s="662">
        <f t="shared" si="119"/>
        <v>40</v>
      </c>
      <c r="F1530" s="659">
        <v>0</v>
      </c>
      <c r="G1530" s="662">
        <v>40</v>
      </c>
      <c r="H1530" s="659">
        <v>0</v>
      </c>
      <c r="I1530" s="662">
        <f t="shared" si="120"/>
        <v>40</v>
      </c>
      <c r="J1530" s="659">
        <v>0</v>
      </c>
      <c r="K1530" s="662">
        <v>40</v>
      </c>
      <c r="L1530" s="741">
        <v>0</v>
      </c>
      <c r="M1530" s="687">
        <v>0</v>
      </c>
      <c r="N1530" s="659">
        <v>0</v>
      </c>
      <c r="O1530" s="746" t="s">
        <v>3948</v>
      </c>
      <c r="P1530" s="547" t="s">
        <v>1588</v>
      </c>
      <c r="Q1530" s="689">
        <v>0</v>
      </c>
      <c r="R1530" s="689">
        <v>0</v>
      </c>
      <c r="S1530" s="689">
        <v>0</v>
      </c>
      <c r="T1530" s="689">
        <v>0</v>
      </c>
      <c r="U1530" s="547" t="s">
        <v>7490</v>
      </c>
      <c r="V1530" s="547" t="s">
        <v>4361</v>
      </c>
      <c r="W1530" s="658">
        <v>380</v>
      </c>
      <c r="X1530" s="547" t="s">
        <v>2193</v>
      </c>
      <c r="Y1530" s="547" t="s">
        <v>3161</v>
      </c>
      <c r="Z1530" s="547" t="s">
        <v>1734</v>
      </c>
      <c r="AA1530" s="547" t="s">
        <v>1591</v>
      </c>
      <c r="AB1530" s="550" t="s">
        <v>1591</v>
      </c>
    </row>
    <row r="1531" spans="1:28" ht="24" customHeight="1">
      <c r="A1531" s="606"/>
      <c r="B1531" s="544" t="s">
        <v>675</v>
      </c>
      <c r="C1531" s="551" t="s">
        <v>4362</v>
      </c>
      <c r="D1531" s="553" t="s">
        <v>4363</v>
      </c>
      <c r="E1531" s="662">
        <f t="shared" si="119"/>
        <v>40</v>
      </c>
      <c r="F1531" s="659">
        <v>0</v>
      </c>
      <c r="G1531" s="662">
        <v>40</v>
      </c>
      <c r="H1531" s="659">
        <v>0</v>
      </c>
      <c r="I1531" s="662">
        <f t="shared" si="120"/>
        <v>40</v>
      </c>
      <c r="J1531" s="659">
        <v>0</v>
      </c>
      <c r="K1531" s="662">
        <v>40</v>
      </c>
      <c r="L1531" s="741">
        <v>0</v>
      </c>
      <c r="M1531" s="687">
        <v>0</v>
      </c>
      <c r="N1531" s="659">
        <v>0</v>
      </c>
      <c r="O1531" s="746" t="s">
        <v>6489</v>
      </c>
      <c r="P1531" s="547" t="s">
        <v>1588</v>
      </c>
      <c r="Q1531" s="689">
        <v>0</v>
      </c>
      <c r="R1531" s="689">
        <v>0</v>
      </c>
      <c r="S1531" s="689">
        <v>0</v>
      </c>
      <c r="T1531" s="689">
        <v>0</v>
      </c>
      <c r="U1531" s="547" t="s">
        <v>7490</v>
      </c>
      <c r="V1531" s="548" t="s">
        <v>4364</v>
      </c>
      <c r="W1531" s="658">
        <v>919</v>
      </c>
      <c r="X1531" s="547" t="s">
        <v>2193</v>
      </c>
      <c r="Y1531" s="547" t="s">
        <v>3161</v>
      </c>
      <c r="Z1531" s="547" t="s">
        <v>1734</v>
      </c>
      <c r="AA1531" s="547" t="s">
        <v>1591</v>
      </c>
      <c r="AB1531" s="550" t="s">
        <v>1591</v>
      </c>
    </row>
    <row r="1532" spans="1:28" ht="24" customHeight="1">
      <c r="A1532" s="606"/>
      <c r="B1532" s="544" t="s">
        <v>675</v>
      </c>
      <c r="C1532" s="551" t="s">
        <v>2125</v>
      </c>
      <c r="D1532" s="553" t="s">
        <v>4365</v>
      </c>
      <c r="E1532" s="659">
        <f t="shared" si="119"/>
        <v>50</v>
      </c>
      <c r="F1532" s="659">
        <v>0</v>
      </c>
      <c r="G1532" s="659">
        <v>50</v>
      </c>
      <c r="H1532" s="659">
        <v>0</v>
      </c>
      <c r="I1532" s="659">
        <f t="shared" si="120"/>
        <v>50</v>
      </c>
      <c r="J1532" s="659">
        <v>0</v>
      </c>
      <c r="K1532" s="659">
        <v>50</v>
      </c>
      <c r="L1532" s="741">
        <v>0</v>
      </c>
      <c r="M1532" s="687">
        <v>0</v>
      </c>
      <c r="N1532" s="659">
        <v>0</v>
      </c>
      <c r="O1532" s="746" t="s">
        <v>938</v>
      </c>
      <c r="P1532" s="547" t="s">
        <v>1588</v>
      </c>
      <c r="Q1532" s="689">
        <v>0</v>
      </c>
      <c r="R1532" s="689">
        <v>0</v>
      </c>
      <c r="S1532" s="689">
        <v>0</v>
      </c>
      <c r="T1532" s="689">
        <v>0</v>
      </c>
      <c r="U1532" s="547" t="s">
        <v>7490</v>
      </c>
      <c r="V1532" s="547" t="s">
        <v>4366</v>
      </c>
      <c r="W1532" s="658">
        <v>400</v>
      </c>
      <c r="X1532" s="547" t="s">
        <v>2193</v>
      </c>
      <c r="Y1532" s="547" t="s">
        <v>3161</v>
      </c>
      <c r="Z1532" s="547" t="s">
        <v>1735</v>
      </c>
      <c r="AA1532" s="547" t="s">
        <v>1733</v>
      </c>
      <c r="AB1532" s="550" t="s">
        <v>1591</v>
      </c>
    </row>
    <row r="1533" spans="1:28" ht="24" customHeight="1">
      <c r="A1533" s="606"/>
      <c r="B1533" s="544" t="s">
        <v>675</v>
      </c>
      <c r="C1533" s="551" t="s">
        <v>4367</v>
      </c>
      <c r="D1533" s="553" t="s">
        <v>4368</v>
      </c>
      <c r="E1533" s="662">
        <f t="shared" si="119"/>
        <v>30</v>
      </c>
      <c r="F1533" s="659">
        <v>0</v>
      </c>
      <c r="G1533" s="662">
        <v>30</v>
      </c>
      <c r="H1533" s="659">
        <v>0</v>
      </c>
      <c r="I1533" s="662">
        <f t="shared" si="120"/>
        <v>30</v>
      </c>
      <c r="J1533" s="659">
        <v>0</v>
      </c>
      <c r="K1533" s="662">
        <v>30</v>
      </c>
      <c r="L1533" s="741">
        <v>0</v>
      </c>
      <c r="M1533" s="687">
        <v>0</v>
      </c>
      <c r="N1533" s="659">
        <v>0</v>
      </c>
      <c r="O1533" s="746" t="s">
        <v>6489</v>
      </c>
      <c r="P1533" s="547" t="s">
        <v>1588</v>
      </c>
      <c r="Q1533" s="689">
        <v>0</v>
      </c>
      <c r="R1533" s="689">
        <v>0</v>
      </c>
      <c r="S1533" s="689">
        <v>0</v>
      </c>
      <c r="T1533" s="689">
        <v>0</v>
      </c>
      <c r="U1533" s="547" t="s">
        <v>7490</v>
      </c>
      <c r="V1533" s="547" t="s">
        <v>2075</v>
      </c>
      <c r="W1533" s="658">
        <v>320</v>
      </c>
      <c r="X1533" s="547" t="s">
        <v>2193</v>
      </c>
      <c r="Y1533" s="547" t="s">
        <v>3161</v>
      </c>
      <c r="Z1533" s="547" t="s">
        <v>1735</v>
      </c>
      <c r="AA1533" s="547" t="s">
        <v>1733</v>
      </c>
      <c r="AB1533" s="550" t="s">
        <v>1591</v>
      </c>
    </row>
    <row r="1534" spans="1:28" ht="24" customHeight="1">
      <c r="A1534" s="606"/>
      <c r="B1534" s="544" t="s">
        <v>675</v>
      </c>
      <c r="C1534" s="551" t="s">
        <v>6638</v>
      </c>
      <c r="D1534" s="553" t="s">
        <v>4369</v>
      </c>
      <c r="E1534" s="662">
        <f t="shared" si="119"/>
        <v>30</v>
      </c>
      <c r="F1534" s="659">
        <v>0</v>
      </c>
      <c r="G1534" s="662">
        <v>30</v>
      </c>
      <c r="H1534" s="659">
        <v>0</v>
      </c>
      <c r="I1534" s="662">
        <f t="shared" si="120"/>
        <v>30</v>
      </c>
      <c r="J1534" s="659">
        <v>0</v>
      </c>
      <c r="K1534" s="662">
        <v>30</v>
      </c>
      <c r="L1534" s="741">
        <v>0</v>
      </c>
      <c r="M1534" s="687">
        <v>0</v>
      </c>
      <c r="N1534" s="659">
        <v>0</v>
      </c>
      <c r="O1534" s="746" t="s">
        <v>4370</v>
      </c>
      <c r="P1534" s="547" t="s">
        <v>1588</v>
      </c>
      <c r="Q1534" s="689">
        <v>0</v>
      </c>
      <c r="R1534" s="689">
        <v>0</v>
      </c>
      <c r="S1534" s="689">
        <v>0</v>
      </c>
      <c r="T1534" s="689">
        <v>0</v>
      </c>
      <c r="U1534" s="547" t="s">
        <v>7490</v>
      </c>
      <c r="V1534" s="547" t="s">
        <v>2565</v>
      </c>
      <c r="W1534" s="658">
        <v>109</v>
      </c>
      <c r="X1534" s="547" t="s">
        <v>2193</v>
      </c>
      <c r="Y1534" s="547" t="s">
        <v>3161</v>
      </c>
      <c r="Z1534" s="547" t="s">
        <v>1735</v>
      </c>
      <c r="AA1534" s="547" t="s">
        <v>1733</v>
      </c>
      <c r="AB1534" s="550" t="s">
        <v>1591</v>
      </c>
    </row>
    <row r="1535" spans="1:28" ht="24" customHeight="1">
      <c r="A1535" s="606"/>
      <c r="B1535" s="544" t="s">
        <v>675</v>
      </c>
      <c r="C1535" s="551" t="s">
        <v>4371</v>
      </c>
      <c r="D1535" s="553" t="s">
        <v>4372</v>
      </c>
      <c r="E1535" s="662">
        <f t="shared" si="119"/>
        <v>40</v>
      </c>
      <c r="F1535" s="659">
        <v>0</v>
      </c>
      <c r="G1535" s="662">
        <v>40</v>
      </c>
      <c r="H1535" s="659">
        <v>0</v>
      </c>
      <c r="I1535" s="662">
        <f t="shared" si="120"/>
        <v>40</v>
      </c>
      <c r="J1535" s="659">
        <v>0</v>
      </c>
      <c r="K1535" s="662">
        <v>40</v>
      </c>
      <c r="L1535" s="741">
        <v>0</v>
      </c>
      <c r="M1535" s="687">
        <v>0</v>
      </c>
      <c r="N1535" s="659">
        <v>0</v>
      </c>
      <c r="O1535" s="746" t="s">
        <v>6489</v>
      </c>
      <c r="P1535" s="547" t="s">
        <v>1588</v>
      </c>
      <c r="Q1535" s="689">
        <v>0</v>
      </c>
      <c r="R1535" s="689">
        <v>0</v>
      </c>
      <c r="S1535" s="689">
        <v>0</v>
      </c>
      <c r="T1535" s="689">
        <v>0</v>
      </c>
      <c r="U1535" s="547" t="s">
        <v>7490</v>
      </c>
      <c r="V1535" s="548" t="s">
        <v>4373</v>
      </c>
      <c r="W1535" s="658">
        <v>671</v>
      </c>
      <c r="X1535" s="547" t="s">
        <v>2193</v>
      </c>
      <c r="Y1535" s="547" t="s">
        <v>3161</v>
      </c>
      <c r="Z1535" s="547" t="s">
        <v>1735</v>
      </c>
      <c r="AA1535" s="547" t="s">
        <v>1733</v>
      </c>
      <c r="AB1535" s="550" t="s">
        <v>1591</v>
      </c>
    </row>
    <row r="1536" spans="1:28" ht="24" customHeight="1">
      <c r="A1536" s="606"/>
      <c r="B1536" s="544" t="s">
        <v>675</v>
      </c>
      <c r="C1536" s="551" t="s">
        <v>4374</v>
      </c>
      <c r="D1536" s="553" t="s">
        <v>4375</v>
      </c>
      <c r="E1536" s="659">
        <f t="shared" si="119"/>
        <v>110</v>
      </c>
      <c r="F1536" s="659">
        <v>0</v>
      </c>
      <c r="G1536" s="659">
        <v>110</v>
      </c>
      <c r="H1536" s="659">
        <v>0</v>
      </c>
      <c r="I1536" s="659">
        <f t="shared" si="120"/>
        <v>110</v>
      </c>
      <c r="J1536" s="659">
        <v>0</v>
      </c>
      <c r="K1536" s="659">
        <v>110</v>
      </c>
      <c r="L1536" s="741">
        <v>0</v>
      </c>
      <c r="M1536" s="687">
        <v>0</v>
      </c>
      <c r="N1536" s="659">
        <v>0</v>
      </c>
      <c r="O1536" s="746" t="s">
        <v>4376</v>
      </c>
      <c r="P1536" s="547" t="s">
        <v>1588</v>
      </c>
      <c r="Q1536" s="689">
        <v>0</v>
      </c>
      <c r="R1536" s="689">
        <v>0</v>
      </c>
      <c r="S1536" s="689">
        <v>0</v>
      </c>
      <c r="T1536" s="689">
        <v>0</v>
      </c>
      <c r="U1536" s="547" t="s">
        <v>7490</v>
      </c>
      <c r="V1536" s="547" t="s">
        <v>4377</v>
      </c>
      <c r="W1536" s="658">
        <v>448</v>
      </c>
      <c r="X1536" s="547" t="s">
        <v>2193</v>
      </c>
      <c r="Y1536" s="547" t="s">
        <v>3161</v>
      </c>
      <c r="Z1536" s="547" t="s">
        <v>1730</v>
      </c>
      <c r="AA1536" s="547" t="s">
        <v>1591</v>
      </c>
      <c r="AB1536" s="550" t="s">
        <v>1591</v>
      </c>
    </row>
    <row r="1537" spans="1:28" ht="24" customHeight="1">
      <c r="A1537" s="606"/>
      <c r="B1537" s="544" t="s">
        <v>675</v>
      </c>
      <c r="C1537" s="551" t="s">
        <v>4378</v>
      </c>
      <c r="D1537" s="553" t="s">
        <v>4379</v>
      </c>
      <c r="E1537" s="659">
        <f t="shared" si="119"/>
        <v>60</v>
      </c>
      <c r="F1537" s="659">
        <v>0</v>
      </c>
      <c r="G1537" s="659">
        <v>60</v>
      </c>
      <c r="H1537" s="659">
        <v>0</v>
      </c>
      <c r="I1537" s="659">
        <f t="shared" si="120"/>
        <v>60</v>
      </c>
      <c r="J1537" s="659">
        <v>0</v>
      </c>
      <c r="K1537" s="659">
        <v>60</v>
      </c>
      <c r="L1537" s="741">
        <v>0</v>
      </c>
      <c r="M1537" s="687">
        <v>0</v>
      </c>
      <c r="N1537" s="659">
        <v>0</v>
      </c>
      <c r="O1537" s="746" t="s">
        <v>4380</v>
      </c>
      <c r="P1537" s="547" t="s">
        <v>1588</v>
      </c>
      <c r="Q1537" s="689">
        <v>0</v>
      </c>
      <c r="R1537" s="689">
        <v>0</v>
      </c>
      <c r="S1537" s="689">
        <v>0</v>
      </c>
      <c r="T1537" s="689">
        <v>0</v>
      </c>
      <c r="U1537" s="547" t="s">
        <v>7490</v>
      </c>
      <c r="V1537" s="547" t="s">
        <v>4328</v>
      </c>
      <c r="W1537" s="658">
        <v>307</v>
      </c>
      <c r="X1537" s="547" t="s">
        <v>2193</v>
      </c>
      <c r="Y1537" s="547" t="s">
        <v>3161</v>
      </c>
      <c r="Z1537" s="547" t="s">
        <v>1736</v>
      </c>
      <c r="AA1537" s="547" t="s">
        <v>1733</v>
      </c>
      <c r="AB1537" s="550" t="s">
        <v>1591</v>
      </c>
    </row>
    <row r="1538" spans="1:28" ht="24" customHeight="1">
      <c r="A1538" s="606"/>
      <c r="B1538" s="544" t="s">
        <v>675</v>
      </c>
      <c r="C1538" s="551" t="s">
        <v>4381</v>
      </c>
      <c r="D1538" s="553" t="s">
        <v>4382</v>
      </c>
      <c r="E1538" s="659">
        <f t="shared" si="119"/>
        <v>70</v>
      </c>
      <c r="F1538" s="659">
        <v>0</v>
      </c>
      <c r="G1538" s="659">
        <v>70</v>
      </c>
      <c r="H1538" s="659">
        <v>0</v>
      </c>
      <c r="I1538" s="659">
        <f t="shared" si="120"/>
        <v>70</v>
      </c>
      <c r="J1538" s="659">
        <v>0</v>
      </c>
      <c r="K1538" s="659">
        <v>70</v>
      </c>
      <c r="L1538" s="741">
        <v>0</v>
      </c>
      <c r="M1538" s="687">
        <v>0</v>
      </c>
      <c r="N1538" s="659">
        <v>0</v>
      </c>
      <c r="O1538" s="746" t="s">
        <v>4376</v>
      </c>
      <c r="P1538" s="547" t="s">
        <v>1588</v>
      </c>
      <c r="Q1538" s="689">
        <v>0</v>
      </c>
      <c r="R1538" s="689">
        <v>0</v>
      </c>
      <c r="S1538" s="689">
        <v>0</v>
      </c>
      <c r="T1538" s="689">
        <v>0</v>
      </c>
      <c r="U1538" s="547" t="s">
        <v>7490</v>
      </c>
      <c r="V1538" s="547" t="s">
        <v>4336</v>
      </c>
      <c r="W1538" s="658">
        <v>325</v>
      </c>
      <c r="X1538" s="547" t="s">
        <v>2193</v>
      </c>
      <c r="Y1538" s="547" t="s">
        <v>1533</v>
      </c>
      <c r="Z1538" s="547" t="s">
        <v>1736</v>
      </c>
      <c r="AA1538" s="547" t="s">
        <v>1733</v>
      </c>
      <c r="AB1538" s="550" t="s">
        <v>1591</v>
      </c>
    </row>
    <row r="1539" spans="1:28" ht="24" customHeight="1">
      <c r="A1539" s="606"/>
      <c r="B1539" s="544" t="s">
        <v>675</v>
      </c>
      <c r="C1539" s="551" t="s">
        <v>4987</v>
      </c>
      <c r="D1539" s="553" t="s">
        <v>4383</v>
      </c>
      <c r="E1539" s="659">
        <f t="shared" si="119"/>
        <v>50</v>
      </c>
      <c r="F1539" s="659">
        <v>0</v>
      </c>
      <c r="G1539" s="659">
        <v>50</v>
      </c>
      <c r="H1539" s="659">
        <v>0</v>
      </c>
      <c r="I1539" s="659">
        <f t="shared" si="120"/>
        <v>50</v>
      </c>
      <c r="J1539" s="659">
        <v>0</v>
      </c>
      <c r="K1539" s="659">
        <v>50</v>
      </c>
      <c r="L1539" s="741">
        <v>0</v>
      </c>
      <c r="M1539" s="687">
        <v>0</v>
      </c>
      <c r="N1539" s="659">
        <v>0</v>
      </c>
      <c r="O1539" s="746" t="s">
        <v>2964</v>
      </c>
      <c r="P1539" s="547" t="s">
        <v>1588</v>
      </c>
      <c r="Q1539" s="689">
        <v>0</v>
      </c>
      <c r="R1539" s="689">
        <v>0</v>
      </c>
      <c r="S1539" s="689">
        <v>0</v>
      </c>
      <c r="T1539" s="689">
        <v>0</v>
      </c>
      <c r="U1539" s="547" t="s">
        <v>7490</v>
      </c>
      <c r="V1539" s="547" t="s">
        <v>4377</v>
      </c>
      <c r="W1539" s="658">
        <v>262</v>
      </c>
      <c r="X1539" s="547" t="s">
        <v>2193</v>
      </c>
      <c r="Y1539" s="547" t="s">
        <v>3161</v>
      </c>
      <c r="Z1539" s="547" t="s">
        <v>1737</v>
      </c>
      <c r="AA1539" s="547" t="s">
        <v>1733</v>
      </c>
      <c r="AB1539" s="550" t="s">
        <v>1591</v>
      </c>
    </row>
    <row r="1540" spans="1:28" ht="24" customHeight="1">
      <c r="A1540" s="606"/>
      <c r="B1540" s="544" t="s">
        <v>675</v>
      </c>
      <c r="C1540" s="551" t="s">
        <v>6604</v>
      </c>
      <c r="D1540" s="553" t="s">
        <v>4384</v>
      </c>
      <c r="E1540" s="662">
        <f t="shared" si="119"/>
        <v>30</v>
      </c>
      <c r="F1540" s="659">
        <v>0</v>
      </c>
      <c r="G1540" s="662">
        <v>30</v>
      </c>
      <c r="H1540" s="659">
        <v>0</v>
      </c>
      <c r="I1540" s="662">
        <f t="shared" si="120"/>
        <v>30</v>
      </c>
      <c r="J1540" s="659">
        <v>0</v>
      </c>
      <c r="K1540" s="662">
        <v>30</v>
      </c>
      <c r="L1540" s="741">
        <v>0</v>
      </c>
      <c r="M1540" s="687">
        <v>0</v>
      </c>
      <c r="N1540" s="659">
        <v>0</v>
      </c>
      <c r="O1540" s="746" t="s">
        <v>7315</v>
      </c>
      <c r="P1540" s="547" t="s">
        <v>1588</v>
      </c>
      <c r="Q1540" s="689">
        <v>0</v>
      </c>
      <c r="R1540" s="689">
        <v>0</v>
      </c>
      <c r="S1540" s="689">
        <v>0</v>
      </c>
      <c r="T1540" s="689">
        <v>0</v>
      </c>
      <c r="U1540" s="547" t="s">
        <v>7490</v>
      </c>
      <c r="V1540" s="547" t="s">
        <v>4385</v>
      </c>
      <c r="W1540" s="658">
        <v>180</v>
      </c>
      <c r="X1540" s="547" t="s">
        <v>2193</v>
      </c>
      <c r="Y1540" s="547" t="s">
        <v>3161</v>
      </c>
      <c r="Z1540" s="547" t="s">
        <v>1737</v>
      </c>
      <c r="AA1540" s="547" t="s">
        <v>1733</v>
      </c>
      <c r="AB1540" s="550" t="s">
        <v>1591</v>
      </c>
    </row>
    <row r="1541" spans="1:28" ht="24" customHeight="1">
      <c r="A1541" s="606"/>
      <c r="B1541" s="544" t="s">
        <v>675</v>
      </c>
      <c r="C1541" s="551" t="s">
        <v>4386</v>
      </c>
      <c r="D1541" s="553" t="s">
        <v>4387</v>
      </c>
      <c r="E1541" s="662">
        <f t="shared" si="119"/>
        <v>45</v>
      </c>
      <c r="F1541" s="659">
        <v>0</v>
      </c>
      <c r="G1541" s="662">
        <v>45</v>
      </c>
      <c r="H1541" s="659">
        <v>0</v>
      </c>
      <c r="I1541" s="662">
        <f t="shared" si="120"/>
        <v>45</v>
      </c>
      <c r="J1541" s="659">
        <v>0</v>
      </c>
      <c r="K1541" s="662">
        <v>45</v>
      </c>
      <c r="L1541" s="741">
        <v>0</v>
      </c>
      <c r="M1541" s="687">
        <v>0</v>
      </c>
      <c r="N1541" s="659">
        <v>0</v>
      </c>
      <c r="O1541" s="746" t="s">
        <v>4388</v>
      </c>
      <c r="P1541" s="547" t="s">
        <v>1588</v>
      </c>
      <c r="Q1541" s="689">
        <v>0</v>
      </c>
      <c r="R1541" s="689">
        <v>0</v>
      </c>
      <c r="S1541" s="689">
        <v>0</v>
      </c>
      <c r="T1541" s="689">
        <v>0</v>
      </c>
      <c r="U1541" s="547" t="s">
        <v>7490</v>
      </c>
      <c r="V1541" s="547" t="s">
        <v>4389</v>
      </c>
      <c r="W1541" s="658">
        <v>499</v>
      </c>
      <c r="X1541" s="547" t="s">
        <v>2193</v>
      </c>
      <c r="Y1541" s="547" t="s">
        <v>3161</v>
      </c>
      <c r="Z1541" s="547" t="s">
        <v>1737</v>
      </c>
      <c r="AA1541" s="547" t="s">
        <v>1733</v>
      </c>
      <c r="AB1541" s="550" t="s">
        <v>1591</v>
      </c>
    </row>
    <row r="1542" spans="1:28" ht="24" customHeight="1">
      <c r="A1542" s="606"/>
      <c r="B1542" s="544" t="s">
        <v>675</v>
      </c>
      <c r="C1542" s="551" t="s">
        <v>4390</v>
      </c>
      <c r="D1542" s="553" t="s">
        <v>4391</v>
      </c>
      <c r="E1542" s="662">
        <f t="shared" si="119"/>
        <v>30</v>
      </c>
      <c r="F1542" s="659">
        <v>0</v>
      </c>
      <c r="G1542" s="662">
        <v>30</v>
      </c>
      <c r="H1542" s="659">
        <v>0</v>
      </c>
      <c r="I1542" s="662">
        <f t="shared" si="120"/>
        <v>30</v>
      </c>
      <c r="J1542" s="659">
        <v>0</v>
      </c>
      <c r="K1542" s="662">
        <v>30</v>
      </c>
      <c r="L1542" s="741">
        <v>0</v>
      </c>
      <c r="M1542" s="687">
        <v>0</v>
      </c>
      <c r="N1542" s="659">
        <v>0</v>
      </c>
      <c r="O1542" s="746" t="s">
        <v>7315</v>
      </c>
      <c r="P1542" s="547" t="s">
        <v>1588</v>
      </c>
      <c r="Q1542" s="689">
        <v>0</v>
      </c>
      <c r="R1542" s="689">
        <v>0</v>
      </c>
      <c r="S1542" s="689">
        <v>0</v>
      </c>
      <c r="T1542" s="689">
        <v>0</v>
      </c>
      <c r="U1542" s="547" t="s">
        <v>7490</v>
      </c>
      <c r="V1542" s="548" t="s">
        <v>4392</v>
      </c>
      <c r="W1542" s="658">
        <v>433</v>
      </c>
      <c r="X1542" s="547" t="s">
        <v>2193</v>
      </c>
      <c r="Y1542" s="547" t="s">
        <v>3161</v>
      </c>
      <c r="Z1542" s="547" t="s">
        <v>1737</v>
      </c>
      <c r="AA1542" s="547" t="s">
        <v>1733</v>
      </c>
      <c r="AB1542" s="550" t="s">
        <v>1591</v>
      </c>
    </row>
    <row r="1543" spans="1:28" ht="24" customHeight="1">
      <c r="A1543" s="606"/>
      <c r="B1543" s="544" t="s">
        <v>675</v>
      </c>
      <c r="C1543" s="551" t="s">
        <v>4393</v>
      </c>
      <c r="D1543" s="553" t="s">
        <v>4394</v>
      </c>
      <c r="E1543" s="659">
        <f t="shared" si="119"/>
        <v>50</v>
      </c>
      <c r="F1543" s="659">
        <v>0</v>
      </c>
      <c r="G1543" s="659">
        <v>50</v>
      </c>
      <c r="H1543" s="659">
        <v>0</v>
      </c>
      <c r="I1543" s="659">
        <f t="shared" si="120"/>
        <v>50</v>
      </c>
      <c r="J1543" s="659">
        <v>0</v>
      </c>
      <c r="K1543" s="659">
        <v>50</v>
      </c>
      <c r="L1543" s="741">
        <v>0</v>
      </c>
      <c r="M1543" s="687">
        <v>0</v>
      </c>
      <c r="N1543" s="659">
        <v>0</v>
      </c>
      <c r="O1543" s="746" t="s">
        <v>2964</v>
      </c>
      <c r="P1543" s="547" t="s">
        <v>1588</v>
      </c>
      <c r="Q1543" s="689">
        <v>0</v>
      </c>
      <c r="R1543" s="689">
        <v>0</v>
      </c>
      <c r="S1543" s="689">
        <v>0</v>
      </c>
      <c r="T1543" s="689">
        <v>0</v>
      </c>
      <c r="U1543" s="547" t="s">
        <v>7490</v>
      </c>
      <c r="V1543" s="547" t="s">
        <v>4336</v>
      </c>
      <c r="W1543" s="658">
        <v>226</v>
      </c>
      <c r="X1543" s="547" t="s">
        <v>2193</v>
      </c>
      <c r="Y1543" s="547" t="s">
        <v>3161</v>
      </c>
      <c r="Z1543" s="547" t="s">
        <v>1738</v>
      </c>
      <c r="AA1543" s="547" t="s">
        <v>1733</v>
      </c>
      <c r="AB1543" s="550" t="s">
        <v>1591</v>
      </c>
    </row>
    <row r="1544" spans="1:28" ht="24" customHeight="1">
      <c r="A1544" s="606"/>
      <c r="B1544" s="544" t="s">
        <v>675</v>
      </c>
      <c r="C1544" s="551" t="s">
        <v>4395</v>
      </c>
      <c r="D1544" s="553" t="s">
        <v>4396</v>
      </c>
      <c r="E1544" s="662">
        <f t="shared" si="119"/>
        <v>350</v>
      </c>
      <c r="F1544" s="659">
        <v>0</v>
      </c>
      <c r="G1544" s="662">
        <v>350</v>
      </c>
      <c r="H1544" s="659">
        <v>0</v>
      </c>
      <c r="I1544" s="662">
        <f t="shared" si="120"/>
        <v>350</v>
      </c>
      <c r="J1544" s="659">
        <v>0</v>
      </c>
      <c r="K1544" s="662">
        <v>350</v>
      </c>
      <c r="L1544" s="741">
        <v>0</v>
      </c>
      <c r="M1544" s="687">
        <v>0</v>
      </c>
      <c r="N1544" s="659">
        <v>0</v>
      </c>
      <c r="O1544" s="746" t="s">
        <v>4965</v>
      </c>
      <c r="P1544" s="547" t="s">
        <v>1588</v>
      </c>
      <c r="Q1544" s="689">
        <v>0</v>
      </c>
      <c r="R1544" s="689">
        <v>0</v>
      </c>
      <c r="S1544" s="689">
        <v>0</v>
      </c>
      <c r="T1544" s="689">
        <v>0</v>
      </c>
      <c r="U1544" s="547" t="s">
        <v>7490</v>
      </c>
      <c r="V1544" s="547" t="s">
        <v>4347</v>
      </c>
      <c r="W1544" s="658">
        <v>650</v>
      </c>
      <c r="X1544" s="547" t="s">
        <v>2193</v>
      </c>
      <c r="Y1544" s="547" t="s">
        <v>1533</v>
      </c>
      <c r="Z1544" s="547" t="s">
        <v>4397</v>
      </c>
      <c r="AA1544" s="547" t="s">
        <v>1733</v>
      </c>
      <c r="AB1544" s="550" t="s">
        <v>1591</v>
      </c>
    </row>
    <row r="1545" spans="1:28" ht="24" customHeight="1">
      <c r="A1545" s="606"/>
      <c r="B1545" s="544" t="s">
        <v>675</v>
      </c>
      <c r="C1545" s="551" t="s">
        <v>4398</v>
      </c>
      <c r="D1545" s="553" t="s">
        <v>4399</v>
      </c>
      <c r="E1545" s="662">
        <f t="shared" si="119"/>
        <v>40</v>
      </c>
      <c r="F1545" s="659">
        <v>0</v>
      </c>
      <c r="G1545" s="662">
        <v>40</v>
      </c>
      <c r="H1545" s="659">
        <v>0</v>
      </c>
      <c r="I1545" s="662">
        <f t="shared" si="120"/>
        <v>40</v>
      </c>
      <c r="J1545" s="659">
        <v>0</v>
      </c>
      <c r="K1545" s="662">
        <v>40</v>
      </c>
      <c r="L1545" s="741">
        <v>0</v>
      </c>
      <c r="M1545" s="687">
        <v>0</v>
      </c>
      <c r="N1545" s="659">
        <v>0</v>
      </c>
      <c r="O1545" s="746" t="s">
        <v>4400</v>
      </c>
      <c r="P1545" s="547" t="s">
        <v>1588</v>
      </c>
      <c r="Q1545" s="689">
        <v>0</v>
      </c>
      <c r="R1545" s="689">
        <v>0</v>
      </c>
      <c r="S1545" s="689">
        <v>0</v>
      </c>
      <c r="T1545" s="689">
        <v>0</v>
      </c>
      <c r="U1545" s="547" t="s">
        <v>7490</v>
      </c>
      <c r="V1545" s="547" t="s">
        <v>6722</v>
      </c>
      <c r="W1545" s="658">
        <v>332</v>
      </c>
      <c r="X1545" s="547" t="s">
        <v>2193</v>
      </c>
      <c r="Y1545" s="547" t="s">
        <v>3161</v>
      </c>
      <c r="Z1545" s="547" t="s">
        <v>1733</v>
      </c>
      <c r="AA1545" s="547" t="s">
        <v>1733</v>
      </c>
      <c r="AB1545" s="550" t="s">
        <v>1591</v>
      </c>
    </row>
    <row r="1546" spans="1:28" ht="24" customHeight="1">
      <c r="A1546" s="606"/>
      <c r="B1546" s="544" t="s">
        <v>675</v>
      </c>
      <c r="C1546" s="551" t="s">
        <v>4401</v>
      </c>
      <c r="D1546" s="553" t="s">
        <v>4402</v>
      </c>
      <c r="E1546" s="662">
        <f t="shared" si="119"/>
        <v>30</v>
      </c>
      <c r="F1546" s="659">
        <v>0</v>
      </c>
      <c r="G1546" s="662">
        <v>30</v>
      </c>
      <c r="H1546" s="659">
        <v>0</v>
      </c>
      <c r="I1546" s="662">
        <f t="shared" si="120"/>
        <v>30</v>
      </c>
      <c r="J1546" s="659">
        <v>0</v>
      </c>
      <c r="K1546" s="662">
        <v>30</v>
      </c>
      <c r="L1546" s="741">
        <v>0</v>
      </c>
      <c r="M1546" s="687">
        <v>0</v>
      </c>
      <c r="N1546" s="659">
        <v>0</v>
      </c>
      <c r="O1546" s="746" t="s">
        <v>4186</v>
      </c>
      <c r="P1546" s="547" t="s">
        <v>1588</v>
      </c>
      <c r="Q1546" s="689">
        <v>0</v>
      </c>
      <c r="R1546" s="689">
        <v>0</v>
      </c>
      <c r="S1546" s="689">
        <v>0</v>
      </c>
      <c r="T1546" s="689">
        <v>0</v>
      </c>
      <c r="U1546" s="547" t="s">
        <v>7490</v>
      </c>
      <c r="V1546" s="547" t="s">
        <v>4403</v>
      </c>
      <c r="W1546" s="658">
        <v>296</v>
      </c>
      <c r="X1546" s="547" t="s">
        <v>2193</v>
      </c>
      <c r="Y1546" s="547" t="s">
        <v>4404</v>
      </c>
      <c r="Z1546" s="547" t="s">
        <v>1733</v>
      </c>
      <c r="AA1546" s="547" t="s">
        <v>1733</v>
      </c>
      <c r="AB1546" s="550" t="s">
        <v>1591</v>
      </c>
    </row>
    <row r="1547" spans="1:28" ht="24" customHeight="1">
      <c r="A1547" s="605" t="s">
        <v>4405</v>
      </c>
      <c r="B1547" s="544" t="s">
        <v>675</v>
      </c>
      <c r="C1547" s="551" t="s">
        <v>4406</v>
      </c>
      <c r="D1547" s="553" t="s">
        <v>4407</v>
      </c>
      <c r="E1547" s="662">
        <f t="shared" si="119"/>
        <v>80</v>
      </c>
      <c r="F1547" s="659">
        <v>0</v>
      </c>
      <c r="G1547" s="659">
        <v>80</v>
      </c>
      <c r="H1547" s="659">
        <v>0</v>
      </c>
      <c r="I1547" s="662">
        <f t="shared" si="120"/>
        <v>56</v>
      </c>
      <c r="J1547" s="659">
        <v>0</v>
      </c>
      <c r="K1547" s="659">
        <v>56</v>
      </c>
      <c r="L1547" s="741">
        <v>0</v>
      </c>
      <c r="M1547" s="687">
        <v>70</v>
      </c>
      <c r="N1547" s="659">
        <v>0</v>
      </c>
      <c r="O1547" s="746" t="s">
        <v>780</v>
      </c>
      <c r="P1547" s="547" t="s">
        <v>1588</v>
      </c>
      <c r="Q1547" s="689">
        <v>0</v>
      </c>
      <c r="R1547" s="689">
        <v>0</v>
      </c>
      <c r="S1547" s="689">
        <v>0</v>
      </c>
      <c r="T1547" s="689">
        <v>0</v>
      </c>
      <c r="U1547" s="547" t="s">
        <v>7491</v>
      </c>
      <c r="V1547" s="547" t="s">
        <v>4408</v>
      </c>
      <c r="W1547" s="658">
        <v>250</v>
      </c>
      <c r="X1547" s="547" t="s">
        <v>1532</v>
      </c>
      <c r="Y1547" s="547" t="s">
        <v>3161</v>
      </c>
      <c r="Z1547" s="547"/>
      <c r="AA1547" s="547"/>
      <c r="AB1547" s="550" t="s">
        <v>1934</v>
      </c>
    </row>
    <row r="1548" spans="1:28" ht="24" customHeight="1">
      <c r="A1548" s="606"/>
      <c r="B1548" s="544" t="s">
        <v>675</v>
      </c>
      <c r="C1548" s="551" t="s">
        <v>5739</v>
      </c>
      <c r="D1548" s="553" t="s">
        <v>4409</v>
      </c>
      <c r="E1548" s="659">
        <f t="shared" si="119"/>
        <v>50</v>
      </c>
      <c r="F1548" s="659">
        <v>0</v>
      </c>
      <c r="G1548" s="659">
        <v>50</v>
      </c>
      <c r="H1548" s="659">
        <v>0</v>
      </c>
      <c r="I1548" s="659">
        <f t="shared" si="120"/>
        <v>35</v>
      </c>
      <c r="J1548" s="659">
        <v>0</v>
      </c>
      <c r="K1548" s="659">
        <v>35</v>
      </c>
      <c r="L1548" s="741">
        <v>0</v>
      </c>
      <c r="M1548" s="687">
        <v>70</v>
      </c>
      <c r="N1548" s="659">
        <v>0</v>
      </c>
      <c r="O1548" s="746" t="s">
        <v>4410</v>
      </c>
      <c r="P1548" s="547" t="s">
        <v>1588</v>
      </c>
      <c r="Q1548" s="689">
        <v>0</v>
      </c>
      <c r="R1548" s="689">
        <v>0</v>
      </c>
      <c r="S1548" s="689">
        <v>0</v>
      </c>
      <c r="T1548" s="689">
        <v>0</v>
      </c>
      <c r="U1548" s="547" t="s">
        <v>7491</v>
      </c>
      <c r="V1548" s="547" t="s">
        <v>4411</v>
      </c>
      <c r="W1548" s="658">
        <v>100</v>
      </c>
      <c r="X1548" s="547" t="s">
        <v>1532</v>
      </c>
      <c r="Y1548" s="547" t="s">
        <v>3161</v>
      </c>
      <c r="Z1548" s="547"/>
      <c r="AA1548" s="547"/>
      <c r="AB1548" s="550" t="s">
        <v>1934</v>
      </c>
    </row>
    <row r="1549" spans="1:28" ht="24" customHeight="1">
      <c r="A1549" s="606"/>
      <c r="B1549" s="544" t="s">
        <v>675</v>
      </c>
      <c r="C1549" s="551" t="s">
        <v>4412</v>
      </c>
      <c r="D1549" s="553" t="s">
        <v>4413</v>
      </c>
      <c r="E1549" s="659">
        <f t="shared" si="119"/>
        <v>50</v>
      </c>
      <c r="F1549" s="659">
        <v>0</v>
      </c>
      <c r="G1549" s="659">
        <v>50</v>
      </c>
      <c r="H1549" s="659">
        <v>0</v>
      </c>
      <c r="I1549" s="659">
        <f t="shared" si="120"/>
        <v>35</v>
      </c>
      <c r="J1549" s="659">
        <v>0</v>
      </c>
      <c r="K1549" s="659">
        <v>35</v>
      </c>
      <c r="L1549" s="741">
        <v>0</v>
      </c>
      <c r="M1549" s="687">
        <v>70</v>
      </c>
      <c r="N1549" s="659">
        <v>0</v>
      </c>
      <c r="O1549" s="746" t="s">
        <v>4410</v>
      </c>
      <c r="P1549" s="547" t="s">
        <v>1588</v>
      </c>
      <c r="Q1549" s="689">
        <v>0</v>
      </c>
      <c r="R1549" s="689">
        <v>0</v>
      </c>
      <c r="S1549" s="689">
        <v>0</v>
      </c>
      <c r="T1549" s="689">
        <v>0</v>
      </c>
      <c r="U1549" s="547" t="s">
        <v>7491</v>
      </c>
      <c r="V1549" s="547" t="s">
        <v>4411</v>
      </c>
      <c r="W1549" s="658">
        <v>100</v>
      </c>
      <c r="X1549" s="547" t="s">
        <v>1532</v>
      </c>
      <c r="Y1549" s="547" t="s">
        <v>3232</v>
      </c>
      <c r="Z1549" s="547"/>
      <c r="AA1549" s="547"/>
      <c r="AB1549" s="550" t="s">
        <v>1934</v>
      </c>
    </row>
    <row r="1550" spans="1:28" ht="24" customHeight="1">
      <c r="A1550" s="606"/>
      <c r="B1550" s="544" t="s">
        <v>675</v>
      </c>
      <c r="C1550" s="551" t="s">
        <v>4414</v>
      </c>
      <c r="D1550" s="553" t="s">
        <v>4415</v>
      </c>
      <c r="E1550" s="659">
        <f t="shared" si="119"/>
        <v>30</v>
      </c>
      <c r="F1550" s="659">
        <v>0</v>
      </c>
      <c r="G1550" s="659">
        <v>30</v>
      </c>
      <c r="H1550" s="659">
        <v>0</v>
      </c>
      <c r="I1550" s="659">
        <f t="shared" si="120"/>
        <v>21</v>
      </c>
      <c r="J1550" s="659">
        <v>0</v>
      </c>
      <c r="K1550" s="659">
        <v>21</v>
      </c>
      <c r="L1550" s="741">
        <v>0</v>
      </c>
      <c r="M1550" s="687">
        <v>70</v>
      </c>
      <c r="N1550" s="659">
        <v>0</v>
      </c>
      <c r="O1550" s="746" t="s">
        <v>6431</v>
      </c>
      <c r="P1550" s="547" t="s">
        <v>1588</v>
      </c>
      <c r="Q1550" s="689">
        <v>0</v>
      </c>
      <c r="R1550" s="689">
        <v>0</v>
      </c>
      <c r="S1550" s="689">
        <v>0</v>
      </c>
      <c r="T1550" s="689">
        <v>0</v>
      </c>
      <c r="U1550" s="547" t="s">
        <v>7491</v>
      </c>
      <c r="V1550" s="547" t="s">
        <v>4416</v>
      </c>
      <c r="W1550" s="658">
        <v>150</v>
      </c>
      <c r="X1550" s="547" t="s">
        <v>1532</v>
      </c>
      <c r="Y1550" s="547" t="s">
        <v>3161</v>
      </c>
      <c r="Z1550" s="547"/>
      <c r="AA1550" s="547"/>
      <c r="AB1550" s="550" t="s">
        <v>1934</v>
      </c>
    </row>
    <row r="1551" spans="1:28" ht="24" customHeight="1">
      <c r="A1551" s="606"/>
      <c r="B1551" s="544" t="s">
        <v>675</v>
      </c>
      <c r="C1551" s="551" t="s">
        <v>4417</v>
      </c>
      <c r="D1551" s="553" t="s">
        <v>4418</v>
      </c>
      <c r="E1551" s="659">
        <f t="shared" si="119"/>
        <v>70</v>
      </c>
      <c r="F1551" s="659">
        <v>0</v>
      </c>
      <c r="G1551" s="659">
        <v>70</v>
      </c>
      <c r="H1551" s="659">
        <v>0</v>
      </c>
      <c r="I1551" s="659">
        <f t="shared" si="120"/>
        <v>49</v>
      </c>
      <c r="J1551" s="659">
        <v>0</v>
      </c>
      <c r="K1551" s="659">
        <v>49</v>
      </c>
      <c r="L1551" s="741">
        <v>0</v>
      </c>
      <c r="M1551" s="687">
        <v>70</v>
      </c>
      <c r="N1551" s="659">
        <v>0</v>
      </c>
      <c r="O1551" s="746" t="s">
        <v>4419</v>
      </c>
      <c r="P1551" s="547" t="s">
        <v>1588</v>
      </c>
      <c r="Q1551" s="689">
        <v>0</v>
      </c>
      <c r="R1551" s="689">
        <v>0</v>
      </c>
      <c r="S1551" s="689">
        <v>0</v>
      </c>
      <c r="T1551" s="689">
        <v>0</v>
      </c>
      <c r="U1551" s="547" t="s">
        <v>7491</v>
      </c>
      <c r="V1551" s="547" t="s">
        <v>4420</v>
      </c>
      <c r="W1551" s="658">
        <v>481</v>
      </c>
      <c r="X1551" s="547" t="s">
        <v>1532</v>
      </c>
      <c r="Y1551" s="547" t="s">
        <v>3161</v>
      </c>
      <c r="Z1551" s="547"/>
      <c r="AA1551" s="547"/>
      <c r="AB1551" s="550" t="s">
        <v>1934</v>
      </c>
    </row>
    <row r="1552" spans="1:28" ht="24" customHeight="1">
      <c r="A1552" s="606"/>
      <c r="B1552" s="544" t="s">
        <v>675</v>
      </c>
      <c r="C1552" s="551" t="s">
        <v>2032</v>
      </c>
      <c r="D1552" s="553" t="s">
        <v>4421</v>
      </c>
      <c r="E1552" s="659">
        <f t="shared" si="119"/>
        <v>90</v>
      </c>
      <c r="F1552" s="659">
        <v>0</v>
      </c>
      <c r="G1552" s="659">
        <v>90</v>
      </c>
      <c r="H1552" s="659">
        <v>0</v>
      </c>
      <c r="I1552" s="659">
        <f t="shared" si="120"/>
        <v>63</v>
      </c>
      <c r="J1552" s="659">
        <v>0</v>
      </c>
      <c r="K1552" s="659">
        <v>63</v>
      </c>
      <c r="L1552" s="741">
        <v>0</v>
      </c>
      <c r="M1552" s="687">
        <v>70</v>
      </c>
      <c r="N1552" s="659">
        <v>0</v>
      </c>
      <c r="O1552" s="746" t="s">
        <v>7315</v>
      </c>
      <c r="P1552" s="547" t="s">
        <v>1588</v>
      </c>
      <c r="Q1552" s="689">
        <v>0</v>
      </c>
      <c r="R1552" s="689">
        <v>0</v>
      </c>
      <c r="S1552" s="689">
        <v>0</v>
      </c>
      <c r="T1552" s="689">
        <v>0</v>
      </c>
      <c r="U1552" s="547" t="s">
        <v>7491</v>
      </c>
      <c r="V1552" s="547" t="s">
        <v>4422</v>
      </c>
      <c r="W1552" s="658">
        <v>684</v>
      </c>
      <c r="X1552" s="547" t="s">
        <v>1532</v>
      </c>
      <c r="Y1552" s="547" t="s">
        <v>3161</v>
      </c>
      <c r="Z1552" s="547"/>
      <c r="AA1552" s="547"/>
      <c r="AB1552" s="550" t="s">
        <v>1934</v>
      </c>
    </row>
    <row r="1553" spans="1:28" ht="24" customHeight="1">
      <c r="A1553" s="606"/>
      <c r="B1553" s="544" t="s">
        <v>675</v>
      </c>
      <c r="C1553" s="551" t="s">
        <v>3191</v>
      </c>
      <c r="D1553" s="553" t="s">
        <v>4423</v>
      </c>
      <c r="E1553" s="659">
        <f t="shared" si="119"/>
        <v>40</v>
      </c>
      <c r="F1553" s="659">
        <v>0</v>
      </c>
      <c r="G1553" s="659">
        <v>40</v>
      </c>
      <c r="H1553" s="659">
        <v>0</v>
      </c>
      <c r="I1553" s="659">
        <f t="shared" si="120"/>
        <v>28</v>
      </c>
      <c r="J1553" s="659">
        <v>0</v>
      </c>
      <c r="K1553" s="659">
        <v>28</v>
      </c>
      <c r="L1553" s="741">
        <v>0</v>
      </c>
      <c r="M1553" s="687">
        <v>70</v>
      </c>
      <c r="N1553" s="659">
        <v>0</v>
      </c>
      <c r="O1553" s="746" t="s">
        <v>4424</v>
      </c>
      <c r="P1553" s="547" t="s">
        <v>1588</v>
      </c>
      <c r="Q1553" s="689">
        <v>0</v>
      </c>
      <c r="R1553" s="689">
        <v>0</v>
      </c>
      <c r="S1553" s="689">
        <v>0</v>
      </c>
      <c r="T1553" s="689">
        <v>0</v>
      </c>
      <c r="U1553" s="547" t="s">
        <v>7491</v>
      </c>
      <c r="V1553" s="547" t="s">
        <v>2686</v>
      </c>
      <c r="W1553" s="658">
        <v>375</v>
      </c>
      <c r="X1553" s="547" t="s">
        <v>1532</v>
      </c>
      <c r="Y1553" s="547" t="s">
        <v>3161</v>
      </c>
      <c r="Z1553" s="547"/>
      <c r="AA1553" s="547"/>
      <c r="AB1553" s="550" t="s">
        <v>1934</v>
      </c>
    </row>
    <row r="1554" spans="1:28" ht="24" customHeight="1">
      <c r="A1554" s="606"/>
      <c r="B1554" s="544" t="s">
        <v>675</v>
      </c>
      <c r="C1554" s="551" t="s">
        <v>4425</v>
      </c>
      <c r="D1554" s="553" t="s">
        <v>4426</v>
      </c>
      <c r="E1554" s="659">
        <f t="shared" si="119"/>
        <v>50</v>
      </c>
      <c r="F1554" s="659">
        <v>0</v>
      </c>
      <c r="G1554" s="659">
        <v>50</v>
      </c>
      <c r="H1554" s="659">
        <v>0</v>
      </c>
      <c r="I1554" s="659">
        <f t="shared" si="120"/>
        <v>35</v>
      </c>
      <c r="J1554" s="659">
        <v>0</v>
      </c>
      <c r="K1554" s="659">
        <v>35</v>
      </c>
      <c r="L1554" s="741">
        <v>0</v>
      </c>
      <c r="M1554" s="687">
        <v>70</v>
      </c>
      <c r="N1554" s="659">
        <v>0</v>
      </c>
      <c r="O1554" s="746" t="s">
        <v>4427</v>
      </c>
      <c r="P1554" s="547" t="s">
        <v>1588</v>
      </c>
      <c r="Q1554" s="689">
        <v>0</v>
      </c>
      <c r="R1554" s="689">
        <v>0</v>
      </c>
      <c r="S1554" s="689">
        <v>0</v>
      </c>
      <c r="T1554" s="689">
        <v>0</v>
      </c>
      <c r="U1554" s="547" t="s">
        <v>7491</v>
      </c>
      <c r="V1554" s="547" t="s">
        <v>4428</v>
      </c>
      <c r="W1554" s="658">
        <v>200</v>
      </c>
      <c r="X1554" s="547" t="s">
        <v>1532</v>
      </c>
      <c r="Y1554" s="547" t="s">
        <v>3161</v>
      </c>
      <c r="Z1554" s="547"/>
      <c r="AA1554" s="547"/>
      <c r="AB1554" s="550" t="s">
        <v>1934</v>
      </c>
    </row>
    <row r="1555" spans="1:28" ht="24" customHeight="1">
      <c r="A1555" s="606"/>
      <c r="B1555" s="544" t="s">
        <v>675</v>
      </c>
      <c r="C1555" s="551" t="s">
        <v>4429</v>
      </c>
      <c r="D1555" s="553" t="s">
        <v>4430</v>
      </c>
      <c r="E1555" s="659">
        <f t="shared" si="119"/>
        <v>40</v>
      </c>
      <c r="F1555" s="659">
        <v>0</v>
      </c>
      <c r="G1555" s="659">
        <v>40</v>
      </c>
      <c r="H1555" s="659">
        <v>0</v>
      </c>
      <c r="I1555" s="659">
        <f t="shared" si="120"/>
        <v>28</v>
      </c>
      <c r="J1555" s="659">
        <v>0</v>
      </c>
      <c r="K1555" s="659">
        <v>28</v>
      </c>
      <c r="L1555" s="741">
        <v>0</v>
      </c>
      <c r="M1555" s="687">
        <v>70</v>
      </c>
      <c r="N1555" s="659">
        <v>0</v>
      </c>
      <c r="O1555" s="746" t="s">
        <v>4431</v>
      </c>
      <c r="P1555" s="547" t="s">
        <v>1588</v>
      </c>
      <c r="Q1555" s="689">
        <v>0</v>
      </c>
      <c r="R1555" s="689">
        <v>0</v>
      </c>
      <c r="S1555" s="689">
        <v>0</v>
      </c>
      <c r="T1555" s="689">
        <v>0</v>
      </c>
      <c r="U1555" s="547" t="s">
        <v>7491</v>
      </c>
      <c r="V1555" s="547" t="s">
        <v>4432</v>
      </c>
      <c r="W1555" s="658">
        <v>150</v>
      </c>
      <c r="X1555" s="547" t="s">
        <v>1532</v>
      </c>
      <c r="Y1555" s="547" t="s">
        <v>3161</v>
      </c>
      <c r="Z1555" s="547"/>
      <c r="AA1555" s="547"/>
      <c r="AB1555" s="550" t="s">
        <v>1934</v>
      </c>
    </row>
    <row r="1556" spans="1:28" ht="24" customHeight="1">
      <c r="A1556" s="606"/>
      <c r="B1556" s="544" t="s">
        <v>675</v>
      </c>
      <c r="C1556" s="551" t="s">
        <v>4433</v>
      </c>
      <c r="D1556" s="553" t="s">
        <v>4434</v>
      </c>
      <c r="E1556" s="659">
        <f t="shared" si="119"/>
        <v>70</v>
      </c>
      <c r="F1556" s="659">
        <v>0</v>
      </c>
      <c r="G1556" s="659">
        <v>70</v>
      </c>
      <c r="H1556" s="659">
        <v>0</v>
      </c>
      <c r="I1556" s="659">
        <f t="shared" si="120"/>
        <v>49</v>
      </c>
      <c r="J1556" s="659">
        <v>0</v>
      </c>
      <c r="K1556" s="659">
        <v>49</v>
      </c>
      <c r="L1556" s="741">
        <v>0</v>
      </c>
      <c r="M1556" s="687">
        <v>70</v>
      </c>
      <c r="N1556" s="659">
        <v>0</v>
      </c>
      <c r="O1556" s="746" t="s">
        <v>4424</v>
      </c>
      <c r="P1556" s="547" t="s">
        <v>1588</v>
      </c>
      <c r="Q1556" s="689">
        <v>0</v>
      </c>
      <c r="R1556" s="689">
        <v>0</v>
      </c>
      <c r="S1556" s="689">
        <v>0</v>
      </c>
      <c r="T1556" s="689">
        <v>0</v>
      </c>
      <c r="U1556" s="547" t="s">
        <v>7491</v>
      </c>
      <c r="V1556" s="547" t="s">
        <v>4435</v>
      </c>
      <c r="W1556" s="658">
        <v>490</v>
      </c>
      <c r="X1556" s="547" t="s">
        <v>1532</v>
      </c>
      <c r="Y1556" s="547" t="s">
        <v>3161</v>
      </c>
      <c r="Z1556" s="547"/>
      <c r="AA1556" s="547"/>
      <c r="AB1556" s="550" t="s">
        <v>1934</v>
      </c>
    </row>
    <row r="1557" spans="1:28" ht="24" customHeight="1">
      <c r="A1557" s="606"/>
      <c r="B1557" s="544" t="s">
        <v>675</v>
      </c>
      <c r="C1557" s="551" t="s">
        <v>4436</v>
      </c>
      <c r="D1557" s="553" t="s">
        <v>4437</v>
      </c>
      <c r="E1557" s="659">
        <f t="shared" si="119"/>
        <v>95</v>
      </c>
      <c r="F1557" s="659">
        <v>0</v>
      </c>
      <c r="G1557" s="659">
        <v>95</v>
      </c>
      <c r="H1557" s="659">
        <v>0</v>
      </c>
      <c r="I1557" s="659">
        <f t="shared" si="120"/>
        <v>66.5</v>
      </c>
      <c r="J1557" s="659">
        <v>0</v>
      </c>
      <c r="K1557" s="659">
        <v>66.5</v>
      </c>
      <c r="L1557" s="741">
        <v>0</v>
      </c>
      <c r="M1557" s="687">
        <v>70</v>
      </c>
      <c r="N1557" s="659">
        <v>0</v>
      </c>
      <c r="O1557" s="746" t="s">
        <v>4438</v>
      </c>
      <c r="P1557" s="547" t="s">
        <v>1588</v>
      </c>
      <c r="Q1557" s="689">
        <v>0</v>
      </c>
      <c r="R1557" s="689">
        <v>0</v>
      </c>
      <c r="S1557" s="689">
        <v>0</v>
      </c>
      <c r="T1557" s="689">
        <v>0</v>
      </c>
      <c r="U1557" s="547" t="s">
        <v>7491</v>
      </c>
      <c r="V1557" s="547" t="s">
        <v>4439</v>
      </c>
      <c r="W1557" s="658">
        <v>608</v>
      </c>
      <c r="X1557" s="547" t="s">
        <v>1532</v>
      </c>
      <c r="Y1557" s="547" t="s">
        <v>3161</v>
      </c>
      <c r="Z1557" s="547"/>
      <c r="AA1557" s="547"/>
      <c r="AB1557" s="550" t="s">
        <v>1934</v>
      </c>
    </row>
    <row r="1558" spans="1:28" ht="24" customHeight="1">
      <c r="A1558" s="606"/>
      <c r="B1558" s="544" t="s">
        <v>675</v>
      </c>
      <c r="C1558" s="551" t="s">
        <v>7084</v>
      </c>
      <c r="D1558" s="553" t="s">
        <v>4440</v>
      </c>
      <c r="E1558" s="659">
        <f t="shared" si="119"/>
        <v>50</v>
      </c>
      <c r="F1558" s="659">
        <v>0</v>
      </c>
      <c r="G1558" s="659">
        <v>50</v>
      </c>
      <c r="H1558" s="659">
        <v>0</v>
      </c>
      <c r="I1558" s="659">
        <f t="shared" si="120"/>
        <v>35</v>
      </c>
      <c r="J1558" s="659">
        <v>0</v>
      </c>
      <c r="K1558" s="659">
        <v>35</v>
      </c>
      <c r="L1558" s="741">
        <v>0</v>
      </c>
      <c r="M1558" s="687">
        <v>70</v>
      </c>
      <c r="N1558" s="659">
        <v>0</v>
      </c>
      <c r="O1558" s="746" t="s">
        <v>4441</v>
      </c>
      <c r="P1558" s="547" t="s">
        <v>1588</v>
      </c>
      <c r="Q1558" s="689">
        <v>0</v>
      </c>
      <c r="R1558" s="689">
        <v>0</v>
      </c>
      <c r="S1558" s="689">
        <v>0</v>
      </c>
      <c r="T1558" s="689">
        <v>0</v>
      </c>
      <c r="U1558" s="547" t="s">
        <v>7491</v>
      </c>
      <c r="V1558" s="547" t="s">
        <v>4442</v>
      </c>
      <c r="W1558" s="658">
        <v>405</v>
      </c>
      <c r="X1558" s="547" t="s">
        <v>1532</v>
      </c>
      <c r="Y1558" s="547" t="s">
        <v>3161</v>
      </c>
      <c r="Z1558" s="547"/>
      <c r="AA1558" s="547"/>
      <c r="AB1558" s="550" t="s">
        <v>1934</v>
      </c>
    </row>
    <row r="1559" spans="1:28" ht="24" customHeight="1">
      <c r="A1559" s="606"/>
      <c r="B1559" s="544" t="s">
        <v>675</v>
      </c>
      <c r="C1559" s="551" t="s">
        <v>4443</v>
      </c>
      <c r="D1559" s="553" t="s">
        <v>4444</v>
      </c>
      <c r="E1559" s="659">
        <f t="shared" si="119"/>
        <v>50</v>
      </c>
      <c r="F1559" s="659">
        <v>0</v>
      </c>
      <c r="G1559" s="659">
        <v>50</v>
      </c>
      <c r="H1559" s="659">
        <v>0</v>
      </c>
      <c r="I1559" s="659">
        <f t="shared" si="120"/>
        <v>35</v>
      </c>
      <c r="J1559" s="659">
        <v>0</v>
      </c>
      <c r="K1559" s="659">
        <v>35</v>
      </c>
      <c r="L1559" s="741">
        <v>0</v>
      </c>
      <c r="M1559" s="687">
        <v>70</v>
      </c>
      <c r="N1559" s="659">
        <v>0</v>
      </c>
      <c r="O1559" s="746" t="s">
        <v>4427</v>
      </c>
      <c r="P1559" s="547" t="s">
        <v>1588</v>
      </c>
      <c r="Q1559" s="689">
        <v>0</v>
      </c>
      <c r="R1559" s="689">
        <v>0</v>
      </c>
      <c r="S1559" s="689">
        <v>0</v>
      </c>
      <c r="T1559" s="689">
        <v>0</v>
      </c>
      <c r="U1559" s="547" t="s">
        <v>7491</v>
      </c>
      <c r="V1559" s="547" t="s">
        <v>4411</v>
      </c>
      <c r="W1559" s="658">
        <v>150</v>
      </c>
      <c r="X1559" s="547" t="s">
        <v>1532</v>
      </c>
      <c r="Y1559" s="547" t="s">
        <v>3161</v>
      </c>
      <c r="Z1559" s="547"/>
      <c r="AA1559" s="547"/>
      <c r="AB1559" s="550" t="s">
        <v>1934</v>
      </c>
    </row>
    <row r="1560" spans="1:28" ht="24" customHeight="1">
      <c r="A1560" s="606"/>
      <c r="B1560" s="544" t="s">
        <v>675</v>
      </c>
      <c r="C1560" s="551" t="s">
        <v>4445</v>
      </c>
      <c r="D1560" s="553" t="s">
        <v>4446</v>
      </c>
      <c r="E1560" s="659">
        <f t="shared" si="119"/>
        <v>80</v>
      </c>
      <c r="F1560" s="659">
        <v>0</v>
      </c>
      <c r="G1560" s="659">
        <v>80</v>
      </c>
      <c r="H1560" s="659">
        <v>0</v>
      </c>
      <c r="I1560" s="659">
        <f t="shared" si="120"/>
        <v>56</v>
      </c>
      <c r="J1560" s="659">
        <v>0</v>
      </c>
      <c r="K1560" s="659">
        <v>56</v>
      </c>
      <c r="L1560" s="741">
        <v>0</v>
      </c>
      <c r="M1560" s="687">
        <v>70</v>
      </c>
      <c r="N1560" s="659">
        <v>0</v>
      </c>
      <c r="O1560" s="746" t="s">
        <v>4424</v>
      </c>
      <c r="P1560" s="547" t="s">
        <v>1588</v>
      </c>
      <c r="Q1560" s="689">
        <v>0</v>
      </c>
      <c r="R1560" s="689">
        <v>0</v>
      </c>
      <c r="S1560" s="689">
        <v>0</v>
      </c>
      <c r="T1560" s="689">
        <v>0</v>
      </c>
      <c r="U1560" s="547" t="s">
        <v>7491</v>
      </c>
      <c r="V1560" s="547" t="s">
        <v>4447</v>
      </c>
      <c r="W1560" s="658">
        <v>390</v>
      </c>
      <c r="X1560" s="547" t="s">
        <v>1532</v>
      </c>
      <c r="Y1560" s="547" t="s">
        <v>3161</v>
      </c>
      <c r="Z1560" s="547"/>
      <c r="AA1560" s="547"/>
      <c r="AB1560" s="550" t="s">
        <v>1934</v>
      </c>
    </row>
    <row r="1561" spans="1:28" ht="24" customHeight="1">
      <c r="A1561" s="606"/>
      <c r="B1561" s="544" t="s">
        <v>675</v>
      </c>
      <c r="C1561" s="551" t="s">
        <v>6539</v>
      </c>
      <c r="D1561" s="553" t="s">
        <v>4448</v>
      </c>
      <c r="E1561" s="659">
        <f t="shared" si="119"/>
        <v>60</v>
      </c>
      <c r="F1561" s="659">
        <v>0</v>
      </c>
      <c r="G1561" s="659">
        <v>60</v>
      </c>
      <c r="H1561" s="659">
        <v>0</v>
      </c>
      <c r="I1561" s="659">
        <f t="shared" si="120"/>
        <v>42</v>
      </c>
      <c r="J1561" s="659">
        <v>0</v>
      </c>
      <c r="K1561" s="659">
        <v>42</v>
      </c>
      <c r="L1561" s="741">
        <v>0</v>
      </c>
      <c r="M1561" s="687">
        <v>70</v>
      </c>
      <c r="N1561" s="659">
        <v>0</v>
      </c>
      <c r="O1561" s="746" t="s">
        <v>4438</v>
      </c>
      <c r="P1561" s="547" t="s">
        <v>1588</v>
      </c>
      <c r="Q1561" s="689">
        <v>0</v>
      </c>
      <c r="R1561" s="689">
        <v>0</v>
      </c>
      <c r="S1561" s="689">
        <v>0</v>
      </c>
      <c r="T1561" s="689">
        <v>0</v>
      </c>
      <c r="U1561" s="547" t="s">
        <v>7491</v>
      </c>
      <c r="V1561" s="547" t="s">
        <v>4449</v>
      </c>
      <c r="W1561" s="658">
        <v>386</v>
      </c>
      <c r="X1561" s="547" t="s">
        <v>1532</v>
      </c>
      <c r="Y1561" s="547" t="s">
        <v>3161</v>
      </c>
      <c r="Z1561" s="547"/>
      <c r="AA1561" s="547"/>
      <c r="AB1561" s="550" t="s">
        <v>1934</v>
      </c>
    </row>
    <row r="1562" spans="1:28" ht="24" customHeight="1">
      <c r="A1562" s="606"/>
      <c r="B1562" s="544" t="s">
        <v>675</v>
      </c>
      <c r="C1562" s="551" t="s">
        <v>4450</v>
      </c>
      <c r="D1562" s="553" t="s">
        <v>4451</v>
      </c>
      <c r="E1562" s="659">
        <f t="shared" si="119"/>
        <v>40</v>
      </c>
      <c r="F1562" s="659">
        <v>0</v>
      </c>
      <c r="G1562" s="659">
        <v>40</v>
      </c>
      <c r="H1562" s="659">
        <v>0</v>
      </c>
      <c r="I1562" s="659">
        <f t="shared" si="120"/>
        <v>28</v>
      </c>
      <c r="J1562" s="659">
        <v>0</v>
      </c>
      <c r="K1562" s="659">
        <v>28</v>
      </c>
      <c r="L1562" s="741">
        <v>0</v>
      </c>
      <c r="M1562" s="687">
        <v>70</v>
      </c>
      <c r="N1562" s="659">
        <v>0</v>
      </c>
      <c r="O1562" s="746" t="s">
        <v>4438</v>
      </c>
      <c r="P1562" s="547" t="s">
        <v>1588</v>
      </c>
      <c r="Q1562" s="689">
        <v>0</v>
      </c>
      <c r="R1562" s="689">
        <v>0</v>
      </c>
      <c r="S1562" s="689">
        <v>0</v>
      </c>
      <c r="T1562" s="689">
        <v>0</v>
      </c>
      <c r="U1562" s="547" t="s">
        <v>7491</v>
      </c>
      <c r="V1562" s="547" t="s">
        <v>4452</v>
      </c>
      <c r="W1562" s="658">
        <v>391</v>
      </c>
      <c r="X1562" s="547" t="s">
        <v>1532</v>
      </c>
      <c r="Y1562" s="547" t="s">
        <v>3161</v>
      </c>
      <c r="Z1562" s="547"/>
      <c r="AA1562" s="547"/>
      <c r="AB1562" s="550" t="s">
        <v>1934</v>
      </c>
    </row>
    <row r="1563" spans="1:28" ht="24" customHeight="1">
      <c r="A1563" s="606"/>
      <c r="B1563" s="544" t="s">
        <v>675</v>
      </c>
      <c r="C1563" s="551" t="s">
        <v>4453</v>
      </c>
      <c r="D1563" s="553" t="s">
        <v>4454</v>
      </c>
      <c r="E1563" s="659">
        <f t="shared" si="119"/>
        <v>50</v>
      </c>
      <c r="F1563" s="659">
        <v>0</v>
      </c>
      <c r="G1563" s="659">
        <v>50</v>
      </c>
      <c r="H1563" s="659">
        <v>0</v>
      </c>
      <c r="I1563" s="659">
        <f t="shared" si="120"/>
        <v>35</v>
      </c>
      <c r="J1563" s="659">
        <v>0</v>
      </c>
      <c r="K1563" s="659">
        <v>35</v>
      </c>
      <c r="L1563" s="741">
        <v>0</v>
      </c>
      <c r="M1563" s="687">
        <v>70</v>
      </c>
      <c r="N1563" s="659">
        <v>0</v>
      </c>
      <c r="O1563" s="746" t="s">
        <v>4424</v>
      </c>
      <c r="P1563" s="547" t="s">
        <v>1588</v>
      </c>
      <c r="Q1563" s="689">
        <v>0</v>
      </c>
      <c r="R1563" s="689">
        <v>0</v>
      </c>
      <c r="S1563" s="689">
        <v>0</v>
      </c>
      <c r="T1563" s="689">
        <v>0</v>
      </c>
      <c r="U1563" s="547" t="s">
        <v>7491</v>
      </c>
      <c r="V1563" s="547" t="s">
        <v>4455</v>
      </c>
      <c r="W1563" s="658">
        <v>275</v>
      </c>
      <c r="X1563" s="547" t="s">
        <v>1532</v>
      </c>
      <c r="Y1563" s="547" t="s">
        <v>3161</v>
      </c>
      <c r="Z1563" s="547"/>
      <c r="AA1563" s="547"/>
      <c r="AB1563" s="550" t="s">
        <v>1934</v>
      </c>
    </row>
    <row r="1564" spans="1:28" ht="24" customHeight="1">
      <c r="A1564" s="606"/>
      <c r="B1564" s="544" t="s">
        <v>675</v>
      </c>
      <c r="C1564" s="551" t="s">
        <v>4830</v>
      </c>
      <c r="D1564" s="553" t="s">
        <v>4456</v>
      </c>
      <c r="E1564" s="659">
        <f t="shared" si="119"/>
        <v>100</v>
      </c>
      <c r="F1564" s="659">
        <v>0</v>
      </c>
      <c r="G1564" s="659">
        <v>100</v>
      </c>
      <c r="H1564" s="659">
        <v>0</v>
      </c>
      <c r="I1564" s="659">
        <f t="shared" si="120"/>
        <v>70</v>
      </c>
      <c r="J1564" s="659">
        <v>0</v>
      </c>
      <c r="K1564" s="659">
        <v>70</v>
      </c>
      <c r="L1564" s="741">
        <v>0</v>
      </c>
      <c r="M1564" s="687">
        <v>70</v>
      </c>
      <c r="N1564" s="659">
        <v>0</v>
      </c>
      <c r="O1564" s="746" t="s">
        <v>4424</v>
      </c>
      <c r="P1564" s="547" t="s">
        <v>1588</v>
      </c>
      <c r="Q1564" s="689">
        <v>0</v>
      </c>
      <c r="R1564" s="689">
        <v>0</v>
      </c>
      <c r="S1564" s="689">
        <v>0</v>
      </c>
      <c r="T1564" s="689">
        <v>0</v>
      </c>
      <c r="U1564" s="547" t="s">
        <v>7491</v>
      </c>
      <c r="V1564" s="547" t="s">
        <v>4457</v>
      </c>
      <c r="W1564" s="658">
        <v>390</v>
      </c>
      <c r="X1564" s="547" t="s">
        <v>1532</v>
      </c>
      <c r="Y1564" s="547" t="s">
        <v>3161</v>
      </c>
      <c r="Z1564" s="547"/>
      <c r="AA1564" s="547"/>
      <c r="AB1564" s="550" t="s">
        <v>1934</v>
      </c>
    </row>
    <row r="1565" spans="1:28" ht="24" customHeight="1">
      <c r="A1565" s="606"/>
      <c r="B1565" s="544" t="s">
        <v>675</v>
      </c>
      <c r="C1565" s="551" t="s">
        <v>4458</v>
      </c>
      <c r="D1565" s="553" t="s">
        <v>4459</v>
      </c>
      <c r="E1565" s="659">
        <f t="shared" ref="E1565:E1570" si="123">F1565+G1565+H1565</f>
        <v>70</v>
      </c>
      <c r="F1565" s="659">
        <v>0</v>
      </c>
      <c r="G1565" s="659">
        <v>70</v>
      </c>
      <c r="H1565" s="659">
        <v>0</v>
      </c>
      <c r="I1565" s="659">
        <f t="shared" ref="I1565:I1570" si="124">J1565+K1565+L1565</f>
        <v>49</v>
      </c>
      <c r="J1565" s="659">
        <v>0</v>
      </c>
      <c r="K1565" s="659">
        <v>49</v>
      </c>
      <c r="L1565" s="741">
        <v>0</v>
      </c>
      <c r="M1565" s="687">
        <v>70</v>
      </c>
      <c r="N1565" s="659">
        <v>0</v>
      </c>
      <c r="O1565" s="746" t="s">
        <v>4424</v>
      </c>
      <c r="P1565" s="547" t="s">
        <v>1588</v>
      </c>
      <c r="Q1565" s="689">
        <v>0</v>
      </c>
      <c r="R1565" s="689">
        <v>0</v>
      </c>
      <c r="S1565" s="689">
        <v>0</v>
      </c>
      <c r="T1565" s="689">
        <v>0</v>
      </c>
      <c r="U1565" s="547" t="s">
        <v>7491</v>
      </c>
      <c r="V1565" s="547" t="s">
        <v>4457</v>
      </c>
      <c r="W1565" s="658">
        <v>220</v>
      </c>
      <c r="X1565" s="547" t="s">
        <v>1532</v>
      </c>
      <c r="Y1565" s="547" t="s">
        <v>3161</v>
      </c>
      <c r="Z1565" s="547"/>
      <c r="AA1565" s="547"/>
      <c r="AB1565" s="550" t="s">
        <v>1934</v>
      </c>
    </row>
    <row r="1566" spans="1:28" ht="24" customHeight="1">
      <c r="A1566" s="606"/>
      <c r="B1566" s="544" t="s">
        <v>675</v>
      </c>
      <c r="C1566" s="551" t="s">
        <v>4460</v>
      </c>
      <c r="D1566" s="553" t="s">
        <v>4461</v>
      </c>
      <c r="E1566" s="659">
        <f t="shared" si="123"/>
        <v>100</v>
      </c>
      <c r="F1566" s="659">
        <v>0</v>
      </c>
      <c r="G1566" s="659">
        <v>100</v>
      </c>
      <c r="H1566" s="659">
        <v>0</v>
      </c>
      <c r="I1566" s="659">
        <f t="shared" si="124"/>
        <v>70</v>
      </c>
      <c r="J1566" s="659">
        <v>0</v>
      </c>
      <c r="K1566" s="659">
        <v>70</v>
      </c>
      <c r="L1566" s="741">
        <v>0</v>
      </c>
      <c r="M1566" s="687">
        <v>70</v>
      </c>
      <c r="N1566" s="659">
        <v>0</v>
      </c>
      <c r="O1566" s="746" t="s">
        <v>4438</v>
      </c>
      <c r="P1566" s="547" t="s">
        <v>1588</v>
      </c>
      <c r="Q1566" s="689">
        <v>0</v>
      </c>
      <c r="R1566" s="689">
        <v>0</v>
      </c>
      <c r="S1566" s="689">
        <v>0</v>
      </c>
      <c r="T1566" s="689">
        <v>0</v>
      </c>
      <c r="U1566" s="547" t="s">
        <v>7491</v>
      </c>
      <c r="V1566" s="547" t="s">
        <v>4462</v>
      </c>
      <c r="W1566" s="658">
        <v>486</v>
      </c>
      <c r="X1566" s="547" t="s">
        <v>1532</v>
      </c>
      <c r="Y1566" s="547" t="s">
        <v>3161</v>
      </c>
      <c r="Z1566" s="547"/>
      <c r="AA1566" s="547"/>
      <c r="AB1566" s="550" t="s">
        <v>1934</v>
      </c>
    </row>
    <row r="1567" spans="1:28" ht="24" customHeight="1">
      <c r="A1567" s="606"/>
      <c r="B1567" s="544" t="s">
        <v>675</v>
      </c>
      <c r="C1567" s="551" t="s">
        <v>4463</v>
      </c>
      <c r="D1567" s="553" t="s">
        <v>4464</v>
      </c>
      <c r="E1567" s="659">
        <f t="shared" si="123"/>
        <v>40</v>
      </c>
      <c r="F1567" s="659">
        <v>0</v>
      </c>
      <c r="G1567" s="659">
        <v>40</v>
      </c>
      <c r="H1567" s="659">
        <v>0</v>
      </c>
      <c r="I1567" s="659">
        <f t="shared" si="124"/>
        <v>28</v>
      </c>
      <c r="J1567" s="659">
        <v>0</v>
      </c>
      <c r="K1567" s="659">
        <v>28</v>
      </c>
      <c r="L1567" s="741">
        <v>0</v>
      </c>
      <c r="M1567" s="687">
        <v>70</v>
      </c>
      <c r="N1567" s="659">
        <v>0</v>
      </c>
      <c r="O1567" s="746" t="s">
        <v>4438</v>
      </c>
      <c r="P1567" s="547" t="s">
        <v>1588</v>
      </c>
      <c r="Q1567" s="689">
        <v>0</v>
      </c>
      <c r="R1567" s="689">
        <v>0</v>
      </c>
      <c r="S1567" s="689">
        <v>0</v>
      </c>
      <c r="T1567" s="689">
        <v>0</v>
      </c>
      <c r="U1567" s="547" t="s">
        <v>7491</v>
      </c>
      <c r="V1567" s="547" t="s">
        <v>4465</v>
      </c>
      <c r="W1567" s="658">
        <v>400</v>
      </c>
      <c r="X1567" s="547" t="s">
        <v>1532</v>
      </c>
      <c r="Y1567" s="547" t="s">
        <v>3161</v>
      </c>
      <c r="Z1567" s="547"/>
      <c r="AA1567" s="547"/>
      <c r="AB1567" s="550" t="s">
        <v>1934</v>
      </c>
    </row>
    <row r="1568" spans="1:28" ht="24" customHeight="1">
      <c r="A1568" s="606"/>
      <c r="B1568" s="544" t="s">
        <v>675</v>
      </c>
      <c r="C1568" s="551" t="s">
        <v>4466</v>
      </c>
      <c r="D1568" s="553" t="s">
        <v>4467</v>
      </c>
      <c r="E1568" s="659">
        <f t="shared" si="123"/>
        <v>90</v>
      </c>
      <c r="F1568" s="659">
        <v>0</v>
      </c>
      <c r="G1568" s="659">
        <v>90</v>
      </c>
      <c r="H1568" s="659">
        <v>0</v>
      </c>
      <c r="I1568" s="659">
        <f t="shared" si="124"/>
        <v>63</v>
      </c>
      <c r="J1568" s="659">
        <v>0</v>
      </c>
      <c r="K1568" s="659">
        <v>63</v>
      </c>
      <c r="L1568" s="741">
        <v>0</v>
      </c>
      <c r="M1568" s="687">
        <v>70</v>
      </c>
      <c r="N1568" s="659">
        <v>0</v>
      </c>
      <c r="O1568" s="746" t="s">
        <v>4438</v>
      </c>
      <c r="P1568" s="547" t="s">
        <v>1588</v>
      </c>
      <c r="Q1568" s="689">
        <v>0</v>
      </c>
      <c r="R1568" s="689">
        <v>0</v>
      </c>
      <c r="S1568" s="689">
        <v>0</v>
      </c>
      <c r="T1568" s="689">
        <v>0</v>
      </c>
      <c r="U1568" s="547" t="s">
        <v>7491</v>
      </c>
      <c r="V1568" s="547" t="s">
        <v>2159</v>
      </c>
      <c r="W1568" s="658">
        <v>585</v>
      </c>
      <c r="X1568" s="547" t="s">
        <v>1532</v>
      </c>
      <c r="Y1568" s="547" t="s">
        <v>3161</v>
      </c>
      <c r="Z1568" s="547"/>
      <c r="AA1568" s="547"/>
      <c r="AB1568" s="550" t="s">
        <v>1934</v>
      </c>
    </row>
    <row r="1569" spans="1:28" ht="24" customHeight="1">
      <c r="A1569" s="606"/>
      <c r="B1569" s="544" t="s">
        <v>675</v>
      </c>
      <c r="C1569" s="551" t="s">
        <v>4468</v>
      </c>
      <c r="D1569" s="553" t="s">
        <v>4469</v>
      </c>
      <c r="E1569" s="659">
        <f t="shared" si="123"/>
        <v>35</v>
      </c>
      <c r="F1569" s="659">
        <v>0</v>
      </c>
      <c r="G1569" s="659">
        <v>35</v>
      </c>
      <c r="H1569" s="659">
        <v>0</v>
      </c>
      <c r="I1569" s="659">
        <f t="shared" si="124"/>
        <v>24.5</v>
      </c>
      <c r="J1569" s="659">
        <v>0</v>
      </c>
      <c r="K1569" s="659">
        <v>24.5</v>
      </c>
      <c r="L1569" s="741">
        <v>0</v>
      </c>
      <c r="M1569" s="687">
        <v>70</v>
      </c>
      <c r="N1569" s="659">
        <v>0</v>
      </c>
      <c r="O1569" s="746" t="s">
        <v>4438</v>
      </c>
      <c r="P1569" s="547" t="s">
        <v>1588</v>
      </c>
      <c r="Q1569" s="689">
        <v>0</v>
      </c>
      <c r="R1569" s="689">
        <v>0</v>
      </c>
      <c r="S1569" s="689">
        <v>0</v>
      </c>
      <c r="T1569" s="689">
        <v>0</v>
      </c>
      <c r="U1569" s="547" t="s">
        <v>7491</v>
      </c>
      <c r="V1569" s="547" t="s">
        <v>4470</v>
      </c>
      <c r="W1569" s="658">
        <v>608</v>
      </c>
      <c r="X1569" s="547" t="s">
        <v>1532</v>
      </c>
      <c r="Y1569" s="547" t="s">
        <v>3161</v>
      </c>
      <c r="Z1569" s="547"/>
      <c r="AA1569" s="547"/>
      <c r="AB1569" s="550" t="s">
        <v>1934</v>
      </c>
    </row>
    <row r="1570" spans="1:28" ht="24" customHeight="1">
      <c r="A1570" s="606"/>
      <c r="B1570" s="544" t="s">
        <v>675</v>
      </c>
      <c r="C1570" s="551" t="s">
        <v>6341</v>
      </c>
      <c r="D1570" s="553" t="s">
        <v>4471</v>
      </c>
      <c r="E1570" s="659">
        <f t="shared" si="123"/>
        <v>30</v>
      </c>
      <c r="F1570" s="659">
        <v>0</v>
      </c>
      <c r="G1570" s="659">
        <v>30</v>
      </c>
      <c r="H1570" s="659">
        <v>0</v>
      </c>
      <c r="I1570" s="659">
        <f t="shared" si="124"/>
        <v>21</v>
      </c>
      <c r="J1570" s="659">
        <v>0</v>
      </c>
      <c r="K1570" s="659">
        <v>21</v>
      </c>
      <c r="L1570" s="741">
        <v>0</v>
      </c>
      <c r="M1570" s="687">
        <v>70</v>
      </c>
      <c r="N1570" s="659">
        <v>0</v>
      </c>
      <c r="O1570" s="746" t="s">
        <v>2770</v>
      </c>
      <c r="P1570" s="547" t="s">
        <v>1588</v>
      </c>
      <c r="Q1570" s="689">
        <v>0</v>
      </c>
      <c r="R1570" s="689">
        <v>0</v>
      </c>
      <c r="S1570" s="689">
        <v>0</v>
      </c>
      <c r="T1570" s="689">
        <v>0</v>
      </c>
      <c r="U1570" s="547" t="s">
        <v>7491</v>
      </c>
      <c r="V1570" s="547" t="s">
        <v>4472</v>
      </c>
      <c r="W1570" s="658">
        <v>800</v>
      </c>
      <c r="X1570" s="547" t="s">
        <v>1532</v>
      </c>
      <c r="Y1570" s="547" t="s">
        <v>3161</v>
      </c>
      <c r="Z1570" s="547"/>
      <c r="AA1570" s="547"/>
      <c r="AB1570" s="550" t="s">
        <v>1934</v>
      </c>
    </row>
    <row r="1571" spans="1:28" ht="24" customHeight="1">
      <c r="A1571" s="605" t="s">
        <v>1740</v>
      </c>
      <c r="B1571" s="544" t="s">
        <v>2201</v>
      </c>
      <c r="C1571" s="551" t="s">
        <v>1741</v>
      </c>
      <c r="D1571" s="553" t="s">
        <v>4473</v>
      </c>
      <c r="E1571" s="659">
        <f t="shared" ref="E1571:E1618" si="125">SUM(F1571:H1571)</f>
        <v>4000</v>
      </c>
      <c r="F1571" s="659">
        <v>0</v>
      </c>
      <c r="G1571" s="659">
        <v>0</v>
      </c>
      <c r="H1571" s="659">
        <v>4000</v>
      </c>
      <c r="I1571" s="659">
        <f t="shared" ref="I1571:I1618" si="126">SUM(J1571:L1571)</f>
        <v>3792</v>
      </c>
      <c r="J1571" s="659">
        <v>0</v>
      </c>
      <c r="K1571" s="659">
        <v>0</v>
      </c>
      <c r="L1571" s="741">
        <v>3792</v>
      </c>
      <c r="M1571" s="687">
        <v>92</v>
      </c>
      <c r="N1571" s="659">
        <v>27909</v>
      </c>
      <c r="O1571" s="746" t="s">
        <v>2371</v>
      </c>
      <c r="P1571" s="547" t="s">
        <v>1588</v>
      </c>
      <c r="Q1571" s="689">
        <v>30</v>
      </c>
      <c r="R1571" s="689">
        <v>0</v>
      </c>
      <c r="S1571" s="689">
        <v>0</v>
      </c>
      <c r="T1571" s="689">
        <v>0</v>
      </c>
      <c r="U1571" s="547" t="s">
        <v>7492</v>
      </c>
      <c r="V1571" s="548" t="s">
        <v>4474</v>
      </c>
      <c r="W1571" s="658">
        <v>21262</v>
      </c>
      <c r="X1571" s="547" t="s">
        <v>2193</v>
      </c>
      <c r="Y1571" s="547" t="s">
        <v>3161</v>
      </c>
      <c r="Z1571" s="547" t="s">
        <v>4475</v>
      </c>
      <c r="AA1571" s="547" t="s">
        <v>4475</v>
      </c>
      <c r="AB1571" s="550"/>
    </row>
    <row r="1572" spans="1:28" ht="24" customHeight="1">
      <c r="A1572" s="606"/>
      <c r="B1572" s="544" t="s">
        <v>675</v>
      </c>
      <c r="C1572" s="551" t="s">
        <v>4476</v>
      </c>
      <c r="D1572" s="553" t="s">
        <v>4477</v>
      </c>
      <c r="E1572" s="659">
        <f>SUM(F1572:H1572)</f>
        <v>15</v>
      </c>
      <c r="F1572" s="659">
        <v>0</v>
      </c>
      <c r="G1572" s="659">
        <v>15</v>
      </c>
      <c r="H1572" s="659">
        <v>0</v>
      </c>
      <c r="I1572" s="659">
        <f>SUM(J1572:L1572)</f>
        <v>11.9</v>
      </c>
      <c r="J1572" s="659">
        <v>0</v>
      </c>
      <c r="K1572" s="659">
        <v>0</v>
      </c>
      <c r="L1572" s="741">
        <v>11.9</v>
      </c>
      <c r="M1572" s="687">
        <v>88</v>
      </c>
      <c r="N1572" s="563">
        <v>41</v>
      </c>
      <c r="O1572" s="746" t="s">
        <v>3419</v>
      </c>
      <c r="P1572" s="547" t="s">
        <v>1588</v>
      </c>
      <c r="Q1572" s="689">
        <v>0</v>
      </c>
      <c r="R1572" s="689">
        <v>0</v>
      </c>
      <c r="S1572" s="689">
        <v>0</v>
      </c>
      <c r="T1572" s="689">
        <v>0</v>
      </c>
      <c r="U1572" s="547" t="s">
        <v>7492</v>
      </c>
      <c r="V1572" s="548" t="s">
        <v>4478</v>
      </c>
      <c r="W1572" s="658">
        <v>96</v>
      </c>
      <c r="X1572" s="547"/>
      <c r="Y1572" s="547" t="s">
        <v>3161</v>
      </c>
      <c r="Z1572" s="547" t="s">
        <v>4479</v>
      </c>
      <c r="AA1572" s="547" t="s">
        <v>4479</v>
      </c>
      <c r="AB1572" s="550"/>
    </row>
    <row r="1573" spans="1:28" ht="24" customHeight="1">
      <c r="A1573" s="606"/>
      <c r="B1573" s="544" t="s">
        <v>675</v>
      </c>
      <c r="C1573" s="551" t="s">
        <v>4480</v>
      </c>
      <c r="D1573" s="553" t="s">
        <v>4481</v>
      </c>
      <c r="E1573" s="659">
        <f>SUM(F1573:H1573)</f>
        <v>25</v>
      </c>
      <c r="F1573" s="659">
        <v>0</v>
      </c>
      <c r="G1573" s="659">
        <v>25</v>
      </c>
      <c r="H1573" s="659">
        <v>0</v>
      </c>
      <c r="I1573" s="659">
        <f>SUM(J1573:L1573)</f>
        <v>21</v>
      </c>
      <c r="J1573" s="659">
        <v>0</v>
      </c>
      <c r="K1573" s="659">
        <v>0</v>
      </c>
      <c r="L1573" s="741">
        <v>21</v>
      </c>
      <c r="M1573" s="687">
        <v>95</v>
      </c>
      <c r="N1573" s="563">
        <v>103</v>
      </c>
      <c r="O1573" s="746" t="s">
        <v>3419</v>
      </c>
      <c r="P1573" s="547" t="s">
        <v>1588</v>
      </c>
      <c r="Q1573" s="689">
        <v>0</v>
      </c>
      <c r="R1573" s="689">
        <v>0</v>
      </c>
      <c r="S1573" s="689">
        <v>0</v>
      </c>
      <c r="T1573" s="689">
        <v>0</v>
      </c>
      <c r="U1573" s="547" t="s">
        <v>7492</v>
      </c>
      <c r="V1573" s="548" t="s">
        <v>4482</v>
      </c>
      <c r="W1573" s="658">
        <v>96</v>
      </c>
      <c r="X1573" s="547"/>
      <c r="Y1573" s="547" t="s">
        <v>3161</v>
      </c>
      <c r="Z1573" s="547"/>
      <c r="AA1573" s="547"/>
      <c r="AB1573" s="550"/>
    </row>
    <row r="1574" spans="1:28" ht="24" customHeight="1">
      <c r="A1574" s="606"/>
      <c r="B1574" s="544" t="s">
        <v>675</v>
      </c>
      <c r="C1574" s="551" t="s">
        <v>4483</v>
      </c>
      <c r="D1574" s="553" t="s">
        <v>4484</v>
      </c>
      <c r="E1574" s="659">
        <f>SUM(F1574:H1574)</f>
        <v>50</v>
      </c>
      <c r="F1574" s="659">
        <v>0</v>
      </c>
      <c r="G1574" s="659">
        <v>50</v>
      </c>
      <c r="H1574" s="659">
        <v>0</v>
      </c>
      <c r="I1574" s="659">
        <f>SUM(J1574:L1574)</f>
        <v>39.5</v>
      </c>
      <c r="J1574" s="659">
        <v>0</v>
      </c>
      <c r="K1574" s="659">
        <v>0</v>
      </c>
      <c r="L1574" s="741">
        <v>39.5</v>
      </c>
      <c r="M1574" s="687">
        <v>93</v>
      </c>
      <c r="N1574" s="563">
        <v>179</v>
      </c>
      <c r="O1574" s="746" t="s">
        <v>4485</v>
      </c>
      <c r="P1574" s="547" t="s">
        <v>1588</v>
      </c>
      <c r="Q1574" s="689">
        <v>0</v>
      </c>
      <c r="R1574" s="689">
        <v>0</v>
      </c>
      <c r="S1574" s="689">
        <v>0</v>
      </c>
      <c r="T1574" s="689">
        <v>0</v>
      </c>
      <c r="U1574" s="547" t="s">
        <v>7492</v>
      </c>
      <c r="V1574" s="548" t="s">
        <v>4486</v>
      </c>
      <c r="W1574" s="658">
        <v>360</v>
      </c>
      <c r="X1574" s="547"/>
      <c r="Y1574" s="547" t="s">
        <v>3161</v>
      </c>
      <c r="Z1574" s="547" t="s">
        <v>4475</v>
      </c>
      <c r="AA1574" s="547" t="s">
        <v>4475</v>
      </c>
      <c r="AB1574" s="550"/>
    </row>
    <row r="1575" spans="1:28" ht="24" customHeight="1">
      <c r="A1575" s="606"/>
      <c r="B1575" s="544" t="s">
        <v>675</v>
      </c>
      <c r="C1575" s="551" t="s">
        <v>4487</v>
      </c>
      <c r="D1575" s="553" t="s">
        <v>4488</v>
      </c>
      <c r="E1575" s="659">
        <f t="shared" si="125"/>
        <v>60</v>
      </c>
      <c r="F1575" s="659">
        <v>0</v>
      </c>
      <c r="G1575" s="659">
        <v>60</v>
      </c>
      <c r="H1575" s="659">
        <v>0</v>
      </c>
      <c r="I1575" s="659">
        <f t="shared" si="126"/>
        <v>50.4</v>
      </c>
      <c r="J1575" s="659">
        <v>0</v>
      </c>
      <c r="K1575" s="659">
        <v>0</v>
      </c>
      <c r="L1575" s="741">
        <v>50.4</v>
      </c>
      <c r="M1575" s="687">
        <v>95</v>
      </c>
      <c r="N1575" s="563">
        <v>261</v>
      </c>
      <c r="O1575" s="746" t="s">
        <v>4489</v>
      </c>
      <c r="P1575" s="547" t="s">
        <v>1588</v>
      </c>
      <c r="Q1575" s="689">
        <v>0</v>
      </c>
      <c r="R1575" s="689">
        <v>0</v>
      </c>
      <c r="S1575" s="689">
        <v>0</v>
      </c>
      <c r="T1575" s="689">
        <v>0</v>
      </c>
      <c r="U1575" s="547" t="s">
        <v>7492</v>
      </c>
      <c r="V1575" s="548" t="s">
        <v>4490</v>
      </c>
      <c r="W1575" s="658">
        <v>312</v>
      </c>
      <c r="X1575" s="547"/>
      <c r="Y1575" s="547" t="s">
        <v>3161</v>
      </c>
      <c r="Z1575" s="547" t="s">
        <v>4491</v>
      </c>
      <c r="AA1575" s="547" t="s">
        <v>4491</v>
      </c>
      <c r="AB1575" s="550"/>
    </row>
    <row r="1576" spans="1:28" ht="24" customHeight="1">
      <c r="A1576" s="606"/>
      <c r="B1576" s="544" t="s">
        <v>675</v>
      </c>
      <c r="C1576" s="551" t="s">
        <v>2001</v>
      </c>
      <c r="D1576" s="553" t="s">
        <v>4492</v>
      </c>
      <c r="E1576" s="659">
        <f t="shared" si="125"/>
        <v>23</v>
      </c>
      <c r="F1576" s="659">
        <v>0</v>
      </c>
      <c r="G1576" s="659">
        <v>23</v>
      </c>
      <c r="H1576" s="659">
        <v>0</v>
      </c>
      <c r="I1576" s="659">
        <f t="shared" si="126"/>
        <v>18.399999999999999</v>
      </c>
      <c r="J1576" s="659">
        <v>0</v>
      </c>
      <c r="K1576" s="659">
        <v>0</v>
      </c>
      <c r="L1576" s="741">
        <v>18.399999999999999</v>
      </c>
      <c r="M1576" s="687">
        <v>90</v>
      </c>
      <c r="N1576" s="563">
        <v>68</v>
      </c>
      <c r="O1576" s="746" t="s">
        <v>4493</v>
      </c>
      <c r="P1576" s="547" t="s">
        <v>1588</v>
      </c>
      <c r="Q1576" s="689">
        <v>0</v>
      </c>
      <c r="R1576" s="689">
        <v>0</v>
      </c>
      <c r="S1576" s="689">
        <v>0</v>
      </c>
      <c r="T1576" s="689">
        <v>0</v>
      </c>
      <c r="U1576" s="547" t="s">
        <v>7492</v>
      </c>
      <c r="V1576" s="548" t="s">
        <v>7181</v>
      </c>
      <c r="W1576" s="658">
        <v>218</v>
      </c>
      <c r="X1576" s="547"/>
      <c r="Y1576" s="547" t="s">
        <v>3161</v>
      </c>
      <c r="Z1576" s="547" t="s">
        <v>4494</v>
      </c>
      <c r="AA1576" s="547" t="s">
        <v>4494</v>
      </c>
      <c r="AB1576" s="550"/>
    </row>
    <row r="1577" spans="1:28" ht="24" customHeight="1">
      <c r="A1577" s="606"/>
      <c r="B1577" s="544" t="s">
        <v>675</v>
      </c>
      <c r="C1577" s="551" t="s">
        <v>4495</v>
      </c>
      <c r="D1577" s="553" t="s">
        <v>4496</v>
      </c>
      <c r="E1577" s="659">
        <f t="shared" si="125"/>
        <v>110</v>
      </c>
      <c r="F1577" s="659">
        <v>0</v>
      </c>
      <c r="G1577" s="659">
        <v>110</v>
      </c>
      <c r="H1577" s="659">
        <v>0</v>
      </c>
      <c r="I1577" s="659">
        <f t="shared" si="126"/>
        <v>95.1</v>
      </c>
      <c r="J1577" s="659">
        <v>0</v>
      </c>
      <c r="K1577" s="659">
        <v>0</v>
      </c>
      <c r="L1577" s="741">
        <v>95.1</v>
      </c>
      <c r="M1577" s="687">
        <v>94</v>
      </c>
      <c r="N1577" s="563">
        <v>543</v>
      </c>
      <c r="O1577" s="746" t="s">
        <v>4485</v>
      </c>
      <c r="P1577" s="547" t="s">
        <v>1588</v>
      </c>
      <c r="Q1577" s="689">
        <v>0</v>
      </c>
      <c r="R1577" s="689">
        <v>0</v>
      </c>
      <c r="S1577" s="689">
        <v>0</v>
      </c>
      <c r="T1577" s="689">
        <v>0</v>
      </c>
      <c r="U1577" s="547" t="s">
        <v>7492</v>
      </c>
      <c r="V1577" s="548" t="s">
        <v>4497</v>
      </c>
      <c r="W1577" s="658">
        <v>314</v>
      </c>
      <c r="X1577" s="547"/>
      <c r="Y1577" s="547" t="s">
        <v>3161</v>
      </c>
      <c r="Z1577" s="547" t="s">
        <v>4494</v>
      </c>
      <c r="AA1577" s="547" t="s">
        <v>4494</v>
      </c>
      <c r="AB1577" s="550"/>
    </row>
    <row r="1578" spans="1:28" ht="24" customHeight="1">
      <c r="A1578" s="606"/>
      <c r="B1578" s="544" t="s">
        <v>675</v>
      </c>
      <c r="C1578" s="551" t="s">
        <v>4498</v>
      </c>
      <c r="D1578" s="553" t="s">
        <v>4499</v>
      </c>
      <c r="E1578" s="659">
        <f t="shared" si="125"/>
        <v>80</v>
      </c>
      <c r="F1578" s="659">
        <v>0</v>
      </c>
      <c r="G1578" s="659">
        <v>80</v>
      </c>
      <c r="H1578" s="659">
        <v>0</v>
      </c>
      <c r="I1578" s="659">
        <f t="shared" si="126"/>
        <v>73.7</v>
      </c>
      <c r="J1578" s="659">
        <v>0</v>
      </c>
      <c r="K1578" s="659">
        <v>0</v>
      </c>
      <c r="L1578" s="741">
        <v>73.7</v>
      </c>
      <c r="M1578" s="687">
        <v>95</v>
      </c>
      <c r="N1578" s="563">
        <v>308</v>
      </c>
      <c r="O1578" s="746" t="s">
        <v>4489</v>
      </c>
      <c r="P1578" s="547" t="s">
        <v>1588</v>
      </c>
      <c r="Q1578" s="689">
        <v>0</v>
      </c>
      <c r="R1578" s="689">
        <v>0</v>
      </c>
      <c r="S1578" s="689">
        <v>0</v>
      </c>
      <c r="T1578" s="689">
        <v>0</v>
      </c>
      <c r="U1578" s="547" t="s">
        <v>7492</v>
      </c>
      <c r="V1578" s="548" t="s">
        <v>4500</v>
      </c>
      <c r="W1578" s="658">
        <v>532</v>
      </c>
      <c r="X1578" s="547"/>
      <c r="Y1578" s="547" t="s">
        <v>3161</v>
      </c>
      <c r="Z1578" s="547" t="s">
        <v>4479</v>
      </c>
      <c r="AA1578" s="547" t="s">
        <v>4479</v>
      </c>
      <c r="AB1578" s="550"/>
    </row>
    <row r="1579" spans="1:28" ht="24" customHeight="1">
      <c r="A1579" s="606"/>
      <c r="B1579" s="544" t="s">
        <v>675</v>
      </c>
      <c r="C1579" s="551" t="s">
        <v>4501</v>
      </c>
      <c r="D1579" s="553" t="s">
        <v>4502</v>
      </c>
      <c r="E1579" s="659">
        <f t="shared" si="125"/>
        <v>40</v>
      </c>
      <c r="F1579" s="659">
        <v>0</v>
      </c>
      <c r="G1579" s="659">
        <v>40</v>
      </c>
      <c r="H1579" s="659">
        <v>0</v>
      </c>
      <c r="I1579" s="659">
        <f t="shared" si="126"/>
        <v>27.8</v>
      </c>
      <c r="J1579" s="659">
        <v>0</v>
      </c>
      <c r="K1579" s="659">
        <v>0</v>
      </c>
      <c r="L1579" s="741">
        <v>27.8</v>
      </c>
      <c r="M1579" s="687">
        <v>92</v>
      </c>
      <c r="N1579" s="563">
        <v>133</v>
      </c>
      <c r="O1579" s="746" t="s">
        <v>4489</v>
      </c>
      <c r="P1579" s="547" t="s">
        <v>1588</v>
      </c>
      <c r="Q1579" s="689">
        <v>0</v>
      </c>
      <c r="R1579" s="689">
        <v>0</v>
      </c>
      <c r="S1579" s="689">
        <v>0</v>
      </c>
      <c r="T1579" s="689">
        <v>0</v>
      </c>
      <c r="U1579" s="547" t="s">
        <v>7492</v>
      </c>
      <c r="V1579" s="548" t="s">
        <v>4503</v>
      </c>
      <c r="W1579" s="658">
        <v>310</v>
      </c>
      <c r="X1579" s="547"/>
      <c r="Y1579" s="547" t="s">
        <v>1533</v>
      </c>
      <c r="Z1579" s="547" t="s">
        <v>4479</v>
      </c>
      <c r="AA1579" s="547" t="s">
        <v>4479</v>
      </c>
      <c r="AB1579" s="550"/>
    </row>
    <row r="1580" spans="1:28" ht="24" customHeight="1">
      <c r="A1580" s="606"/>
      <c r="B1580" s="544" t="s">
        <v>675</v>
      </c>
      <c r="C1580" s="551" t="s">
        <v>4504</v>
      </c>
      <c r="D1580" s="553" t="s">
        <v>4505</v>
      </c>
      <c r="E1580" s="659">
        <f t="shared" si="125"/>
        <v>40</v>
      </c>
      <c r="F1580" s="659">
        <v>0</v>
      </c>
      <c r="G1580" s="659">
        <v>40</v>
      </c>
      <c r="H1580" s="659">
        <v>0</v>
      </c>
      <c r="I1580" s="659">
        <f t="shared" si="126"/>
        <v>31.4</v>
      </c>
      <c r="J1580" s="659">
        <v>0</v>
      </c>
      <c r="K1580" s="659">
        <v>0</v>
      </c>
      <c r="L1580" s="741">
        <v>31.4</v>
      </c>
      <c r="M1580" s="687">
        <v>96</v>
      </c>
      <c r="N1580" s="659">
        <v>119</v>
      </c>
      <c r="O1580" s="746" t="s">
        <v>3419</v>
      </c>
      <c r="P1580" s="547" t="s">
        <v>1588</v>
      </c>
      <c r="Q1580" s="689">
        <v>0</v>
      </c>
      <c r="R1580" s="689">
        <v>0</v>
      </c>
      <c r="S1580" s="689">
        <v>0</v>
      </c>
      <c r="T1580" s="689">
        <v>0</v>
      </c>
      <c r="U1580" s="547" t="s">
        <v>7492</v>
      </c>
      <c r="V1580" s="548" t="s">
        <v>4506</v>
      </c>
      <c r="W1580" s="658">
        <v>390</v>
      </c>
      <c r="X1580" s="547"/>
      <c r="Y1580" s="547" t="s">
        <v>1533</v>
      </c>
      <c r="Z1580" s="547"/>
      <c r="AA1580" s="547"/>
      <c r="AB1580" s="550"/>
    </row>
    <row r="1581" spans="1:28" ht="24" customHeight="1">
      <c r="A1581" s="606"/>
      <c r="B1581" s="544" t="s">
        <v>675</v>
      </c>
      <c r="C1581" s="551" t="s">
        <v>4507</v>
      </c>
      <c r="D1581" s="553" t="s">
        <v>4508</v>
      </c>
      <c r="E1581" s="659">
        <f t="shared" si="125"/>
        <v>45</v>
      </c>
      <c r="F1581" s="659">
        <v>0</v>
      </c>
      <c r="G1581" s="659">
        <v>45</v>
      </c>
      <c r="H1581" s="659">
        <v>0</v>
      </c>
      <c r="I1581" s="659">
        <f t="shared" si="126"/>
        <v>39.299999999999997</v>
      </c>
      <c r="J1581" s="659">
        <v>0</v>
      </c>
      <c r="K1581" s="659">
        <v>0</v>
      </c>
      <c r="L1581" s="741">
        <v>39.299999999999997</v>
      </c>
      <c r="M1581" s="687">
        <v>89</v>
      </c>
      <c r="N1581" s="659">
        <v>169</v>
      </c>
      <c r="O1581" s="746" t="s">
        <v>4509</v>
      </c>
      <c r="P1581" s="547" t="s">
        <v>1588</v>
      </c>
      <c r="Q1581" s="689">
        <v>0</v>
      </c>
      <c r="R1581" s="689">
        <v>0</v>
      </c>
      <c r="S1581" s="689">
        <v>0</v>
      </c>
      <c r="T1581" s="689">
        <v>0</v>
      </c>
      <c r="U1581" s="547" t="s">
        <v>7492</v>
      </c>
      <c r="V1581" s="548" t="s">
        <v>4510</v>
      </c>
      <c r="W1581" s="658">
        <v>102</v>
      </c>
      <c r="X1581" s="547"/>
      <c r="Y1581" s="547" t="s">
        <v>1533</v>
      </c>
      <c r="Z1581" s="547"/>
      <c r="AA1581" s="547"/>
      <c r="AB1581" s="550"/>
    </row>
    <row r="1582" spans="1:28" ht="24" customHeight="1">
      <c r="A1582" s="606"/>
      <c r="B1582" s="544" t="s">
        <v>675</v>
      </c>
      <c r="C1582" s="551" t="s">
        <v>4511</v>
      </c>
      <c r="D1582" s="553" t="s">
        <v>4512</v>
      </c>
      <c r="E1582" s="659">
        <f t="shared" si="125"/>
        <v>80</v>
      </c>
      <c r="F1582" s="659">
        <v>0</v>
      </c>
      <c r="G1582" s="659">
        <v>80</v>
      </c>
      <c r="H1582" s="659">
        <v>0</v>
      </c>
      <c r="I1582" s="659">
        <f t="shared" si="126"/>
        <v>69.599999999999994</v>
      </c>
      <c r="J1582" s="659">
        <v>0</v>
      </c>
      <c r="K1582" s="659">
        <v>0</v>
      </c>
      <c r="L1582" s="741">
        <v>69.599999999999994</v>
      </c>
      <c r="M1582" s="687">
        <v>90</v>
      </c>
      <c r="N1582" s="659">
        <v>322</v>
      </c>
      <c r="O1582" s="746" t="s">
        <v>4509</v>
      </c>
      <c r="P1582" s="547" t="s">
        <v>1588</v>
      </c>
      <c r="Q1582" s="689">
        <v>0</v>
      </c>
      <c r="R1582" s="689">
        <v>0</v>
      </c>
      <c r="S1582" s="689">
        <v>0</v>
      </c>
      <c r="T1582" s="689">
        <v>0</v>
      </c>
      <c r="U1582" s="547" t="s">
        <v>7492</v>
      </c>
      <c r="V1582" s="548" t="s">
        <v>4510</v>
      </c>
      <c r="W1582" s="658">
        <v>182</v>
      </c>
      <c r="X1582" s="547"/>
      <c r="Y1582" s="547" t="s">
        <v>3161</v>
      </c>
      <c r="Z1582" s="547" t="s">
        <v>1594</v>
      </c>
      <c r="AA1582" s="547" t="s">
        <v>1594</v>
      </c>
      <c r="AB1582" s="550"/>
    </row>
    <row r="1583" spans="1:28" ht="24" customHeight="1">
      <c r="A1583" s="606"/>
      <c r="B1583" s="544" t="s">
        <v>675</v>
      </c>
      <c r="C1583" s="551" t="s">
        <v>4513</v>
      </c>
      <c r="D1583" s="553" t="s">
        <v>4514</v>
      </c>
      <c r="E1583" s="659">
        <f t="shared" si="125"/>
        <v>50</v>
      </c>
      <c r="F1583" s="659">
        <v>0</v>
      </c>
      <c r="G1583" s="659">
        <v>50</v>
      </c>
      <c r="H1583" s="659">
        <v>0</v>
      </c>
      <c r="I1583" s="659">
        <f t="shared" si="126"/>
        <v>43.3</v>
      </c>
      <c r="J1583" s="659">
        <v>0</v>
      </c>
      <c r="K1583" s="659">
        <v>0</v>
      </c>
      <c r="L1583" s="741">
        <v>43.3</v>
      </c>
      <c r="M1583" s="687">
        <v>87</v>
      </c>
      <c r="N1583" s="659">
        <v>148</v>
      </c>
      <c r="O1583" s="746" t="s">
        <v>4489</v>
      </c>
      <c r="P1583" s="547" t="s">
        <v>1588</v>
      </c>
      <c r="Q1583" s="689">
        <v>0</v>
      </c>
      <c r="R1583" s="689">
        <v>0</v>
      </c>
      <c r="S1583" s="689">
        <v>0</v>
      </c>
      <c r="T1583" s="689">
        <v>0</v>
      </c>
      <c r="U1583" s="547" t="s">
        <v>7492</v>
      </c>
      <c r="V1583" s="548" t="s">
        <v>4515</v>
      </c>
      <c r="W1583" s="658">
        <v>178</v>
      </c>
      <c r="X1583" s="547"/>
      <c r="Y1583" s="547" t="s">
        <v>3161</v>
      </c>
      <c r="Z1583" s="547" t="s">
        <v>1594</v>
      </c>
      <c r="AA1583" s="547" t="s">
        <v>1594</v>
      </c>
      <c r="AB1583" s="550"/>
    </row>
    <row r="1584" spans="1:28" ht="24" customHeight="1">
      <c r="A1584" s="606"/>
      <c r="B1584" s="544" t="s">
        <v>675</v>
      </c>
      <c r="C1584" s="551" t="s">
        <v>926</v>
      </c>
      <c r="D1584" s="553" t="s">
        <v>4508</v>
      </c>
      <c r="E1584" s="659">
        <f t="shared" si="125"/>
        <v>65</v>
      </c>
      <c r="F1584" s="659">
        <v>0</v>
      </c>
      <c r="G1584" s="659">
        <v>65</v>
      </c>
      <c r="H1584" s="659">
        <v>0</v>
      </c>
      <c r="I1584" s="659">
        <f t="shared" si="126"/>
        <v>61.5</v>
      </c>
      <c r="J1584" s="659">
        <v>0</v>
      </c>
      <c r="K1584" s="659">
        <v>0</v>
      </c>
      <c r="L1584" s="741">
        <v>61.5</v>
      </c>
      <c r="M1584" s="687">
        <v>93</v>
      </c>
      <c r="N1584" s="659">
        <v>373</v>
      </c>
      <c r="O1584" s="746" t="s">
        <v>4485</v>
      </c>
      <c r="P1584" s="547" t="s">
        <v>1588</v>
      </c>
      <c r="Q1584" s="689">
        <v>0</v>
      </c>
      <c r="R1584" s="689">
        <v>0</v>
      </c>
      <c r="S1584" s="689">
        <v>0</v>
      </c>
      <c r="T1584" s="689">
        <v>0</v>
      </c>
      <c r="U1584" s="547" t="s">
        <v>7492</v>
      </c>
      <c r="V1584" s="548" t="s">
        <v>4516</v>
      </c>
      <c r="W1584" s="658">
        <v>307</v>
      </c>
      <c r="X1584" s="547"/>
      <c r="Y1584" s="547" t="s">
        <v>3161</v>
      </c>
      <c r="Z1584" s="547"/>
      <c r="AA1584" s="547"/>
      <c r="AB1584" s="550"/>
    </row>
    <row r="1585" spans="1:28" ht="24" customHeight="1">
      <c r="A1585" s="606"/>
      <c r="B1585" s="544" t="s">
        <v>675</v>
      </c>
      <c r="C1585" s="551" t="s">
        <v>4517</v>
      </c>
      <c r="D1585" s="553" t="s">
        <v>4518</v>
      </c>
      <c r="E1585" s="659">
        <f t="shared" si="125"/>
        <v>40</v>
      </c>
      <c r="F1585" s="659">
        <v>0</v>
      </c>
      <c r="G1585" s="659">
        <v>40</v>
      </c>
      <c r="H1585" s="659">
        <v>0</v>
      </c>
      <c r="I1585" s="659">
        <f t="shared" si="126"/>
        <v>32.299999999999997</v>
      </c>
      <c r="J1585" s="659">
        <v>0</v>
      </c>
      <c r="K1585" s="659">
        <v>0</v>
      </c>
      <c r="L1585" s="741">
        <v>32.299999999999997</v>
      </c>
      <c r="M1585" s="687">
        <v>95</v>
      </c>
      <c r="N1585" s="659">
        <v>141</v>
      </c>
      <c r="O1585" s="746" t="s">
        <v>2967</v>
      </c>
      <c r="P1585" s="547" t="s">
        <v>1588</v>
      </c>
      <c r="Q1585" s="689">
        <v>0</v>
      </c>
      <c r="R1585" s="689">
        <v>0</v>
      </c>
      <c r="S1585" s="689">
        <v>0</v>
      </c>
      <c r="T1585" s="689">
        <v>0</v>
      </c>
      <c r="U1585" s="547" t="s">
        <v>7492</v>
      </c>
      <c r="V1585" s="548" t="s">
        <v>4519</v>
      </c>
      <c r="W1585" s="658">
        <v>293</v>
      </c>
      <c r="X1585" s="547"/>
      <c r="Y1585" s="547" t="s">
        <v>3161</v>
      </c>
      <c r="Z1585" s="547"/>
      <c r="AA1585" s="547"/>
      <c r="AB1585" s="550"/>
    </row>
    <row r="1586" spans="1:28" ht="24" customHeight="1">
      <c r="A1586" s="606"/>
      <c r="B1586" s="544" t="s">
        <v>675</v>
      </c>
      <c r="C1586" s="551" t="s">
        <v>1720</v>
      </c>
      <c r="D1586" s="553" t="s">
        <v>4520</v>
      </c>
      <c r="E1586" s="659">
        <f t="shared" si="125"/>
        <v>50</v>
      </c>
      <c r="F1586" s="659">
        <v>0</v>
      </c>
      <c r="G1586" s="659">
        <v>50</v>
      </c>
      <c r="H1586" s="659">
        <v>0</v>
      </c>
      <c r="I1586" s="659">
        <f t="shared" si="126"/>
        <v>32</v>
      </c>
      <c r="J1586" s="659">
        <v>0</v>
      </c>
      <c r="K1586" s="659">
        <v>0</v>
      </c>
      <c r="L1586" s="741">
        <v>32</v>
      </c>
      <c r="M1586" s="687">
        <v>95</v>
      </c>
      <c r="N1586" s="659">
        <v>127</v>
      </c>
      <c r="O1586" s="746" t="s">
        <v>2964</v>
      </c>
      <c r="P1586" s="547" t="s">
        <v>1588</v>
      </c>
      <c r="Q1586" s="689">
        <v>0</v>
      </c>
      <c r="R1586" s="689">
        <v>0</v>
      </c>
      <c r="S1586" s="689">
        <v>0</v>
      </c>
      <c r="T1586" s="689">
        <v>0</v>
      </c>
      <c r="U1586" s="547" t="s">
        <v>7492</v>
      </c>
      <c r="V1586" s="548" t="s">
        <v>4521</v>
      </c>
      <c r="W1586" s="658">
        <v>310</v>
      </c>
      <c r="X1586" s="547"/>
      <c r="Y1586" s="547" t="s">
        <v>1533</v>
      </c>
      <c r="Z1586" s="547"/>
      <c r="AA1586" s="547"/>
      <c r="AB1586" s="550"/>
    </row>
    <row r="1587" spans="1:28" ht="24" customHeight="1">
      <c r="A1587" s="606"/>
      <c r="B1587" s="544" t="s">
        <v>675</v>
      </c>
      <c r="C1587" s="551" t="s">
        <v>4522</v>
      </c>
      <c r="D1587" s="553" t="s">
        <v>4523</v>
      </c>
      <c r="E1587" s="659">
        <f t="shared" si="125"/>
        <v>200</v>
      </c>
      <c r="F1587" s="659">
        <v>0</v>
      </c>
      <c r="G1587" s="659">
        <v>200</v>
      </c>
      <c r="H1587" s="659">
        <v>0</v>
      </c>
      <c r="I1587" s="659">
        <f t="shared" si="126"/>
        <v>137.80000000000001</v>
      </c>
      <c r="J1587" s="659">
        <v>0</v>
      </c>
      <c r="K1587" s="659">
        <v>0</v>
      </c>
      <c r="L1587" s="741">
        <v>137.80000000000001</v>
      </c>
      <c r="M1587" s="687">
        <v>95</v>
      </c>
      <c r="N1587" s="659">
        <v>878</v>
      </c>
      <c r="O1587" s="746" t="s">
        <v>4524</v>
      </c>
      <c r="P1587" s="547" t="s">
        <v>1588</v>
      </c>
      <c r="Q1587" s="689">
        <v>0</v>
      </c>
      <c r="R1587" s="689">
        <v>0</v>
      </c>
      <c r="S1587" s="689">
        <v>0</v>
      </c>
      <c r="T1587" s="689">
        <v>0</v>
      </c>
      <c r="U1587" s="547" t="s">
        <v>7492</v>
      </c>
      <c r="V1587" s="548" t="s">
        <v>4525</v>
      </c>
      <c r="W1587" s="658">
        <v>855</v>
      </c>
      <c r="X1587" s="547"/>
      <c r="Y1587" s="547" t="s">
        <v>3161</v>
      </c>
      <c r="Z1587" s="547"/>
      <c r="AA1587" s="547"/>
      <c r="AB1587" s="550"/>
    </row>
    <row r="1588" spans="1:28" ht="24" customHeight="1">
      <c r="A1588" s="606"/>
      <c r="B1588" s="544" t="s">
        <v>675</v>
      </c>
      <c r="C1588" s="551" t="s">
        <v>4526</v>
      </c>
      <c r="D1588" s="553" t="s">
        <v>4527</v>
      </c>
      <c r="E1588" s="659">
        <f t="shared" si="125"/>
        <v>150</v>
      </c>
      <c r="F1588" s="659">
        <v>0</v>
      </c>
      <c r="G1588" s="659">
        <v>150</v>
      </c>
      <c r="H1588" s="659">
        <v>0</v>
      </c>
      <c r="I1588" s="659">
        <f t="shared" si="126"/>
        <v>91.4</v>
      </c>
      <c r="J1588" s="659">
        <v>0</v>
      </c>
      <c r="K1588" s="659">
        <v>0</v>
      </c>
      <c r="L1588" s="741">
        <v>91.4</v>
      </c>
      <c r="M1588" s="687">
        <v>90</v>
      </c>
      <c r="N1588" s="659">
        <v>349</v>
      </c>
      <c r="O1588" s="746" t="s">
        <v>4223</v>
      </c>
      <c r="P1588" s="547" t="s">
        <v>1588</v>
      </c>
      <c r="Q1588" s="689">
        <v>0</v>
      </c>
      <c r="R1588" s="689">
        <v>0</v>
      </c>
      <c r="S1588" s="689">
        <v>0</v>
      </c>
      <c r="T1588" s="689">
        <v>0</v>
      </c>
      <c r="U1588" s="547" t="s">
        <v>7492</v>
      </c>
      <c r="V1588" s="548" t="s">
        <v>4528</v>
      </c>
      <c r="W1588" s="658">
        <v>510</v>
      </c>
      <c r="X1588" s="547"/>
      <c r="Y1588" s="547" t="s">
        <v>3161</v>
      </c>
      <c r="Z1588" s="547"/>
      <c r="AA1588" s="547"/>
      <c r="AB1588" s="550"/>
    </row>
    <row r="1589" spans="1:28" ht="24" customHeight="1">
      <c r="A1589" s="605" t="s">
        <v>1742</v>
      </c>
      <c r="B1589" s="544" t="s">
        <v>2201</v>
      </c>
      <c r="C1589" s="551" t="s">
        <v>2438</v>
      </c>
      <c r="D1589" s="553" t="s">
        <v>2058</v>
      </c>
      <c r="E1589" s="659">
        <f t="shared" si="125"/>
        <v>550</v>
      </c>
      <c r="F1589" s="563">
        <v>0</v>
      </c>
      <c r="G1589" s="563">
        <v>0</v>
      </c>
      <c r="H1589" s="563">
        <v>550</v>
      </c>
      <c r="I1589" s="659">
        <f t="shared" si="126"/>
        <v>230</v>
      </c>
      <c r="J1589" s="563">
        <v>0</v>
      </c>
      <c r="K1589" s="563">
        <v>0</v>
      </c>
      <c r="L1589" s="741">
        <v>230</v>
      </c>
      <c r="M1589" s="687">
        <v>85</v>
      </c>
      <c r="N1589" s="563">
        <v>38.67</v>
      </c>
      <c r="O1589" s="746" t="s">
        <v>4529</v>
      </c>
      <c r="P1589" s="547" t="s">
        <v>1588</v>
      </c>
      <c r="Q1589" s="689">
        <v>0</v>
      </c>
      <c r="R1589" s="689">
        <v>0</v>
      </c>
      <c r="S1589" s="689">
        <v>0</v>
      </c>
      <c r="T1589" s="689">
        <v>0</v>
      </c>
      <c r="U1589" s="547" t="s">
        <v>4530</v>
      </c>
      <c r="V1589" s="548" t="s">
        <v>4531</v>
      </c>
      <c r="W1589" s="658">
        <v>7673</v>
      </c>
      <c r="X1589" s="547" t="s">
        <v>1532</v>
      </c>
      <c r="Y1589" s="547" t="s">
        <v>3399</v>
      </c>
      <c r="Z1589" s="547" t="s">
        <v>1704</v>
      </c>
      <c r="AA1589" s="547" t="s">
        <v>1704</v>
      </c>
      <c r="AB1589" s="550" t="s">
        <v>1596</v>
      </c>
    </row>
    <row r="1590" spans="1:28" ht="24" customHeight="1">
      <c r="A1590" s="606"/>
      <c r="B1590" s="544" t="s">
        <v>2201</v>
      </c>
      <c r="C1590" s="551" t="s">
        <v>384</v>
      </c>
      <c r="D1590" s="553" t="s">
        <v>2056</v>
      </c>
      <c r="E1590" s="563">
        <f t="shared" si="125"/>
        <v>550</v>
      </c>
      <c r="F1590" s="563">
        <v>0</v>
      </c>
      <c r="G1590" s="563">
        <v>0</v>
      </c>
      <c r="H1590" s="563">
        <v>550</v>
      </c>
      <c r="I1590" s="563">
        <f t="shared" si="126"/>
        <v>285</v>
      </c>
      <c r="J1590" s="563">
        <v>0</v>
      </c>
      <c r="K1590" s="563">
        <v>0</v>
      </c>
      <c r="L1590" s="741">
        <v>285</v>
      </c>
      <c r="M1590" s="687">
        <v>85</v>
      </c>
      <c r="N1590" s="563">
        <v>39.450000000000003</v>
      </c>
      <c r="O1590" s="746" t="s">
        <v>2967</v>
      </c>
      <c r="P1590" s="547" t="s">
        <v>1588</v>
      </c>
      <c r="Q1590" s="689">
        <v>0</v>
      </c>
      <c r="R1590" s="689">
        <v>0</v>
      </c>
      <c r="S1590" s="689">
        <v>0</v>
      </c>
      <c r="T1590" s="689">
        <v>0</v>
      </c>
      <c r="U1590" s="547" t="s">
        <v>4532</v>
      </c>
      <c r="V1590" s="548" t="s">
        <v>4533</v>
      </c>
      <c r="W1590" s="658">
        <v>8709</v>
      </c>
      <c r="X1590" s="547" t="s">
        <v>1532</v>
      </c>
      <c r="Y1590" s="547" t="s">
        <v>3399</v>
      </c>
      <c r="Z1590" s="547"/>
      <c r="AA1590" s="547"/>
      <c r="AB1590" s="550" t="s">
        <v>1596</v>
      </c>
    </row>
    <row r="1591" spans="1:28" ht="24" customHeight="1">
      <c r="A1591" s="606"/>
      <c r="B1591" s="544" t="s">
        <v>675</v>
      </c>
      <c r="C1591" s="551" t="s">
        <v>4534</v>
      </c>
      <c r="D1591" s="553" t="s">
        <v>4535</v>
      </c>
      <c r="E1591" s="563">
        <f t="shared" si="125"/>
        <v>20</v>
      </c>
      <c r="F1591" s="563">
        <v>0</v>
      </c>
      <c r="G1591" s="563">
        <v>20</v>
      </c>
      <c r="H1591" s="563">
        <v>0</v>
      </c>
      <c r="I1591" s="563">
        <f t="shared" si="126"/>
        <v>15</v>
      </c>
      <c r="J1591" s="563">
        <v>0</v>
      </c>
      <c r="K1591" s="563">
        <v>15</v>
      </c>
      <c r="L1591" s="741">
        <v>0</v>
      </c>
      <c r="M1591" s="687">
        <v>75</v>
      </c>
      <c r="N1591" s="563">
        <v>0</v>
      </c>
      <c r="O1591" s="746" t="s">
        <v>4536</v>
      </c>
      <c r="P1591" s="547" t="s">
        <v>1588</v>
      </c>
      <c r="Q1591" s="689">
        <v>0</v>
      </c>
      <c r="R1591" s="689">
        <v>0</v>
      </c>
      <c r="S1591" s="689">
        <v>0</v>
      </c>
      <c r="T1591" s="689">
        <v>0</v>
      </c>
      <c r="U1591" s="547" t="s">
        <v>4537</v>
      </c>
      <c r="V1591" s="548" t="s">
        <v>4538</v>
      </c>
      <c r="W1591" s="658">
        <v>185</v>
      </c>
      <c r="X1591" s="547" t="s">
        <v>1532</v>
      </c>
      <c r="Y1591" s="547" t="s">
        <v>3399</v>
      </c>
      <c r="Z1591" s="547"/>
      <c r="AA1591" s="547"/>
      <c r="AB1591" s="550" t="s">
        <v>1596</v>
      </c>
    </row>
    <row r="1592" spans="1:28" ht="24" customHeight="1">
      <c r="A1592" s="606"/>
      <c r="B1592" s="544" t="s">
        <v>675</v>
      </c>
      <c r="C1592" s="551" t="s">
        <v>4539</v>
      </c>
      <c r="D1592" s="553" t="s">
        <v>4540</v>
      </c>
      <c r="E1592" s="563">
        <f t="shared" si="125"/>
        <v>20</v>
      </c>
      <c r="F1592" s="563">
        <v>0</v>
      </c>
      <c r="G1592" s="563">
        <v>20</v>
      </c>
      <c r="H1592" s="563">
        <v>0</v>
      </c>
      <c r="I1592" s="563">
        <f t="shared" si="126"/>
        <v>17</v>
      </c>
      <c r="J1592" s="563">
        <v>0</v>
      </c>
      <c r="K1592" s="563">
        <v>17</v>
      </c>
      <c r="L1592" s="741">
        <v>0</v>
      </c>
      <c r="M1592" s="687">
        <v>80</v>
      </c>
      <c r="N1592" s="563">
        <v>0</v>
      </c>
      <c r="O1592" s="746" t="s">
        <v>4536</v>
      </c>
      <c r="P1592" s="547" t="s">
        <v>1588</v>
      </c>
      <c r="Q1592" s="689">
        <v>0</v>
      </c>
      <c r="R1592" s="689">
        <v>0</v>
      </c>
      <c r="S1592" s="689">
        <v>0</v>
      </c>
      <c r="T1592" s="689">
        <v>0</v>
      </c>
      <c r="U1592" s="547" t="s">
        <v>4541</v>
      </c>
      <c r="V1592" s="548" t="s">
        <v>4542</v>
      </c>
      <c r="W1592" s="658">
        <v>188</v>
      </c>
      <c r="X1592" s="547" t="s">
        <v>1532</v>
      </c>
      <c r="Y1592" s="547" t="s">
        <v>3399</v>
      </c>
      <c r="Z1592" s="547"/>
      <c r="AA1592" s="547"/>
      <c r="AB1592" s="550" t="s">
        <v>1596</v>
      </c>
    </row>
    <row r="1593" spans="1:28" ht="24" customHeight="1">
      <c r="A1593" s="606"/>
      <c r="B1593" s="544" t="s">
        <v>675</v>
      </c>
      <c r="C1593" s="551" t="s">
        <v>4543</v>
      </c>
      <c r="D1593" s="553" t="s">
        <v>4544</v>
      </c>
      <c r="E1593" s="563">
        <f t="shared" si="125"/>
        <v>20</v>
      </c>
      <c r="F1593" s="563">
        <v>0</v>
      </c>
      <c r="G1593" s="563">
        <v>20</v>
      </c>
      <c r="H1593" s="563">
        <v>0</v>
      </c>
      <c r="I1593" s="563">
        <f t="shared" si="126"/>
        <v>15</v>
      </c>
      <c r="J1593" s="563">
        <v>0</v>
      </c>
      <c r="K1593" s="563">
        <v>15</v>
      </c>
      <c r="L1593" s="741">
        <v>0</v>
      </c>
      <c r="M1593" s="687">
        <v>75</v>
      </c>
      <c r="N1593" s="563">
        <v>0</v>
      </c>
      <c r="O1593" s="746" t="s">
        <v>4545</v>
      </c>
      <c r="P1593" s="547" t="s">
        <v>1588</v>
      </c>
      <c r="Q1593" s="689">
        <v>0</v>
      </c>
      <c r="R1593" s="689">
        <v>0</v>
      </c>
      <c r="S1593" s="689">
        <v>0</v>
      </c>
      <c r="T1593" s="689">
        <v>0</v>
      </c>
      <c r="U1593" s="547" t="s">
        <v>4546</v>
      </c>
      <c r="V1593" s="548" t="s">
        <v>4547</v>
      </c>
      <c r="W1593" s="658">
        <v>134</v>
      </c>
      <c r="X1593" s="547" t="s">
        <v>1532</v>
      </c>
      <c r="Y1593" s="547" t="s">
        <v>4548</v>
      </c>
      <c r="Z1593" s="547"/>
      <c r="AA1593" s="547"/>
      <c r="AB1593" s="550" t="s">
        <v>1596</v>
      </c>
    </row>
    <row r="1594" spans="1:28" ht="24" customHeight="1">
      <c r="A1594" s="606"/>
      <c r="B1594" s="544" t="s">
        <v>675</v>
      </c>
      <c r="C1594" s="551" t="s">
        <v>4549</v>
      </c>
      <c r="D1594" s="553" t="s">
        <v>4550</v>
      </c>
      <c r="E1594" s="563">
        <f t="shared" si="125"/>
        <v>30</v>
      </c>
      <c r="F1594" s="563">
        <v>0</v>
      </c>
      <c r="G1594" s="563">
        <v>30</v>
      </c>
      <c r="H1594" s="563">
        <v>0</v>
      </c>
      <c r="I1594" s="563">
        <f t="shared" si="126"/>
        <v>22</v>
      </c>
      <c r="J1594" s="563">
        <v>0</v>
      </c>
      <c r="K1594" s="563">
        <v>22</v>
      </c>
      <c r="L1594" s="741">
        <v>0</v>
      </c>
      <c r="M1594" s="687">
        <v>73</v>
      </c>
      <c r="N1594" s="563">
        <v>0</v>
      </c>
      <c r="O1594" s="746" t="s">
        <v>4536</v>
      </c>
      <c r="P1594" s="547" t="s">
        <v>1588</v>
      </c>
      <c r="Q1594" s="689">
        <v>0</v>
      </c>
      <c r="R1594" s="689">
        <v>0</v>
      </c>
      <c r="S1594" s="689">
        <v>0</v>
      </c>
      <c r="T1594" s="689">
        <v>0</v>
      </c>
      <c r="U1594" s="547" t="s">
        <v>4546</v>
      </c>
      <c r="V1594" s="548" t="s">
        <v>4551</v>
      </c>
      <c r="W1594" s="658">
        <v>180</v>
      </c>
      <c r="X1594" s="547" t="s">
        <v>1532</v>
      </c>
      <c r="Y1594" s="547" t="s">
        <v>3399</v>
      </c>
      <c r="Z1594" s="547"/>
      <c r="AA1594" s="547"/>
      <c r="AB1594" s="550" t="s">
        <v>1596</v>
      </c>
    </row>
    <row r="1595" spans="1:28" ht="24" customHeight="1">
      <c r="A1595" s="606"/>
      <c r="B1595" s="544" t="s">
        <v>675</v>
      </c>
      <c r="C1595" s="551" t="s">
        <v>4552</v>
      </c>
      <c r="D1595" s="553" t="s">
        <v>4553</v>
      </c>
      <c r="E1595" s="563">
        <f t="shared" si="125"/>
        <v>36</v>
      </c>
      <c r="F1595" s="563">
        <v>0</v>
      </c>
      <c r="G1595" s="563">
        <v>36</v>
      </c>
      <c r="H1595" s="563">
        <v>0</v>
      </c>
      <c r="I1595" s="563">
        <f t="shared" si="126"/>
        <v>27</v>
      </c>
      <c r="J1595" s="563">
        <v>0</v>
      </c>
      <c r="K1595" s="563">
        <v>27</v>
      </c>
      <c r="L1595" s="741">
        <v>0</v>
      </c>
      <c r="M1595" s="687">
        <v>75</v>
      </c>
      <c r="N1595" s="563">
        <v>0</v>
      </c>
      <c r="O1595" s="746" t="s">
        <v>4554</v>
      </c>
      <c r="P1595" s="547" t="s">
        <v>1588</v>
      </c>
      <c r="Q1595" s="689">
        <v>0</v>
      </c>
      <c r="R1595" s="689">
        <v>0</v>
      </c>
      <c r="S1595" s="689">
        <v>0</v>
      </c>
      <c r="T1595" s="689">
        <v>0</v>
      </c>
      <c r="U1595" s="547" t="s">
        <v>4555</v>
      </c>
      <c r="V1595" s="548" t="s">
        <v>4556</v>
      </c>
      <c r="W1595" s="658">
        <v>196</v>
      </c>
      <c r="X1595" s="547" t="s">
        <v>1532</v>
      </c>
      <c r="Y1595" s="547" t="s">
        <v>3399</v>
      </c>
      <c r="Z1595" s="547"/>
      <c r="AA1595" s="547"/>
      <c r="AB1595" s="550" t="s">
        <v>1596</v>
      </c>
    </row>
    <row r="1596" spans="1:28" ht="24" customHeight="1">
      <c r="A1596" s="606"/>
      <c r="B1596" s="544" t="s">
        <v>675</v>
      </c>
      <c r="C1596" s="551" t="s">
        <v>4557</v>
      </c>
      <c r="D1596" s="553" t="s">
        <v>2057</v>
      </c>
      <c r="E1596" s="563">
        <f t="shared" si="125"/>
        <v>18</v>
      </c>
      <c r="F1596" s="563">
        <v>0</v>
      </c>
      <c r="G1596" s="563">
        <v>18</v>
      </c>
      <c r="H1596" s="563">
        <v>0</v>
      </c>
      <c r="I1596" s="563">
        <f t="shared" si="126"/>
        <v>0</v>
      </c>
      <c r="J1596" s="563">
        <v>0</v>
      </c>
      <c r="K1596" s="563">
        <v>0</v>
      </c>
      <c r="L1596" s="741">
        <v>0</v>
      </c>
      <c r="M1596" s="687">
        <v>0</v>
      </c>
      <c r="N1596" s="563">
        <v>0</v>
      </c>
      <c r="O1596" s="746" t="s">
        <v>4545</v>
      </c>
      <c r="P1596" s="547" t="s">
        <v>1588</v>
      </c>
      <c r="Q1596" s="689">
        <v>0</v>
      </c>
      <c r="R1596" s="689">
        <v>0</v>
      </c>
      <c r="S1596" s="689">
        <v>0</v>
      </c>
      <c r="T1596" s="689">
        <v>0</v>
      </c>
      <c r="U1596" s="547" t="s">
        <v>4555</v>
      </c>
      <c r="V1596" s="548" t="s">
        <v>2026</v>
      </c>
      <c r="W1596" s="658">
        <v>88</v>
      </c>
      <c r="X1596" s="547" t="s">
        <v>1532</v>
      </c>
      <c r="Y1596" s="547" t="s">
        <v>4548</v>
      </c>
      <c r="Z1596" s="547"/>
      <c r="AA1596" s="547"/>
      <c r="AB1596" s="550" t="s">
        <v>1596</v>
      </c>
    </row>
    <row r="1597" spans="1:28" ht="24" customHeight="1">
      <c r="A1597" s="606"/>
      <c r="B1597" s="544" t="s">
        <v>675</v>
      </c>
      <c r="C1597" s="551" t="s">
        <v>4558</v>
      </c>
      <c r="D1597" s="553" t="s">
        <v>4559</v>
      </c>
      <c r="E1597" s="563">
        <f t="shared" si="125"/>
        <v>30</v>
      </c>
      <c r="F1597" s="563">
        <v>0</v>
      </c>
      <c r="G1597" s="563">
        <v>30</v>
      </c>
      <c r="H1597" s="563">
        <v>0</v>
      </c>
      <c r="I1597" s="563">
        <f t="shared" si="126"/>
        <v>25</v>
      </c>
      <c r="J1597" s="563">
        <v>0</v>
      </c>
      <c r="K1597" s="563">
        <v>25</v>
      </c>
      <c r="L1597" s="741">
        <v>0</v>
      </c>
      <c r="M1597" s="687">
        <v>83</v>
      </c>
      <c r="N1597" s="563">
        <v>0</v>
      </c>
      <c r="O1597" s="746" t="s">
        <v>4545</v>
      </c>
      <c r="P1597" s="547" t="s">
        <v>1588</v>
      </c>
      <c r="Q1597" s="689">
        <v>0</v>
      </c>
      <c r="R1597" s="689">
        <v>0</v>
      </c>
      <c r="S1597" s="689">
        <v>0</v>
      </c>
      <c r="T1597" s="689">
        <v>0</v>
      </c>
      <c r="U1597" s="547" t="s">
        <v>4555</v>
      </c>
      <c r="V1597" s="548" t="s">
        <v>2368</v>
      </c>
      <c r="W1597" s="658">
        <v>289</v>
      </c>
      <c r="X1597" s="547" t="s">
        <v>1532</v>
      </c>
      <c r="Y1597" s="547" t="s">
        <v>3399</v>
      </c>
      <c r="Z1597" s="547"/>
      <c r="AA1597" s="547"/>
      <c r="AB1597" s="550" t="s">
        <v>1596</v>
      </c>
    </row>
    <row r="1598" spans="1:28" ht="24" customHeight="1">
      <c r="A1598" s="606"/>
      <c r="B1598" s="544" t="s">
        <v>675</v>
      </c>
      <c r="C1598" s="551" t="s">
        <v>4560</v>
      </c>
      <c r="D1598" s="553" t="s">
        <v>4559</v>
      </c>
      <c r="E1598" s="563">
        <f t="shared" si="125"/>
        <v>15</v>
      </c>
      <c r="F1598" s="563">
        <v>0</v>
      </c>
      <c r="G1598" s="563">
        <v>15</v>
      </c>
      <c r="H1598" s="563">
        <v>0</v>
      </c>
      <c r="I1598" s="563">
        <f t="shared" si="126"/>
        <v>13</v>
      </c>
      <c r="J1598" s="563">
        <v>0</v>
      </c>
      <c r="K1598" s="563">
        <v>13</v>
      </c>
      <c r="L1598" s="741">
        <v>0</v>
      </c>
      <c r="M1598" s="687">
        <v>87</v>
      </c>
      <c r="N1598" s="563">
        <v>0</v>
      </c>
      <c r="O1598" s="746" t="s">
        <v>4561</v>
      </c>
      <c r="P1598" s="547" t="s">
        <v>1588</v>
      </c>
      <c r="Q1598" s="689">
        <v>0</v>
      </c>
      <c r="R1598" s="689">
        <v>0</v>
      </c>
      <c r="S1598" s="689">
        <v>0</v>
      </c>
      <c r="T1598" s="689">
        <v>0</v>
      </c>
      <c r="U1598" s="547" t="s">
        <v>4555</v>
      </c>
      <c r="V1598" s="548" t="s">
        <v>4562</v>
      </c>
      <c r="W1598" s="658">
        <v>226</v>
      </c>
      <c r="X1598" s="547" t="s">
        <v>1532</v>
      </c>
      <c r="Y1598" s="547" t="s">
        <v>3399</v>
      </c>
      <c r="Z1598" s="547"/>
      <c r="AA1598" s="547"/>
      <c r="AB1598" s="550" t="s">
        <v>1596</v>
      </c>
    </row>
    <row r="1599" spans="1:28" ht="24" customHeight="1">
      <c r="A1599" s="606"/>
      <c r="B1599" s="544" t="s">
        <v>675</v>
      </c>
      <c r="C1599" s="551" t="s">
        <v>4563</v>
      </c>
      <c r="D1599" s="553" t="s">
        <v>4564</v>
      </c>
      <c r="E1599" s="563">
        <f t="shared" si="125"/>
        <v>32</v>
      </c>
      <c r="F1599" s="563">
        <v>0</v>
      </c>
      <c r="G1599" s="563">
        <v>32</v>
      </c>
      <c r="H1599" s="563">
        <v>0</v>
      </c>
      <c r="I1599" s="563">
        <f t="shared" si="126"/>
        <v>25</v>
      </c>
      <c r="J1599" s="563">
        <v>0</v>
      </c>
      <c r="K1599" s="563">
        <v>25</v>
      </c>
      <c r="L1599" s="741">
        <v>0</v>
      </c>
      <c r="M1599" s="687">
        <v>78</v>
      </c>
      <c r="N1599" s="563">
        <v>0</v>
      </c>
      <c r="O1599" s="746" t="s">
        <v>2526</v>
      </c>
      <c r="P1599" s="547" t="s">
        <v>1588</v>
      </c>
      <c r="Q1599" s="689">
        <v>0</v>
      </c>
      <c r="R1599" s="689">
        <v>0</v>
      </c>
      <c r="S1599" s="689">
        <v>0</v>
      </c>
      <c r="T1599" s="689">
        <v>0</v>
      </c>
      <c r="U1599" s="547" t="s">
        <v>4555</v>
      </c>
      <c r="V1599" s="548" t="s">
        <v>4565</v>
      </c>
      <c r="W1599" s="658">
        <v>169</v>
      </c>
      <c r="X1599" s="547" t="s">
        <v>1532</v>
      </c>
      <c r="Y1599" s="547" t="s">
        <v>3399</v>
      </c>
      <c r="Z1599" s="547"/>
      <c r="AA1599" s="547"/>
      <c r="AB1599" s="550" t="s">
        <v>1596</v>
      </c>
    </row>
    <row r="1600" spans="1:28" ht="24" customHeight="1">
      <c r="A1600" s="606"/>
      <c r="B1600" s="544" t="s">
        <v>675</v>
      </c>
      <c r="C1600" s="551" t="s">
        <v>4566</v>
      </c>
      <c r="D1600" s="553" t="s">
        <v>4564</v>
      </c>
      <c r="E1600" s="563">
        <f t="shared" si="125"/>
        <v>70</v>
      </c>
      <c r="F1600" s="563">
        <v>0</v>
      </c>
      <c r="G1600" s="563">
        <v>70</v>
      </c>
      <c r="H1600" s="563">
        <v>0</v>
      </c>
      <c r="I1600" s="563">
        <f t="shared" si="126"/>
        <v>65</v>
      </c>
      <c r="J1600" s="563">
        <v>0</v>
      </c>
      <c r="K1600" s="563">
        <v>65</v>
      </c>
      <c r="L1600" s="741">
        <v>0</v>
      </c>
      <c r="M1600" s="687">
        <v>93</v>
      </c>
      <c r="N1600" s="563">
        <v>0</v>
      </c>
      <c r="O1600" s="746" t="s">
        <v>2964</v>
      </c>
      <c r="P1600" s="547" t="s">
        <v>1588</v>
      </c>
      <c r="Q1600" s="689">
        <v>0</v>
      </c>
      <c r="R1600" s="689">
        <v>0</v>
      </c>
      <c r="S1600" s="689">
        <v>0</v>
      </c>
      <c r="T1600" s="689">
        <v>0</v>
      </c>
      <c r="U1600" s="547" t="s">
        <v>4555</v>
      </c>
      <c r="V1600" s="548" t="s">
        <v>4562</v>
      </c>
      <c r="W1600" s="658">
        <v>323</v>
      </c>
      <c r="X1600" s="547" t="s">
        <v>1532</v>
      </c>
      <c r="Y1600" s="547" t="s">
        <v>3399</v>
      </c>
      <c r="Z1600" s="547"/>
      <c r="AA1600" s="547"/>
      <c r="AB1600" s="550" t="s">
        <v>1596</v>
      </c>
    </row>
    <row r="1601" spans="1:28" ht="24" customHeight="1">
      <c r="A1601" s="606"/>
      <c r="B1601" s="544" t="s">
        <v>675</v>
      </c>
      <c r="C1601" s="551" t="s">
        <v>4567</v>
      </c>
      <c r="D1601" s="553" t="s">
        <v>4568</v>
      </c>
      <c r="E1601" s="563">
        <f t="shared" si="125"/>
        <v>50</v>
      </c>
      <c r="F1601" s="563">
        <v>0</v>
      </c>
      <c r="G1601" s="563">
        <v>50</v>
      </c>
      <c r="H1601" s="563">
        <v>0</v>
      </c>
      <c r="I1601" s="563">
        <f t="shared" si="126"/>
        <v>38</v>
      </c>
      <c r="J1601" s="563">
        <v>0</v>
      </c>
      <c r="K1601" s="563">
        <v>38</v>
      </c>
      <c r="L1601" s="741">
        <v>0</v>
      </c>
      <c r="M1601" s="687">
        <v>76</v>
      </c>
      <c r="N1601" s="563">
        <v>0</v>
      </c>
      <c r="O1601" s="746" t="s">
        <v>5698</v>
      </c>
      <c r="P1601" s="547" t="s">
        <v>1588</v>
      </c>
      <c r="Q1601" s="689">
        <v>0</v>
      </c>
      <c r="R1601" s="689">
        <v>0</v>
      </c>
      <c r="S1601" s="689">
        <v>0</v>
      </c>
      <c r="T1601" s="689">
        <v>0</v>
      </c>
      <c r="U1601" s="547" t="s">
        <v>4555</v>
      </c>
      <c r="V1601" s="548" t="s">
        <v>4569</v>
      </c>
      <c r="W1601" s="658">
        <v>283</v>
      </c>
      <c r="X1601" s="547" t="s">
        <v>1532</v>
      </c>
      <c r="Y1601" s="547" t="s">
        <v>3399</v>
      </c>
      <c r="Z1601" s="547"/>
      <c r="AA1601" s="547"/>
      <c r="AB1601" s="550" t="s">
        <v>1596</v>
      </c>
    </row>
    <row r="1602" spans="1:28" ht="24" customHeight="1">
      <c r="A1602" s="606"/>
      <c r="B1602" s="544" t="s">
        <v>675</v>
      </c>
      <c r="C1602" s="551" t="s">
        <v>4570</v>
      </c>
      <c r="D1602" s="553" t="s">
        <v>4571</v>
      </c>
      <c r="E1602" s="563">
        <f t="shared" si="125"/>
        <v>40</v>
      </c>
      <c r="F1602" s="563">
        <v>0</v>
      </c>
      <c r="G1602" s="563">
        <v>40</v>
      </c>
      <c r="H1602" s="563">
        <v>0</v>
      </c>
      <c r="I1602" s="563">
        <f t="shared" si="126"/>
        <v>32</v>
      </c>
      <c r="J1602" s="563">
        <v>0</v>
      </c>
      <c r="K1602" s="563">
        <v>32</v>
      </c>
      <c r="L1602" s="741">
        <v>0</v>
      </c>
      <c r="M1602" s="687">
        <v>80</v>
      </c>
      <c r="N1602" s="563">
        <v>0</v>
      </c>
      <c r="O1602" s="746" t="s">
        <v>5698</v>
      </c>
      <c r="P1602" s="547" t="s">
        <v>1588</v>
      </c>
      <c r="Q1602" s="689">
        <v>0</v>
      </c>
      <c r="R1602" s="689">
        <v>0</v>
      </c>
      <c r="S1602" s="689">
        <v>0</v>
      </c>
      <c r="T1602" s="689">
        <v>0</v>
      </c>
      <c r="U1602" s="547" t="s">
        <v>4555</v>
      </c>
      <c r="V1602" s="548" t="s">
        <v>5188</v>
      </c>
      <c r="W1602" s="658">
        <v>257</v>
      </c>
      <c r="X1602" s="547" t="s">
        <v>1532</v>
      </c>
      <c r="Y1602" s="547" t="s">
        <v>3399</v>
      </c>
      <c r="Z1602" s="547"/>
      <c r="AA1602" s="547"/>
      <c r="AB1602" s="550" t="s">
        <v>1596</v>
      </c>
    </row>
    <row r="1603" spans="1:28" ht="24" customHeight="1">
      <c r="A1603" s="606"/>
      <c r="B1603" s="544" t="s">
        <v>675</v>
      </c>
      <c r="C1603" s="551" t="s">
        <v>4572</v>
      </c>
      <c r="D1603" s="553" t="s">
        <v>4573</v>
      </c>
      <c r="E1603" s="563">
        <f t="shared" si="125"/>
        <v>20</v>
      </c>
      <c r="F1603" s="563">
        <v>0</v>
      </c>
      <c r="G1603" s="563">
        <v>20</v>
      </c>
      <c r="H1603" s="563">
        <v>0</v>
      </c>
      <c r="I1603" s="563">
        <f t="shared" si="126"/>
        <v>18</v>
      </c>
      <c r="J1603" s="563">
        <v>0</v>
      </c>
      <c r="K1603" s="563">
        <v>18</v>
      </c>
      <c r="L1603" s="741">
        <v>0</v>
      </c>
      <c r="M1603" s="687">
        <v>90</v>
      </c>
      <c r="N1603" s="563">
        <v>0</v>
      </c>
      <c r="O1603" s="746" t="s">
        <v>4545</v>
      </c>
      <c r="P1603" s="547" t="s">
        <v>1588</v>
      </c>
      <c r="Q1603" s="689">
        <v>0</v>
      </c>
      <c r="R1603" s="689">
        <v>0</v>
      </c>
      <c r="S1603" s="689">
        <v>0</v>
      </c>
      <c r="T1603" s="689">
        <v>0</v>
      </c>
      <c r="U1603" s="547" t="s">
        <v>4555</v>
      </c>
      <c r="V1603" s="548" t="s">
        <v>4574</v>
      </c>
      <c r="W1603" s="658">
        <v>226</v>
      </c>
      <c r="X1603" s="547" t="s">
        <v>1532</v>
      </c>
      <c r="Y1603" s="547" t="s">
        <v>3399</v>
      </c>
      <c r="Z1603" s="547"/>
      <c r="AA1603" s="547"/>
      <c r="AB1603" s="550" t="s">
        <v>1596</v>
      </c>
    </row>
    <row r="1604" spans="1:28" ht="24" customHeight="1">
      <c r="A1604" s="606"/>
      <c r="B1604" s="544" t="s">
        <v>675</v>
      </c>
      <c r="C1604" s="551" t="s">
        <v>4575</v>
      </c>
      <c r="D1604" s="553" t="s">
        <v>4576</v>
      </c>
      <c r="E1604" s="563">
        <f t="shared" si="125"/>
        <v>95</v>
      </c>
      <c r="F1604" s="563">
        <v>0</v>
      </c>
      <c r="G1604" s="563">
        <v>95</v>
      </c>
      <c r="H1604" s="563">
        <v>0</v>
      </c>
      <c r="I1604" s="563">
        <f t="shared" si="126"/>
        <v>71</v>
      </c>
      <c r="J1604" s="563">
        <v>0</v>
      </c>
      <c r="K1604" s="563">
        <v>71</v>
      </c>
      <c r="L1604" s="741">
        <v>0</v>
      </c>
      <c r="M1604" s="687">
        <v>75</v>
      </c>
      <c r="N1604" s="563">
        <v>0</v>
      </c>
      <c r="O1604" s="746" t="s">
        <v>938</v>
      </c>
      <c r="P1604" s="547" t="s">
        <v>1588</v>
      </c>
      <c r="Q1604" s="689">
        <v>0</v>
      </c>
      <c r="R1604" s="689">
        <v>0</v>
      </c>
      <c r="S1604" s="689">
        <v>0</v>
      </c>
      <c r="T1604" s="689">
        <v>0</v>
      </c>
      <c r="U1604" s="547" t="s">
        <v>4555</v>
      </c>
      <c r="V1604" s="548" t="s">
        <v>4577</v>
      </c>
      <c r="W1604" s="658">
        <v>294</v>
      </c>
      <c r="X1604" s="547" t="s">
        <v>1532</v>
      </c>
      <c r="Y1604" s="547" t="s">
        <v>4548</v>
      </c>
      <c r="Z1604" s="547"/>
      <c r="AA1604" s="547"/>
      <c r="AB1604" s="550" t="s">
        <v>1596</v>
      </c>
    </row>
    <row r="1605" spans="1:28" ht="24" customHeight="1">
      <c r="A1605" s="606"/>
      <c r="B1605" s="544" t="s">
        <v>675</v>
      </c>
      <c r="C1605" s="551" t="s">
        <v>4578</v>
      </c>
      <c r="D1605" s="553" t="s">
        <v>4576</v>
      </c>
      <c r="E1605" s="563">
        <f t="shared" si="125"/>
        <v>100</v>
      </c>
      <c r="F1605" s="563">
        <v>0</v>
      </c>
      <c r="G1605" s="563">
        <v>100</v>
      </c>
      <c r="H1605" s="563">
        <v>0</v>
      </c>
      <c r="I1605" s="563">
        <f t="shared" si="126"/>
        <v>86</v>
      </c>
      <c r="J1605" s="563">
        <v>0</v>
      </c>
      <c r="K1605" s="563">
        <v>86</v>
      </c>
      <c r="L1605" s="741">
        <v>0</v>
      </c>
      <c r="M1605" s="687">
        <v>86</v>
      </c>
      <c r="N1605" s="563">
        <v>0</v>
      </c>
      <c r="O1605" s="746" t="s">
        <v>2964</v>
      </c>
      <c r="P1605" s="547" t="s">
        <v>1588</v>
      </c>
      <c r="Q1605" s="689">
        <v>0</v>
      </c>
      <c r="R1605" s="689">
        <v>0</v>
      </c>
      <c r="S1605" s="689">
        <v>0</v>
      </c>
      <c r="T1605" s="689">
        <v>0</v>
      </c>
      <c r="U1605" s="547" t="s">
        <v>4555</v>
      </c>
      <c r="V1605" s="548" t="s">
        <v>4579</v>
      </c>
      <c r="W1605" s="658">
        <v>357</v>
      </c>
      <c r="X1605" s="547" t="s">
        <v>1532</v>
      </c>
      <c r="Y1605" s="547" t="s">
        <v>3399</v>
      </c>
      <c r="Z1605" s="547"/>
      <c r="AA1605" s="547"/>
      <c r="AB1605" s="550" t="s">
        <v>1596</v>
      </c>
    </row>
    <row r="1606" spans="1:28" ht="24" customHeight="1">
      <c r="A1606" s="606"/>
      <c r="B1606" s="544" t="s">
        <v>675</v>
      </c>
      <c r="C1606" s="551" t="s">
        <v>4580</v>
      </c>
      <c r="D1606" s="553" t="s">
        <v>4576</v>
      </c>
      <c r="E1606" s="563">
        <f t="shared" si="125"/>
        <v>120</v>
      </c>
      <c r="F1606" s="563">
        <v>0</v>
      </c>
      <c r="G1606" s="563">
        <v>120</v>
      </c>
      <c r="H1606" s="563">
        <v>0</v>
      </c>
      <c r="I1606" s="563">
        <f t="shared" si="126"/>
        <v>92</v>
      </c>
      <c r="J1606" s="563">
        <v>0</v>
      </c>
      <c r="K1606" s="563">
        <v>92</v>
      </c>
      <c r="L1606" s="741">
        <v>0</v>
      </c>
      <c r="M1606" s="687">
        <v>77</v>
      </c>
      <c r="N1606" s="563">
        <v>0</v>
      </c>
      <c r="O1606" s="746" t="s">
        <v>2964</v>
      </c>
      <c r="P1606" s="547" t="s">
        <v>1588</v>
      </c>
      <c r="Q1606" s="689">
        <v>0</v>
      </c>
      <c r="R1606" s="689">
        <v>0</v>
      </c>
      <c r="S1606" s="689">
        <v>0</v>
      </c>
      <c r="T1606" s="689">
        <v>0</v>
      </c>
      <c r="U1606" s="547" t="s">
        <v>4555</v>
      </c>
      <c r="V1606" s="548" t="s">
        <v>4579</v>
      </c>
      <c r="W1606" s="658">
        <v>357</v>
      </c>
      <c r="X1606" s="547" t="s">
        <v>1532</v>
      </c>
      <c r="Y1606" s="547" t="s">
        <v>3399</v>
      </c>
      <c r="Z1606" s="547"/>
      <c r="AA1606" s="547"/>
      <c r="AB1606" s="550" t="s">
        <v>1596</v>
      </c>
    </row>
    <row r="1607" spans="1:28" ht="24" customHeight="1">
      <c r="A1607" s="606"/>
      <c r="B1607" s="544" t="s">
        <v>675</v>
      </c>
      <c r="C1607" s="551" t="s">
        <v>4581</v>
      </c>
      <c r="D1607" s="553" t="s">
        <v>4576</v>
      </c>
      <c r="E1607" s="563">
        <f t="shared" si="125"/>
        <v>160</v>
      </c>
      <c r="F1607" s="563">
        <v>0</v>
      </c>
      <c r="G1607" s="563">
        <v>160</v>
      </c>
      <c r="H1607" s="563">
        <v>0</v>
      </c>
      <c r="I1607" s="563">
        <f t="shared" si="126"/>
        <v>85</v>
      </c>
      <c r="J1607" s="563">
        <v>0</v>
      </c>
      <c r="K1607" s="563">
        <v>85</v>
      </c>
      <c r="L1607" s="741">
        <v>0</v>
      </c>
      <c r="M1607" s="687">
        <v>53</v>
      </c>
      <c r="N1607" s="563">
        <v>0</v>
      </c>
      <c r="O1607" s="746" t="s">
        <v>2964</v>
      </c>
      <c r="P1607" s="547" t="s">
        <v>1588</v>
      </c>
      <c r="Q1607" s="689">
        <v>0</v>
      </c>
      <c r="R1607" s="689">
        <v>0</v>
      </c>
      <c r="S1607" s="689">
        <v>0</v>
      </c>
      <c r="T1607" s="689">
        <v>0</v>
      </c>
      <c r="U1607" s="547" t="s">
        <v>4555</v>
      </c>
      <c r="V1607" s="548" t="s">
        <v>4579</v>
      </c>
      <c r="W1607" s="658">
        <v>409</v>
      </c>
      <c r="X1607" s="547" t="s">
        <v>1532</v>
      </c>
      <c r="Y1607" s="547" t="s">
        <v>3399</v>
      </c>
      <c r="Z1607" s="547"/>
      <c r="AA1607" s="547"/>
      <c r="AB1607" s="550" t="s">
        <v>1596</v>
      </c>
    </row>
    <row r="1608" spans="1:28" ht="24" customHeight="1">
      <c r="A1608" s="606"/>
      <c r="B1608" s="544" t="s">
        <v>675</v>
      </c>
      <c r="C1608" s="551" t="s">
        <v>4582</v>
      </c>
      <c r="D1608" s="553" t="s">
        <v>4583</v>
      </c>
      <c r="E1608" s="563">
        <f t="shared" si="125"/>
        <v>45</v>
      </c>
      <c r="F1608" s="563">
        <v>0</v>
      </c>
      <c r="G1608" s="563">
        <v>45</v>
      </c>
      <c r="H1608" s="563">
        <v>0</v>
      </c>
      <c r="I1608" s="563">
        <f t="shared" si="126"/>
        <v>30</v>
      </c>
      <c r="J1608" s="563">
        <v>0</v>
      </c>
      <c r="K1608" s="563">
        <v>30</v>
      </c>
      <c r="L1608" s="741">
        <v>0</v>
      </c>
      <c r="M1608" s="687">
        <v>67</v>
      </c>
      <c r="N1608" s="563">
        <v>0</v>
      </c>
      <c r="O1608" s="746" t="s">
        <v>7286</v>
      </c>
      <c r="P1608" s="547" t="s">
        <v>1588</v>
      </c>
      <c r="Q1608" s="689">
        <v>0</v>
      </c>
      <c r="R1608" s="689">
        <v>0</v>
      </c>
      <c r="S1608" s="689">
        <v>0</v>
      </c>
      <c r="T1608" s="689">
        <v>0</v>
      </c>
      <c r="U1608" s="547" t="s">
        <v>4555</v>
      </c>
      <c r="V1608" s="548" t="s">
        <v>4584</v>
      </c>
      <c r="W1608" s="658">
        <v>289</v>
      </c>
      <c r="X1608" s="547" t="s">
        <v>1532</v>
      </c>
      <c r="Y1608" s="547" t="s">
        <v>3399</v>
      </c>
      <c r="Z1608" s="547"/>
      <c r="AA1608" s="547"/>
      <c r="AB1608" s="550" t="s">
        <v>1596</v>
      </c>
    </row>
    <row r="1609" spans="1:28" ht="24" customHeight="1">
      <c r="A1609" s="606"/>
      <c r="B1609" s="544" t="s">
        <v>675</v>
      </c>
      <c r="C1609" s="551" t="s">
        <v>4585</v>
      </c>
      <c r="D1609" s="553" t="s">
        <v>4586</v>
      </c>
      <c r="E1609" s="563">
        <f t="shared" si="125"/>
        <v>30</v>
      </c>
      <c r="F1609" s="563">
        <v>0</v>
      </c>
      <c r="G1609" s="563">
        <v>30</v>
      </c>
      <c r="H1609" s="563">
        <v>0</v>
      </c>
      <c r="I1609" s="563">
        <f t="shared" si="126"/>
        <v>25</v>
      </c>
      <c r="J1609" s="563">
        <v>0</v>
      </c>
      <c r="K1609" s="563">
        <v>25</v>
      </c>
      <c r="L1609" s="741">
        <v>0</v>
      </c>
      <c r="M1609" s="687">
        <v>83</v>
      </c>
      <c r="N1609" s="563">
        <v>0</v>
      </c>
      <c r="O1609" s="746" t="s">
        <v>938</v>
      </c>
      <c r="P1609" s="547" t="s">
        <v>1588</v>
      </c>
      <c r="Q1609" s="689">
        <v>0</v>
      </c>
      <c r="R1609" s="689">
        <v>0</v>
      </c>
      <c r="S1609" s="689">
        <v>0</v>
      </c>
      <c r="T1609" s="689">
        <v>0</v>
      </c>
      <c r="U1609" s="547" t="s">
        <v>4587</v>
      </c>
      <c r="V1609" s="548" t="s">
        <v>4588</v>
      </c>
      <c r="W1609" s="658">
        <v>99</v>
      </c>
      <c r="X1609" s="547" t="s">
        <v>1532</v>
      </c>
      <c r="Y1609" s="547" t="s">
        <v>4548</v>
      </c>
      <c r="Z1609" s="547"/>
      <c r="AA1609" s="547"/>
      <c r="AB1609" s="550" t="s">
        <v>1596</v>
      </c>
    </row>
    <row r="1610" spans="1:28" ht="24" customHeight="1">
      <c r="A1610" s="606"/>
      <c r="B1610" s="544" t="s">
        <v>675</v>
      </c>
      <c r="C1610" s="551" t="s">
        <v>4589</v>
      </c>
      <c r="D1610" s="553" t="s">
        <v>4590</v>
      </c>
      <c r="E1610" s="563">
        <f t="shared" si="125"/>
        <v>20</v>
      </c>
      <c r="F1610" s="563">
        <v>0</v>
      </c>
      <c r="G1610" s="563">
        <v>20</v>
      </c>
      <c r="H1610" s="563">
        <v>0</v>
      </c>
      <c r="I1610" s="563">
        <f t="shared" si="126"/>
        <v>18</v>
      </c>
      <c r="J1610" s="563">
        <v>0</v>
      </c>
      <c r="K1610" s="563">
        <v>18</v>
      </c>
      <c r="L1610" s="741">
        <v>0</v>
      </c>
      <c r="M1610" s="687">
        <v>90</v>
      </c>
      <c r="N1610" s="563">
        <v>0</v>
      </c>
      <c r="O1610" s="746" t="s">
        <v>938</v>
      </c>
      <c r="P1610" s="547" t="s">
        <v>1588</v>
      </c>
      <c r="Q1610" s="689">
        <v>0</v>
      </c>
      <c r="R1610" s="689">
        <v>0</v>
      </c>
      <c r="S1610" s="689">
        <v>0</v>
      </c>
      <c r="T1610" s="689">
        <v>0</v>
      </c>
      <c r="U1610" s="547" t="s">
        <v>4587</v>
      </c>
      <c r="V1610" s="548" t="s">
        <v>4556</v>
      </c>
      <c r="W1610" s="658">
        <v>95</v>
      </c>
      <c r="X1610" s="547" t="s">
        <v>1532</v>
      </c>
      <c r="Y1610" s="547" t="s">
        <v>4548</v>
      </c>
      <c r="Z1610" s="547"/>
      <c r="AA1610" s="547"/>
      <c r="AB1610" s="550" t="s">
        <v>1596</v>
      </c>
    </row>
    <row r="1611" spans="1:28" ht="24" customHeight="1">
      <c r="A1611" s="606"/>
      <c r="B1611" s="544" t="s">
        <v>675</v>
      </c>
      <c r="C1611" s="551" t="s">
        <v>4591</v>
      </c>
      <c r="D1611" s="553" t="s">
        <v>4592</v>
      </c>
      <c r="E1611" s="563">
        <f t="shared" si="125"/>
        <v>20</v>
      </c>
      <c r="F1611" s="563">
        <v>0</v>
      </c>
      <c r="G1611" s="563">
        <v>20</v>
      </c>
      <c r="H1611" s="563">
        <v>0</v>
      </c>
      <c r="I1611" s="563">
        <f t="shared" si="126"/>
        <v>14</v>
      </c>
      <c r="J1611" s="563">
        <v>0</v>
      </c>
      <c r="K1611" s="563">
        <v>14</v>
      </c>
      <c r="L1611" s="741">
        <v>0</v>
      </c>
      <c r="M1611" s="687">
        <v>70</v>
      </c>
      <c r="N1611" s="563">
        <v>0</v>
      </c>
      <c r="O1611" s="746" t="s">
        <v>3451</v>
      </c>
      <c r="P1611" s="547" t="s">
        <v>1588</v>
      </c>
      <c r="Q1611" s="689">
        <v>0</v>
      </c>
      <c r="R1611" s="689">
        <v>0</v>
      </c>
      <c r="S1611" s="689">
        <v>0</v>
      </c>
      <c r="T1611" s="689">
        <v>0</v>
      </c>
      <c r="U1611" s="547" t="s">
        <v>4587</v>
      </c>
      <c r="V1611" s="548" t="s">
        <v>3052</v>
      </c>
      <c r="W1611" s="658">
        <v>173</v>
      </c>
      <c r="X1611" s="547" t="s">
        <v>1532</v>
      </c>
      <c r="Y1611" s="547" t="s">
        <v>3399</v>
      </c>
      <c r="Z1611" s="547"/>
      <c r="AA1611" s="547"/>
      <c r="AB1611" s="550" t="s">
        <v>1596</v>
      </c>
    </row>
    <row r="1612" spans="1:28" ht="24" customHeight="1">
      <c r="A1612" s="606"/>
      <c r="B1612" s="544" t="s">
        <v>675</v>
      </c>
      <c r="C1612" s="551" t="s">
        <v>4593</v>
      </c>
      <c r="D1612" s="553" t="s">
        <v>4594</v>
      </c>
      <c r="E1612" s="563">
        <f t="shared" si="125"/>
        <v>60</v>
      </c>
      <c r="F1612" s="563">
        <v>0</v>
      </c>
      <c r="G1612" s="563">
        <v>60</v>
      </c>
      <c r="H1612" s="563">
        <v>0</v>
      </c>
      <c r="I1612" s="563">
        <f t="shared" si="126"/>
        <v>47</v>
      </c>
      <c r="J1612" s="563">
        <v>0</v>
      </c>
      <c r="K1612" s="563">
        <v>47</v>
      </c>
      <c r="L1612" s="741">
        <v>0</v>
      </c>
      <c r="M1612" s="687">
        <v>78</v>
      </c>
      <c r="N1612" s="563">
        <v>0</v>
      </c>
      <c r="O1612" s="746" t="s">
        <v>4595</v>
      </c>
      <c r="P1612" s="547" t="s">
        <v>1588</v>
      </c>
      <c r="Q1612" s="689">
        <v>0</v>
      </c>
      <c r="R1612" s="689">
        <v>0</v>
      </c>
      <c r="S1612" s="689">
        <v>0</v>
      </c>
      <c r="T1612" s="689">
        <v>0</v>
      </c>
      <c r="U1612" s="547" t="s">
        <v>4596</v>
      </c>
      <c r="V1612" s="548" t="s">
        <v>4597</v>
      </c>
      <c r="W1612" s="658">
        <v>290</v>
      </c>
      <c r="X1612" s="547" t="s">
        <v>1532</v>
      </c>
      <c r="Y1612" s="547" t="s">
        <v>3399</v>
      </c>
      <c r="Z1612" s="547"/>
      <c r="AA1612" s="547"/>
      <c r="AB1612" s="550" t="s">
        <v>1596</v>
      </c>
    </row>
    <row r="1613" spans="1:28" ht="24" customHeight="1">
      <c r="A1613" s="606"/>
      <c r="B1613" s="544" t="s">
        <v>675</v>
      </c>
      <c r="C1613" s="551" t="s">
        <v>4598</v>
      </c>
      <c r="D1613" s="553" t="s">
        <v>4599</v>
      </c>
      <c r="E1613" s="563">
        <f t="shared" si="125"/>
        <v>30</v>
      </c>
      <c r="F1613" s="563">
        <v>0</v>
      </c>
      <c r="G1613" s="563">
        <v>30</v>
      </c>
      <c r="H1613" s="563">
        <v>0</v>
      </c>
      <c r="I1613" s="563">
        <f t="shared" si="126"/>
        <v>22</v>
      </c>
      <c r="J1613" s="563">
        <v>0</v>
      </c>
      <c r="K1613" s="563">
        <v>22</v>
      </c>
      <c r="L1613" s="741">
        <v>0</v>
      </c>
      <c r="M1613" s="687">
        <v>73</v>
      </c>
      <c r="N1613" s="563">
        <v>0</v>
      </c>
      <c r="O1613" s="746" t="s">
        <v>4536</v>
      </c>
      <c r="P1613" s="547" t="s">
        <v>1588</v>
      </c>
      <c r="Q1613" s="689">
        <v>0</v>
      </c>
      <c r="R1613" s="689">
        <v>0</v>
      </c>
      <c r="S1613" s="689">
        <v>0</v>
      </c>
      <c r="T1613" s="689">
        <v>0</v>
      </c>
      <c r="U1613" s="547" t="s">
        <v>4596</v>
      </c>
      <c r="V1613" s="548" t="s">
        <v>4600</v>
      </c>
      <c r="W1613" s="658">
        <v>304</v>
      </c>
      <c r="X1613" s="547" t="s">
        <v>1532</v>
      </c>
      <c r="Y1613" s="547" t="s">
        <v>3399</v>
      </c>
      <c r="Z1613" s="547"/>
      <c r="AA1613" s="547"/>
      <c r="AB1613" s="550" t="s">
        <v>1596</v>
      </c>
    </row>
    <row r="1614" spans="1:28" ht="24" customHeight="1">
      <c r="A1614" s="606"/>
      <c r="B1614" s="544" t="s">
        <v>675</v>
      </c>
      <c r="C1614" s="551" t="s">
        <v>4601</v>
      </c>
      <c r="D1614" s="553" t="s">
        <v>4602</v>
      </c>
      <c r="E1614" s="563">
        <f t="shared" si="125"/>
        <v>30</v>
      </c>
      <c r="F1614" s="563">
        <v>0</v>
      </c>
      <c r="G1614" s="563">
        <v>30</v>
      </c>
      <c r="H1614" s="563">
        <v>0</v>
      </c>
      <c r="I1614" s="563">
        <f t="shared" si="126"/>
        <v>24</v>
      </c>
      <c r="J1614" s="563">
        <v>0</v>
      </c>
      <c r="K1614" s="563">
        <v>24</v>
      </c>
      <c r="L1614" s="741">
        <v>0</v>
      </c>
      <c r="M1614" s="687">
        <v>80</v>
      </c>
      <c r="N1614" s="563">
        <v>0</v>
      </c>
      <c r="O1614" s="746" t="s">
        <v>2770</v>
      </c>
      <c r="P1614" s="547" t="s">
        <v>1588</v>
      </c>
      <c r="Q1614" s="689">
        <v>0</v>
      </c>
      <c r="R1614" s="689">
        <v>0</v>
      </c>
      <c r="S1614" s="689">
        <v>0</v>
      </c>
      <c r="T1614" s="689">
        <v>0</v>
      </c>
      <c r="U1614" s="547" t="s">
        <v>4596</v>
      </c>
      <c r="V1614" s="548" t="s">
        <v>4603</v>
      </c>
      <c r="W1614" s="658">
        <v>218</v>
      </c>
      <c r="X1614" s="547" t="s">
        <v>1532</v>
      </c>
      <c r="Y1614" s="547" t="s">
        <v>3399</v>
      </c>
      <c r="Z1614" s="547"/>
      <c r="AA1614" s="547"/>
      <c r="AB1614" s="550" t="s">
        <v>1596</v>
      </c>
    </row>
    <row r="1615" spans="1:28" ht="24" customHeight="1">
      <c r="A1615" s="606"/>
      <c r="B1615" s="544" t="s">
        <v>675</v>
      </c>
      <c r="C1615" s="551" t="s">
        <v>4604</v>
      </c>
      <c r="D1615" s="553" t="s">
        <v>4605</v>
      </c>
      <c r="E1615" s="563">
        <f t="shared" si="125"/>
        <v>20</v>
      </c>
      <c r="F1615" s="563">
        <v>0</v>
      </c>
      <c r="G1615" s="563">
        <v>20</v>
      </c>
      <c r="H1615" s="563">
        <v>0</v>
      </c>
      <c r="I1615" s="563">
        <f t="shared" si="126"/>
        <v>6</v>
      </c>
      <c r="J1615" s="563">
        <v>0</v>
      </c>
      <c r="K1615" s="563">
        <v>6</v>
      </c>
      <c r="L1615" s="741">
        <v>0</v>
      </c>
      <c r="M1615" s="687">
        <v>30</v>
      </c>
      <c r="N1615" s="563">
        <v>0</v>
      </c>
      <c r="O1615" s="746" t="s">
        <v>4561</v>
      </c>
      <c r="P1615" s="547" t="s">
        <v>1588</v>
      </c>
      <c r="Q1615" s="689">
        <v>0</v>
      </c>
      <c r="R1615" s="689">
        <v>0</v>
      </c>
      <c r="S1615" s="689">
        <v>0</v>
      </c>
      <c r="T1615" s="689">
        <v>0</v>
      </c>
      <c r="U1615" s="547" t="s">
        <v>4596</v>
      </c>
      <c r="V1615" s="548" t="s">
        <v>4606</v>
      </c>
      <c r="W1615" s="658">
        <v>98</v>
      </c>
      <c r="X1615" s="547" t="s">
        <v>1532</v>
      </c>
      <c r="Y1615" s="547" t="s">
        <v>3399</v>
      </c>
      <c r="Z1615" s="547"/>
      <c r="AA1615" s="547"/>
      <c r="AB1615" s="550" t="s">
        <v>1596</v>
      </c>
    </row>
    <row r="1616" spans="1:28" ht="24" customHeight="1">
      <c r="A1616" s="606"/>
      <c r="B1616" s="544" t="s">
        <v>675</v>
      </c>
      <c r="C1616" s="551" t="s">
        <v>4607</v>
      </c>
      <c r="D1616" s="553" t="s">
        <v>4608</v>
      </c>
      <c r="E1616" s="563">
        <f t="shared" si="125"/>
        <v>16</v>
      </c>
      <c r="F1616" s="563">
        <v>0</v>
      </c>
      <c r="G1616" s="563">
        <v>16</v>
      </c>
      <c r="H1616" s="563">
        <v>0</v>
      </c>
      <c r="I1616" s="563">
        <f t="shared" si="126"/>
        <v>13</v>
      </c>
      <c r="J1616" s="563">
        <v>0</v>
      </c>
      <c r="K1616" s="563">
        <v>13</v>
      </c>
      <c r="L1616" s="741">
        <v>0</v>
      </c>
      <c r="M1616" s="687">
        <v>81</v>
      </c>
      <c r="N1616" s="563">
        <v>0</v>
      </c>
      <c r="O1616" s="746" t="s">
        <v>2526</v>
      </c>
      <c r="P1616" s="547" t="s">
        <v>1588</v>
      </c>
      <c r="Q1616" s="689">
        <v>0</v>
      </c>
      <c r="R1616" s="689">
        <v>0</v>
      </c>
      <c r="S1616" s="689">
        <v>0</v>
      </c>
      <c r="T1616" s="689">
        <v>0</v>
      </c>
      <c r="U1616" s="547" t="s">
        <v>4609</v>
      </c>
      <c r="V1616" s="548" t="s">
        <v>4565</v>
      </c>
      <c r="W1616" s="658">
        <v>100</v>
      </c>
      <c r="X1616" s="547" t="s">
        <v>1532</v>
      </c>
      <c r="Y1616" s="547" t="s">
        <v>4548</v>
      </c>
      <c r="Z1616" s="547"/>
      <c r="AA1616" s="547"/>
      <c r="AB1616" s="550" t="s">
        <v>1596</v>
      </c>
    </row>
    <row r="1617" spans="1:28" ht="24" customHeight="1">
      <c r="A1617" s="606"/>
      <c r="B1617" s="544" t="s">
        <v>675</v>
      </c>
      <c r="C1617" s="551" t="s">
        <v>4610</v>
      </c>
      <c r="D1617" s="553" t="s">
        <v>4611</v>
      </c>
      <c r="E1617" s="563">
        <f t="shared" si="125"/>
        <v>100</v>
      </c>
      <c r="F1617" s="563">
        <v>0</v>
      </c>
      <c r="G1617" s="563">
        <v>100</v>
      </c>
      <c r="H1617" s="563">
        <v>0</v>
      </c>
      <c r="I1617" s="563">
        <f t="shared" si="126"/>
        <v>94</v>
      </c>
      <c r="J1617" s="563">
        <v>0</v>
      </c>
      <c r="K1617" s="563">
        <v>94</v>
      </c>
      <c r="L1617" s="741">
        <v>0</v>
      </c>
      <c r="M1617" s="687">
        <v>94</v>
      </c>
      <c r="N1617" s="563">
        <v>0</v>
      </c>
      <c r="O1617" s="746" t="s">
        <v>4612</v>
      </c>
      <c r="P1617" s="547" t="s">
        <v>1588</v>
      </c>
      <c r="Q1617" s="689">
        <v>0</v>
      </c>
      <c r="R1617" s="689">
        <v>0</v>
      </c>
      <c r="S1617" s="689">
        <v>0</v>
      </c>
      <c r="T1617" s="689">
        <v>0</v>
      </c>
      <c r="U1617" s="547" t="s">
        <v>4613</v>
      </c>
      <c r="V1617" s="548" t="s">
        <v>4614</v>
      </c>
      <c r="W1617" s="658">
        <v>591</v>
      </c>
      <c r="X1617" s="547" t="s">
        <v>1532</v>
      </c>
      <c r="Y1617" s="547" t="s">
        <v>3399</v>
      </c>
      <c r="Z1617" s="547"/>
      <c r="AA1617" s="547"/>
      <c r="AB1617" s="550" t="s">
        <v>1596</v>
      </c>
    </row>
    <row r="1618" spans="1:28" ht="24" customHeight="1">
      <c r="A1618" s="602"/>
      <c r="B1618" s="544" t="s">
        <v>675</v>
      </c>
      <c r="C1618" s="551" t="s">
        <v>4615</v>
      </c>
      <c r="D1618" s="553" t="s">
        <v>4616</v>
      </c>
      <c r="E1618" s="563">
        <f t="shared" si="125"/>
        <v>30</v>
      </c>
      <c r="F1618" s="563">
        <v>0</v>
      </c>
      <c r="G1618" s="563">
        <v>30</v>
      </c>
      <c r="H1618" s="563">
        <v>0</v>
      </c>
      <c r="I1618" s="563">
        <f t="shared" si="126"/>
        <v>20</v>
      </c>
      <c r="J1618" s="563">
        <v>0</v>
      </c>
      <c r="K1618" s="563">
        <v>20</v>
      </c>
      <c r="L1618" s="741">
        <v>0</v>
      </c>
      <c r="M1618" s="687">
        <v>67</v>
      </c>
      <c r="N1618" s="563">
        <v>0</v>
      </c>
      <c r="O1618" s="746" t="s">
        <v>4536</v>
      </c>
      <c r="P1618" s="547" t="s">
        <v>1588</v>
      </c>
      <c r="Q1618" s="689">
        <v>0</v>
      </c>
      <c r="R1618" s="689">
        <v>0</v>
      </c>
      <c r="S1618" s="689">
        <v>0</v>
      </c>
      <c r="T1618" s="689">
        <v>0</v>
      </c>
      <c r="U1618" s="547" t="s">
        <v>4613</v>
      </c>
      <c r="V1618" s="548" t="s">
        <v>3015</v>
      </c>
      <c r="W1618" s="658">
        <v>353</v>
      </c>
      <c r="X1618" s="547" t="s">
        <v>1532</v>
      </c>
      <c r="Y1618" s="547" t="s">
        <v>3399</v>
      </c>
      <c r="Z1618" s="547"/>
      <c r="AA1618" s="547"/>
      <c r="AB1618" s="550" t="s">
        <v>1596</v>
      </c>
    </row>
    <row r="1619" spans="1:28" ht="24" customHeight="1">
      <c r="A1619" s="583" t="s">
        <v>1743</v>
      </c>
      <c r="B1619" s="458" t="s">
        <v>6047</v>
      </c>
      <c r="C1619" s="458"/>
      <c r="D1619" s="510"/>
      <c r="E1619" s="498" t="s">
        <v>7346</v>
      </c>
      <c r="F1619" s="498">
        <v>0</v>
      </c>
      <c r="G1619" s="498" t="s">
        <v>7347</v>
      </c>
      <c r="H1619" s="498" t="s">
        <v>7349</v>
      </c>
      <c r="I1619" s="498" t="s">
        <v>7348</v>
      </c>
      <c r="J1619" s="498">
        <v>0</v>
      </c>
      <c r="K1619" s="498" t="s">
        <v>7350</v>
      </c>
      <c r="L1619" s="668" t="s">
        <v>7351</v>
      </c>
      <c r="M1619" s="672">
        <v>0</v>
      </c>
      <c r="N1619" s="498" t="s">
        <v>7352</v>
      </c>
      <c r="O1619" s="669" t="s">
        <v>1588</v>
      </c>
      <c r="P1619" s="463" t="s">
        <v>1588</v>
      </c>
      <c r="Q1619" s="672" t="s">
        <v>7353</v>
      </c>
      <c r="R1619" s="672" t="s">
        <v>6251</v>
      </c>
      <c r="S1619" s="672" t="s">
        <v>7354</v>
      </c>
      <c r="T1619" s="672" t="s">
        <v>6262</v>
      </c>
      <c r="U1619" s="463"/>
      <c r="V1619" s="463"/>
      <c r="W1619" s="498">
        <f>W1620+W1733</f>
        <v>1244610.8500000001</v>
      </c>
      <c r="X1619" s="463"/>
      <c r="Y1619" s="463"/>
      <c r="Z1619" s="463"/>
      <c r="AA1619" s="463"/>
      <c r="AB1619" s="459"/>
    </row>
    <row r="1620" spans="1:28" ht="24" customHeight="1">
      <c r="A1620" s="582" t="s">
        <v>1674</v>
      </c>
      <c r="B1620" s="458" t="s">
        <v>6045</v>
      </c>
      <c r="C1620" s="579"/>
      <c r="D1620" s="579"/>
      <c r="E1620" s="498" t="s">
        <v>6243</v>
      </c>
      <c r="F1620" s="498">
        <v>0</v>
      </c>
      <c r="G1620" s="498" t="s">
        <v>6244</v>
      </c>
      <c r="H1620" s="498" t="s">
        <v>6245</v>
      </c>
      <c r="I1620" s="498" t="s">
        <v>6246</v>
      </c>
      <c r="J1620" s="498">
        <v>0</v>
      </c>
      <c r="K1620" s="498" t="s">
        <v>6247</v>
      </c>
      <c r="L1620" s="668" t="s">
        <v>6248</v>
      </c>
      <c r="M1620" s="672">
        <v>0</v>
      </c>
      <c r="N1620" s="498" t="s">
        <v>6249</v>
      </c>
      <c r="O1620" s="669" t="s">
        <v>1588</v>
      </c>
      <c r="P1620" s="463" t="s">
        <v>1588</v>
      </c>
      <c r="Q1620" s="672" t="s">
        <v>6250</v>
      </c>
      <c r="R1620" s="672" t="s">
        <v>6251</v>
      </c>
      <c r="S1620" s="672" t="s">
        <v>6252</v>
      </c>
      <c r="T1620" s="672">
        <v>0</v>
      </c>
      <c r="U1620" s="463"/>
      <c r="V1620" s="463"/>
      <c r="W1620" s="498">
        <f>SUM(W1621:W1732)</f>
        <v>915727</v>
      </c>
      <c r="X1620" s="463"/>
      <c r="Y1620" s="463"/>
      <c r="Z1620" s="463"/>
      <c r="AA1620" s="463"/>
      <c r="AB1620" s="459"/>
    </row>
    <row r="1621" spans="1:28" ht="24" customHeight="1">
      <c r="A1621" s="582" t="s">
        <v>1744</v>
      </c>
      <c r="B1621" s="460" t="s">
        <v>2201</v>
      </c>
      <c r="C1621" s="458" t="s">
        <v>2373</v>
      </c>
      <c r="D1621" s="510" t="s">
        <v>4617</v>
      </c>
      <c r="E1621" s="498">
        <f>SUM(F1621:H1621)</f>
        <v>80000</v>
      </c>
      <c r="F1621" s="498">
        <v>0</v>
      </c>
      <c r="G1621" s="498">
        <v>80000</v>
      </c>
      <c r="H1621" s="498">
        <v>0</v>
      </c>
      <c r="I1621" s="498">
        <f>SUM(J1621:L1621)</f>
        <v>78835</v>
      </c>
      <c r="J1621" s="498">
        <v>0</v>
      </c>
      <c r="K1621" s="498">
        <v>78835</v>
      </c>
      <c r="L1621" s="668" t="s">
        <v>3211</v>
      </c>
      <c r="M1621" s="672">
        <v>89.5</v>
      </c>
      <c r="N1621" s="498">
        <v>5400</v>
      </c>
      <c r="O1621" s="715" t="s">
        <v>1535</v>
      </c>
      <c r="P1621" s="501" t="s">
        <v>1588</v>
      </c>
      <c r="Q1621" s="672">
        <v>418</v>
      </c>
      <c r="R1621" s="672">
        <v>0</v>
      </c>
      <c r="S1621" s="672">
        <v>0</v>
      </c>
      <c r="T1621" s="672">
        <v>0</v>
      </c>
      <c r="U1621" s="501" t="s">
        <v>2450</v>
      </c>
      <c r="V1621" s="566" t="s">
        <v>4618</v>
      </c>
      <c r="W1621" s="498">
        <v>101800</v>
      </c>
      <c r="X1621" s="501" t="s">
        <v>2193</v>
      </c>
      <c r="Y1621" s="501" t="s">
        <v>3232</v>
      </c>
      <c r="Z1621" s="501"/>
      <c r="AA1621" s="501"/>
      <c r="AB1621" s="502" t="s">
        <v>1536</v>
      </c>
    </row>
    <row r="1622" spans="1:28" ht="24" customHeight="1">
      <c r="A1622" s="584"/>
      <c r="B1622" s="460" t="s">
        <v>2201</v>
      </c>
      <c r="C1622" s="458" t="s">
        <v>2059</v>
      </c>
      <c r="D1622" s="510" t="s">
        <v>4619</v>
      </c>
      <c r="E1622" s="498">
        <f>SUM(F1622:H1622)</f>
        <v>12000</v>
      </c>
      <c r="F1622" s="498">
        <v>0</v>
      </c>
      <c r="G1622" s="498">
        <v>0</v>
      </c>
      <c r="H1622" s="498">
        <v>12000</v>
      </c>
      <c r="I1622" s="498">
        <f>SUM(J1622:L1622)</f>
        <v>6720</v>
      </c>
      <c r="J1622" s="498">
        <v>0</v>
      </c>
      <c r="K1622" s="498">
        <v>0</v>
      </c>
      <c r="L1622" s="668">
        <v>6720</v>
      </c>
      <c r="M1622" s="690">
        <v>95</v>
      </c>
      <c r="N1622" s="498">
        <v>533</v>
      </c>
      <c r="O1622" s="715" t="s">
        <v>3268</v>
      </c>
      <c r="P1622" s="501" t="s">
        <v>1588</v>
      </c>
      <c r="Q1622" s="672">
        <v>5.5</v>
      </c>
      <c r="R1622" s="672">
        <v>0</v>
      </c>
      <c r="S1622" s="672">
        <v>0</v>
      </c>
      <c r="T1622" s="672">
        <v>0</v>
      </c>
      <c r="U1622" s="501" t="s">
        <v>4620</v>
      </c>
      <c r="V1622" s="501" t="s">
        <v>4621</v>
      </c>
      <c r="W1622" s="498">
        <v>36000</v>
      </c>
      <c r="X1622" s="501" t="s">
        <v>2193</v>
      </c>
      <c r="Y1622" s="501" t="s">
        <v>3161</v>
      </c>
      <c r="Z1622" s="501"/>
      <c r="AA1622" s="501"/>
      <c r="AB1622" s="502" t="s">
        <v>1536</v>
      </c>
    </row>
    <row r="1623" spans="1:28" ht="24" customHeight="1">
      <c r="A1623" s="584"/>
      <c r="B1623" s="460" t="s">
        <v>2201</v>
      </c>
      <c r="C1623" s="458" t="s">
        <v>2061</v>
      </c>
      <c r="D1623" s="510" t="s">
        <v>4622</v>
      </c>
      <c r="E1623" s="498">
        <f>SUM(F1623:H1623)</f>
        <v>25000</v>
      </c>
      <c r="F1623" s="498">
        <v>0</v>
      </c>
      <c r="G1623" s="498">
        <v>0</v>
      </c>
      <c r="H1623" s="498">
        <v>25000</v>
      </c>
      <c r="I1623" s="498">
        <f>SUM(J1623:L1623)</f>
        <v>7304</v>
      </c>
      <c r="J1623" s="498">
        <v>0</v>
      </c>
      <c r="K1623" s="498">
        <v>0</v>
      </c>
      <c r="L1623" s="668">
        <v>7304</v>
      </c>
      <c r="M1623" s="672">
        <v>96.9</v>
      </c>
      <c r="N1623" s="498">
        <v>383</v>
      </c>
      <c r="O1623" s="715" t="s">
        <v>4623</v>
      </c>
      <c r="P1623" s="501" t="s">
        <v>1588</v>
      </c>
      <c r="Q1623" s="672">
        <v>23</v>
      </c>
      <c r="R1623" s="672">
        <v>0</v>
      </c>
      <c r="S1623" s="672">
        <v>0</v>
      </c>
      <c r="T1623" s="672">
        <v>0</v>
      </c>
      <c r="U1623" s="501" t="s">
        <v>2451</v>
      </c>
      <c r="V1623" s="566" t="s">
        <v>4624</v>
      </c>
      <c r="W1623" s="498">
        <v>40000</v>
      </c>
      <c r="X1623" s="501" t="s">
        <v>2193</v>
      </c>
      <c r="Y1623" s="501" t="s">
        <v>3161</v>
      </c>
      <c r="Z1623" s="501"/>
      <c r="AA1623" s="501"/>
      <c r="AB1623" s="502" t="s">
        <v>1536</v>
      </c>
    </row>
    <row r="1624" spans="1:28" ht="24" customHeight="1">
      <c r="A1624" s="584"/>
      <c r="B1624" s="460" t="s">
        <v>675</v>
      </c>
      <c r="C1624" s="458" t="s">
        <v>4625</v>
      </c>
      <c r="D1624" s="510" t="s">
        <v>4626</v>
      </c>
      <c r="E1624" s="498">
        <f>SUM(F1624:H1624)</f>
        <v>45</v>
      </c>
      <c r="F1624" s="498">
        <v>0</v>
      </c>
      <c r="G1624" s="498">
        <v>45</v>
      </c>
      <c r="H1624" s="498">
        <v>0</v>
      </c>
      <c r="I1624" s="498">
        <f>SUM(J1624:L1624)</f>
        <v>7.2</v>
      </c>
      <c r="J1624" s="498">
        <v>0</v>
      </c>
      <c r="K1624" s="498">
        <v>7.2</v>
      </c>
      <c r="L1624" s="668">
        <v>0</v>
      </c>
      <c r="M1624" s="672">
        <v>90</v>
      </c>
      <c r="N1624" s="498">
        <v>0.39</v>
      </c>
      <c r="O1624" s="715" t="s">
        <v>4627</v>
      </c>
      <c r="P1624" s="501" t="s">
        <v>1588</v>
      </c>
      <c r="Q1624" s="672">
        <v>0</v>
      </c>
      <c r="R1624" s="672">
        <v>0</v>
      </c>
      <c r="S1624" s="672">
        <v>0</v>
      </c>
      <c r="T1624" s="672">
        <v>0</v>
      </c>
      <c r="U1624" s="501" t="s">
        <v>2450</v>
      </c>
      <c r="V1624" s="566" t="s">
        <v>2090</v>
      </c>
      <c r="W1624" s="498">
        <v>312</v>
      </c>
      <c r="X1624" s="501" t="s">
        <v>2193</v>
      </c>
      <c r="Y1624" s="501" t="s">
        <v>4628</v>
      </c>
      <c r="Z1624" s="501"/>
      <c r="AA1624" s="501"/>
      <c r="AB1624" s="502" t="s">
        <v>1536</v>
      </c>
    </row>
    <row r="1625" spans="1:28" ht="24" customHeight="1">
      <c r="A1625" s="584"/>
      <c r="B1625" s="460" t="s">
        <v>675</v>
      </c>
      <c r="C1625" s="458" t="s">
        <v>4629</v>
      </c>
      <c r="D1625" s="510" t="s">
        <v>4630</v>
      </c>
      <c r="E1625" s="498">
        <f>SUM(F1625:H1625)</f>
        <v>50</v>
      </c>
      <c r="F1625" s="498">
        <v>0</v>
      </c>
      <c r="G1625" s="498">
        <v>50</v>
      </c>
      <c r="H1625" s="498">
        <v>0</v>
      </c>
      <c r="I1625" s="498">
        <f>SUM(J1625:L1625)</f>
        <v>7</v>
      </c>
      <c r="J1625" s="498">
        <v>0</v>
      </c>
      <c r="K1625" s="498">
        <v>7</v>
      </c>
      <c r="L1625" s="668">
        <v>0</v>
      </c>
      <c r="M1625" s="672">
        <v>88.8</v>
      </c>
      <c r="N1625" s="498">
        <v>0.28000000000000003</v>
      </c>
      <c r="O1625" s="715" t="s">
        <v>5737</v>
      </c>
      <c r="P1625" s="501" t="s">
        <v>1588</v>
      </c>
      <c r="Q1625" s="672">
        <v>0</v>
      </c>
      <c r="R1625" s="672">
        <v>0</v>
      </c>
      <c r="S1625" s="672">
        <v>0</v>
      </c>
      <c r="T1625" s="672">
        <v>0</v>
      </c>
      <c r="U1625" s="501" t="s">
        <v>2450</v>
      </c>
      <c r="V1625" s="566" t="s">
        <v>4631</v>
      </c>
      <c r="W1625" s="498">
        <v>186</v>
      </c>
      <c r="X1625" s="501" t="s">
        <v>2193</v>
      </c>
      <c r="Y1625" s="501" t="s">
        <v>4628</v>
      </c>
      <c r="Z1625" s="501"/>
      <c r="AA1625" s="501" t="s">
        <v>1895</v>
      </c>
      <c r="AB1625" s="502" t="s">
        <v>1536</v>
      </c>
    </row>
    <row r="1626" spans="1:28" ht="24" customHeight="1">
      <c r="A1626" s="582" t="s">
        <v>1894</v>
      </c>
      <c r="B1626" s="460" t="s">
        <v>2201</v>
      </c>
      <c r="C1626" s="458" t="s">
        <v>2374</v>
      </c>
      <c r="D1626" s="510" t="s">
        <v>2063</v>
      </c>
      <c r="E1626" s="653">
        <f>F1626+G1626+H1626</f>
        <v>110000</v>
      </c>
      <c r="F1626" s="653">
        <v>0</v>
      </c>
      <c r="G1626" s="653">
        <v>0</v>
      </c>
      <c r="H1626" s="655">
        <v>110000</v>
      </c>
      <c r="I1626" s="655">
        <f t="shared" ref="I1626:I1632" si="127">J1626+K1626+L1626</f>
        <v>108598</v>
      </c>
      <c r="J1626" s="655">
        <v>0</v>
      </c>
      <c r="K1626" s="655">
        <v>0</v>
      </c>
      <c r="L1626" s="710">
        <v>108598</v>
      </c>
      <c r="M1626" s="680">
        <v>94.7</v>
      </c>
      <c r="N1626" s="667">
        <v>10037</v>
      </c>
      <c r="O1626" s="715" t="s">
        <v>4632</v>
      </c>
      <c r="P1626" s="501" t="s">
        <v>1588</v>
      </c>
      <c r="Q1626" s="673">
        <v>106</v>
      </c>
      <c r="R1626" s="837">
        <v>1505</v>
      </c>
      <c r="S1626" s="673">
        <v>96</v>
      </c>
      <c r="T1626" s="673">
        <v>0</v>
      </c>
      <c r="U1626" s="501" t="s">
        <v>2452</v>
      </c>
      <c r="V1626" s="501" t="s">
        <v>4633</v>
      </c>
      <c r="W1626" s="498">
        <v>35879</v>
      </c>
      <c r="X1626" s="501" t="s">
        <v>2193</v>
      </c>
      <c r="Y1626" s="501" t="s">
        <v>3232</v>
      </c>
      <c r="Z1626" s="501" t="s">
        <v>4634</v>
      </c>
      <c r="AA1626" s="501" t="s">
        <v>1895</v>
      </c>
      <c r="AB1626" s="502" t="s">
        <v>1587</v>
      </c>
    </row>
    <row r="1627" spans="1:28" ht="24" customHeight="1">
      <c r="A1627" s="584"/>
      <c r="B1627" s="460" t="s">
        <v>2201</v>
      </c>
      <c r="C1627" s="458" t="s">
        <v>2065</v>
      </c>
      <c r="D1627" s="510" t="s">
        <v>4635</v>
      </c>
      <c r="E1627" s="653">
        <f t="shared" ref="E1627:E1632" si="128">F1627+G1627+H1627</f>
        <v>18000</v>
      </c>
      <c r="F1627" s="653">
        <v>0</v>
      </c>
      <c r="G1627" s="653">
        <v>0</v>
      </c>
      <c r="H1627" s="653">
        <v>18000</v>
      </c>
      <c r="I1627" s="653">
        <f t="shared" si="127"/>
        <v>8095</v>
      </c>
      <c r="J1627" s="653">
        <v>0</v>
      </c>
      <c r="K1627" s="653">
        <v>0</v>
      </c>
      <c r="L1627" s="698">
        <v>8095</v>
      </c>
      <c r="M1627" s="672">
        <v>97.3</v>
      </c>
      <c r="N1627" s="653">
        <v>759</v>
      </c>
      <c r="O1627" s="715" t="s">
        <v>4636</v>
      </c>
      <c r="P1627" s="501" t="s">
        <v>1588</v>
      </c>
      <c r="Q1627" s="673">
        <v>0</v>
      </c>
      <c r="R1627" s="673">
        <v>0</v>
      </c>
      <c r="S1627" s="673">
        <v>0</v>
      </c>
      <c r="T1627" s="673">
        <v>0</v>
      </c>
      <c r="U1627" s="501" t="s">
        <v>4637</v>
      </c>
      <c r="V1627" s="501" t="s">
        <v>2066</v>
      </c>
      <c r="W1627" s="498">
        <v>44344</v>
      </c>
      <c r="X1627" s="501" t="s">
        <v>2193</v>
      </c>
      <c r="Y1627" s="501" t="s">
        <v>3336</v>
      </c>
      <c r="Z1627" s="501"/>
      <c r="AA1627" s="501" t="s">
        <v>1895</v>
      </c>
      <c r="AB1627" s="502" t="s">
        <v>1587</v>
      </c>
    </row>
    <row r="1628" spans="1:28" ht="24" customHeight="1">
      <c r="A1628" s="584"/>
      <c r="B1628" s="460" t="s">
        <v>2201</v>
      </c>
      <c r="C1628" s="458" t="s">
        <v>279</v>
      </c>
      <c r="D1628" s="510" t="s">
        <v>4638</v>
      </c>
      <c r="E1628" s="653">
        <f t="shared" si="128"/>
        <v>5000</v>
      </c>
      <c r="F1628" s="653">
        <v>0</v>
      </c>
      <c r="G1628" s="653">
        <v>0</v>
      </c>
      <c r="H1628" s="653">
        <v>5000</v>
      </c>
      <c r="I1628" s="653">
        <f t="shared" si="127"/>
        <v>1881</v>
      </c>
      <c r="J1628" s="653">
        <v>0</v>
      </c>
      <c r="K1628" s="653">
        <v>0</v>
      </c>
      <c r="L1628" s="698">
        <v>1881</v>
      </c>
      <c r="M1628" s="672">
        <v>97.4</v>
      </c>
      <c r="N1628" s="653">
        <v>216</v>
      </c>
      <c r="O1628" s="715" t="s">
        <v>4639</v>
      </c>
      <c r="P1628" s="501" t="s">
        <v>1588</v>
      </c>
      <c r="Q1628" s="673">
        <v>0</v>
      </c>
      <c r="R1628" s="673">
        <v>0</v>
      </c>
      <c r="S1628" s="673">
        <v>0</v>
      </c>
      <c r="T1628" s="673">
        <v>0</v>
      </c>
      <c r="U1628" s="501" t="s">
        <v>4640</v>
      </c>
      <c r="V1628" s="501" t="s">
        <v>2062</v>
      </c>
      <c r="W1628" s="498">
        <v>19375</v>
      </c>
      <c r="X1628" s="501" t="s">
        <v>2199</v>
      </c>
      <c r="Y1628" s="501" t="s">
        <v>3336</v>
      </c>
      <c r="Z1628" s="501" t="s">
        <v>4641</v>
      </c>
      <c r="AA1628" s="501" t="s">
        <v>1704</v>
      </c>
      <c r="AB1628" s="502" t="s">
        <v>1587</v>
      </c>
    </row>
    <row r="1629" spans="1:28" ht="24" customHeight="1">
      <c r="A1629" s="584"/>
      <c r="B1629" s="460" t="s">
        <v>2201</v>
      </c>
      <c r="C1629" s="458" t="s">
        <v>280</v>
      </c>
      <c r="D1629" s="510" t="s">
        <v>4642</v>
      </c>
      <c r="E1629" s="653">
        <f t="shared" si="128"/>
        <v>300</v>
      </c>
      <c r="F1629" s="653">
        <v>0</v>
      </c>
      <c r="G1629" s="653">
        <v>0</v>
      </c>
      <c r="H1629" s="653">
        <v>300</v>
      </c>
      <c r="I1629" s="653">
        <f t="shared" si="127"/>
        <v>176</v>
      </c>
      <c r="J1629" s="653">
        <v>0</v>
      </c>
      <c r="K1629" s="653">
        <v>0</v>
      </c>
      <c r="L1629" s="698">
        <v>176</v>
      </c>
      <c r="M1629" s="672">
        <v>93.6</v>
      </c>
      <c r="N1629" s="653">
        <v>21</v>
      </c>
      <c r="O1629" s="715" t="s">
        <v>4643</v>
      </c>
      <c r="P1629" s="501" t="s">
        <v>1588</v>
      </c>
      <c r="Q1629" s="673">
        <v>0</v>
      </c>
      <c r="R1629" s="673">
        <v>0</v>
      </c>
      <c r="S1629" s="673">
        <v>0</v>
      </c>
      <c r="T1629" s="673">
        <v>0</v>
      </c>
      <c r="U1629" s="501" t="s">
        <v>4644</v>
      </c>
      <c r="V1629" s="501" t="s">
        <v>2064</v>
      </c>
      <c r="W1629" s="498">
        <v>3103</v>
      </c>
      <c r="X1629" s="501" t="s">
        <v>2193</v>
      </c>
      <c r="Y1629" s="501" t="s">
        <v>3336</v>
      </c>
      <c r="Z1629" s="501" t="s">
        <v>1897</v>
      </c>
      <c r="AA1629" s="501" t="s">
        <v>1589</v>
      </c>
      <c r="AB1629" s="502" t="s">
        <v>1589</v>
      </c>
    </row>
    <row r="1630" spans="1:28" ht="24" customHeight="1">
      <c r="A1630" s="584"/>
      <c r="B1630" s="460" t="s">
        <v>2201</v>
      </c>
      <c r="C1630" s="458" t="s">
        <v>281</v>
      </c>
      <c r="D1630" s="510" t="s">
        <v>4645</v>
      </c>
      <c r="E1630" s="653">
        <f t="shared" si="128"/>
        <v>300</v>
      </c>
      <c r="F1630" s="653">
        <v>0</v>
      </c>
      <c r="G1630" s="653">
        <v>0</v>
      </c>
      <c r="H1630" s="653">
        <v>300</v>
      </c>
      <c r="I1630" s="653">
        <f t="shared" si="127"/>
        <v>105</v>
      </c>
      <c r="J1630" s="653">
        <v>0</v>
      </c>
      <c r="K1630" s="653">
        <v>0</v>
      </c>
      <c r="L1630" s="698">
        <v>105</v>
      </c>
      <c r="M1630" s="672">
        <v>95.8</v>
      </c>
      <c r="N1630" s="653">
        <v>6</v>
      </c>
      <c r="O1630" s="715" t="s">
        <v>4643</v>
      </c>
      <c r="P1630" s="501" t="s">
        <v>1588</v>
      </c>
      <c r="Q1630" s="673">
        <v>0</v>
      </c>
      <c r="R1630" s="673">
        <v>0</v>
      </c>
      <c r="S1630" s="673">
        <v>0</v>
      </c>
      <c r="T1630" s="673">
        <v>0</v>
      </c>
      <c r="U1630" s="501" t="s">
        <v>4644</v>
      </c>
      <c r="V1630" s="501" t="s">
        <v>2064</v>
      </c>
      <c r="W1630" s="498">
        <v>2327</v>
      </c>
      <c r="X1630" s="501" t="s">
        <v>2193</v>
      </c>
      <c r="Y1630" s="501" t="s">
        <v>3336</v>
      </c>
      <c r="Z1630" s="501" t="s">
        <v>1897</v>
      </c>
      <c r="AA1630" s="501" t="s">
        <v>1589</v>
      </c>
      <c r="AB1630" s="502" t="s">
        <v>1589</v>
      </c>
    </row>
    <row r="1631" spans="1:28" ht="24" customHeight="1">
      <c r="A1631" s="584"/>
      <c r="B1631" s="460" t="s">
        <v>2201</v>
      </c>
      <c r="C1631" s="458" t="s">
        <v>282</v>
      </c>
      <c r="D1631" s="510" t="s">
        <v>4646</v>
      </c>
      <c r="E1631" s="653">
        <f t="shared" si="128"/>
        <v>300</v>
      </c>
      <c r="F1631" s="653">
        <v>0</v>
      </c>
      <c r="G1631" s="653">
        <v>0</v>
      </c>
      <c r="H1631" s="653">
        <v>300</v>
      </c>
      <c r="I1631" s="653">
        <f t="shared" si="127"/>
        <v>171</v>
      </c>
      <c r="J1631" s="653">
        <v>0</v>
      </c>
      <c r="K1631" s="653">
        <v>0</v>
      </c>
      <c r="L1631" s="698">
        <v>171</v>
      </c>
      <c r="M1631" s="672">
        <v>98.1</v>
      </c>
      <c r="N1631" s="653">
        <v>12</v>
      </c>
      <c r="O1631" s="715" t="s">
        <v>4643</v>
      </c>
      <c r="P1631" s="501" t="s">
        <v>1588</v>
      </c>
      <c r="Q1631" s="673">
        <v>0</v>
      </c>
      <c r="R1631" s="673">
        <v>0</v>
      </c>
      <c r="S1631" s="673">
        <v>0</v>
      </c>
      <c r="T1631" s="673">
        <v>0</v>
      </c>
      <c r="U1631" s="501" t="s">
        <v>4644</v>
      </c>
      <c r="V1631" s="501" t="s">
        <v>2064</v>
      </c>
      <c r="W1631" s="498">
        <v>2328</v>
      </c>
      <c r="X1631" s="501" t="s">
        <v>2193</v>
      </c>
      <c r="Y1631" s="501" t="s">
        <v>3336</v>
      </c>
      <c r="Z1631" s="501" t="s">
        <v>4647</v>
      </c>
      <c r="AA1631" s="501" t="s">
        <v>1589</v>
      </c>
      <c r="AB1631" s="502" t="s">
        <v>1589</v>
      </c>
    </row>
    <row r="1632" spans="1:28" ht="24" customHeight="1">
      <c r="A1632" s="584"/>
      <c r="B1632" s="460" t="s">
        <v>675</v>
      </c>
      <c r="C1632" s="458" t="s">
        <v>7075</v>
      </c>
      <c r="D1632" s="510" t="s">
        <v>4648</v>
      </c>
      <c r="E1632" s="653">
        <f t="shared" si="128"/>
        <v>60</v>
      </c>
      <c r="F1632" s="653">
        <v>0</v>
      </c>
      <c r="G1632" s="653">
        <v>0</v>
      </c>
      <c r="H1632" s="653">
        <v>60</v>
      </c>
      <c r="I1632" s="653">
        <f t="shared" si="127"/>
        <v>30</v>
      </c>
      <c r="J1632" s="653">
        <v>0</v>
      </c>
      <c r="K1632" s="653">
        <v>0</v>
      </c>
      <c r="L1632" s="698">
        <v>30</v>
      </c>
      <c r="M1632" s="672">
        <v>84.6</v>
      </c>
      <c r="N1632" s="653">
        <v>2</v>
      </c>
      <c r="O1632" s="715" t="s">
        <v>3176</v>
      </c>
      <c r="P1632" s="501" t="s">
        <v>1588</v>
      </c>
      <c r="Q1632" s="673">
        <v>0</v>
      </c>
      <c r="R1632" s="673">
        <v>0</v>
      </c>
      <c r="S1632" s="673">
        <v>0</v>
      </c>
      <c r="T1632" s="673">
        <v>0</v>
      </c>
      <c r="U1632" s="501" t="s">
        <v>4649</v>
      </c>
      <c r="V1632" s="501" t="s">
        <v>4650</v>
      </c>
      <c r="W1632" s="498">
        <v>628</v>
      </c>
      <c r="X1632" s="501" t="s">
        <v>2193</v>
      </c>
      <c r="Y1632" s="501" t="s">
        <v>3232</v>
      </c>
      <c r="Z1632" s="501"/>
      <c r="AA1632" s="501"/>
      <c r="AB1632" s="502" t="s">
        <v>1587</v>
      </c>
    </row>
    <row r="1633" spans="1:28" ht="24" customHeight="1">
      <c r="A1633" s="582" t="s">
        <v>1898</v>
      </c>
      <c r="B1633" s="460" t="s">
        <v>2201</v>
      </c>
      <c r="C1633" s="458" t="s">
        <v>4651</v>
      </c>
      <c r="D1633" s="510" t="s">
        <v>4652</v>
      </c>
      <c r="E1633" s="498">
        <f>SUM(F1633:H1633)</f>
        <v>80000</v>
      </c>
      <c r="F1633" s="498">
        <v>0</v>
      </c>
      <c r="G1633" s="498">
        <v>80000</v>
      </c>
      <c r="H1633" s="498">
        <v>0</v>
      </c>
      <c r="I1633" s="498">
        <f>SUM(J1633:L1633)</f>
        <v>68162</v>
      </c>
      <c r="J1633" s="498">
        <v>0</v>
      </c>
      <c r="K1633" s="498">
        <v>68162</v>
      </c>
      <c r="L1633" s="668" t="s">
        <v>3211</v>
      </c>
      <c r="M1633" s="672">
        <v>97.4</v>
      </c>
      <c r="N1633" s="498">
        <f>K1633*122.5/1000</f>
        <v>8349.8449999999993</v>
      </c>
      <c r="O1633" s="715" t="s">
        <v>1535</v>
      </c>
      <c r="P1633" s="501" t="s">
        <v>1588</v>
      </c>
      <c r="Q1633" s="672">
        <v>86.4</v>
      </c>
      <c r="R1633" s="672">
        <v>0</v>
      </c>
      <c r="S1633" s="672">
        <v>35</v>
      </c>
      <c r="T1633" s="672">
        <v>0</v>
      </c>
      <c r="U1633" s="501" t="s">
        <v>2453</v>
      </c>
      <c r="V1633" s="566" t="s">
        <v>2069</v>
      </c>
      <c r="W1633" s="498">
        <v>74909</v>
      </c>
      <c r="X1633" s="501" t="s">
        <v>2199</v>
      </c>
      <c r="Y1633" s="501"/>
      <c r="Z1633" s="501" t="s">
        <v>1899</v>
      </c>
      <c r="AA1633" s="501" t="s">
        <v>1589</v>
      </c>
      <c r="AB1633" s="502" t="s">
        <v>4653</v>
      </c>
    </row>
    <row r="1634" spans="1:28" ht="24" customHeight="1">
      <c r="A1634" s="584"/>
      <c r="B1634" s="460" t="s">
        <v>675</v>
      </c>
      <c r="C1634" s="551" t="s">
        <v>4654</v>
      </c>
      <c r="D1634" s="510" t="s">
        <v>1925</v>
      </c>
      <c r="E1634" s="498">
        <f>SUM(F1634:H1634)</f>
        <v>45</v>
      </c>
      <c r="F1634" s="498">
        <v>0</v>
      </c>
      <c r="G1634" s="498">
        <v>45</v>
      </c>
      <c r="H1634" s="498">
        <v>0</v>
      </c>
      <c r="I1634" s="498">
        <f>SUM(J1634:L1634)</f>
        <v>38</v>
      </c>
      <c r="J1634" s="498">
        <v>0</v>
      </c>
      <c r="K1634" s="498">
        <v>38</v>
      </c>
      <c r="L1634" s="668">
        <v>0</v>
      </c>
      <c r="M1634" s="672">
        <v>67.7</v>
      </c>
      <c r="N1634" s="498">
        <f>K1634*0.02969</f>
        <v>1.12822</v>
      </c>
      <c r="O1634" s="715" t="s">
        <v>4655</v>
      </c>
      <c r="P1634" s="501" t="s">
        <v>1588</v>
      </c>
      <c r="Q1634" s="672">
        <v>0</v>
      </c>
      <c r="R1634" s="672">
        <v>0</v>
      </c>
      <c r="S1634" s="672">
        <v>0</v>
      </c>
      <c r="T1634" s="672">
        <v>0</v>
      </c>
      <c r="U1634" s="501" t="s">
        <v>4656</v>
      </c>
      <c r="V1634" s="566" t="s">
        <v>4657</v>
      </c>
      <c r="W1634" s="498">
        <v>195</v>
      </c>
      <c r="X1634" s="501" t="s">
        <v>2199</v>
      </c>
      <c r="Y1634" s="501" t="s">
        <v>3336</v>
      </c>
      <c r="Z1634" s="501" t="s">
        <v>1899</v>
      </c>
      <c r="AA1634" s="501" t="s">
        <v>1589</v>
      </c>
      <c r="AB1634" s="502" t="s">
        <v>4653</v>
      </c>
    </row>
    <row r="1635" spans="1:28" ht="24" customHeight="1">
      <c r="A1635" s="584"/>
      <c r="B1635" s="460" t="s">
        <v>675</v>
      </c>
      <c r="C1635" s="551" t="s">
        <v>4658</v>
      </c>
      <c r="D1635" s="510" t="s">
        <v>1838</v>
      </c>
      <c r="E1635" s="498">
        <f>SUM(F1635:H1635)</f>
        <v>30</v>
      </c>
      <c r="F1635" s="498">
        <v>0</v>
      </c>
      <c r="G1635" s="498">
        <v>30</v>
      </c>
      <c r="H1635" s="498">
        <v>0</v>
      </c>
      <c r="I1635" s="498">
        <f t="shared" ref="I1635:I1648" si="129">SUM(J1635:L1635)</f>
        <v>24</v>
      </c>
      <c r="J1635" s="498">
        <v>0</v>
      </c>
      <c r="K1635" s="498">
        <v>24</v>
      </c>
      <c r="L1635" s="668">
        <v>0</v>
      </c>
      <c r="M1635" s="672">
        <v>68</v>
      </c>
      <c r="N1635" s="498">
        <f>K1635*0.02425</f>
        <v>0.58200000000000007</v>
      </c>
      <c r="O1635" s="715" t="s">
        <v>4659</v>
      </c>
      <c r="P1635" s="501" t="s">
        <v>1588</v>
      </c>
      <c r="Q1635" s="672">
        <v>0</v>
      </c>
      <c r="R1635" s="672">
        <v>0</v>
      </c>
      <c r="S1635" s="672">
        <v>0</v>
      </c>
      <c r="T1635" s="672">
        <v>0</v>
      </c>
      <c r="U1635" s="501" t="s">
        <v>4656</v>
      </c>
      <c r="V1635" s="566" t="s">
        <v>2047</v>
      </c>
      <c r="W1635" s="498">
        <v>100</v>
      </c>
      <c r="X1635" s="501" t="s">
        <v>2199</v>
      </c>
      <c r="Y1635" s="501" t="s">
        <v>3336</v>
      </c>
      <c r="Z1635" s="501" t="s">
        <v>1899</v>
      </c>
      <c r="AA1635" s="501" t="s">
        <v>1589</v>
      </c>
      <c r="AB1635" s="502" t="s">
        <v>4653</v>
      </c>
    </row>
    <row r="1636" spans="1:28" ht="24" customHeight="1">
      <c r="A1636" s="584"/>
      <c r="B1636" s="460" t="s">
        <v>675</v>
      </c>
      <c r="C1636" s="551" t="s">
        <v>877</v>
      </c>
      <c r="D1636" s="510" t="s">
        <v>1964</v>
      </c>
      <c r="E1636" s="498">
        <f t="shared" ref="E1636:E1648" si="130">SUM(F1636:H1636)</f>
        <v>30</v>
      </c>
      <c r="F1636" s="498">
        <v>0</v>
      </c>
      <c r="G1636" s="498">
        <v>30</v>
      </c>
      <c r="H1636" s="498">
        <v>0</v>
      </c>
      <c r="I1636" s="498">
        <f t="shared" si="129"/>
        <v>26</v>
      </c>
      <c r="J1636" s="498">
        <v>0</v>
      </c>
      <c r="K1636" s="498">
        <v>26</v>
      </c>
      <c r="L1636" s="668">
        <v>0</v>
      </c>
      <c r="M1636" s="672">
        <v>90.2</v>
      </c>
      <c r="N1636" s="498">
        <f>K1636*0.09681</f>
        <v>2.5170599999999999</v>
      </c>
      <c r="O1636" s="715" t="s">
        <v>4660</v>
      </c>
      <c r="P1636" s="501" t="s">
        <v>1588</v>
      </c>
      <c r="Q1636" s="672">
        <v>0</v>
      </c>
      <c r="R1636" s="672">
        <v>0</v>
      </c>
      <c r="S1636" s="672">
        <v>0</v>
      </c>
      <c r="T1636" s="672">
        <v>0</v>
      </c>
      <c r="U1636" s="501" t="s">
        <v>4656</v>
      </c>
      <c r="V1636" s="566" t="s">
        <v>4661</v>
      </c>
      <c r="W1636" s="498">
        <v>200</v>
      </c>
      <c r="X1636" s="501" t="s">
        <v>2199</v>
      </c>
      <c r="Y1636" s="501" t="s">
        <v>3232</v>
      </c>
      <c r="Z1636" s="501" t="s">
        <v>1899</v>
      </c>
      <c r="AA1636" s="501" t="s">
        <v>1589</v>
      </c>
      <c r="AB1636" s="502" t="s">
        <v>4653</v>
      </c>
    </row>
    <row r="1637" spans="1:28" ht="24" customHeight="1">
      <c r="A1637" s="584"/>
      <c r="B1637" s="460" t="s">
        <v>675</v>
      </c>
      <c r="C1637" s="551" t="s">
        <v>4662</v>
      </c>
      <c r="D1637" s="510" t="s">
        <v>1925</v>
      </c>
      <c r="E1637" s="498">
        <f t="shared" si="130"/>
        <v>40</v>
      </c>
      <c r="F1637" s="498">
        <v>0</v>
      </c>
      <c r="G1637" s="498">
        <v>40</v>
      </c>
      <c r="H1637" s="498">
        <v>0</v>
      </c>
      <c r="I1637" s="498">
        <f t="shared" si="129"/>
        <v>35</v>
      </c>
      <c r="J1637" s="498">
        <v>0</v>
      </c>
      <c r="K1637" s="498">
        <v>35</v>
      </c>
      <c r="L1637" s="668">
        <v>0</v>
      </c>
      <c r="M1637" s="672">
        <v>88.4</v>
      </c>
      <c r="N1637" s="498">
        <f>K1637*0.0839</f>
        <v>2.9365000000000001</v>
      </c>
      <c r="O1637" s="715" t="s">
        <v>4663</v>
      </c>
      <c r="P1637" s="501" t="s">
        <v>1588</v>
      </c>
      <c r="Q1637" s="672">
        <v>0</v>
      </c>
      <c r="R1637" s="672">
        <v>0</v>
      </c>
      <c r="S1637" s="672">
        <v>0</v>
      </c>
      <c r="T1637" s="672">
        <v>0</v>
      </c>
      <c r="U1637" s="501" t="s">
        <v>4656</v>
      </c>
      <c r="V1637" s="566" t="s">
        <v>4490</v>
      </c>
      <c r="W1637" s="498">
        <v>190</v>
      </c>
      <c r="X1637" s="501" t="s">
        <v>2199</v>
      </c>
      <c r="Y1637" s="501" t="s">
        <v>3336</v>
      </c>
      <c r="Z1637" s="501" t="s">
        <v>1899</v>
      </c>
      <c r="AA1637" s="501" t="s">
        <v>1589</v>
      </c>
      <c r="AB1637" s="502" t="s">
        <v>4653</v>
      </c>
    </row>
    <row r="1638" spans="1:28" ht="24" customHeight="1">
      <c r="A1638" s="584"/>
      <c r="B1638" s="460" t="s">
        <v>675</v>
      </c>
      <c r="C1638" s="551" t="s">
        <v>811</v>
      </c>
      <c r="D1638" s="510" t="s">
        <v>1966</v>
      </c>
      <c r="E1638" s="498">
        <f t="shared" si="130"/>
        <v>48</v>
      </c>
      <c r="F1638" s="498">
        <v>0</v>
      </c>
      <c r="G1638" s="498">
        <v>48</v>
      </c>
      <c r="H1638" s="498">
        <v>0</v>
      </c>
      <c r="I1638" s="498">
        <f t="shared" si="129"/>
        <v>42</v>
      </c>
      <c r="J1638" s="498">
        <v>0</v>
      </c>
      <c r="K1638" s="498">
        <v>42</v>
      </c>
      <c r="L1638" s="668">
        <v>0</v>
      </c>
      <c r="M1638" s="672">
        <v>79.2</v>
      </c>
      <c r="N1638" s="498">
        <f>K1638*0.04323</f>
        <v>1.8156599999999998</v>
      </c>
      <c r="O1638" s="715" t="s">
        <v>4664</v>
      </c>
      <c r="P1638" s="501" t="s">
        <v>1588</v>
      </c>
      <c r="Q1638" s="672">
        <v>0</v>
      </c>
      <c r="R1638" s="672">
        <v>0</v>
      </c>
      <c r="S1638" s="672">
        <v>0</v>
      </c>
      <c r="T1638" s="672">
        <v>0</v>
      </c>
      <c r="U1638" s="501" t="s">
        <v>4656</v>
      </c>
      <c r="V1638" s="566" t="s">
        <v>4665</v>
      </c>
      <c r="W1638" s="498">
        <v>240</v>
      </c>
      <c r="X1638" s="501" t="s">
        <v>2199</v>
      </c>
      <c r="Y1638" s="501" t="s">
        <v>3336</v>
      </c>
      <c r="Z1638" s="501" t="s">
        <v>1967</v>
      </c>
      <c r="AA1638" s="501" t="s">
        <v>1589</v>
      </c>
      <c r="AB1638" s="502" t="s">
        <v>4653</v>
      </c>
    </row>
    <row r="1639" spans="1:28" ht="24" customHeight="1">
      <c r="A1639" s="584"/>
      <c r="B1639" s="460" t="s">
        <v>675</v>
      </c>
      <c r="C1639" s="551" t="s">
        <v>4666</v>
      </c>
      <c r="D1639" s="510" t="s">
        <v>1962</v>
      </c>
      <c r="E1639" s="498">
        <f t="shared" si="130"/>
        <v>34</v>
      </c>
      <c r="F1639" s="498">
        <v>0</v>
      </c>
      <c r="G1639" s="498">
        <v>34</v>
      </c>
      <c r="H1639" s="498">
        <v>0</v>
      </c>
      <c r="I1639" s="498">
        <f t="shared" si="129"/>
        <v>30</v>
      </c>
      <c r="J1639" s="498">
        <v>0</v>
      </c>
      <c r="K1639" s="498">
        <v>30</v>
      </c>
      <c r="L1639" s="668">
        <v>0</v>
      </c>
      <c r="M1639" s="672">
        <v>71.400000000000006</v>
      </c>
      <c r="N1639" s="498">
        <f>K1639*0.03119</f>
        <v>0.93569999999999998</v>
      </c>
      <c r="O1639" s="715" t="s">
        <v>4667</v>
      </c>
      <c r="P1639" s="501" t="s">
        <v>1588</v>
      </c>
      <c r="Q1639" s="672">
        <v>0</v>
      </c>
      <c r="R1639" s="672">
        <v>0</v>
      </c>
      <c r="S1639" s="672">
        <v>0</v>
      </c>
      <c r="T1639" s="672">
        <v>0</v>
      </c>
      <c r="U1639" s="501" t="s">
        <v>4656</v>
      </c>
      <c r="V1639" s="566" t="s">
        <v>4668</v>
      </c>
      <c r="W1639" s="498">
        <v>150</v>
      </c>
      <c r="X1639" s="501" t="s">
        <v>2199</v>
      </c>
      <c r="Y1639" s="501" t="s">
        <v>3232</v>
      </c>
      <c r="Z1639" s="501" t="s">
        <v>1899</v>
      </c>
      <c r="AA1639" s="501" t="s">
        <v>1589</v>
      </c>
      <c r="AB1639" s="502" t="s">
        <v>4653</v>
      </c>
    </row>
    <row r="1640" spans="1:28" ht="24" customHeight="1">
      <c r="A1640" s="584"/>
      <c r="B1640" s="460" t="s">
        <v>675</v>
      </c>
      <c r="C1640" s="551" t="s">
        <v>4669</v>
      </c>
      <c r="D1640" s="510" t="s">
        <v>1961</v>
      </c>
      <c r="E1640" s="498">
        <f t="shared" si="130"/>
        <v>20</v>
      </c>
      <c r="F1640" s="498">
        <v>0</v>
      </c>
      <c r="G1640" s="498">
        <v>20</v>
      </c>
      <c r="H1640" s="498">
        <v>0</v>
      </c>
      <c r="I1640" s="498">
        <f t="shared" si="129"/>
        <v>18</v>
      </c>
      <c r="J1640" s="498">
        <v>0</v>
      </c>
      <c r="K1640" s="498">
        <v>18</v>
      </c>
      <c r="L1640" s="668">
        <v>0</v>
      </c>
      <c r="M1640" s="672">
        <v>69.7</v>
      </c>
      <c r="N1640" s="498">
        <f>K1640*0.02903</f>
        <v>0.52254</v>
      </c>
      <c r="O1640" s="715" t="s">
        <v>4659</v>
      </c>
      <c r="P1640" s="501" t="s">
        <v>1588</v>
      </c>
      <c r="Q1640" s="672">
        <v>0</v>
      </c>
      <c r="R1640" s="672">
        <v>0</v>
      </c>
      <c r="S1640" s="672">
        <v>0</v>
      </c>
      <c r="T1640" s="672">
        <v>0</v>
      </c>
      <c r="U1640" s="501" t="s">
        <v>4656</v>
      </c>
      <c r="V1640" s="566" t="s">
        <v>4670</v>
      </c>
      <c r="W1640" s="498">
        <v>100</v>
      </c>
      <c r="X1640" s="501" t="s">
        <v>2199</v>
      </c>
      <c r="Y1640" s="501" t="s">
        <v>3336</v>
      </c>
      <c r="Z1640" s="501" t="s">
        <v>1899</v>
      </c>
      <c r="AA1640" s="501" t="s">
        <v>1589</v>
      </c>
      <c r="AB1640" s="502" t="s">
        <v>4653</v>
      </c>
    </row>
    <row r="1641" spans="1:28" ht="24" customHeight="1">
      <c r="A1641" s="584"/>
      <c r="B1641" s="460" t="s">
        <v>675</v>
      </c>
      <c r="C1641" s="551" t="s">
        <v>4671</v>
      </c>
      <c r="D1641" s="510" t="s">
        <v>1925</v>
      </c>
      <c r="E1641" s="498">
        <f t="shared" si="130"/>
        <v>35</v>
      </c>
      <c r="F1641" s="498">
        <v>0</v>
      </c>
      <c r="G1641" s="498">
        <v>35</v>
      </c>
      <c r="H1641" s="498">
        <v>0</v>
      </c>
      <c r="I1641" s="498">
        <f t="shared" si="129"/>
        <v>30</v>
      </c>
      <c r="J1641" s="498">
        <v>0</v>
      </c>
      <c r="K1641" s="498">
        <v>30</v>
      </c>
      <c r="L1641" s="668">
        <v>0</v>
      </c>
      <c r="M1641" s="672">
        <v>79.8</v>
      </c>
      <c r="N1641" s="498">
        <f>K1641*0.04169</f>
        <v>1.2506999999999999</v>
      </c>
      <c r="O1641" s="715" t="s">
        <v>4672</v>
      </c>
      <c r="P1641" s="501" t="s">
        <v>1588</v>
      </c>
      <c r="Q1641" s="672">
        <v>0</v>
      </c>
      <c r="R1641" s="672">
        <v>0</v>
      </c>
      <c r="S1641" s="672">
        <v>0</v>
      </c>
      <c r="T1641" s="672">
        <v>0</v>
      </c>
      <c r="U1641" s="501" t="s">
        <v>4656</v>
      </c>
      <c r="V1641" s="566" t="s">
        <v>4673</v>
      </c>
      <c r="W1641" s="498">
        <v>200</v>
      </c>
      <c r="X1641" s="501" t="s">
        <v>2199</v>
      </c>
      <c r="Y1641" s="501" t="s">
        <v>3336</v>
      </c>
      <c r="Z1641" s="501" t="s">
        <v>1899</v>
      </c>
      <c r="AA1641" s="501" t="s">
        <v>1589</v>
      </c>
      <c r="AB1641" s="502" t="s">
        <v>4653</v>
      </c>
    </row>
    <row r="1642" spans="1:28" ht="24" customHeight="1">
      <c r="A1642" s="584"/>
      <c r="B1642" s="460" t="s">
        <v>675</v>
      </c>
      <c r="C1642" s="551" t="s">
        <v>4674</v>
      </c>
      <c r="D1642" s="510" t="s">
        <v>1925</v>
      </c>
      <c r="E1642" s="498">
        <f t="shared" si="130"/>
        <v>30</v>
      </c>
      <c r="F1642" s="498">
        <v>0</v>
      </c>
      <c r="G1642" s="498">
        <v>30</v>
      </c>
      <c r="H1642" s="498">
        <v>0</v>
      </c>
      <c r="I1642" s="498">
        <f t="shared" si="129"/>
        <v>24</v>
      </c>
      <c r="J1642" s="498">
        <v>0</v>
      </c>
      <c r="K1642" s="498">
        <v>24</v>
      </c>
      <c r="L1642" s="668">
        <v>0</v>
      </c>
      <c r="M1642" s="672">
        <v>80.099999999999994</v>
      </c>
      <c r="N1642" s="498">
        <f>K1642*0.04364</f>
        <v>1.0473599999999998</v>
      </c>
      <c r="O1642" s="715" t="s">
        <v>4675</v>
      </c>
      <c r="P1642" s="501" t="s">
        <v>1588</v>
      </c>
      <c r="Q1642" s="672">
        <v>0</v>
      </c>
      <c r="R1642" s="672">
        <v>0</v>
      </c>
      <c r="S1642" s="672">
        <v>0</v>
      </c>
      <c r="T1642" s="672">
        <v>0</v>
      </c>
      <c r="U1642" s="501" t="s">
        <v>4656</v>
      </c>
      <c r="V1642" s="566" t="s">
        <v>4668</v>
      </c>
      <c r="W1642" s="498">
        <v>150</v>
      </c>
      <c r="X1642" s="501" t="s">
        <v>2199</v>
      </c>
      <c r="Y1642" s="501" t="s">
        <v>3336</v>
      </c>
      <c r="Z1642" s="501" t="s">
        <v>1899</v>
      </c>
      <c r="AA1642" s="501" t="s">
        <v>1589</v>
      </c>
      <c r="AB1642" s="502" t="s">
        <v>4653</v>
      </c>
    </row>
    <row r="1643" spans="1:28" ht="24" customHeight="1">
      <c r="A1643" s="584"/>
      <c r="B1643" s="460" t="s">
        <v>675</v>
      </c>
      <c r="C1643" s="551" t="s">
        <v>2854</v>
      </c>
      <c r="D1643" s="510" t="s">
        <v>1925</v>
      </c>
      <c r="E1643" s="498">
        <f t="shared" si="130"/>
        <v>24</v>
      </c>
      <c r="F1643" s="498">
        <v>0</v>
      </c>
      <c r="G1643" s="498">
        <v>24</v>
      </c>
      <c r="H1643" s="498">
        <v>0</v>
      </c>
      <c r="I1643" s="498">
        <f t="shared" si="129"/>
        <v>20</v>
      </c>
      <c r="J1643" s="498">
        <v>0</v>
      </c>
      <c r="K1643" s="498">
        <v>20</v>
      </c>
      <c r="L1643" s="668">
        <v>0</v>
      </c>
      <c r="M1643" s="672">
        <v>80.7</v>
      </c>
      <c r="N1643" s="498">
        <f>K1643*0.04551</f>
        <v>0.91020000000000001</v>
      </c>
      <c r="O1643" s="715" t="s">
        <v>4659</v>
      </c>
      <c r="P1643" s="501" t="s">
        <v>1588</v>
      </c>
      <c r="Q1643" s="672">
        <v>0</v>
      </c>
      <c r="R1643" s="672">
        <v>0</v>
      </c>
      <c r="S1643" s="672">
        <v>0</v>
      </c>
      <c r="T1643" s="672">
        <v>0</v>
      </c>
      <c r="U1643" s="501" t="s">
        <v>4656</v>
      </c>
      <c r="V1643" s="566" t="s">
        <v>4670</v>
      </c>
      <c r="W1643" s="498">
        <v>150</v>
      </c>
      <c r="X1643" s="501" t="s">
        <v>2199</v>
      </c>
      <c r="Y1643" s="501" t="s">
        <v>3336</v>
      </c>
      <c r="Z1643" s="501" t="s">
        <v>1899</v>
      </c>
      <c r="AA1643" s="501" t="s">
        <v>1589</v>
      </c>
      <c r="AB1643" s="502" t="s">
        <v>4653</v>
      </c>
    </row>
    <row r="1644" spans="1:28" ht="24" customHeight="1">
      <c r="A1644" s="584"/>
      <c r="B1644" s="460" t="s">
        <v>675</v>
      </c>
      <c r="C1644" s="551" t="s">
        <v>5503</v>
      </c>
      <c r="D1644" s="510" t="s">
        <v>1900</v>
      </c>
      <c r="E1644" s="498">
        <f t="shared" si="130"/>
        <v>50</v>
      </c>
      <c r="F1644" s="498">
        <v>0</v>
      </c>
      <c r="G1644" s="498">
        <v>50</v>
      </c>
      <c r="H1644" s="498">
        <v>0</v>
      </c>
      <c r="I1644" s="498">
        <f t="shared" si="129"/>
        <v>40</v>
      </c>
      <c r="J1644" s="498">
        <v>0</v>
      </c>
      <c r="K1644" s="498">
        <v>40</v>
      </c>
      <c r="L1644" s="668">
        <v>0</v>
      </c>
      <c r="M1644" s="672">
        <v>80.8</v>
      </c>
      <c r="N1644" s="498">
        <f>K1644*0.02866</f>
        <v>1.1464000000000001</v>
      </c>
      <c r="O1644" s="715" t="s">
        <v>4664</v>
      </c>
      <c r="P1644" s="501" t="s">
        <v>1588</v>
      </c>
      <c r="Q1644" s="672">
        <v>0</v>
      </c>
      <c r="R1644" s="672">
        <v>0</v>
      </c>
      <c r="S1644" s="672">
        <v>0</v>
      </c>
      <c r="T1644" s="672">
        <v>0</v>
      </c>
      <c r="U1644" s="501" t="s">
        <v>4656</v>
      </c>
      <c r="V1644" s="566" t="s">
        <v>4676</v>
      </c>
      <c r="W1644" s="498">
        <v>260</v>
      </c>
      <c r="X1644" s="501" t="s">
        <v>2199</v>
      </c>
      <c r="Y1644" s="501" t="s">
        <v>3336</v>
      </c>
      <c r="Z1644" s="501" t="s">
        <v>1899</v>
      </c>
      <c r="AA1644" s="501" t="s">
        <v>1589</v>
      </c>
      <c r="AB1644" s="502" t="s">
        <v>4653</v>
      </c>
    </row>
    <row r="1645" spans="1:28" ht="24" customHeight="1">
      <c r="A1645" s="584"/>
      <c r="B1645" s="460" t="s">
        <v>675</v>
      </c>
      <c r="C1645" s="551" t="s">
        <v>4677</v>
      </c>
      <c r="D1645" s="510" t="s">
        <v>1965</v>
      </c>
      <c r="E1645" s="498">
        <f t="shared" si="130"/>
        <v>40</v>
      </c>
      <c r="F1645" s="498">
        <v>0</v>
      </c>
      <c r="G1645" s="498">
        <v>40</v>
      </c>
      <c r="H1645" s="498">
        <v>0</v>
      </c>
      <c r="I1645" s="498">
        <f t="shared" si="129"/>
        <v>35</v>
      </c>
      <c r="J1645" s="498">
        <v>0</v>
      </c>
      <c r="K1645" s="498">
        <v>35</v>
      </c>
      <c r="L1645" s="668">
        <v>0</v>
      </c>
      <c r="M1645" s="672">
        <v>70.099999999999994</v>
      </c>
      <c r="N1645" s="498">
        <f>K1645*0.0211</f>
        <v>0.73850000000000005</v>
      </c>
      <c r="O1645" s="715" t="s">
        <v>4667</v>
      </c>
      <c r="P1645" s="501" t="s">
        <v>1588</v>
      </c>
      <c r="Q1645" s="672">
        <v>0</v>
      </c>
      <c r="R1645" s="672">
        <v>0</v>
      </c>
      <c r="S1645" s="672">
        <v>0</v>
      </c>
      <c r="T1645" s="672">
        <v>0</v>
      </c>
      <c r="U1645" s="501" t="s">
        <v>4656</v>
      </c>
      <c r="V1645" s="566" t="s">
        <v>4676</v>
      </c>
      <c r="W1645" s="498">
        <v>240</v>
      </c>
      <c r="X1645" s="501" t="s">
        <v>2199</v>
      </c>
      <c r="Y1645" s="501" t="s">
        <v>3232</v>
      </c>
      <c r="Z1645" s="501" t="s">
        <v>1899</v>
      </c>
      <c r="AA1645" s="501" t="s">
        <v>1589</v>
      </c>
      <c r="AB1645" s="502" t="s">
        <v>4653</v>
      </c>
    </row>
    <row r="1646" spans="1:28" ht="24" customHeight="1">
      <c r="A1646" s="584"/>
      <c r="B1646" s="460" t="s">
        <v>675</v>
      </c>
      <c r="C1646" s="551" t="s">
        <v>2773</v>
      </c>
      <c r="D1646" s="510" t="s">
        <v>1925</v>
      </c>
      <c r="E1646" s="498">
        <f t="shared" si="130"/>
        <v>35</v>
      </c>
      <c r="F1646" s="498">
        <v>0</v>
      </c>
      <c r="G1646" s="498">
        <v>35</v>
      </c>
      <c r="H1646" s="498">
        <v>0</v>
      </c>
      <c r="I1646" s="498">
        <f t="shared" si="129"/>
        <v>30</v>
      </c>
      <c r="J1646" s="498">
        <v>0</v>
      </c>
      <c r="K1646" s="498">
        <v>30</v>
      </c>
      <c r="L1646" s="668">
        <v>0</v>
      </c>
      <c r="M1646" s="672">
        <v>77.5</v>
      </c>
      <c r="N1646" s="498">
        <f>K1646*0.02347</f>
        <v>0.70410000000000006</v>
      </c>
      <c r="O1646" s="715" t="s">
        <v>2303</v>
      </c>
      <c r="P1646" s="501" t="s">
        <v>1588</v>
      </c>
      <c r="Q1646" s="672">
        <v>0</v>
      </c>
      <c r="R1646" s="672">
        <v>0</v>
      </c>
      <c r="S1646" s="672">
        <v>0</v>
      </c>
      <c r="T1646" s="672">
        <v>0</v>
      </c>
      <c r="U1646" s="501" t="s">
        <v>4656</v>
      </c>
      <c r="V1646" s="566" t="s">
        <v>4676</v>
      </c>
      <c r="W1646" s="498">
        <v>267</v>
      </c>
      <c r="X1646" s="501" t="s">
        <v>2199</v>
      </c>
      <c r="Y1646" s="501" t="s">
        <v>3336</v>
      </c>
      <c r="Z1646" s="501" t="s">
        <v>1899</v>
      </c>
      <c r="AA1646" s="501" t="s">
        <v>1589</v>
      </c>
      <c r="AB1646" s="502" t="s">
        <v>4653</v>
      </c>
    </row>
    <row r="1647" spans="1:28" ht="24" customHeight="1">
      <c r="A1647" s="584"/>
      <c r="B1647" s="460" t="s">
        <v>675</v>
      </c>
      <c r="C1647" s="551" t="s">
        <v>4678</v>
      </c>
      <c r="D1647" s="510" t="s">
        <v>1963</v>
      </c>
      <c r="E1647" s="498">
        <f t="shared" si="130"/>
        <v>100</v>
      </c>
      <c r="F1647" s="498">
        <v>0</v>
      </c>
      <c r="G1647" s="498">
        <v>100</v>
      </c>
      <c r="H1647" s="498">
        <v>0</v>
      </c>
      <c r="I1647" s="498">
        <f t="shared" si="129"/>
        <v>71.5</v>
      </c>
      <c r="J1647" s="498">
        <v>0</v>
      </c>
      <c r="K1647" s="498">
        <v>71.5</v>
      </c>
      <c r="L1647" s="668">
        <v>0</v>
      </c>
      <c r="M1647" s="672">
        <v>98.3</v>
      </c>
      <c r="N1647" s="498">
        <f>K1647*0.2957</f>
        <v>21.14255</v>
      </c>
      <c r="O1647" s="715" t="s">
        <v>4627</v>
      </c>
      <c r="P1647" s="501" t="s">
        <v>1588</v>
      </c>
      <c r="Q1647" s="672">
        <v>0</v>
      </c>
      <c r="R1647" s="672">
        <v>0</v>
      </c>
      <c r="S1647" s="672">
        <v>0</v>
      </c>
      <c r="T1647" s="672">
        <v>0</v>
      </c>
      <c r="U1647" s="501" t="s">
        <v>2453</v>
      </c>
      <c r="V1647" s="566" t="s">
        <v>4679</v>
      </c>
      <c r="W1647" s="498">
        <v>953</v>
      </c>
      <c r="X1647" s="501" t="s">
        <v>2199</v>
      </c>
      <c r="Y1647" s="501"/>
      <c r="Z1647" s="501" t="s">
        <v>1899</v>
      </c>
      <c r="AA1647" s="501" t="s">
        <v>1589</v>
      </c>
      <c r="AB1647" s="502" t="s">
        <v>4653</v>
      </c>
    </row>
    <row r="1648" spans="1:28" ht="24" customHeight="1">
      <c r="A1648" s="584"/>
      <c r="B1648" s="460" t="s">
        <v>675</v>
      </c>
      <c r="C1648" s="551" t="s">
        <v>2005</v>
      </c>
      <c r="D1648" s="510" t="s">
        <v>1964</v>
      </c>
      <c r="E1648" s="498">
        <f t="shared" si="130"/>
        <v>390</v>
      </c>
      <c r="F1648" s="498">
        <v>0</v>
      </c>
      <c r="G1648" s="498">
        <v>390</v>
      </c>
      <c r="H1648" s="498">
        <v>0</v>
      </c>
      <c r="I1648" s="498">
        <f t="shared" si="129"/>
        <v>242</v>
      </c>
      <c r="J1648" s="498">
        <v>0</v>
      </c>
      <c r="K1648" s="498">
        <v>242</v>
      </c>
      <c r="L1648" s="668">
        <v>0</v>
      </c>
      <c r="M1648" s="672">
        <v>90.4</v>
      </c>
      <c r="N1648" s="498">
        <f>K1648*0.0926</f>
        <v>22.409200000000002</v>
      </c>
      <c r="O1648" s="715" t="s">
        <v>4660</v>
      </c>
      <c r="P1648" s="501" t="s">
        <v>1588</v>
      </c>
      <c r="Q1648" s="672">
        <v>0</v>
      </c>
      <c r="R1648" s="672">
        <v>0</v>
      </c>
      <c r="S1648" s="672">
        <v>0</v>
      </c>
      <c r="T1648" s="672">
        <v>0</v>
      </c>
      <c r="U1648" s="501" t="s">
        <v>4680</v>
      </c>
      <c r="V1648" s="566" t="s">
        <v>4515</v>
      </c>
      <c r="W1648" s="498">
        <v>500</v>
      </c>
      <c r="X1648" s="501" t="s">
        <v>2193</v>
      </c>
      <c r="Y1648" s="501"/>
      <c r="Z1648" s="501" t="s">
        <v>1899</v>
      </c>
      <c r="AA1648" s="501" t="s">
        <v>1589</v>
      </c>
      <c r="AB1648" s="502" t="s">
        <v>4653</v>
      </c>
    </row>
    <row r="1649" spans="1:28" ht="24" customHeight="1">
      <c r="A1649" s="582" t="s">
        <v>1968</v>
      </c>
      <c r="B1649" s="460" t="s">
        <v>2201</v>
      </c>
      <c r="C1649" s="458" t="s">
        <v>2325</v>
      </c>
      <c r="D1649" s="510" t="str">
        <f>A1649</f>
        <v>안동시</v>
      </c>
      <c r="E1649" s="498">
        <f>F1649+G1649+H1649</f>
        <v>54000</v>
      </c>
      <c r="F1649" s="498">
        <v>0</v>
      </c>
      <c r="G1649" s="498">
        <v>54000</v>
      </c>
      <c r="H1649" s="498">
        <v>0</v>
      </c>
      <c r="I1649" s="498">
        <v>50739</v>
      </c>
      <c r="J1649" s="498">
        <v>0</v>
      </c>
      <c r="K1649" s="498">
        <v>50739</v>
      </c>
      <c r="L1649" s="668">
        <v>0</v>
      </c>
      <c r="M1649" s="672">
        <v>94</v>
      </c>
      <c r="N1649" s="498">
        <v>463115.1</v>
      </c>
      <c r="O1649" s="715" t="s">
        <v>1535</v>
      </c>
      <c r="P1649" s="501" t="s">
        <v>1588</v>
      </c>
      <c r="Q1649" s="672">
        <v>141.5</v>
      </c>
      <c r="R1649" s="672">
        <v>109.6</v>
      </c>
      <c r="S1649" s="672">
        <v>94.7</v>
      </c>
      <c r="T1649" s="672">
        <v>0</v>
      </c>
      <c r="U1649" s="501" t="s">
        <v>2454</v>
      </c>
      <c r="V1649" s="501" t="s">
        <v>4681</v>
      </c>
      <c r="W1649" s="498">
        <v>48242</v>
      </c>
      <c r="X1649" s="501" t="s">
        <v>2199</v>
      </c>
      <c r="Y1649" s="501" t="s">
        <v>3336</v>
      </c>
      <c r="Z1649" s="501" t="s">
        <v>1588</v>
      </c>
      <c r="AA1649" s="501" t="s">
        <v>1589</v>
      </c>
      <c r="AB1649" s="502" t="s">
        <v>1589</v>
      </c>
    </row>
    <row r="1650" spans="1:28" ht="24" customHeight="1">
      <c r="A1650" s="584"/>
      <c r="B1650" s="460" t="s">
        <v>675</v>
      </c>
      <c r="C1650" s="458" t="s">
        <v>4682</v>
      </c>
      <c r="D1650" s="510" t="s">
        <v>4683</v>
      </c>
      <c r="E1650" s="498">
        <f>F1650+G1650+H1650</f>
        <v>160</v>
      </c>
      <c r="F1650" s="498">
        <v>0</v>
      </c>
      <c r="G1650" s="498">
        <v>160</v>
      </c>
      <c r="H1650" s="498">
        <v>0</v>
      </c>
      <c r="I1650" s="498">
        <f>J1650+K1650+L1650</f>
        <v>121.7</v>
      </c>
      <c r="J1650" s="498">
        <v>0</v>
      </c>
      <c r="K1650" s="498">
        <v>121.7</v>
      </c>
      <c r="L1650" s="668">
        <v>0</v>
      </c>
      <c r="M1650" s="672">
        <v>76.3</v>
      </c>
      <c r="N1650" s="498">
        <v>745.64250000000004</v>
      </c>
      <c r="O1650" s="715" t="s">
        <v>5224</v>
      </c>
      <c r="P1650" s="501" t="s">
        <v>1588</v>
      </c>
      <c r="Q1650" s="672">
        <v>0</v>
      </c>
      <c r="R1650" s="672">
        <v>0</v>
      </c>
      <c r="S1650" s="672">
        <v>0</v>
      </c>
      <c r="T1650" s="672">
        <v>0</v>
      </c>
      <c r="U1650" s="501" t="s">
        <v>4684</v>
      </c>
      <c r="V1650" s="501" t="s">
        <v>4685</v>
      </c>
      <c r="W1650" s="498">
        <v>400</v>
      </c>
      <c r="X1650" s="501" t="s">
        <v>2199</v>
      </c>
      <c r="Y1650" s="501" t="s">
        <v>3232</v>
      </c>
      <c r="Z1650" s="501" t="s">
        <v>4686</v>
      </c>
      <c r="AA1650" s="501" t="s">
        <v>1589</v>
      </c>
      <c r="AB1650" s="502" t="s">
        <v>1589</v>
      </c>
    </row>
    <row r="1651" spans="1:28" ht="24" customHeight="1">
      <c r="A1651" s="584"/>
      <c r="B1651" s="460" t="s">
        <v>675</v>
      </c>
      <c r="C1651" s="458" t="s">
        <v>4687</v>
      </c>
      <c r="D1651" s="510" t="s">
        <v>4688</v>
      </c>
      <c r="E1651" s="498">
        <f>F1651+G1651+H1651</f>
        <v>34</v>
      </c>
      <c r="F1651" s="498">
        <v>0</v>
      </c>
      <c r="G1651" s="498">
        <v>34</v>
      </c>
      <c r="H1651" s="498">
        <v>0</v>
      </c>
      <c r="I1651" s="498">
        <f>J1651+K1651+L1651</f>
        <v>15</v>
      </c>
      <c r="J1651" s="498">
        <v>0</v>
      </c>
      <c r="K1651" s="498">
        <v>15</v>
      </c>
      <c r="L1651" s="668">
        <v>0</v>
      </c>
      <c r="M1651" s="672">
        <v>44.1</v>
      </c>
      <c r="N1651" s="498">
        <v>56.293999999999997</v>
      </c>
      <c r="O1651" s="715" t="s">
        <v>5089</v>
      </c>
      <c r="P1651" s="501" t="s">
        <v>1588</v>
      </c>
      <c r="Q1651" s="672">
        <v>0</v>
      </c>
      <c r="R1651" s="672">
        <v>0</v>
      </c>
      <c r="S1651" s="672">
        <v>0</v>
      </c>
      <c r="T1651" s="672">
        <v>0</v>
      </c>
      <c r="U1651" s="501" t="s">
        <v>4684</v>
      </c>
      <c r="V1651" s="501" t="s">
        <v>4689</v>
      </c>
      <c r="W1651" s="498">
        <v>100</v>
      </c>
      <c r="X1651" s="501" t="s">
        <v>2199</v>
      </c>
      <c r="Y1651" s="501" t="s">
        <v>3336</v>
      </c>
      <c r="Z1651" s="501" t="s">
        <v>1588</v>
      </c>
      <c r="AA1651" s="501" t="s">
        <v>1589</v>
      </c>
      <c r="AB1651" s="502" t="s">
        <v>1589</v>
      </c>
    </row>
    <row r="1652" spans="1:28" ht="24" customHeight="1">
      <c r="A1652" s="582" t="s">
        <v>1969</v>
      </c>
      <c r="B1652" s="460" t="s">
        <v>2201</v>
      </c>
      <c r="C1652" s="458" t="s">
        <v>2326</v>
      </c>
      <c r="D1652" s="510" t="s">
        <v>2327</v>
      </c>
      <c r="E1652" s="498">
        <f t="shared" ref="E1652:E1682" si="131">F1652+G1652+H1652</f>
        <v>330000</v>
      </c>
      <c r="F1652" s="498">
        <v>0</v>
      </c>
      <c r="G1652" s="498">
        <v>0</v>
      </c>
      <c r="H1652" s="498">
        <v>330000</v>
      </c>
      <c r="I1652" s="498">
        <f t="shared" ref="I1652:I1682" si="132">J1652+K1652+L1652</f>
        <v>313959</v>
      </c>
      <c r="J1652" s="498">
        <v>0</v>
      </c>
      <c r="K1652" s="498">
        <v>0</v>
      </c>
      <c r="L1652" s="668">
        <v>313959</v>
      </c>
      <c r="M1652" s="672">
        <v>99.1</v>
      </c>
      <c r="N1652" s="498">
        <v>46343</v>
      </c>
      <c r="O1652" s="715" t="s">
        <v>3215</v>
      </c>
      <c r="P1652" s="501" t="s">
        <v>3215</v>
      </c>
      <c r="Q1652" s="672">
        <v>110.6</v>
      </c>
      <c r="R1652" s="672">
        <v>0</v>
      </c>
      <c r="S1652" s="672">
        <v>0</v>
      </c>
      <c r="T1652" s="672">
        <v>0</v>
      </c>
      <c r="U1652" s="501" t="s">
        <v>2455</v>
      </c>
      <c r="V1652" s="501" t="s">
        <v>4690</v>
      </c>
      <c r="W1652" s="498">
        <v>128101</v>
      </c>
      <c r="X1652" s="501" t="s">
        <v>2199</v>
      </c>
      <c r="Y1652" s="501" t="s">
        <v>3161</v>
      </c>
      <c r="Z1652" s="501" t="s">
        <v>4691</v>
      </c>
      <c r="AA1652" s="501" t="s">
        <v>1589</v>
      </c>
      <c r="AB1652" s="502" t="s">
        <v>1589</v>
      </c>
    </row>
    <row r="1653" spans="1:28" ht="24" customHeight="1">
      <c r="A1653" s="584"/>
      <c r="B1653" s="460" t="s">
        <v>2201</v>
      </c>
      <c r="C1653" s="458" t="s">
        <v>283</v>
      </c>
      <c r="D1653" s="510" t="s">
        <v>4692</v>
      </c>
      <c r="E1653" s="498">
        <f t="shared" si="131"/>
        <v>500</v>
      </c>
      <c r="F1653" s="498">
        <v>0</v>
      </c>
      <c r="G1653" s="498">
        <v>0</v>
      </c>
      <c r="H1653" s="498">
        <v>500</v>
      </c>
      <c r="I1653" s="498">
        <f t="shared" si="132"/>
        <v>247</v>
      </c>
      <c r="J1653" s="498">
        <v>0</v>
      </c>
      <c r="K1653" s="498">
        <v>0</v>
      </c>
      <c r="L1653" s="668">
        <v>247</v>
      </c>
      <c r="M1653" s="672">
        <v>97.8</v>
      </c>
      <c r="N1653" s="498">
        <v>16</v>
      </c>
      <c r="O1653" s="715" t="s">
        <v>3347</v>
      </c>
      <c r="P1653" s="501" t="s">
        <v>3347</v>
      </c>
      <c r="Q1653" s="672">
        <v>0</v>
      </c>
      <c r="R1653" s="672">
        <v>0</v>
      </c>
      <c r="S1653" s="672">
        <v>0</v>
      </c>
      <c r="T1653" s="672">
        <v>0</v>
      </c>
      <c r="U1653" s="501" t="s">
        <v>7493</v>
      </c>
      <c r="V1653" s="501" t="s">
        <v>4693</v>
      </c>
      <c r="W1653" s="498">
        <v>6300</v>
      </c>
      <c r="X1653" s="501" t="s">
        <v>2199</v>
      </c>
      <c r="Y1653" s="501" t="s">
        <v>3211</v>
      </c>
      <c r="Z1653" s="501" t="s">
        <v>1588</v>
      </c>
      <c r="AA1653" s="501" t="s">
        <v>1589</v>
      </c>
      <c r="AB1653" s="502" t="s">
        <v>1589</v>
      </c>
    </row>
    <row r="1654" spans="1:28" ht="24" customHeight="1">
      <c r="A1654" s="584"/>
      <c r="B1654" s="460" t="s">
        <v>2201</v>
      </c>
      <c r="C1654" s="458" t="s">
        <v>4694</v>
      </c>
      <c r="D1654" s="510" t="s">
        <v>4695</v>
      </c>
      <c r="E1654" s="498">
        <f t="shared" si="131"/>
        <v>50000</v>
      </c>
      <c r="F1654" s="498">
        <v>0</v>
      </c>
      <c r="G1654" s="498">
        <v>0</v>
      </c>
      <c r="H1654" s="498">
        <v>50000</v>
      </c>
      <c r="I1654" s="498">
        <f t="shared" si="132"/>
        <v>23451</v>
      </c>
      <c r="J1654" s="498">
        <v>0</v>
      </c>
      <c r="K1654" s="498">
        <v>0</v>
      </c>
      <c r="L1654" s="668">
        <v>23451</v>
      </c>
      <c r="M1654" s="672">
        <v>97.8</v>
      </c>
      <c r="N1654" s="498">
        <v>1953</v>
      </c>
      <c r="O1654" s="715" t="s">
        <v>5429</v>
      </c>
      <c r="P1654" s="501" t="s">
        <v>5429</v>
      </c>
      <c r="Q1654" s="672">
        <v>0</v>
      </c>
      <c r="R1654" s="672">
        <v>0</v>
      </c>
      <c r="S1654" s="672">
        <v>0</v>
      </c>
      <c r="T1654" s="672">
        <v>0</v>
      </c>
      <c r="U1654" s="501" t="s">
        <v>7494</v>
      </c>
      <c r="V1654" s="501" t="s">
        <v>4696</v>
      </c>
      <c r="W1654" s="498">
        <v>47700</v>
      </c>
      <c r="X1654" s="501" t="s">
        <v>2199</v>
      </c>
      <c r="Y1654" s="501" t="s">
        <v>3161</v>
      </c>
      <c r="Z1654" s="501" t="s">
        <v>4697</v>
      </c>
      <c r="AA1654" s="501" t="s">
        <v>1589</v>
      </c>
      <c r="AB1654" s="502" t="s">
        <v>1589</v>
      </c>
    </row>
    <row r="1655" spans="1:28" ht="24" customHeight="1">
      <c r="A1655" s="584"/>
      <c r="B1655" s="460" t="s">
        <v>2201</v>
      </c>
      <c r="C1655" s="458" t="s">
        <v>285</v>
      </c>
      <c r="D1655" s="510" t="s">
        <v>4698</v>
      </c>
      <c r="E1655" s="498">
        <f t="shared" si="131"/>
        <v>9000</v>
      </c>
      <c r="F1655" s="498">
        <v>0</v>
      </c>
      <c r="G1655" s="498">
        <v>0</v>
      </c>
      <c r="H1655" s="498">
        <v>9000</v>
      </c>
      <c r="I1655" s="498">
        <f t="shared" si="132"/>
        <v>5400</v>
      </c>
      <c r="J1655" s="498">
        <v>0</v>
      </c>
      <c r="K1655" s="498">
        <v>0</v>
      </c>
      <c r="L1655" s="668">
        <v>5400</v>
      </c>
      <c r="M1655" s="672">
        <v>95</v>
      </c>
      <c r="N1655" s="498">
        <v>661.77</v>
      </c>
      <c r="O1655" s="715" t="s">
        <v>4699</v>
      </c>
      <c r="P1655" s="501" t="s">
        <v>4700</v>
      </c>
      <c r="Q1655" s="672">
        <v>0</v>
      </c>
      <c r="R1655" s="672">
        <v>0</v>
      </c>
      <c r="S1655" s="672">
        <v>0</v>
      </c>
      <c r="T1655" s="672">
        <v>0</v>
      </c>
      <c r="U1655" s="501" t="s">
        <v>7495</v>
      </c>
      <c r="V1655" s="501" t="s">
        <v>4701</v>
      </c>
      <c r="W1655" s="498">
        <v>22208</v>
      </c>
      <c r="X1655" s="501" t="s">
        <v>2199</v>
      </c>
      <c r="Y1655" s="501" t="s">
        <v>3336</v>
      </c>
      <c r="Z1655" s="501" t="s">
        <v>1899</v>
      </c>
      <c r="AA1655" s="501" t="s">
        <v>1589</v>
      </c>
      <c r="AB1655" s="502" t="s">
        <v>1589</v>
      </c>
    </row>
    <row r="1656" spans="1:28" ht="24" customHeight="1">
      <c r="A1656" s="584"/>
      <c r="B1656" s="460" t="s">
        <v>675</v>
      </c>
      <c r="C1656" s="458" t="s">
        <v>4702</v>
      </c>
      <c r="D1656" s="510" t="s">
        <v>4703</v>
      </c>
      <c r="E1656" s="498">
        <f t="shared" si="131"/>
        <v>30</v>
      </c>
      <c r="F1656" s="498">
        <v>0</v>
      </c>
      <c r="G1656" s="498">
        <v>30</v>
      </c>
      <c r="H1656" s="498">
        <v>0</v>
      </c>
      <c r="I1656" s="498">
        <f t="shared" si="132"/>
        <v>30</v>
      </c>
      <c r="J1656" s="498">
        <v>0</v>
      </c>
      <c r="K1656" s="498">
        <v>30</v>
      </c>
      <c r="L1656" s="668">
        <v>0</v>
      </c>
      <c r="M1656" s="672">
        <v>97</v>
      </c>
      <c r="N1656" s="498">
        <v>5.2</v>
      </c>
      <c r="O1656" s="715" t="s">
        <v>1408</v>
      </c>
      <c r="P1656" s="501" t="s">
        <v>1588</v>
      </c>
      <c r="Q1656" s="672">
        <v>0</v>
      </c>
      <c r="R1656" s="672">
        <v>0</v>
      </c>
      <c r="S1656" s="672">
        <v>0</v>
      </c>
      <c r="T1656" s="672">
        <v>0</v>
      </c>
      <c r="U1656" s="501" t="s">
        <v>7496</v>
      </c>
      <c r="V1656" s="501" t="s">
        <v>4704</v>
      </c>
      <c r="W1656" s="498">
        <v>192</v>
      </c>
      <c r="X1656" s="501" t="s">
        <v>2199</v>
      </c>
      <c r="Y1656" s="501" t="s">
        <v>1588</v>
      </c>
      <c r="Z1656" s="501" t="s">
        <v>4697</v>
      </c>
      <c r="AA1656" s="501" t="s">
        <v>1589</v>
      </c>
      <c r="AB1656" s="502" t="s">
        <v>1589</v>
      </c>
    </row>
    <row r="1657" spans="1:28" ht="24" customHeight="1">
      <c r="A1657" s="584"/>
      <c r="B1657" s="460" t="s">
        <v>675</v>
      </c>
      <c r="C1657" s="458" t="s">
        <v>4705</v>
      </c>
      <c r="D1657" s="510" t="s">
        <v>4706</v>
      </c>
      <c r="E1657" s="498">
        <f t="shared" si="131"/>
        <v>30</v>
      </c>
      <c r="F1657" s="498">
        <v>0</v>
      </c>
      <c r="G1657" s="498">
        <v>30</v>
      </c>
      <c r="H1657" s="498">
        <v>0</v>
      </c>
      <c r="I1657" s="498">
        <f t="shared" si="132"/>
        <v>30</v>
      </c>
      <c r="J1657" s="498">
        <v>0</v>
      </c>
      <c r="K1657" s="498">
        <v>30</v>
      </c>
      <c r="L1657" s="668">
        <v>0</v>
      </c>
      <c r="M1657" s="672">
        <v>96</v>
      </c>
      <c r="N1657" s="498">
        <v>2.1</v>
      </c>
      <c r="O1657" s="715" t="s">
        <v>1408</v>
      </c>
      <c r="P1657" s="501" t="s">
        <v>1588</v>
      </c>
      <c r="Q1657" s="672">
        <v>0</v>
      </c>
      <c r="R1657" s="672">
        <v>0</v>
      </c>
      <c r="S1657" s="672">
        <v>0</v>
      </c>
      <c r="T1657" s="672">
        <v>0</v>
      </c>
      <c r="U1657" s="501" t="s">
        <v>7496</v>
      </c>
      <c r="V1657" s="501" t="s">
        <v>4707</v>
      </c>
      <c r="W1657" s="498">
        <v>218</v>
      </c>
      <c r="X1657" s="501" t="s">
        <v>2199</v>
      </c>
      <c r="Y1657" s="501" t="s">
        <v>1588</v>
      </c>
      <c r="Z1657" s="501" t="s">
        <v>4708</v>
      </c>
      <c r="AA1657" s="501" t="s">
        <v>1589</v>
      </c>
      <c r="AB1657" s="502" t="s">
        <v>1589</v>
      </c>
    </row>
    <row r="1658" spans="1:28" ht="24" customHeight="1">
      <c r="A1658" s="584"/>
      <c r="B1658" s="460" t="s">
        <v>675</v>
      </c>
      <c r="C1658" s="458" t="s">
        <v>4709</v>
      </c>
      <c r="D1658" s="510" t="s">
        <v>4710</v>
      </c>
      <c r="E1658" s="498">
        <f t="shared" si="131"/>
        <v>40</v>
      </c>
      <c r="F1658" s="498">
        <v>0</v>
      </c>
      <c r="G1658" s="498">
        <v>40</v>
      </c>
      <c r="H1658" s="498">
        <v>0</v>
      </c>
      <c r="I1658" s="498">
        <f t="shared" si="132"/>
        <v>34</v>
      </c>
      <c r="J1658" s="498">
        <v>0</v>
      </c>
      <c r="K1658" s="498">
        <v>34</v>
      </c>
      <c r="L1658" s="668">
        <v>0</v>
      </c>
      <c r="M1658" s="672">
        <v>99</v>
      </c>
      <c r="N1658" s="498">
        <v>84</v>
      </c>
      <c r="O1658" s="715" t="s">
        <v>3718</v>
      </c>
      <c r="P1658" s="501" t="s">
        <v>1588</v>
      </c>
      <c r="Q1658" s="672">
        <v>0</v>
      </c>
      <c r="R1658" s="672">
        <v>0</v>
      </c>
      <c r="S1658" s="672">
        <v>0</v>
      </c>
      <c r="T1658" s="672">
        <v>0</v>
      </c>
      <c r="U1658" s="501" t="s">
        <v>7496</v>
      </c>
      <c r="V1658" s="501" t="s">
        <v>4711</v>
      </c>
      <c r="W1658" s="498">
        <v>399</v>
      </c>
      <c r="X1658" s="501" t="s">
        <v>2199</v>
      </c>
      <c r="Y1658" s="501" t="s">
        <v>1588</v>
      </c>
      <c r="Z1658" s="501" t="s">
        <v>4708</v>
      </c>
      <c r="AA1658" s="501" t="s">
        <v>1589</v>
      </c>
      <c r="AB1658" s="502" t="s">
        <v>1589</v>
      </c>
    </row>
    <row r="1659" spans="1:28" ht="24" customHeight="1">
      <c r="A1659" s="584"/>
      <c r="B1659" s="460" t="s">
        <v>675</v>
      </c>
      <c r="C1659" s="458" t="s">
        <v>907</v>
      </c>
      <c r="D1659" s="510" t="s">
        <v>4712</v>
      </c>
      <c r="E1659" s="498">
        <f t="shared" si="131"/>
        <v>165</v>
      </c>
      <c r="F1659" s="498">
        <v>0</v>
      </c>
      <c r="G1659" s="498">
        <v>165</v>
      </c>
      <c r="H1659" s="498">
        <v>0</v>
      </c>
      <c r="I1659" s="498">
        <f t="shared" si="132"/>
        <v>165</v>
      </c>
      <c r="J1659" s="498">
        <v>0</v>
      </c>
      <c r="K1659" s="498">
        <v>165</v>
      </c>
      <c r="L1659" s="668">
        <v>0</v>
      </c>
      <c r="M1659" s="672">
        <v>98</v>
      </c>
      <c r="N1659" s="498">
        <v>7.4</v>
      </c>
      <c r="O1659" s="715" t="s">
        <v>3742</v>
      </c>
      <c r="P1659" s="501" t="s">
        <v>1588</v>
      </c>
      <c r="Q1659" s="672">
        <v>0</v>
      </c>
      <c r="R1659" s="672">
        <v>0</v>
      </c>
      <c r="S1659" s="672">
        <v>0</v>
      </c>
      <c r="T1659" s="672">
        <v>0</v>
      </c>
      <c r="U1659" s="501" t="s">
        <v>7496</v>
      </c>
      <c r="V1659" s="501" t="s">
        <v>4713</v>
      </c>
      <c r="W1659" s="498">
        <v>378</v>
      </c>
      <c r="X1659" s="501" t="s">
        <v>2199</v>
      </c>
      <c r="Y1659" s="501" t="s">
        <v>1588</v>
      </c>
      <c r="Z1659" s="501" t="s">
        <v>1970</v>
      </c>
      <c r="AA1659" s="501" t="s">
        <v>1589</v>
      </c>
      <c r="AB1659" s="502" t="s">
        <v>1589</v>
      </c>
    </row>
    <row r="1660" spans="1:28" ht="24" customHeight="1">
      <c r="A1660" s="584"/>
      <c r="B1660" s="460" t="s">
        <v>675</v>
      </c>
      <c r="C1660" s="458" t="s">
        <v>4714</v>
      </c>
      <c r="D1660" s="510" t="s">
        <v>4715</v>
      </c>
      <c r="E1660" s="498">
        <f t="shared" si="131"/>
        <v>85</v>
      </c>
      <c r="F1660" s="498">
        <v>0</v>
      </c>
      <c r="G1660" s="498">
        <v>85</v>
      </c>
      <c r="H1660" s="498">
        <v>0</v>
      </c>
      <c r="I1660" s="498">
        <f t="shared" si="132"/>
        <v>40</v>
      </c>
      <c r="J1660" s="498">
        <v>0</v>
      </c>
      <c r="K1660" s="498">
        <v>40</v>
      </c>
      <c r="L1660" s="668">
        <v>0</v>
      </c>
      <c r="M1660" s="672">
        <v>98</v>
      </c>
      <c r="N1660" s="498">
        <v>2</v>
      </c>
      <c r="O1660" s="715" t="s">
        <v>5033</v>
      </c>
      <c r="P1660" s="501" t="s">
        <v>1588</v>
      </c>
      <c r="Q1660" s="672">
        <v>0</v>
      </c>
      <c r="R1660" s="672">
        <v>0</v>
      </c>
      <c r="S1660" s="672">
        <v>0</v>
      </c>
      <c r="T1660" s="672">
        <v>0</v>
      </c>
      <c r="U1660" s="501" t="s">
        <v>7496</v>
      </c>
      <c r="V1660" s="501" t="s">
        <v>4716</v>
      </c>
      <c r="W1660" s="498">
        <v>850</v>
      </c>
      <c r="X1660" s="501" t="s">
        <v>2199</v>
      </c>
      <c r="Y1660" s="501" t="s">
        <v>1588</v>
      </c>
      <c r="Z1660" s="501" t="s">
        <v>1899</v>
      </c>
      <c r="AA1660" s="501" t="s">
        <v>1589</v>
      </c>
      <c r="AB1660" s="502" t="s">
        <v>1589</v>
      </c>
    </row>
    <row r="1661" spans="1:28" ht="24" customHeight="1">
      <c r="A1661" s="584"/>
      <c r="B1661" s="460" t="s">
        <v>675</v>
      </c>
      <c r="C1661" s="458" t="s">
        <v>4717</v>
      </c>
      <c r="D1661" s="510" t="s">
        <v>4718</v>
      </c>
      <c r="E1661" s="498">
        <f t="shared" si="131"/>
        <v>45</v>
      </c>
      <c r="F1661" s="498">
        <v>0</v>
      </c>
      <c r="G1661" s="498">
        <v>45</v>
      </c>
      <c r="H1661" s="498">
        <v>0</v>
      </c>
      <c r="I1661" s="498">
        <f t="shared" si="132"/>
        <v>29</v>
      </c>
      <c r="J1661" s="498">
        <v>0</v>
      </c>
      <c r="K1661" s="498">
        <v>29</v>
      </c>
      <c r="L1661" s="668">
        <v>0</v>
      </c>
      <c r="M1661" s="672">
        <v>96</v>
      </c>
      <c r="N1661" s="498">
        <v>3.6</v>
      </c>
      <c r="O1661" s="715" t="s">
        <v>3718</v>
      </c>
      <c r="P1661" s="501" t="s">
        <v>1588</v>
      </c>
      <c r="Q1661" s="672">
        <v>0</v>
      </c>
      <c r="R1661" s="672">
        <v>0</v>
      </c>
      <c r="S1661" s="672">
        <v>0</v>
      </c>
      <c r="T1661" s="672">
        <v>0</v>
      </c>
      <c r="U1661" s="501" t="s">
        <v>7496</v>
      </c>
      <c r="V1661" s="501" t="s">
        <v>4719</v>
      </c>
      <c r="W1661" s="498">
        <v>100</v>
      </c>
      <c r="X1661" s="501" t="s">
        <v>2199</v>
      </c>
      <c r="Y1661" s="501" t="s">
        <v>1588</v>
      </c>
      <c r="Z1661" s="501" t="s">
        <v>4708</v>
      </c>
      <c r="AA1661" s="501" t="s">
        <v>1589</v>
      </c>
      <c r="AB1661" s="502" t="s">
        <v>1589</v>
      </c>
    </row>
    <row r="1662" spans="1:28" ht="24" customHeight="1">
      <c r="A1662" s="584"/>
      <c r="B1662" s="460" t="s">
        <v>675</v>
      </c>
      <c r="C1662" s="458" t="s">
        <v>4720</v>
      </c>
      <c r="D1662" s="510" t="s">
        <v>4721</v>
      </c>
      <c r="E1662" s="498">
        <f t="shared" si="131"/>
        <v>30</v>
      </c>
      <c r="F1662" s="498">
        <v>0</v>
      </c>
      <c r="G1662" s="498">
        <v>30</v>
      </c>
      <c r="H1662" s="498">
        <v>0</v>
      </c>
      <c r="I1662" s="498">
        <f t="shared" si="132"/>
        <v>30</v>
      </c>
      <c r="J1662" s="498">
        <v>0</v>
      </c>
      <c r="K1662" s="498">
        <v>30</v>
      </c>
      <c r="L1662" s="668">
        <v>0</v>
      </c>
      <c r="M1662" s="672">
        <v>70</v>
      </c>
      <c r="N1662" s="498">
        <v>1.7</v>
      </c>
      <c r="O1662" s="715" t="s">
        <v>1408</v>
      </c>
      <c r="P1662" s="501" t="s">
        <v>1588</v>
      </c>
      <c r="Q1662" s="672">
        <v>0</v>
      </c>
      <c r="R1662" s="672">
        <v>0</v>
      </c>
      <c r="S1662" s="672">
        <v>0</v>
      </c>
      <c r="T1662" s="672">
        <v>0</v>
      </c>
      <c r="U1662" s="501" t="s">
        <v>7496</v>
      </c>
      <c r="V1662" s="501" t="s">
        <v>4722</v>
      </c>
      <c r="W1662" s="498">
        <v>198</v>
      </c>
      <c r="X1662" s="501" t="s">
        <v>2199</v>
      </c>
      <c r="Y1662" s="501" t="s">
        <v>1588</v>
      </c>
      <c r="Z1662" s="501" t="s">
        <v>4697</v>
      </c>
      <c r="AA1662" s="501" t="s">
        <v>1589</v>
      </c>
      <c r="AB1662" s="502" t="s">
        <v>1589</v>
      </c>
    </row>
    <row r="1663" spans="1:28" ht="24" customHeight="1">
      <c r="A1663" s="584"/>
      <c r="B1663" s="460" t="s">
        <v>675</v>
      </c>
      <c r="C1663" s="458" t="s">
        <v>4723</v>
      </c>
      <c r="D1663" s="510" t="s">
        <v>4724</v>
      </c>
      <c r="E1663" s="498">
        <f t="shared" si="131"/>
        <v>80</v>
      </c>
      <c r="F1663" s="498">
        <v>0</v>
      </c>
      <c r="G1663" s="498">
        <v>80</v>
      </c>
      <c r="H1663" s="498">
        <v>0</v>
      </c>
      <c r="I1663" s="498">
        <f t="shared" si="132"/>
        <v>80</v>
      </c>
      <c r="J1663" s="498">
        <v>0</v>
      </c>
      <c r="K1663" s="498">
        <v>80</v>
      </c>
      <c r="L1663" s="668">
        <v>0</v>
      </c>
      <c r="M1663" s="672">
        <v>96</v>
      </c>
      <c r="N1663" s="498">
        <v>8</v>
      </c>
      <c r="O1663" s="715" t="s">
        <v>3718</v>
      </c>
      <c r="P1663" s="501" t="s">
        <v>1588</v>
      </c>
      <c r="Q1663" s="672">
        <v>0</v>
      </c>
      <c r="R1663" s="672">
        <v>0</v>
      </c>
      <c r="S1663" s="672">
        <v>0</v>
      </c>
      <c r="T1663" s="672">
        <v>0</v>
      </c>
      <c r="U1663" s="501" t="s">
        <v>7496</v>
      </c>
      <c r="V1663" s="501" t="s">
        <v>4725</v>
      </c>
      <c r="W1663" s="498">
        <v>1008</v>
      </c>
      <c r="X1663" s="501" t="s">
        <v>2199</v>
      </c>
      <c r="Y1663" s="501" t="s">
        <v>1588</v>
      </c>
      <c r="Z1663" s="501" t="s">
        <v>1899</v>
      </c>
      <c r="AA1663" s="501" t="s">
        <v>1589</v>
      </c>
      <c r="AB1663" s="502" t="s">
        <v>1589</v>
      </c>
    </row>
    <row r="1664" spans="1:28" ht="24" customHeight="1">
      <c r="A1664" s="584"/>
      <c r="B1664" s="460" t="s">
        <v>675</v>
      </c>
      <c r="C1664" s="458" t="s">
        <v>4726</v>
      </c>
      <c r="D1664" s="510" t="s">
        <v>4727</v>
      </c>
      <c r="E1664" s="498">
        <f t="shared" si="131"/>
        <v>50</v>
      </c>
      <c r="F1664" s="498">
        <v>0</v>
      </c>
      <c r="G1664" s="498">
        <v>50</v>
      </c>
      <c r="H1664" s="498">
        <v>0</v>
      </c>
      <c r="I1664" s="498">
        <f t="shared" si="132"/>
        <v>62</v>
      </c>
      <c r="J1664" s="498">
        <v>0</v>
      </c>
      <c r="K1664" s="498">
        <v>62</v>
      </c>
      <c r="L1664" s="668">
        <v>0</v>
      </c>
      <c r="M1664" s="672">
        <v>98</v>
      </c>
      <c r="N1664" s="498">
        <v>7.9</v>
      </c>
      <c r="O1664" s="715" t="s">
        <v>3274</v>
      </c>
      <c r="P1664" s="501" t="s">
        <v>1588</v>
      </c>
      <c r="Q1664" s="672">
        <v>0</v>
      </c>
      <c r="R1664" s="672">
        <v>0</v>
      </c>
      <c r="S1664" s="672">
        <v>0</v>
      </c>
      <c r="T1664" s="672">
        <v>0</v>
      </c>
      <c r="U1664" s="501" t="s">
        <v>7496</v>
      </c>
      <c r="V1664" s="501" t="s">
        <v>4725</v>
      </c>
      <c r="W1664" s="498">
        <v>729</v>
      </c>
      <c r="X1664" s="501" t="s">
        <v>2199</v>
      </c>
      <c r="Y1664" s="501" t="s">
        <v>1588</v>
      </c>
      <c r="Z1664" s="501" t="s">
        <v>1899</v>
      </c>
      <c r="AA1664" s="501" t="s">
        <v>1589</v>
      </c>
      <c r="AB1664" s="502" t="s">
        <v>1589</v>
      </c>
    </row>
    <row r="1665" spans="1:28" ht="24" customHeight="1">
      <c r="A1665" s="584"/>
      <c r="B1665" s="460" t="s">
        <v>675</v>
      </c>
      <c r="C1665" s="458" t="s">
        <v>4728</v>
      </c>
      <c r="D1665" s="510" t="s">
        <v>4729</v>
      </c>
      <c r="E1665" s="498">
        <f t="shared" si="131"/>
        <v>65</v>
      </c>
      <c r="F1665" s="498">
        <v>0</v>
      </c>
      <c r="G1665" s="498">
        <v>65</v>
      </c>
      <c r="H1665" s="498">
        <v>0</v>
      </c>
      <c r="I1665" s="498">
        <f t="shared" si="132"/>
        <v>25</v>
      </c>
      <c r="J1665" s="498">
        <v>0</v>
      </c>
      <c r="K1665" s="498">
        <v>25</v>
      </c>
      <c r="L1665" s="668">
        <v>0</v>
      </c>
      <c r="M1665" s="672">
        <v>98</v>
      </c>
      <c r="N1665" s="498">
        <v>5.7</v>
      </c>
      <c r="O1665" s="715" t="s">
        <v>4730</v>
      </c>
      <c r="P1665" s="501" t="s">
        <v>1588</v>
      </c>
      <c r="Q1665" s="672">
        <v>0</v>
      </c>
      <c r="R1665" s="672">
        <v>0</v>
      </c>
      <c r="S1665" s="672">
        <v>0</v>
      </c>
      <c r="T1665" s="672">
        <v>0</v>
      </c>
      <c r="U1665" s="501" t="s">
        <v>7496</v>
      </c>
      <c r="V1665" s="501" t="s">
        <v>4731</v>
      </c>
      <c r="W1665" s="498">
        <v>777</v>
      </c>
      <c r="X1665" s="501" t="s">
        <v>2199</v>
      </c>
      <c r="Y1665" s="501" t="s">
        <v>1588</v>
      </c>
      <c r="Z1665" s="501" t="s">
        <v>1970</v>
      </c>
      <c r="AA1665" s="501" t="s">
        <v>1589</v>
      </c>
      <c r="AB1665" s="502" t="s">
        <v>1589</v>
      </c>
    </row>
    <row r="1666" spans="1:28" ht="24" customHeight="1">
      <c r="A1666" s="584"/>
      <c r="B1666" s="460" t="s">
        <v>675</v>
      </c>
      <c r="C1666" s="458" t="s">
        <v>4732</v>
      </c>
      <c r="D1666" s="510" t="s">
        <v>4733</v>
      </c>
      <c r="E1666" s="498">
        <f t="shared" si="131"/>
        <v>80</v>
      </c>
      <c r="F1666" s="498">
        <v>0</v>
      </c>
      <c r="G1666" s="498">
        <v>80</v>
      </c>
      <c r="H1666" s="498">
        <v>0</v>
      </c>
      <c r="I1666" s="498">
        <f t="shared" si="132"/>
        <v>49</v>
      </c>
      <c r="J1666" s="498">
        <v>0</v>
      </c>
      <c r="K1666" s="498">
        <v>49</v>
      </c>
      <c r="L1666" s="668">
        <v>0</v>
      </c>
      <c r="M1666" s="672">
        <v>92</v>
      </c>
      <c r="N1666" s="498">
        <v>4.3</v>
      </c>
      <c r="O1666" s="715" t="s">
        <v>3718</v>
      </c>
      <c r="P1666" s="501" t="s">
        <v>1588</v>
      </c>
      <c r="Q1666" s="672">
        <v>0</v>
      </c>
      <c r="R1666" s="672">
        <v>0</v>
      </c>
      <c r="S1666" s="672">
        <v>0</v>
      </c>
      <c r="T1666" s="672">
        <v>0</v>
      </c>
      <c r="U1666" s="501" t="s">
        <v>7496</v>
      </c>
      <c r="V1666" s="501" t="s">
        <v>4734</v>
      </c>
      <c r="W1666" s="498">
        <v>783</v>
      </c>
      <c r="X1666" s="501" t="s">
        <v>2199</v>
      </c>
      <c r="Y1666" s="501" t="s">
        <v>1588</v>
      </c>
      <c r="Z1666" s="501" t="s">
        <v>1899</v>
      </c>
      <c r="AA1666" s="501" t="s">
        <v>1589</v>
      </c>
      <c r="AB1666" s="502" t="s">
        <v>1589</v>
      </c>
    </row>
    <row r="1667" spans="1:28" ht="24" customHeight="1">
      <c r="A1667" s="584"/>
      <c r="B1667" s="460" t="s">
        <v>675</v>
      </c>
      <c r="C1667" s="458" t="s">
        <v>4735</v>
      </c>
      <c r="D1667" s="510" t="s">
        <v>4736</v>
      </c>
      <c r="E1667" s="498">
        <f t="shared" si="131"/>
        <v>100</v>
      </c>
      <c r="F1667" s="498">
        <v>0</v>
      </c>
      <c r="G1667" s="498">
        <v>100</v>
      </c>
      <c r="H1667" s="498">
        <v>0</v>
      </c>
      <c r="I1667" s="498">
        <f t="shared" si="132"/>
        <v>60</v>
      </c>
      <c r="J1667" s="498">
        <v>0</v>
      </c>
      <c r="K1667" s="498">
        <v>60</v>
      </c>
      <c r="L1667" s="668">
        <v>0</v>
      </c>
      <c r="M1667" s="672">
        <v>97</v>
      </c>
      <c r="N1667" s="498">
        <v>7.4</v>
      </c>
      <c r="O1667" s="715" t="s">
        <v>3718</v>
      </c>
      <c r="P1667" s="501" t="s">
        <v>1588</v>
      </c>
      <c r="Q1667" s="672">
        <v>0</v>
      </c>
      <c r="R1667" s="672">
        <v>0</v>
      </c>
      <c r="S1667" s="672">
        <v>0</v>
      </c>
      <c r="T1667" s="672">
        <v>0</v>
      </c>
      <c r="U1667" s="501" t="s">
        <v>7496</v>
      </c>
      <c r="V1667" s="501" t="s">
        <v>4737</v>
      </c>
      <c r="W1667" s="498">
        <v>1000</v>
      </c>
      <c r="X1667" s="501" t="s">
        <v>2199</v>
      </c>
      <c r="Y1667" s="501" t="s">
        <v>1588</v>
      </c>
      <c r="Z1667" s="501" t="s">
        <v>4738</v>
      </c>
      <c r="AA1667" s="501" t="s">
        <v>1589</v>
      </c>
      <c r="AB1667" s="502" t="s">
        <v>1589</v>
      </c>
    </row>
    <row r="1668" spans="1:28" ht="24" customHeight="1">
      <c r="A1668" s="607" t="s">
        <v>2008</v>
      </c>
      <c r="B1668" s="460" t="s">
        <v>2201</v>
      </c>
      <c r="C1668" s="756" t="s">
        <v>2328</v>
      </c>
      <c r="D1668" s="757" t="s">
        <v>4739</v>
      </c>
      <c r="E1668" s="498">
        <f t="shared" si="131"/>
        <v>40000</v>
      </c>
      <c r="F1668" s="758">
        <v>0</v>
      </c>
      <c r="G1668" s="653">
        <v>40000</v>
      </c>
      <c r="H1668" s="758">
        <v>0</v>
      </c>
      <c r="I1668" s="758">
        <f t="shared" si="132"/>
        <v>48177.769941291583</v>
      </c>
      <c r="J1668" s="758">
        <v>0</v>
      </c>
      <c r="K1668" s="653">
        <v>48177.769941291583</v>
      </c>
      <c r="L1668" s="759">
        <v>0</v>
      </c>
      <c r="M1668" s="674">
        <f>1-20/(150-20)</f>
        <v>0.84615384615384615</v>
      </c>
      <c r="N1668" s="653">
        <f>70.3*I1668*M1668/1000</f>
        <v>2865.8361150462138</v>
      </c>
      <c r="O1668" s="760" t="s">
        <v>623</v>
      </c>
      <c r="P1668" s="567" t="s">
        <v>1588</v>
      </c>
      <c r="Q1668" s="846">
        <v>115.03413698630126</v>
      </c>
      <c r="R1668" s="846">
        <v>0</v>
      </c>
      <c r="S1668" s="846">
        <v>124.23835616438356</v>
      </c>
      <c r="T1668" s="846">
        <v>0</v>
      </c>
      <c r="U1668" s="567" t="s">
        <v>7497</v>
      </c>
      <c r="V1668" s="567" t="s">
        <v>4740</v>
      </c>
      <c r="W1668" s="653">
        <v>53019</v>
      </c>
      <c r="X1668" s="501" t="s">
        <v>2193</v>
      </c>
      <c r="Y1668" s="567" t="s">
        <v>3336</v>
      </c>
      <c r="Z1668" s="567" t="s">
        <v>1607</v>
      </c>
      <c r="AA1668" s="567" t="s">
        <v>1924</v>
      </c>
      <c r="AB1668" s="569" t="s">
        <v>1589</v>
      </c>
    </row>
    <row r="1669" spans="1:28" ht="24" customHeight="1">
      <c r="A1669" s="608"/>
      <c r="B1669" s="460" t="s">
        <v>675</v>
      </c>
      <c r="C1669" s="458" t="s">
        <v>4741</v>
      </c>
      <c r="D1669" s="510" t="s">
        <v>4742</v>
      </c>
      <c r="E1669" s="498">
        <f t="shared" si="131"/>
        <v>25</v>
      </c>
      <c r="F1669" s="498">
        <v>0</v>
      </c>
      <c r="G1669" s="498">
        <v>25</v>
      </c>
      <c r="H1669" s="498">
        <v>0</v>
      </c>
      <c r="I1669" s="498">
        <f t="shared" si="132"/>
        <v>20</v>
      </c>
      <c r="J1669" s="498">
        <v>0</v>
      </c>
      <c r="K1669" s="498">
        <v>20</v>
      </c>
      <c r="L1669" s="668">
        <v>0</v>
      </c>
      <c r="M1669" s="672">
        <v>94.9</v>
      </c>
      <c r="N1669" s="653">
        <v>5000</v>
      </c>
      <c r="O1669" s="715" t="s">
        <v>4743</v>
      </c>
      <c r="P1669" s="501" t="s">
        <v>1588</v>
      </c>
      <c r="Q1669" s="672">
        <v>0</v>
      </c>
      <c r="R1669" s="672">
        <v>0</v>
      </c>
      <c r="S1669" s="672">
        <v>0</v>
      </c>
      <c r="T1669" s="672">
        <v>0</v>
      </c>
      <c r="U1669" s="501" t="s">
        <v>7498</v>
      </c>
      <c r="V1669" s="566" t="s">
        <v>4744</v>
      </c>
      <c r="W1669" s="498">
        <v>150</v>
      </c>
      <c r="X1669" s="501" t="s">
        <v>2199</v>
      </c>
      <c r="Y1669" s="501" t="s">
        <v>3161</v>
      </c>
      <c r="Z1669" s="478" t="s">
        <v>4745</v>
      </c>
      <c r="AA1669" s="501" t="s">
        <v>1924</v>
      </c>
      <c r="AB1669" s="570" t="s">
        <v>1589</v>
      </c>
    </row>
    <row r="1670" spans="1:28" ht="24" customHeight="1">
      <c r="A1670" s="608"/>
      <c r="B1670" s="460" t="s">
        <v>675</v>
      </c>
      <c r="C1670" s="458" t="s">
        <v>4746</v>
      </c>
      <c r="D1670" s="510" t="s">
        <v>4747</v>
      </c>
      <c r="E1670" s="498">
        <f t="shared" si="131"/>
        <v>30</v>
      </c>
      <c r="F1670" s="498">
        <v>0</v>
      </c>
      <c r="G1670" s="498">
        <v>30</v>
      </c>
      <c r="H1670" s="498">
        <v>0</v>
      </c>
      <c r="I1670" s="498">
        <f t="shared" si="132"/>
        <v>24</v>
      </c>
      <c r="J1670" s="498">
        <v>0</v>
      </c>
      <c r="K1670" s="498">
        <v>24</v>
      </c>
      <c r="L1670" s="668">
        <v>0</v>
      </c>
      <c r="M1670" s="672">
        <v>94.9</v>
      </c>
      <c r="N1670" s="653">
        <v>6000</v>
      </c>
      <c r="O1670" s="715" t="s">
        <v>4743</v>
      </c>
      <c r="P1670" s="501" t="s">
        <v>1588</v>
      </c>
      <c r="Q1670" s="672">
        <v>0</v>
      </c>
      <c r="R1670" s="672">
        <v>0</v>
      </c>
      <c r="S1670" s="672">
        <v>0</v>
      </c>
      <c r="T1670" s="672">
        <v>0</v>
      </c>
      <c r="U1670" s="501" t="s">
        <v>7498</v>
      </c>
      <c r="V1670" s="566" t="s">
        <v>5204</v>
      </c>
      <c r="W1670" s="498">
        <v>180</v>
      </c>
      <c r="X1670" s="501" t="s">
        <v>2199</v>
      </c>
      <c r="Y1670" s="501" t="s">
        <v>3161</v>
      </c>
      <c r="Z1670" s="478" t="s">
        <v>1828</v>
      </c>
      <c r="AA1670" s="501" t="s">
        <v>1924</v>
      </c>
      <c r="AB1670" s="570" t="s">
        <v>1589</v>
      </c>
    </row>
    <row r="1671" spans="1:28" ht="24" customHeight="1">
      <c r="A1671" s="608"/>
      <c r="B1671" s="460" t="s">
        <v>675</v>
      </c>
      <c r="C1671" s="458" t="s">
        <v>4748</v>
      </c>
      <c r="D1671" s="510" t="s">
        <v>4749</v>
      </c>
      <c r="E1671" s="482">
        <f t="shared" si="131"/>
        <v>20</v>
      </c>
      <c r="F1671" s="482">
        <v>0</v>
      </c>
      <c r="G1671" s="482">
        <v>20</v>
      </c>
      <c r="H1671" s="482">
        <v>0</v>
      </c>
      <c r="I1671" s="482">
        <f t="shared" si="132"/>
        <v>16</v>
      </c>
      <c r="J1671" s="482">
        <v>0</v>
      </c>
      <c r="K1671" s="482">
        <v>16</v>
      </c>
      <c r="L1671" s="761">
        <v>0</v>
      </c>
      <c r="M1671" s="680" t="s">
        <v>4750</v>
      </c>
      <c r="N1671" s="667">
        <v>0</v>
      </c>
      <c r="O1671" s="762" t="s">
        <v>5737</v>
      </c>
      <c r="P1671" s="478" t="s">
        <v>1588</v>
      </c>
      <c r="Q1671" s="840">
        <v>0</v>
      </c>
      <c r="R1671" s="840">
        <v>0</v>
      </c>
      <c r="S1671" s="840">
        <v>0</v>
      </c>
      <c r="T1671" s="840">
        <v>0</v>
      </c>
      <c r="U1671" s="501" t="s">
        <v>7498</v>
      </c>
      <c r="V1671" s="623" t="s">
        <v>4751</v>
      </c>
      <c r="W1671" s="498">
        <v>150</v>
      </c>
      <c r="X1671" s="501" t="s">
        <v>2199</v>
      </c>
      <c r="Y1671" s="501" t="s">
        <v>3161</v>
      </c>
      <c r="Z1671" s="571" t="s">
        <v>4745</v>
      </c>
      <c r="AA1671" s="501" t="s">
        <v>1924</v>
      </c>
      <c r="AB1671" s="570" t="s">
        <v>1589</v>
      </c>
    </row>
    <row r="1672" spans="1:28" ht="24" customHeight="1">
      <c r="A1672" s="608"/>
      <c r="B1672" s="460" t="s">
        <v>675</v>
      </c>
      <c r="C1672" s="458" t="s">
        <v>4752</v>
      </c>
      <c r="D1672" s="510" t="s">
        <v>4753</v>
      </c>
      <c r="E1672" s="482">
        <f t="shared" si="131"/>
        <v>200</v>
      </c>
      <c r="F1672" s="482">
        <v>0</v>
      </c>
      <c r="G1672" s="482">
        <v>200</v>
      </c>
      <c r="H1672" s="482">
        <v>0</v>
      </c>
      <c r="I1672" s="482">
        <f t="shared" si="132"/>
        <v>160</v>
      </c>
      <c r="J1672" s="482">
        <v>0</v>
      </c>
      <c r="K1672" s="482">
        <v>160</v>
      </c>
      <c r="L1672" s="761">
        <v>0</v>
      </c>
      <c r="M1672" s="680">
        <v>96.8</v>
      </c>
      <c r="N1672" s="667">
        <v>40000</v>
      </c>
      <c r="O1672" s="762" t="s">
        <v>5224</v>
      </c>
      <c r="P1672" s="478" t="s">
        <v>1588</v>
      </c>
      <c r="Q1672" s="840">
        <v>0</v>
      </c>
      <c r="R1672" s="840">
        <v>0</v>
      </c>
      <c r="S1672" s="840">
        <v>0</v>
      </c>
      <c r="T1672" s="840">
        <v>0</v>
      </c>
      <c r="U1672" s="501" t="s">
        <v>7498</v>
      </c>
      <c r="V1672" s="623" t="s">
        <v>4754</v>
      </c>
      <c r="W1672" s="498">
        <v>235</v>
      </c>
      <c r="X1672" s="501" t="s">
        <v>2199</v>
      </c>
      <c r="Y1672" s="501" t="s">
        <v>3161</v>
      </c>
      <c r="Z1672" s="478" t="s">
        <v>1828</v>
      </c>
      <c r="AA1672" s="501" t="s">
        <v>1924</v>
      </c>
      <c r="AB1672" s="570" t="s">
        <v>1589</v>
      </c>
    </row>
    <row r="1673" spans="1:28" ht="24" customHeight="1">
      <c r="A1673" s="608"/>
      <c r="B1673" s="460" t="s">
        <v>675</v>
      </c>
      <c r="C1673" s="458" t="s">
        <v>4755</v>
      </c>
      <c r="D1673" s="510" t="s">
        <v>4756</v>
      </c>
      <c r="E1673" s="482">
        <f t="shared" si="131"/>
        <v>30</v>
      </c>
      <c r="F1673" s="482">
        <v>0</v>
      </c>
      <c r="G1673" s="482">
        <v>30</v>
      </c>
      <c r="H1673" s="482">
        <v>0</v>
      </c>
      <c r="I1673" s="482">
        <f t="shared" si="132"/>
        <v>24</v>
      </c>
      <c r="J1673" s="482">
        <v>0</v>
      </c>
      <c r="K1673" s="482">
        <v>24</v>
      </c>
      <c r="L1673" s="761">
        <v>0</v>
      </c>
      <c r="M1673" s="680">
        <v>82.6</v>
      </c>
      <c r="N1673" s="667">
        <v>6000</v>
      </c>
      <c r="O1673" s="762" t="s">
        <v>1127</v>
      </c>
      <c r="P1673" s="478" t="s">
        <v>1588</v>
      </c>
      <c r="Q1673" s="840">
        <v>0</v>
      </c>
      <c r="R1673" s="840">
        <v>0</v>
      </c>
      <c r="S1673" s="840">
        <v>0</v>
      </c>
      <c r="T1673" s="840">
        <v>0</v>
      </c>
      <c r="U1673" s="501" t="s">
        <v>7498</v>
      </c>
      <c r="V1673" s="624" t="s">
        <v>4757</v>
      </c>
      <c r="W1673" s="498">
        <v>180</v>
      </c>
      <c r="X1673" s="501" t="s">
        <v>2199</v>
      </c>
      <c r="Y1673" s="501" t="s">
        <v>3161</v>
      </c>
      <c r="Z1673" s="478" t="s">
        <v>4758</v>
      </c>
      <c r="AA1673" s="501" t="s">
        <v>1924</v>
      </c>
      <c r="AB1673" s="570" t="s">
        <v>1589</v>
      </c>
    </row>
    <row r="1674" spans="1:28" ht="24" customHeight="1">
      <c r="A1674" s="608"/>
      <c r="B1674" s="460" t="s">
        <v>675</v>
      </c>
      <c r="C1674" s="458" t="s">
        <v>4759</v>
      </c>
      <c r="D1674" s="510" t="s">
        <v>4756</v>
      </c>
      <c r="E1674" s="482">
        <f t="shared" si="131"/>
        <v>30</v>
      </c>
      <c r="F1674" s="482">
        <v>0</v>
      </c>
      <c r="G1674" s="482">
        <v>30</v>
      </c>
      <c r="H1674" s="482">
        <v>0</v>
      </c>
      <c r="I1674" s="482">
        <f t="shared" si="132"/>
        <v>24</v>
      </c>
      <c r="J1674" s="482">
        <v>0</v>
      </c>
      <c r="K1674" s="482">
        <v>24</v>
      </c>
      <c r="L1674" s="761">
        <v>0</v>
      </c>
      <c r="M1674" s="680">
        <v>97.4</v>
      </c>
      <c r="N1674" s="667">
        <v>6000</v>
      </c>
      <c r="O1674" s="762" t="s">
        <v>5224</v>
      </c>
      <c r="P1674" s="478" t="s">
        <v>1588</v>
      </c>
      <c r="Q1674" s="840">
        <v>0</v>
      </c>
      <c r="R1674" s="840">
        <v>0</v>
      </c>
      <c r="S1674" s="840">
        <v>0</v>
      </c>
      <c r="T1674" s="840">
        <v>0</v>
      </c>
      <c r="U1674" s="501" t="s">
        <v>7498</v>
      </c>
      <c r="V1674" s="623" t="s">
        <v>4760</v>
      </c>
      <c r="W1674" s="498">
        <v>180</v>
      </c>
      <c r="X1674" s="501" t="s">
        <v>2199</v>
      </c>
      <c r="Y1674" s="501" t="s">
        <v>3161</v>
      </c>
      <c r="Z1674" s="478" t="s">
        <v>4758</v>
      </c>
      <c r="AA1674" s="501" t="s">
        <v>1924</v>
      </c>
      <c r="AB1674" s="570" t="s">
        <v>1589</v>
      </c>
    </row>
    <row r="1675" spans="1:28" ht="24" customHeight="1">
      <c r="A1675" s="608"/>
      <c r="B1675" s="460" t="s">
        <v>675</v>
      </c>
      <c r="C1675" s="458" t="s">
        <v>4761</v>
      </c>
      <c r="D1675" s="510" t="s">
        <v>4762</v>
      </c>
      <c r="E1675" s="482">
        <f t="shared" si="131"/>
        <v>30</v>
      </c>
      <c r="F1675" s="482">
        <v>0</v>
      </c>
      <c r="G1675" s="482">
        <v>30</v>
      </c>
      <c r="H1675" s="482">
        <v>0</v>
      </c>
      <c r="I1675" s="482">
        <f t="shared" si="132"/>
        <v>24</v>
      </c>
      <c r="J1675" s="482">
        <v>0</v>
      </c>
      <c r="K1675" s="482">
        <v>24</v>
      </c>
      <c r="L1675" s="761">
        <v>0</v>
      </c>
      <c r="M1675" s="680">
        <v>85.2</v>
      </c>
      <c r="N1675" s="667">
        <v>6000</v>
      </c>
      <c r="O1675" s="762" t="s">
        <v>4763</v>
      </c>
      <c r="P1675" s="478" t="s">
        <v>1588</v>
      </c>
      <c r="Q1675" s="840">
        <v>0</v>
      </c>
      <c r="R1675" s="840">
        <v>0</v>
      </c>
      <c r="S1675" s="840">
        <v>0</v>
      </c>
      <c r="T1675" s="840">
        <v>0</v>
      </c>
      <c r="U1675" s="501" t="s">
        <v>7498</v>
      </c>
      <c r="V1675" s="623" t="s">
        <v>4764</v>
      </c>
      <c r="W1675" s="498">
        <v>219</v>
      </c>
      <c r="X1675" s="501" t="s">
        <v>2199</v>
      </c>
      <c r="Y1675" s="501" t="s">
        <v>3161</v>
      </c>
      <c r="Z1675" s="478" t="s">
        <v>1924</v>
      </c>
      <c r="AA1675" s="501" t="s">
        <v>1924</v>
      </c>
      <c r="AB1675" s="570" t="s">
        <v>1589</v>
      </c>
    </row>
    <row r="1676" spans="1:28" ht="24" customHeight="1">
      <c r="A1676" s="584"/>
      <c r="B1676" s="460" t="s">
        <v>675</v>
      </c>
      <c r="C1676" s="458" t="s">
        <v>4765</v>
      </c>
      <c r="D1676" s="510" t="s">
        <v>4766</v>
      </c>
      <c r="E1676" s="498">
        <f t="shared" si="131"/>
        <v>50</v>
      </c>
      <c r="F1676" s="498">
        <v>0</v>
      </c>
      <c r="G1676" s="498">
        <v>0</v>
      </c>
      <c r="H1676" s="498">
        <v>50</v>
      </c>
      <c r="I1676" s="498">
        <f t="shared" si="132"/>
        <v>40</v>
      </c>
      <c r="J1676" s="498">
        <v>0</v>
      </c>
      <c r="K1676" s="498">
        <v>0</v>
      </c>
      <c r="L1676" s="668">
        <v>40</v>
      </c>
      <c r="M1676" s="672">
        <v>93.5</v>
      </c>
      <c r="N1676" s="653">
        <v>4010</v>
      </c>
      <c r="O1676" s="715" t="s">
        <v>3176</v>
      </c>
      <c r="P1676" s="501" t="s">
        <v>3274</v>
      </c>
      <c r="Q1676" s="672">
        <v>0</v>
      </c>
      <c r="R1676" s="672">
        <v>0</v>
      </c>
      <c r="S1676" s="672">
        <v>0</v>
      </c>
      <c r="T1676" s="840">
        <v>0</v>
      </c>
      <c r="U1676" s="501" t="s">
        <v>7498</v>
      </c>
      <c r="V1676" s="566" t="s">
        <v>4764</v>
      </c>
      <c r="W1676" s="498">
        <v>219</v>
      </c>
      <c r="X1676" s="501" t="s">
        <v>2199</v>
      </c>
      <c r="Y1676" s="501" t="s">
        <v>3161</v>
      </c>
      <c r="Z1676" s="478" t="s">
        <v>4745</v>
      </c>
      <c r="AA1676" s="501" t="s">
        <v>1924</v>
      </c>
      <c r="AB1676" s="570" t="s">
        <v>1589</v>
      </c>
    </row>
    <row r="1677" spans="1:28" ht="24" customHeight="1">
      <c r="A1677" s="584"/>
      <c r="B1677" s="460" t="s">
        <v>675</v>
      </c>
      <c r="C1677" s="458" t="s">
        <v>4767</v>
      </c>
      <c r="D1677" s="510" t="s">
        <v>4749</v>
      </c>
      <c r="E1677" s="498">
        <f t="shared" si="131"/>
        <v>50</v>
      </c>
      <c r="F1677" s="498">
        <v>0</v>
      </c>
      <c r="G1677" s="498">
        <v>0</v>
      </c>
      <c r="H1677" s="498">
        <v>50</v>
      </c>
      <c r="I1677" s="498">
        <f t="shared" si="132"/>
        <v>40</v>
      </c>
      <c r="J1677" s="498">
        <v>0</v>
      </c>
      <c r="K1677" s="498">
        <v>0</v>
      </c>
      <c r="L1677" s="668">
        <v>40</v>
      </c>
      <c r="M1677" s="672">
        <v>65.400000000000006</v>
      </c>
      <c r="N1677" s="653">
        <v>7500</v>
      </c>
      <c r="O1677" s="715" t="s">
        <v>4768</v>
      </c>
      <c r="P1677" s="501" t="s">
        <v>4769</v>
      </c>
      <c r="Q1677" s="672">
        <v>0</v>
      </c>
      <c r="R1677" s="672">
        <v>0</v>
      </c>
      <c r="S1677" s="672">
        <v>0</v>
      </c>
      <c r="T1677" s="840">
        <v>0</v>
      </c>
      <c r="U1677" s="501" t="s">
        <v>7498</v>
      </c>
      <c r="V1677" s="566" t="s">
        <v>4764</v>
      </c>
      <c r="W1677" s="498">
        <v>212</v>
      </c>
      <c r="X1677" s="501" t="s">
        <v>2199</v>
      </c>
      <c r="Y1677" s="501" t="s">
        <v>3161</v>
      </c>
      <c r="Z1677" s="478" t="s">
        <v>4745</v>
      </c>
      <c r="AA1677" s="501" t="s">
        <v>1924</v>
      </c>
      <c r="AB1677" s="570" t="s">
        <v>1589</v>
      </c>
    </row>
    <row r="1678" spans="1:28" ht="24" customHeight="1">
      <c r="A1678" s="584"/>
      <c r="B1678" s="460" t="s">
        <v>675</v>
      </c>
      <c r="C1678" s="458" t="s">
        <v>4770</v>
      </c>
      <c r="D1678" s="510" t="s">
        <v>4771</v>
      </c>
      <c r="E1678" s="498">
        <f t="shared" si="131"/>
        <v>35</v>
      </c>
      <c r="F1678" s="498">
        <v>0</v>
      </c>
      <c r="G1678" s="498">
        <v>0</v>
      </c>
      <c r="H1678" s="498">
        <v>35</v>
      </c>
      <c r="I1678" s="498">
        <f t="shared" si="132"/>
        <v>28</v>
      </c>
      <c r="J1678" s="498">
        <v>0</v>
      </c>
      <c r="K1678" s="498">
        <v>0</v>
      </c>
      <c r="L1678" s="668">
        <v>28</v>
      </c>
      <c r="M1678" s="672">
        <v>98.9</v>
      </c>
      <c r="N1678" s="653">
        <v>4010</v>
      </c>
      <c r="O1678" s="715" t="s">
        <v>3176</v>
      </c>
      <c r="P1678" s="501" t="s">
        <v>3274</v>
      </c>
      <c r="Q1678" s="672">
        <v>0</v>
      </c>
      <c r="R1678" s="672">
        <v>0</v>
      </c>
      <c r="S1678" s="672">
        <v>0</v>
      </c>
      <c r="T1678" s="840">
        <v>0</v>
      </c>
      <c r="U1678" s="501" t="s">
        <v>7498</v>
      </c>
      <c r="V1678" s="566" t="s">
        <v>4772</v>
      </c>
      <c r="W1678" s="498">
        <v>89</v>
      </c>
      <c r="X1678" s="501" t="s">
        <v>2199</v>
      </c>
      <c r="Y1678" s="501" t="s">
        <v>3161</v>
      </c>
      <c r="Z1678" s="478" t="s">
        <v>4745</v>
      </c>
      <c r="AA1678" s="501" t="s">
        <v>1924</v>
      </c>
      <c r="AB1678" s="570" t="s">
        <v>1589</v>
      </c>
    </row>
    <row r="1679" spans="1:28" ht="24" customHeight="1">
      <c r="A1679" s="584"/>
      <c r="B1679" s="460" t="s">
        <v>675</v>
      </c>
      <c r="C1679" s="458" t="s">
        <v>4773</v>
      </c>
      <c r="D1679" s="510" t="s">
        <v>4753</v>
      </c>
      <c r="E1679" s="498">
        <f t="shared" si="131"/>
        <v>55</v>
      </c>
      <c r="F1679" s="498">
        <v>0</v>
      </c>
      <c r="G1679" s="498">
        <v>0</v>
      </c>
      <c r="H1679" s="498">
        <v>55</v>
      </c>
      <c r="I1679" s="498">
        <f t="shared" si="132"/>
        <v>44</v>
      </c>
      <c r="J1679" s="498">
        <v>0</v>
      </c>
      <c r="K1679" s="498">
        <v>0</v>
      </c>
      <c r="L1679" s="668">
        <v>44</v>
      </c>
      <c r="M1679" s="672">
        <v>92</v>
      </c>
      <c r="N1679" s="653">
        <v>8250</v>
      </c>
      <c r="O1679" s="715" t="s">
        <v>4768</v>
      </c>
      <c r="P1679" s="501" t="s">
        <v>4769</v>
      </c>
      <c r="Q1679" s="672">
        <v>0</v>
      </c>
      <c r="R1679" s="672">
        <v>0</v>
      </c>
      <c r="S1679" s="672">
        <v>0</v>
      </c>
      <c r="T1679" s="840">
        <v>0</v>
      </c>
      <c r="U1679" s="501" t="s">
        <v>7498</v>
      </c>
      <c r="V1679" s="566" t="s">
        <v>4774</v>
      </c>
      <c r="W1679" s="498">
        <v>218</v>
      </c>
      <c r="X1679" s="501" t="s">
        <v>2199</v>
      </c>
      <c r="Y1679" s="501" t="s">
        <v>3161</v>
      </c>
      <c r="Z1679" s="478" t="s">
        <v>1828</v>
      </c>
      <c r="AA1679" s="501" t="s">
        <v>1924</v>
      </c>
      <c r="AB1679" s="570" t="s">
        <v>1589</v>
      </c>
    </row>
    <row r="1680" spans="1:28" ht="24" customHeight="1">
      <c r="A1680" s="584"/>
      <c r="B1680" s="460" t="s">
        <v>675</v>
      </c>
      <c r="C1680" s="458" t="s">
        <v>4775</v>
      </c>
      <c r="D1680" s="510" t="s">
        <v>4776</v>
      </c>
      <c r="E1680" s="498">
        <f t="shared" si="131"/>
        <v>65</v>
      </c>
      <c r="F1680" s="498">
        <v>0</v>
      </c>
      <c r="G1680" s="498">
        <v>0</v>
      </c>
      <c r="H1680" s="498">
        <v>65</v>
      </c>
      <c r="I1680" s="498">
        <f t="shared" si="132"/>
        <v>52</v>
      </c>
      <c r="J1680" s="498">
        <v>0</v>
      </c>
      <c r="K1680" s="498">
        <v>0</v>
      </c>
      <c r="L1680" s="668">
        <v>52</v>
      </c>
      <c r="M1680" s="672">
        <v>94.1</v>
      </c>
      <c r="N1680" s="653">
        <v>4010</v>
      </c>
      <c r="O1680" s="715" t="s">
        <v>3176</v>
      </c>
      <c r="P1680" s="501" t="s">
        <v>3274</v>
      </c>
      <c r="Q1680" s="672">
        <v>0</v>
      </c>
      <c r="R1680" s="672">
        <v>0</v>
      </c>
      <c r="S1680" s="672">
        <v>0</v>
      </c>
      <c r="T1680" s="840">
        <v>0</v>
      </c>
      <c r="U1680" s="501" t="s">
        <v>7498</v>
      </c>
      <c r="V1680" s="566" t="s">
        <v>4777</v>
      </c>
      <c r="W1680" s="498">
        <v>280</v>
      </c>
      <c r="X1680" s="501" t="s">
        <v>2199</v>
      </c>
      <c r="Y1680" s="501" t="s">
        <v>3161</v>
      </c>
      <c r="Z1680" s="478" t="s">
        <v>4778</v>
      </c>
      <c r="AA1680" s="501" t="s">
        <v>1924</v>
      </c>
      <c r="AB1680" s="570" t="s">
        <v>1589</v>
      </c>
    </row>
    <row r="1681" spans="1:28" ht="24" customHeight="1">
      <c r="A1681" s="584"/>
      <c r="B1681" s="460" t="s">
        <v>675</v>
      </c>
      <c r="C1681" s="458" t="s">
        <v>4779</v>
      </c>
      <c r="D1681" s="510" t="s">
        <v>4780</v>
      </c>
      <c r="E1681" s="498">
        <f t="shared" si="131"/>
        <v>55</v>
      </c>
      <c r="F1681" s="498">
        <v>0</v>
      </c>
      <c r="G1681" s="498">
        <v>0</v>
      </c>
      <c r="H1681" s="498">
        <v>55</v>
      </c>
      <c r="I1681" s="498">
        <f t="shared" si="132"/>
        <v>44</v>
      </c>
      <c r="J1681" s="498">
        <v>0</v>
      </c>
      <c r="K1681" s="498">
        <v>0</v>
      </c>
      <c r="L1681" s="668">
        <v>44</v>
      </c>
      <c r="M1681" s="672">
        <v>79.599999999999994</v>
      </c>
      <c r="N1681" s="653">
        <v>4810</v>
      </c>
      <c r="O1681" s="715" t="s">
        <v>4781</v>
      </c>
      <c r="P1681" s="501" t="s">
        <v>3718</v>
      </c>
      <c r="Q1681" s="672">
        <v>0</v>
      </c>
      <c r="R1681" s="672">
        <v>0</v>
      </c>
      <c r="S1681" s="672">
        <v>0</v>
      </c>
      <c r="T1681" s="840">
        <v>0</v>
      </c>
      <c r="U1681" s="501" t="s">
        <v>7498</v>
      </c>
      <c r="V1681" s="566" t="s">
        <v>4782</v>
      </c>
      <c r="W1681" s="498">
        <v>280</v>
      </c>
      <c r="X1681" s="501" t="s">
        <v>2199</v>
      </c>
      <c r="Y1681" s="501" t="s">
        <v>3161</v>
      </c>
      <c r="Z1681" s="478" t="s">
        <v>1859</v>
      </c>
      <c r="AA1681" s="501" t="s">
        <v>1924</v>
      </c>
      <c r="AB1681" s="570" t="s">
        <v>1589</v>
      </c>
    </row>
    <row r="1682" spans="1:28" ht="24" customHeight="1">
      <c r="A1682" s="584"/>
      <c r="B1682" s="460" t="s">
        <v>675</v>
      </c>
      <c r="C1682" s="458" t="s">
        <v>2425</v>
      </c>
      <c r="D1682" s="510" t="s">
        <v>4783</v>
      </c>
      <c r="E1682" s="498">
        <f t="shared" si="131"/>
        <v>65</v>
      </c>
      <c r="F1682" s="498">
        <v>0</v>
      </c>
      <c r="G1682" s="498">
        <v>0</v>
      </c>
      <c r="H1682" s="498">
        <v>65</v>
      </c>
      <c r="I1682" s="498">
        <f t="shared" si="132"/>
        <v>52</v>
      </c>
      <c r="J1682" s="498">
        <v>0</v>
      </c>
      <c r="K1682" s="498">
        <v>0</v>
      </c>
      <c r="L1682" s="668">
        <v>52</v>
      </c>
      <c r="M1682" s="672">
        <v>94</v>
      </c>
      <c r="N1682" s="498">
        <v>4050</v>
      </c>
      <c r="O1682" s="715" t="s">
        <v>4784</v>
      </c>
      <c r="P1682" s="501" t="s">
        <v>1588</v>
      </c>
      <c r="Q1682" s="672">
        <v>0</v>
      </c>
      <c r="R1682" s="672">
        <v>0</v>
      </c>
      <c r="S1682" s="672">
        <v>0</v>
      </c>
      <c r="T1682" s="672">
        <v>0</v>
      </c>
      <c r="U1682" s="501" t="s">
        <v>7498</v>
      </c>
      <c r="V1682" s="501" t="s">
        <v>4785</v>
      </c>
      <c r="W1682" s="498">
        <v>400</v>
      </c>
      <c r="X1682" s="501" t="s">
        <v>2193</v>
      </c>
      <c r="Y1682" s="501" t="s">
        <v>3161</v>
      </c>
      <c r="Z1682" s="478" t="s">
        <v>1924</v>
      </c>
      <c r="AA1682" s="501" t="s">
        <v>1924</v>
      </c>
      <c r="AB1682" s="570" t="s">
        <v>1589</v>
      </c>
    </row>
    <row r="1683" spans="1:28" ht="24" customHeight="1">
      <c r="A1683" s="582" t="s">
        <v>1901</v>
      </c>
      <c r="B1683" s="460" t="s">
        <v>2201</v>
      </c>
      <c r="C1683" s="458" t="s">
        <v>2329</v>
      </c>
      <c r="D1683" s="510" t="s">
        <v>4786</v>
      </c>
      <c r="E1683" s="498">
        <f>F1683+G1683+H1683</f>
        <v>25000</v>
      </c>
      <c r="F1683" s="498">
        <v>0</v>
      </c>
      <c r="G1683" s="498">
        <v>25000</v>
      </c>
      <c r="H1683" s="498">
        <v>0</v>
      </c>
      <c r="I1683" s="498">
        <f>J1683+K1683+L1683</f>
        <v>27287</v>
      </c>
      <c r="J1683" s="498">
        <v>0</v>
      </c>
      <c r="K1683" s="653">
        <v>27287</v>
      </c>
      <c r="L1683" s="668">
        <v>0</v>
      </c>
      <c r="M1683" s="672">
        <v>102.6</v>
      </c>
      <c r="N1683" s="498">
        <v>2848</v>
      </c>
      <c r="O1683" s="715" t="s">
        <v>1535</v>
      </c>
      <c r="P1683" s="501" t="s">
        <v>1588</v>
      </c>
      <c r="Q1683" s="672">
        <v>56.6</v>
      </c>
      <c r="R1683" s="672">
        <v>0</v>
      </c>
      <c r="S1683" s="672">
        <v>0</v>
      </c>
      <c r="T1683" s="672">
        <v>0</v>
      </c>
      <c r="U1683" s="501" t="s">
        <v>4787</v>
      </c>
      <c r="V1683" s="625" t="s">
        <v>4788</v>
      </c>
      <c r="W1683" s="653">
        <v>17661</v>
      </c>
      <c r="X1683" s="501" t="s">
        <v>2193</v>
      </c>
      <c r="Y1683" s="501" t="s">
        <v>3336</v>
      </c>
      <c r="Z1683" s="501" t="s">
        <v>286</v>
      </c>
      <c r="AA1683" s="501" t="s">
        <v>1704</v>
      </c>
      <c r="AB1683" s="502" t="s">
        <v>1589</v>
      </c>
    </row>
    <row r="1684" spans="1:28" ht="24" customHeight="1">
      <c r="A1684" s="584"/>
      <c r="B1684" s="460" t="s">
        <v>2201</v>
      </c>
      <c r="C1684" s="458" t="s">
        <v>286</v>
      </c>
      <c r="D1684" s="510" t="s">
        <v>4789</v>
      </c>
      <c r="E1684" s="498">
        <f>F1684+G1684+H1684</f>
        <v>10000</v>
      </c>
      <c r="F1684" s="498">
        <v>0</v>
      </c>
      <c r="G1684" s="498">
        <v>10000</v>
      </c>
      <c r="H1684" s="498">
        <v>0</v>
      </c>
      <c r="I1684" s="498">
        <f>J1684+K1684+L1684</f>
        <v>3414</v>
      </c>
      <c r="J1684" s="498">
        <v>0</v>
      </c>
      <c r="K1684" s="498">
        <v>3414</v>
      </c>
      <c r="L1684" s="668">
        <v>0</v>
      </c>
      <c r="M1684" s="672">
        <v>34.14</v>
      </c>
      <c r="N1684" s="498">
        <v>15.7</v>
      </c>
      <c r="O1684" s="715" t="s">
        <v>1535</v>
      </c>
      <c r="P1684" s="501" t="s">
        <v>1588</v>
      </c>
      <c r="Q1684" s="672">
        <v>0</v>
      </c>
      <c r="R1684" s="672">
        <v>0</v>
      </c>
      <c r="S1684" s="672" t="s">
        <v>1704</v>
      </c>
      <c r="T1684" s="672" t="s">
        <v>1704</v>
      </c>
      <c r="U1684" s="501" t="s">
        <v>4790</v>
      </c>
      <c r="V1684" s="625" t="s">
        <v>4791</v>
      </c>
      <c r="W1684" s="653">
        <v>25004</v>
      </c>
      <c r="X1684" s="501" t="s">
        <v>2193</v>
      </c>
      <c r="Y1684" s="501" t="s">
        <v>3232</v>
      </c>
      <c r="Z1684" s="501" t="s">
        <v>286</v>
      </c>
      <c r="AA1684" s="501" t="s">
        <v>1704</v>
      </c>
      <c r="AB1684" s="502" t="s">
        <v>1589</v>
      </c>
    </row>
    <row r="1685" spans="1:28" ht="24" customHeight="1">
      <c r="A1685" s="584"/>
      <c r="B1685" s="460" t="s">
        <v>675</v>
      </c>
      <c r="C1685" s="458" t="s">
        <v>1970</v>
      </c>
      <c r="D1685" s="510" t="s">
        <v>4792</v>
      </c>
      <c r="E1685" s="498">
        <f>F1685+G1685+H1685</f>
        <v>40</v>
      </c>
      <c r="F1685" s="498">
        <v>0</v>
      </c>
      <c r="G1685" s="498">
        <v>40</v>
      </c>
      <c r="H1685" s="498">
        <v>0</v>
      </c>
      <c r="I1685" s="498">
        <f>J1685+K1685+L1685</f>
        <v>28</v>
      </c>
      <c r="J1685" s="498">
        <v>0</v>
      </c>
      <c r="K1685" s="498">
        <v>28</v>
      </c>
      <c r="L1685" s="668">
        <v>0</v>
      </c>
      <c r="M1685" s="672">
        <v>70</v>
      </c>
      <c r="N1685" s="498">
        <v>0</v>
      </c>
      <c r="O1685" s="715" t="s">
        <v>4793</v>
      </c>
      <c r="P1685" s="501" t="s">
        <v>1588</v>
      </c>
      <c r="Q1685" s="672">
        <v>0</v>
      </c>
      <c r="R1685" s="672">
        <v>0</v>
      </c>
      <c r="S1685" s="672">
        <v>0</v>
      </c>
      <c r="T1685" s="672">
        <v>0</v>
      </c>
      <c r="U1685" s="501" t="s">
        <v>4787</v>
      </c>
      <c r="V1685" s="625" t="s">
        <v>4794</v>
      </c>
      <c r="W1685" s="498">
        <v>148</v>
      </c>
      <c r="X1685" s="501" t="s">
        <v>2193</v>
      </c>
      <c r="Y1685" s="501" t="s">
        <v>1064</v>
      </c>
      <c r="Z1685" s="501" t="s">
        <v>4795</v>
      </c>
      <c r="AA1685" s="501" t="s">
        <v>1786</v>
      </c>
      <c r="AB1685" s="502" t="s">
        <v>1589</v>
      </c>
    </row>
    <row r="1686" spans="1:28" ht="24" customHeight="1">
      <c r="A1686" s="584"/>
      <c r="B1686" s="460" t="s">
        <v>675</v>
      </c>
      <c r="C1686" s="458" t="s">
        <v>4796</v>
      </c>
      <c r="D1686" s="510" t="s">
        <v>4797</v>
      </c>
      <c r="E1686" s="498">
        <f>F1686+G1686+H1686</f>
        <v>70</v>
      </c>
      <c r="F1686" s="498">
        <v>0</v>
      </c>
      <c r="G1686" s="498">
        <v>70</v>
      </c>
      <c r="H1686" s="498">
        <v>0</v>
      </c>
      <c r="I1686" s="498">
        <f>J1686+K1686+L1686</f>
        <v>49</v>
      </c>
      <c r="J1686" s="498">
        <v>0</v>
      </c>
      <c r="K1686" s="498">
        <v>49</v>
      </c>
      <c r="L1686" s="668">
        <v>0</v>
      </c>
      <c r="M1686" s="672">
        <v>70</v>
      </c>
      <c r="N1686" s="498">
        <v>0</v>
      </c>
      <c r="O1686" s="715" t="s">
        <v>4798</v>
      </c>
      <c r="P1686" s="501" t="s">
        <v>1588</v>
      </c>
      <c r="Q1686" s="672">
        <v>0</v>
      </c>
      <c r="R1686" s="672">
        <v>0</v>
      </c>
      <c r="S1686" s="672">
        <v>0</v>
      </c>
      <c r="T1686" s="672">
        <v>0</v>
      </c>
      <c r="U1686" s="501" t="s">
        <v>4799</v>
      </c>
      <c r="V1686" s="625" t="s">
        <v>4800</v>
      </c>
      <c r="W1686" s="498">
        <v>310</v>
      </c>
      <c r="X1686" s="501" t="s">
        <v>2193</v>
      </c>
      <c r="Y1686" s="501" t="s">
        <v>3232</v>
      </c>
      <c r="Z1686" s="501" t="s">
        <v>4795</v>
      </c>
      <c r="AA1686" s="501" t="s">
        <v>1786</v>
      </c>
      <c r="AB1686" s="502" t="s">
        <v>1589</v>
      </c>
    </row>
    <row r="1687" spans="1:28" ht="24" customHeight="1">
      <c r="A1687" s="582" t="s">
        <v>1902</v>
      </c>
      <c r="B1687" s="460" t="s">
        <v>2201</v>
      </c>
      <c r="C1687" s="458" t="s">
        <v>2167</v>
      </c>
      <c r="D1687" s="510" t="s">
        <v>4801</v>
      </c>
      <c r="E1687" s="498">
        <f t="shared" ref="E1687:E1696" si="133">F1687+G1687+H1687</f>
        <v>26000</v>
      </c>
      <c r="F1687" s="498">
        <v>0</v>
      </c>
      <c r="G1687" s="498">
        <v>26000</v>
      </c>
      <c r="H1687" s="498">
        <v>0</v>
      </c>
      <c r="I1687" s="498">
        <f t="shared" ref="I1687:I1696" si="134">J1687+K1687+L1687</f>
        <v>23869</v>
      </c>
      <c r="J1687" s="498">
        <v>0</v>
      </c>
      <c r="K1687" s="498">
        <v>23869</v>
      </c>
      <c r="L1687" s="668">
        <v>0</v>
      </c>
      <c r="M1687" s="672">
        <v>89.5</v>
      </c>
      <c r="N1687" s="498">
        <v>1574.4</v>
      </c>
      <c r="O1687" s="715" t="s">
        <v>2330</v>
      </c>
      <c r="P1687" s="501" t="s">
        <v>1588</v>
      </c>
      <c r="Q1687" s="672">
        <v>58.3</v>
      </c>
      <c r="R1687" s="672">
        <v>0</v>
      </c>
      <c r="S1687" s="672">
        <v>18.600000000000001</v>
      </c>
      <c r="T1687" s="672">
        <v>0</v>
      </c>
      <c r="U1687" s="501" t="s">
        <v>2456</v>
      </c>
      <c r="V1687" s="501" t="s">
        <v>4802</v>
      </c>
      <c r="W1687" s="498">
        <v>30700</v>
      </c>
      <c r="X1687" s="501" t="s">
        <v>2199</v>
      </c>
      <c r="Y1687" s="501" t="s">
        <v>3232</v>
      </c>
      <c r="Z1687" s="501" t="s">
        <v>1903</v>
      </c>
      <c r="AA1687" s="501" t="s">
        <v>1589</v>
      </c>
      <c r="AB1687" s="502" t="s">
        <v>1589</v>
      </c>
    </row>
    <row r="1688" spans="1:28" ht="24" customHeight="1">
      <c r="A1688" s="584"/>
      <c r="B1688" s="460" t="s">
        <v>675</v>
      </c>
      <c r="C1688" s="458" t="s">
        <v>4803</v>
      </c>
      <c r="D1688" s="510" t="s">
        <v>4804</v>
      </c>
      <c r="E1688" s="498">
        <f t="shared" si="133"/>
        <v>40</v>
      </c>
      <c r="F1688" s="498">
        <v>0</v>
      </c>
      <c r="G1688" s="498">
        <v>40</v>
      </c>
      <c r="H1688" s="498">
        <v>0</v>
      </c>
      <c r="I1688" s="498">
        <f t="shared" si="134"/>
        <v>40</v>
      </c>
      <c r="J1688" s="498">
        <v>0</v>
      </c>
      <c r="K1688" s="498">
        <v>40</v>
      </c>
      <c r="L1688" s="668">
        <v>0</v>
      </c>
      <c r="M1688" s="672">
        <v>90</v>
      </c>
      <c r="N1688" s="498">
        <v>1.7</v>
      </c>
      <c r="O1688" s="763" t="s">
        <v>4805</v>
      </c>
      <c r="P1688" s="501" t="s">
        <v>1588</v>
      </c>
      <c r="Q1688" s="672">
        <v>0</v>
      </c>
      <c r="R1688" s="672">
        <v>0</v>
      </c>
      <c r="S1688" s="672">
        <v>0</v>
      </c>
      <c r="T1688" s="672">
        <v>0</v>
      </c>
      <c r="U1688" s="501" t="s">
        <v>2456</v>
      </c>
      <c r="V1688" s="501" t="s">
        <v>4806</v>
      </c>
      <c r="W1688" s="498">
        <v>345</v>
      </c>
      <c r="X1688" s="501" t="s">
        <v>2199</v>
      </c>
      <c r="Y1688" s="566" t="s">
        <v>1588</v>
      </c>
      <c r="Z1688" s="501" t="s">
        <v>1589</v>
      </c>
      <c r="AA1688" s="501" t="s">
        <v>1589</v>
      </c>
      <c r="AB1688" s="502" t="s">
        <v>1589</v>
      </c>
    </row>
    <row r="1689" spans="1:28" ht="24" customHeight="1">
      <c r="A1689" s="584"/>
      <c r="B1689" s="460" t="s">
        <v>675</v>
      </c>
      <c r="C1689" s="458" t="s">
        <v>4807</v>
      </c>
      <c r="D1689" s="510" t="s">
        <v>4808</v>
      </c>
      <c r="E1689" s="498">
        <f t="shared" si="133"/>
        <v>25</v>
      </c>
      <c r="F1689" s="498">
        <v>0</v>
      </c>
      <c r="G1689" s="498">
        <v>25</v>
      </c>
      <c r="H1689" s="498">
        <v>0</v>
      </c>
      <c r="I1689" s="498">
        <f t="shared" si="134"/>
        <v>25</v>
      </c>
      <c r="J1689" s="498">
        <v>0</v>
      </c>
      <c r="K1689" s="498">
        <v>25</v>
      </c>
      <c r="L1689" s="668">
        <v>0</v>
      </c>
      <c r="M1689" s="672">
        <v>90</v>
      </c>
      <c r="N1689" s="498">
        <v>1.6</v>
      </c>
      <c r="O1689" s="763" t="s">
        <v>4805</v>
      </c>
      <c r="P1689" s="501" t="s">
        <v>1588</v>
      </c>
      <c r="Q1689" s="672">
        <v>0</v>
      </c>
      <c r="R1689" s="672">
        <v>0</v>
      </c>
      <c r="S1689" s="672">
        <v>0</v>
      </c>
      <c r="T1689" s="672">
        <v>0</v>
      </c>
      <c r="U1689" s="501" t="s">
        <v>2456</v>
      </c>
      <c r="V1689" s="501" t="s">
        <v>4806</v>
      </c>
      <c r="W1689" s="498">
        <v>291</v>
      </c>
      <c r="X1689" s="501" t="s">
        <v>2199</v>
      </c>
      <c r="Y1689" s="566" t="s">
        <v>1588</v>
      </c>
      <c r="Z1689" s="501" t="s">
        <v>1904</v>
      </c>
      <c r="AA1689" s="501" t="s">
        <v>1589</v>
      </c>
      <c r="AB1689" s="502" t="s">
        <v>1589</v>
      </c>
    </row>
    <row r="1690" spans="1:28" ht="24" customHeight="1">
      <c r="A1690" s="584"/>
      <c r="B1690" s="460" t="s">
        <v>675</v>
      </c>
      <c r="C1690" s="458" t="s">
        <v>4809</v>
      </c>
      <c r="D1690" s="510" t="s">
        <v>4810</v>
      </c>
      <c r="E1690" s="498">
        <f t="shared" si="133"/>
        <v>20</v>
      </c>
      <c r="F1690" s="498">
        <v>0</v>
      </c>
      <c r="G1690" s="498">
        <v>20</v>
      </c>
      <c r="H1690" s="498">
        <v>0</v>
      </c>
      <c r="I1690" s="498">
        <f t="shared" si="134"/>
        <v>20</v>
      </c>
      <c r="J1690" s="498">
        <v>0</v>
      </c>
      <c r="K1690" s="498">
        <v>20</v>
      </c>
      <c r="L1690" s="668">
        <v>0</v>
      </c>
      <c r="M1690" s="672">
        <v>90</v>
      </c>
      <c r="N1690" s="498">
        <v>1.4</v>
      </c>
      <c r="O1690" s="763" t="s">
        <v>4805</v>
      </c>
      <c r="P1690" s="501" t="s">
        <v>1588</v>
      </c>
      <c r="Q1690" s="672">
        <v>0</v>
      </c>
      <c r="R1690" s="672">
        <v>0</v>
      </c>
      <c r="S1690" s="672">
        <v>0</v>
      </c>
      <c r="T1690" s="672">
        <v>0</v>
      </c>
      <c r="U1690" s="501" t="s">
        <v>2456</v>
      </c>
      <c r="V1690" s="501" t="s">
        <v>4806</v>
      </c>
      <c r="W1690" s="498">
        <v>170</v>
      </c>
      <c r="X1690" s="501" t="s">
        <v>2199</v>
      </c>
      <c r="Y1690" s="566" t="s">
        <v>1588</v>
      </c>
      <c r="Z1690" s="478" t="s">
        <v>4811</v>
      </c>
      <c r="AA1690" s="501" t="s">
        <v>1592</v>
      </c>
      <c r="AB1690" s="502" t="s">
        <v>1592</v>
      </c>
    </row>
    <row r="1691" spans="1:28" ht="24" customHeight="1">
      <c r="A1691" s="584"/>
      <c r="B1691" s="460" t="s">
        <v>675</v>
      </c>
      <c r="C1691" s="458" t="s">
        <v>4812</v>
      </c>
      <c r="D1691" s="510" t="s">
        <v>4813</v>
      </c>
      <c r="E1691" s="498">
        <f t="shared" si="133"/>
        <v>25</v>
      </c>
      <c r="F1691" s="498">
        <v>0</v>
      </c>
      <c r="G1691" s="498">
        <v>25</v>
      </c>
      <c r="H1691" s="498">
        <v>0</v>
      </c>
      <c r="I1691" s="498">
        <f t="shared" si="134"/>
        <v>25</v>
      </c>
      <c r="J1691" s="498">
        <v>0</v>
      </c>
      <c r="K1691" s="498">
        <v>25</v>
      </c>
      <c r="L1691" s="668">
        <v>0</v>
      </c>
      <c r="M1691" s="672">
        <v>90</v>
      </c>
      <c r="N1691" s="498">
        <v>1.2</v>
      </c>
      <c r="O1691" s="763" t="s">
        <v>4805</v>
      </c>
      <c r="P1691" s="501" t="s">
        <v>1588</v>
      </c>
      <c r="Q1691" s="672">
        <v>0</v>
      </c>
      <c r="R1691" s="672">
        <v>0</v>
      </c>
      <c r="S1691" s="672">
        <v>0</v>
      </c>
      <c r="T1691" s="672">
        <v>0</v>
      </c>
      <c r="U1691" s="501" t="s">
        <v>2456</v>
      </c>
      <c r="V1691" s="501" t="s">
        <v>4806</v>
      </c>
      <c r="W1691" s="498">
        <v>227</v>
      </c>
      <c r="X1691" s="501" t="s">
        <v>2199</v>
      </c>
      <c r="Y1691" s="501" t="s">
        <v>3232</v>
      </c>
      <c r="Z1691" s="501" t="s">
        <v>4814</v>
      </c>
      <c r="AA1691" s="501" t="s">
        <v>1589</v>
      </c>
      <c r="AB1691" s="502" t="s">
        <v>1589</v>
      </c>
    </row>
    <row r="1692" spans="1:28" ht="24" customHeight="1">
      <c r="A1692" s="584"/>
      <c r="B1692" s="460" t="s">
        <v>675</v>
      </c>
      <c r="C1692" s="458" t="s">
        <v>4815</v>
      </c>
      <c r="D1692" s="510" t="s">
        <v>4816</v>
      </c>
      <c r="E1692" s="498">
        <f t="shared" si="133"/>
        <v>40</v>
      </c>
      <c r="F1692" s="498">
        <v>0</v>
      </c>
      <c r="G1692" s="498">
        <v>40</v>
      </c>
      <c r="H1692" s="498">
        <v>0</v>
      </c>
      <c r="I1692" s="498">
        <f t="shared" si="134"/>
        <v>40</v>
      </c>
      <c r="J1692" s="498">
        <v>0</v>
      </c>
      <c r="K1692" s="498">
        <v>40</v>
      </c>
      <c r="L1692" s="668">
        <v>0</v>
      </c>
      <c r="M1692" s="672">
        <v>90</v>
      </c>
      <c r="N1692" s="498">
        <v>3.5</v>
      </c>
      <c r="O1692" s="763" t="s">
        <v>4805</v>
      </c>
      <c r="P1692" s="501" t="s">
        <v>1588</v>
      </c>
      <c r="Q1692" s="672">
        <v>0</v>
      </c>
      <c r="R1692" s="672">
        <v>0</v>
      </c>
      <c r="S1692" s="672">
        <v>0</v>
      </c>
      <c r="T1692" s="672">
        <v>0</v>
      </c>
      <c r="U1692" s="501" t="s">
        <v>2456</v>
      </c>
      <c r="V1692" s="501" t="s">
        <v>4806</v>
      </c>
      <c r="W1692" s="498">
        <v>300</v>
      </c>
      <c r="X1692" s="501" t="s">
        <v>2199</v>
      </c>
      <c r="Y1692" s="566" t="s">
        <v>1588</v>
      </c>
      <c r="Z1692" s="501" t="s">
        <v>1906</v>
      </c>
      <c r="AA1692" s="501" t="s">
        <v>1589</v>
      </c>
      <c r="AB1692" s="502" t="s">
        <v>1589</v>
      </c>
    </row>
    <row r="1693" spans="1:28" ht="24" customHeight="1">
      <c r="A1693" s="584"/>
      <c r="B1693" s="460" t="s">
        <v>675</v>
      </c>
      <c r="C1693" s="458" t="s">
        <v>1224</v>
      </c>
      <c r="D1693" s="510" t="s">
        <v>4817</v>
      </c>
      <c r="E1693" s="498">
        <f t="shared" si="133"/>
        <v>20</v>
      </c>
      <c r="F1693" s="498">
        <v>0</v>
      </c>
      <c r="G1693" s="498">
        <v>20</v>
      </c>
      <c r="H1693" s="498">
        <v>0</v>
      </c>
      <c r="I1693" s="498">
        <f t="shared" si="134"/>
        <v>20</v>
      </c>
      <c r="J1693" s="498">
        <v>0</v>
      </c>
      <c r="K1693" s="498">
        <v>20</v>
      </c>
      <c r="L1693" s="668">
        <v>0</v>
      </c>
      <c r="M1693" s="672">
        <v>90</v>
      </c>
      <c r="N1693" s="498">
        <v>1.5</v>
      </c>
      <c r="O1693" s="763" t="s">
        <v>4805</v>
      </c>
      <c r="P1693" s="501" t="s">
        <v>1588</v>
      </c>
      <c r="Q1693" s="672">
        <v>0</v>
      </c>
      <c r="R1693" s="672">
        <v>0</v>
      </c>
      <c r="S1693" s="672">
        <v>0</v>
      </c>
      <c r="T1693" s="672">
        <v>0</v>
      </c>
      <c r="U1693" s="501" t="s">
        <v>2456</v>
      </c>
      <c r="V1693" s="501" t="s">
        <v>4806</v>
      </c>
      <c r="W1693" s="498">
        <v>269</v>
      </c>
      <c r="X1693" s="501" t="s">
        <v>2199</v>
      </c>
      <c r="Y1693" s="501" t="s">
        <v>3232</v>
      </c>
      <c r="Z1693" s="501" t="s">
        <v>1906</v>
      </c>
      <c r="AA1693" s="501" t="s">
        <v>1589</v>
      </c>
      <c r="AB1693" s="502" t="s">
        <v>1589</v>
      </c>
    </row>
    <row r="1694" spans="1:28" ht="24" customHeight="1">
      <c r="A1694" s="584"/>
      <c r="B1694" s="460" t="s">
        <v>675</v>
      </c>
      <c r="C1694" s="458" t="s">
        <v>4818</v>
      </c>
      <c r="D1694" s="510" t="s">
        <v>4819</v>
      </c>
      <c r="E1694" s="498">
        <f t="shared" si="133"/>
        <v>57</v>
      </c>
      <c r="F1694" s="498">
        <v>0</v>
      </c>
      <c r="G1694" s="498">
        <v>57</v>
      </c>
      <c r="H1694" s="498">
        <v>0</v>
      </c>
      <c r="I1694" s="498">
        <f t="shared" si="134"/>
        <v>57</v>
      </c>
      <c r="J1694" s="498">
        <v>0</v>
      </c>
      <c r="K1694" s="498">
        <v>57</v>
      </c>
      <c r="L1694" s="668">
        <v>0</v>
      </c>
      <c r="M1694" s="672">
        <v>90</v>
      </c>
      <c r="N1694" s="498">
        <v>3.1</v>
      </c>
      <c r="O1694" s="715" t="s">
        <v>4820</v>
      </c>
      <c r="P1694" s="501" t="s">
        <v>1588</v>
      </c>
      <c r="Q1694" s="672">
        <v>0</v>
      </c>
      <c r="R1694" s="672">
        <v>0</v>
      </c>
      <c r="S1694" s="672">
        <v>0</v>
      </c>
      <c r="T1694" s="672">
        <v>0</v>
      </c>
      <c r="U1694" s="501" t="s">
        <v>2456</v>
      </c>
      <c r="V1694" s="501" t="s">
        <v>4806</v>
      </c>
      <c r="W1694" s="498">
        <v>360</v>
      </c>
      <c r="X1694" s="501" t="s">
        <v>2199</v>
      </c>
      <c r="Y1694" s="566" t="s">
        <v>1588</v>
      </c>
      <c r="Z1694" s="501" t="s">
        <v>4821</v>
      </c>
      <c r="AA1694" s="501" t="s">
        <v>1589</v>
      </c>
      <c r="AB1694" s="502" t="s">
        <v>1589</v>
      </c>
    </row>
    <row r="1695" spans="1:28" ht="24" customHeight="1">
      <c r="A1695" s="584"/>
      <c r="B1695" s="460" t="s">
        <v>675</v>
      </c>
      <c r="C1695" s="458" t="s">
        <v>4822</v>
      </c>
      <c r="D1695" s="510" t="s">
        <v>4823</v>
      </c>
      <c r="E1695" s="498">
        <f t="shared" si="133"/>
        <v>120</v>
      </c>
      <c r="F1695" s="498">
        <v>0</v>
      </c>
      <c r="G1695" s="498">
        <v>120</v>
      </c>
      <c r="H1695" s="498">
        <v>0</v>
      </c>
      <c r="I1695" s="498">
        <f t="shared" si="134"/>
        <v>120</v>
      </c>
      <c r="J1695" s="498">
        <v>0</v>
      </c>
      <c r="K1695" s="498">
        <v>120</v>
      </c>
      <c r="L1695" s="668">
        <v>0</v>
      </c>
      <c r="M1695" s="672">
        <v>90</v>
      </c>
      <c r="N1695" s="498">
        <v>5.0999999999999996</v>
      </c>
      <c r="O1695" s="715" t="s">
        <v>4820</v>
      </c>
      <c r="P1695" s="501" t="s">
        <v>1588</v>
      </c>
      <c r="Q1695" s="672">
        <v>0</v>
      </c>
      <c r="R1695" s="672">
        <v>0</v>
      </c>
      <c r="S1695" s="672">
        <v>0</v>
      </c>
      <c r="T1695" s="672">
        <v>0</v>
      </c>
      <c r="U1695" s="501" t="s">
        <v>2456</v>
      </c>
      <c r="V1695" s="501" t="s">
        <v>7702</v>
      </c>
      <c r="W1695" s="498">
        <v>581</v>
      </c>
      <c r="X1695" s="501" t="s">
        <v>2199</v>
      </c>
      <c r="Y1695" s="566" t="s">
        <v>1588</v>
      </c>
      <c r="Z1695" s="501" t="s">
        <v>1903</v>
      </c>
      <c r="AA1695" s="501" t="s">
        <v>1589</v>
      </c>
      <c r="AB1695" s="502" t="s">
        <v>1589</v>
      </c>
    </row>
    <row r="1696" spans="1:28" ht="24" customHeight="1">
      <c r="A1696" s="584"/>
      <c r="B1696" s="460" t="s">
        <v>675</v>
      </c>
      <c r="C1696" s="458" t="s">
        <v>7703</v>
      </c>
      <c r="D1696" s="510" t="s">
        <v>7704</v>
      </c>
      <c r="E1696" s="498">
        <f t="shared" si="133"/>
        <v>46</v>
      </c>
      <c r="F1696" s="498">
        <v>0</v>
      </c>
      <c r="G1696" s="498">
        <v>46</v>
      </c>
      <c r="H1696" s="498">
        <v>0</v>
      </c>
      <c r="I1696" s="498">
        <f t="shared" si="134"/>
        <v>46</v>
      </c>
      <c r="J1696" s="498">
        <v>0</v>
      </c>
      <c r="K1696" s="498">
        <v>46</v>
      </c>
      <c r="L1696" s="668">
        <v>0</v>
      </c>
      <c r="M1696" s="672">
        <v>90</v>
      </c>
      <c r="N1696" s="498">
        <v>2.1</v>
      </c>
      <c r="O1696" s="715" t="s">
        <v>4820</v>
      </c>
      <c r="P1696" s="501" t="s">
        <v>1588</v>
      </c>
      <c r="Q1696" s="672">
        <v>0</v>
      </c>
      <c r="R1696" s="672">
        <v>0</v>
      </c>
      <c r="S1696" s="672">
        <v>0</v>
      </c>
      <c r="T1696" s="672">
        <v>0</v>
      </c>
      <c r="U1696" s="501" t="s">
        <v>2456</v>
      </c>
      <c r="V1696" s="501" t="s">
        <v>7705</v>
      </c>
      <c r="W1696" s="498">
        <v>461</v>
      </c>
      <c r="X1696" s="501" t="s">
        <v>2199</v>
      </c>
      <c r="Y1696" s="566" t="s">
        <v>1588</v>
      </c>
      <c r="Z1696" s="501" t="s">
        <v>1905</v>
      </c>
      <c r="AA1696" s="501" t="s">
        <v>1589</v>
      </c>
      <c r="AB1696" s="502" t="s">
        <v>1589</v>
      </c>
    </row>
    <row r="1697" spans="1:28" ht="24" customHeight="1">
      <c r="A1697" s="582" t="s">
        <v>2009</v>
      </c>
      <c r="B1697" s="460" t="s">
        <v>2201</v>
      </c>
      <c r="C1697" s="458" t="s">
        <v>2332</v>
      </c>
      <c r="D1697" s="510" t="s">
        <v>7706</v>
      </c>
      <c r="E1697" s="498">
        <f>F1697+G1697+H1697</f>
        <v>30000</v>
      </c>
      <c r="F1697" s="498">
        <v>0</v>
      </c>
      <c r="G1697" s="498">
        <v>0</v>
      </c>
      <c r="H1697" s="498">
        <v>30000</v>
      </c>
      <c r="I1697" s="498">
        <f>J1697+K1697+L1697</f>
        <v>32180</v>
      </c>
      <c r="J1697" s="498">
        <v>0</v>
      </c>
      <c r="K1697" s="498">
        <v>0</v>
      </c>
      <c r="L1697" s="668">
        <v>32180</v>
      </c>
      <c r="M1697" s="672">
        <v>95</v>
      </c>
      <c r="N1697" s="498">
        <v>2709</v>
      </c>
      <c r="O1697" s="715" t="s">
        <v>7707</v>
      </c>
      <c r="P1697" s="501" t="s">
        <v>1588</v>
      </c>
      <c r="Q1697" s="672">
        <v>63</v>
      </c>
      <c r="R1697" s="672">
        <v>0</v>
      </c>
      <c r="S1697" s="672">
        <v>1.5</v>
      </c>
      <c r="T1697" s="672" t="s">
        <v>1704</v>
      </c>
      <c r="U1697" s="501" t="s">
        <v>7708</v>
      </c>
      <c r="V1697" s="566" t="s">
        <v>7709</v>
      </c>
      <c r="W1697" s="498">
        <v>43451</v>
      </c>
      <c r="X1697" s="501" t="s">
        <v>2193</v>
      </c>
      <c r="Y1697" s="501" t="s">
        <v>3161</v>
      </c>
      <c r="Z1697" s="501" t="s">
        <v>1887</v>
      </c>
      <c r="AA1697" s="501" t="s">
        <v>1704</v>
      </c>
      <c r="AB1697" s="502" t="s">
        <v>1589</v>
      </c>
    </row>
    <row r="1698" spans="1:28" ht="24" customHeight="1">
      <c r="A1698" s="584"/>
      <c r="B1698" s="460" t="s">
        <v>2201</v>
      </c>
      <c r="C1698" s="458" t="s">
        <v>287</v>
      </c>
      <c r="D1698" s="510" t="s">
        <v>7710</v>
      </c>
      <c r="E1698" s="498">
        <f>SUM(F1698:H1698)</f>
        <v>8000</v>
      </c>
      <c r="F1698" s="498">
        <v>0</v>
      </c>
      <c r="G1698" s="498">
        <v>0</v>
      </c>
      <c r="H1698" s="653">
        <v>8000</v>
      </c>
      <c r="I1698" s="498">
        <v>3640</v>
      </c>
      <c r="J1698" s="498">
        <v>0</v>
      </c>
      <c r="K1698" s="498">
        <v>0</v>
      </c>
      <c r="L1698" s="668">
        <v>3640</v>
      </c>
      <c r="M1698" s="672">
        <v>94</v>
      </c>
      <c r="N1698" s="498">
        <v>192</v>
      </c>
      <c r="O1698" s="715" t="s">
        <v>3347</v>
      </c>
      <c r="P1698" s="501" t="s">
        <v>1588</v>
      </c>
      <c r="Q1698" s="672">
        <v>0</v>
      </c>
      <c r="R1698" s="672">
        <v>0</v>
      </c>
      <c r="S1698" s="672">
        <v>0</v>
      </c>
      <c r="T1698" s="672">
        <v>0</v>
      </c>
      <c r="U1698" s="501" t="s">
        <v>7711</v>
      </c>
      <c r="V1698" s="501" t="s">
        <v>2156</v>
      </c>
      <c r="W1698" s="498">
        <v>27001</v>
      </c>
      <c r="X1698" s="501" t="s">
        <v>2193</v>
      </c>
      <c r="Y1698" s="501" t="s">
        <v>3161</v>
      </c>
      <c r="Z1698" s="501" t="s">
        <v>1887</v>
      </c>
      <c r="AA1698" s="501"/>
      <c r="AB1698" s="502" t="s">
        <v>1589</v>
      </c>
    </row>
    <row r="1699" spans="1:28" ht="24" customHeight="1">
      <c r="A1699" s="584"/>
      <c r="B1699" s="460" t="s">
        <v>2201</v>
      </c>
      <c r="C1699" s="458" t="s">
        <v>288</v>
      </c>
      <c r="D1699" s="510" t="s">
        <v>7712</v>
      </c>
      <c r="E1699" s="498">
        <f>SUM(F1699:H1699)</f>
        <v>2000</v>
      </c>
      <c r="F1699" s="498">
        <v>0</v>
      </c>
      <c r="G1699" s="498">
        <v>0</v>
      </c>
      <c r="H1699" s="653">
        <v>2000</v>
      </c>
      <c r="I1699" s="498">
        <v>372</v>
      </c>
      <c r="J1699" s="498">
        <v>0</v>
      </c>
      <c r="K1699" s="498">
        <v>0</v>
      </c>
      <c r="L1699" s="668">
        <v>372</v>
      </c>
      <c r="M1699" s="672">
        <v>98</v>
      </c>
      <c r="N1699" s="498">
        <v>21</v>
      </c>
      <c r="O1699" s="715" t="s">
        <v>7713</v>
      </c>
      <c r="P1699" s="501" t="s">
        <v>1588</v>
      </c>
      <c r="Q1699" s="672">
        <v>0</v>
      </c>
      <c r="R1699" s="672">
        <v>0</v>
      </c>
      <c r="S1699" s="672">
        <v>0</v>
      </c>
      <c r="T1699" s="672">
        <v>0</v>
      </c>
      <c r="U1699" s="501" t="s">
        <v>7714</v>
      </c>
      <c r="V1699" s="501" t="s">
        <v>7715</v>
      </c>
      <c r="W1699" s="498">
        <v>17356</v>
      </c>
      <c r="X1699" s="501" t="s">
        <v>2199</v>
      </c>
      <c r="Y1699" s="501" t="s">
        <v>3161</v>
      </c>
      <c r="Z1699" s="501" t="s">
        <v>1887</v>
      </c>
      <c r="AA1699" s="501"/>
      <c r="AB1699" s="502" t="s">
        <v>1589</v>
      </c>
    </row>
    <row r="1700" spans="1:28" ht="24" customHeight="1">
      <c r="A1700" s="584"/>
      <c r="B1700" s="460" t="s">
        <v>675</v>
      </c>
      <c r="C1700" s="458" t="s">
        <v>7716</v>
      </c>
      <c r="D1700" s="510" t="s">
        <v>7717</v>
      </c>
      <c r="E1700" s="498">
        <f t="shared" ref="E1700:E1728" si="135">SUM(F1700:H1700)</f>
        <v>50</v>
      </c>
      <c r="F1700" s="498">
        <v>0</v>
      </c>
      <c r="G1700" s="498">
        <v>50</v>
      </c>
      <c r="H1700" s="498">
        <v>0</v>
      </c>
      <c r="I1700" s="498">
        <v>0</v>
      </c>
      <c r="J1700" s="498">
        <v>0</v>
      </c>
      <c r="K1700" s="498">
        <v>0</v>
      </c>
      <c r="L1700" s="668">
        <v>0</v>
      </c>
      <c r="M1700" s="672">
        <v>0</v>
      </c>
      <c r="N1700" s="498">
        <v>0</v>
      </c>
      <c r="O1700" s="715" t="s">
        <v>7718</v>
      </c>
      <c r="P1700" s="501" t="s">
        <v>1588</v>
      </c>
      <c r="Q1700" s="672">
        <v>0</v>
      </c>
      <c r="R1700" s="672">
        <v>0</v>
      </c>
      <c r="S1700" s="672">
        <v>0</v>
      </c>
      <c r="T1700" s="672">
        <v>0</v>
      </c>
      <c r="U1700" s="501" t="s">
        <v>7708</v>
      </c>
      <c r="V1700" s="501" t="s">
        <v>7719</v>
      </c>
      <c r="W1700" s="498">
        <v>110</v>
      </c>
      <c r="X1700" s="501" t="s">
        <v>2193</v>
      </c>
      <c r="Y1700" s="501" t="s">
        <v>3232</v>
      </c>
      <c r="Z1700" s="501" t="s">
        <v>1887</v>
      </c>
      <c r="AA1700" s="501"/>
      <c r="AB1700" s="502" t="s">
        <v>1589</v>
      </c>
    </row>
    <row r="1701" spans="1:28" ht="24" customHeight="1">
      <c r="A1701" s="584"/>
      <c r="B1701" s="460" t="s">
        <v>675</v>
      </c>
      <c r="C1701" s="458" t="s">
        <v>7720</v>
      </c>
      <c r="D1701" s="510" t="s">
        <v>7721</v>
      </c>
      <c r="E1701" s="498">
        <f t="shared" si="135"/>
        <v>30</v>
      </c>
      <c r="F1701" s="498">
        <v>0</v>
      </c>
      <c r="G1701" s="498">
        <v>30</v>
      </c>
      <c r="H1701" s="498">
        <v>0</v>
      </c>
      <c r="I1701" s="498">
        <v>0</v>
      </c>
      <c r="J1701" s="498">
        <v>0</v>
      </c>
      <c r="K1701" s="498">
        <v>0</v>
      </c>
      <c r="L1701" s="668">
        <v>0</v>
      </c>
      <c r="M1701" s="672">
        <v>0</v>
      </c>
      <c r="N1701" s="498">
        <v>0</v>
      </c>
      <c r="O1701" s="715" t="s">
        <v>7718</v>
      </c>
      <c r="P1701" s="501" t="s">
        <v>1588</v>
      </c>
      <c r="Q1701" s="672">
        <v>0</v>
      </c>
      <c r="R1701" s="672">
        <v>0</v>
      </c>
      <c r="S1701" s="672">
        <v>0</v>
      </c>
      <c r="T1701" s="672">
        <v>0</v>
      </c>
      <c r="U1701" s="501" t="s">
        <v>7708</v>
      </c>
      <c r="V1701" s="501" t="s">
        <v>7722</v>
      </c>
      <c r="W1701" s="498">
        <v>89</v>
      </c>
      <c r="X1701" s="501" t="s">
        <v>2193</v>
      </c>
      <c r="Y1701" s="501" t="s">
        <v>3232</v>
      </c>
      <c r="Z1701" s="501" t="s">
        <v>1887</v>
      </c>
      <c r="AA1701" s="501"/>
      <c r="AB1701" s="502" t="s">
        <v>1589</v>
      </c>
    </row>
    <row r="1702" spans="1:28" ht="24" customHeight="1">
      <c r="A1702" s="584"/>
      <c r="B1702" s="460" t="s">
        <v>675</v>
      </c>
      <c r="C1702" s="458" t="s">
        <v>7723</v>
      </c>
      <c r="D1702" s="510" t="s">
        <v>7724</v>
      </c>
      <c r="E1702" s="498">
        <f t="shared" si="135"/>
        <v>50</v>
      </c>
      <c r="F1702" s="498">
        <v>0</v>
      </c>
      <c r="G1702" s="498">
        <v>50</v>
      </c>
      <c r="H1702" s="498">
        <v>0</v>
      </c>
      <c r="I1702" s="498">
        <v>0</v>
      </c>
      <c r="J1702" s="498">
        <v>0</v>
      </c>
      <c r="K1702" s="498">
        <v>0</v>
      </c>
      <c r="L1702" s="668">
        <v>0</v>
      </c>
      <c r="M1702" s="672">
        <v>0</v>
      </c>
      <c r="N1702" s="498">
        <v>0</v>
      </c>
      <c r="O1702" s="715" t="s">
        <v>7725</v>
      </c>
      <c r="P1702" s="501" t="s">
        <v>1588</v>
      </c>
      <c r="Q1702" s="672">
        <v>0</v>
      </c>
      <c r="R1702" s="672">
        <v>0</v>
      </c>
      <c r="S1702" s="672">
        <v>0</v>
      </c>
      <c r="T1702" s="672">
        <v>0</v>
      </c>
      <c r="U1702" s="501" t="s">
        <v>7708</v>
      </c>
      <c r="V1702" s="501" t="s">
        <v>7726</v>
      </c>
      <c r="W1702" s="498">
        <v>197</v>
      </c>
      <c r="X1702" s="501" t="s">
        <v>2193</v>
      </c>
      <c r="Y1702" s="501" t="s">
        <v>3232</v>
      </c>
      <c r="Z1702" s="501" t="s">
        <v>1887</v>
      </c>
      <c r="AA1702" s="501"/>
      <c r="AB1702" s="502" t="s">
        <v>1589</v>
      </c>
    </row>
    <row r="1703" spans="1:28" ht="24" customHeight="1">
      <c r="A1703" s="584"/>
      <c r="B1703" s="460" t="s">
        <v>675</v>
      </c>
      <c r="C1703" s="458" t="s">
        <v>7727</v>
      </c>
      <c r="D1703" s="510" t="s">
        <v>7728</v>
      </c>
      <c r="E1703" s="498">
        <f t="shared" si="135"/>
        <v>30</v>
      </c>
      <c r="F1703" s="498">
        <v>0</v>
      </c>
      <c r="G1703" s="498">
        <v>30</v>
      </c>
      <c r="H1703" s="498">
        <v>0</v>
      </c>
      <c r="I1703" s="498">
        <v>0</v>
      </c>
      <c r="J1703" s="498">
        <v>0</v>
      </c>
      <c r="K1703" s="498">
        <v>0</v>
      </c>
      <c r="L1703" s="668">
        <v>0</v>
      </c>
      <c r="M1703" s="672">
        <v>0</v>
      </c>
      <c r="N1703" s="498">
        <v>0</v>
      </c>
      <c r="O1703" s="715" t="s">
        <v>7725</v>
      </c>
      <c r="P1703" s="501" t="s">
        <v>1588</v>
      </c>
      <c r="Q1703" s="672">
        <v>0</v>
      </c>
      <c r="R1703" s="672">
        <v>0</v>
      </c>
      <c r="S1703" s="672">
        <v>0</v>
      </c>
      <c r="T1703" s="672">
        <v>0</v>
      </c>
      <c r="U1703" s="501" t="s">
        <v>7708</v>
      </c>
      <c r="V1703" s="501" t="s">
        <v>3764</v>
      </c>
      <c r="W1703" s="498">
        <v>60</v>
      </c>
      <c r="X1703" s="501" t="s">
        <v>2193</v>
      </c>
      <c r="Y1703" s="501" t="s">
        <v>3232</v>
      </c>
      <c r="Z1703" s="501" t="s">
        <v>1887</v>
      </c>
      <c r="AA1703" s="501"/>
      <c r="AB1703" s="502" t="s">
        <v>1589</v>
      </c>
    </row>
    <row r="1704" spans="1:28" ht="24" customHeight="1">
      <c r="A1704" s="584"/>
      <c r="B1704" s="460" t="s">
        <v>675</v>
      </c>
      <c r="C1704" s="458" t="s">
        <v>7729</v>
      </c>
      <c r="D1704" s="510" t="s">
        <v>7730</v>
      </c>
      <c r="E1704" s="498">
        <f t="shared" si="135"/>
        <v>28</v>
      </c>
      <c r="F1704" s="498">
        <v>0</v>
      </c>
      <c r="G1704" s="498">
        <v>28</v>
      </c>
      <c r="H1704" s="498">
        <v>0</v>
      </c>
      <c r="I1704" s="498">
        <v>0</v>
      </c>
      <c r="J1704" s="498">
        <v>0</v>
      </c>
      <c r="K1704" s="498">
        <v>0</v>
      </c>
      <c r="L1704" s="668">
        <v>0</v>
      </c>
      <c r="M1704" s="672">
        <v>0</v>
      </c>
      <c r="N1704" s="498">
        <v>0</v>
      </c>
      <c r="O1704" s="715" t="s">
        <v>7731</v>
      </c>
      <c r="P1704" s="501" t="s">
        <v>1588</v>
      </c>
      <c r="Q1704" s="672">
        <v>0</v>
      </c>
      <c r="R1704" s="672">
        <v>0</v>
      </c>
      <c r="S1704" s="672">
        <v>0</v>
      </c>
      <c r="T1704" s="672">
        <v>0</v>
      </c>
      <c r="U1704" s="501" t="s">
        <v>7708</v>
      </c>
      <c r="V1704" s="501" t="s">
        <v>7732</v>
      </c>
      <c r="W1704" s="498">
        <v>124</v>
      </c>
      <c r="X1704" s="501" t="s">
        <v>2193</v>
      </c>
      <c r="Y1704" s="501" t="s">
        <v>3232</v>
      </c>
      <c r="Z1704" s="501" t="s">
        <v>1887</v>
      </c>
      <c r="AA1704" s="501"/>
      <c r="AB1704" s="502" t="s">
        <v>1589</v>
      </c>
    </row>
    <row r="1705" spans="1:28" ht="24" customHeight="1">
      <c r="A1705" s="584"/>
      <c r="B1705" s="460" t="s">
        <v>675</v>
      </c>
      <c r="C1705" s="458" t="s">
        <v>7733</v>
      </c>
      <c r="D1705" s="510" t="s">
        <v>7734</v>
      </c>
      <c r="E1705" s="498">
        <f t="shared" si="135"/>
        <v>40</v>
      </c>
      <c r="F1705" s="498">
        <v>0</v>
      </c>
      <c r="G1705" s="498">
        <v>0</v>
      </c>
      <c r="H1705" s="498">
        <v>40</v>
      </c>
      <c r="I1705" s="498">
        <v>0</v>
      </c>
      <c r="J1705" s="498">
        <v>0</v>
      </c>
      <c r="K1705" s="498">
        <v>0</v>
      </c>
      <c r="L1705" s="668">
        <v>0</v>
      </c>
      <c r="M1705" s="672">
        <v>0</v>
      </c>
      <c r="N1705" s="498">
        <v>0</v>
      </c>
      <c r="O1705" s="715" t="s">
        <v>7735</v>
      </c>
      <c r="P1705" s="501" t="s">
        <v>1588</v>
      </c>
      <c r="Q1705" s="672">
        <v>0</v>
      </c>
      <c r="R1705" s="672">
        <v>0</v>
      </c>
      <c r="S1705" s="672">
        <v>0</v>
      </c>
      <c r="T1705" s="672">
        <v>0</v>
      </c>
      <c r="U1705" s="501" t="s">
        <v>7708</v>
      </c>
      <c r="V1705" s="501" t="s">
        <v>7736</v>
      </c>
      <c r="W1705" s="498">
        <v>207</v>
      </c>
      <c r="X1705" s="501" t="s">
        <v>2193</v>
      </c>
      <c r="Y1705" s="501" t="s">
        <v>3161</v>
      </c>
      <c r="Z1705" s="501" t="s">
        <v>1887</v>
      </c>
      <c r="AA1705" s="501"/>
      <c r="AB1705" s="502" t="s">
        <v>1589</v>
      </c>
    </row>
    <row r="1706" spans="1:28" ht="24" customHeight="1">
      <c r="A1706" s="584"/>
      <c r="B1706" s="460" t="s">
        <v>675</v>
      </c>
      <c r="C1706" s="458" t="s">
        <v>7737</v>
      </c>
      <c r="D1706" s="510" t="s">
        <v>7738</v>
      </c>
      <c r="E1706" s="498">
        <f t="shared" si="135"/>
        <v>40</v>
      </c>
      <c r="F1706" s="498">
        <v>0</v>
      </c>
      <c r="G1706" s="498">
        <v>0</v>
      </c>
      <c r="H1706" s="498">
        <v>40</v>
      </c>
      <c r="I1706" s="498">
        <v>0</v>
      </c>
      <c r="J1706" s="498">
        <v>0</v>
      </c>
      <c r="K1706" s="498">
        <v>0</v>
      </c>
      <c r="L1706" s="668">
        <v>0</v>
      </c>
      <c r="M1706" s="672">
        <v>0</v>
      </c>
      <c r="N1706" s="498">
        <v>0</v>
      </c>
      <c r="O1706" s="715" t="s">
        <v>7735</v>
      </c>
      <c r="P1706" s="501" t="s">
        <v>1588</v>
      </c>
      <c r="Q1706" s="672">
        <v>0</v>
      </c>
      <c r="R1706" s="672">
        <v>0</v>
      </c>
      <c r="S1706" s="672">
        <v>0</v>
      </c>
      <c r="T1706" s="672">
        <v>0</v>
      </c>
      <c r="U1706" s="501" t="s">
        <v>7708</v>
      </c>
      <c r="V1706" s="501" t="s">
        <v>7739</v>
      </c>
      <c r="W1706" s="498">
        <v>253</v>
      </c>
      <c r="X1706" s="501" t="s">
        <v>2193</v>
      </c>
      <c r="Y1706" s="501" t="s">
        <v>3161</v>
      </c>
      <c r="Z1706" s="501" t="s">
        <v>1887</v>
      </c>
      <c r="AA1706" s="501"/>
      <c r="AB1706" s="502" t="s">
        <v>1589</v>
      </c>
    </row>
    <row r="1707" spans="1:28" ht="24" customHeight="1">
      <c r="A1707" s="584"/>
      <c r="B1707" s="460" t="s">
        <v>675</v>
      </c>
      <c r="C1707" s="458" t="s">
        <v>7740</v>
      </c>
      <c r="D1707" s="510" t="s">
        <v>7741</v>
      </c>
      <c r="E1707" s="498">
        <f t="shared" si="135"/>
        <v>30</v>
      </c>
      <c r="F1707" s="498">
        <v>0</v>
      </c>
      <c r="G1707" s="498">
        <v>30</v>
      </c>
      <c r="H1707" s="498">
        <v>0</v>
      </c>
      <c r="I1707" s="498">
        <v>0</v>
      </c>
      <c r="J1707" s="498">
        <v>0</v>
      </c>
      <c r="K1707" s="498">
        <v>0</v>
      </c>
      <c r="L1707" s="668">
        <v>0</v>
      </c>
      <c r="M1707" s="672">
        <v>0</v>
      </c>
      <c r="N1707" s="498">
        <v>0</v>
      </c>
      <c r="O1707" s="715" t="s">
        <v>7742</v>
      </c>
      <c r="P1707" s="501" t="s">
        <v>1588</v>
      </c>
      <c r="Q1707" s="672">
        <v>0</v>
      </c>
      <c r="R1707" s="672">
        <v>0</v>
      </c>
      <c r="S1707" s="672">
        <v>0</v>
      </c>
      <c r="T1707" s="672">
        <v>0</v>
      </c>
      <c r="U1707" s="501" t="s">
        <v>7708</v>
      </c>
      <c r="V1707" s="501" t="s">
        <v>7743</v>
      </c>
      <c r="W1707" s="498">
        <v>145</v>
      </c>
      <c r="X1707" s="501" t="s">
        <v>2193</v>
      </c>
      <c r="Y1707" s="501" t="s">
        <v>3232</v>
      </c>
      <c r="Z1707" s="501" t="s">
        <v>1887</v>
      </c>
      <c r="AA1707" s="501"/>
      <c r="AB1707" s="502" t="s">
        <v>1589</v>
      </c>
    </row>
    <row r="1708" spans="1:28" ht="24" customHeight="1">
      <c r="A1708" s="584"/>
      <c r="B1708" s="460" t="s">
        <v>675</v>
      </c>
      <c r="C1708" s="458" t="s">
        <v>7744</v>
      </c>
      <c r="D1708" s="510" t="s">
        <v>7745</v>
      </c>
      <c r="E1708" s="498">
        <f t="shared" si="135"/>
        <v>25</v>
      </c>
      <c r="F1708" s="498">
        <v>0</v>
      </c>
      <c r="G1708" s="498">
        <v>25</v>
      </c>
      <c r="H1708" s="498">
        <v>0</v>
      </c>
      <c r="I1708" s="498">
        <v>0</v>
      </c>
      <c r="J1708" s="498">
        <v>0</v>
      </c>
      <c r="K1708" s="498">
        <v>0</v>
      </c>
      <c r="L1708" s="668">
        <v>0</v>
      </c>
      <c r="M1708" s="672">
        <v>0</v>
      </c>
      <c r="N1708" s="498">
        <v>0</v>
      </c>
      <c r="O1708" s="715" t="s">
        <v>7731</v>
      </c>
      <c r="P1708" s="501" t="s">
        <v>1588</v>
      </c>
      <c r="Q1708" s="672">
        <v>0</v>
      </c>
      <c r="R1708" s="672">
        <v>0</v>
      </c>
      <c r="S1708" s="672">
        <v>0</v>
      </c>
      <c r="T1708" s="672">
        <v>0</v>
      </c>
      <c r="U1708" s="501" t="s">
        <v>7708</v>
      </c>
      <c r="V1708" s="501" t="s">
        <v>5721</v>
      </c>
      <c r="W1708" s="498">
        <v>68</v>
      </c>
      <c r="X1708" s="501" t="s">
        <v>2193</v>
      </c>
      <c r="Y1708" s="501" t="s">
        <v>3232</v>
      </c>
      <c r="Z1708" s="501" t="s">
        <v>1887</v>
      </c>
      <c r="AA1708" s="501"/>
      <c r="AB1708" s="502" t="s">
        <v>1589</v>
      </c>
    </row>
    <row r="1709" spans="1:28" ht="24" customHeight="1">
      <c r="A1709" s="584"/>
      <c r="B1709" s="460" t="s">
        <v>675</v>
      </c>
      <c r="C1709" s="458" t="s">
        <v>2067</v>
      </c>
      <c r="D1709" s="510" t="s">
        <v>7746</v>
      </c>
      <c r="E1709" s="498">
        <f t="shared" si="135"/>
        <v>40</v>
      </c>
      <c r="F1709" s="498">
        <v>0</v>
      </c>
      <c r="G1709" s="498">
        <v>40</v>
      </c>
      <c r="H1709" s="498">
        <v>0</v>
      </c>
      <c r="I1709" s="498">
        <v>0</v>
      </c>
      <c r="J1709" s="498">
        <v>0</v>
      </c>
      <c r="K1709" s="498">
        <v>0</v>
      </c>
      <c r="L1709" s="668">
        <v>0</v>
      </c>
      <c r="M1709" s="672">
        <v>0</v>
      </c>
      <c r="N1709" s="498">
        <v>0</v>
      </c>
      <c r="O1709" s="715" t="s">
        <v>7731</v>
      </c>
      <c r="P1709" s="501" t="s">
        <v>1588</v>
      </c>
      <c r="Q1709" s="672">
        <v>0</v>
      </c>
      <c r="R1709" s="672">
        <v>0</v>
      </c>
      <c r="S1709" s="672">
        <v>0</v>
      </c>
      <c r="T1709" s="672">
        <v>0</v>
      </c>
      <c r="U1709" s="501" t="s">
        <v>7708</v>
      </c>
      <c r="V1709" s="501" t="s">
        <v>5721</v>
      </c>
      <c r="W1709" s="498">
        <v>93</v>
      </c>
      <c r="X1709" s="501" t="s">
        <v>2193</v>
      </c>
      <c r="Y1709" s="501" t="s">
        <v>3232</v>
      </c>
      <c r="Z1709" s="501" t="s">
        <v>1887</v>
      </c>
      <c r="AA1709" s="501"/>
      <c r="AB1709" s="502" t="s">
        <v>1589</v>
      </c>
    </row>
    <row r="1710" spans="1:28" ht="24" customHeight="1">
      <c r="A1710" s="584"/>
      <c r="B1710" s="460" t="s">
        <v>675</v>
      </c>
      <c r="C1710" s="458" t="s">
        <v>7747</v>
      </c>
      <c r="D1710" s="510" t="s">
        <v>7748</v>
      </c>
      <c r="E1710" s="498">
        <f t="shared" si="135"/>
        <v>30</v>
      </c>
      <c r="F1710" s="498">
        <v>0</v>
      </c>
      <c r="G1710" s="498">
        <v>0</v>
      </c>
      <c r="H1710" s="498">
        <v>30</v>
      </c>
      <c r="I1710" s="498">
        <v>0</v>
      </c>
      <c r="J1710" s="498">
        <v>0</v>
      </c>
      <c r="K1710" s="498">
        <v>0</v>
      </c>
      <c r="L1710" s="668">
        <v>0</v>
      </c>
      <c r="M1710" s="672">
        <v>0</v>
      </c>
      <c r="N1710" s="498">
        <v>0</v>
      </c>
      <c r="O1710" s="715" t="s">
        <v>7735</v>
      </c>
      <c r="P1710" s="501" t="s">
        <v>1588</v>
      </c>
      <c r="Q1710" s="672">
        <v>0</v>
      </c>
      <c r="R1710" s="672">
        <v>0</v>
      </c>
      <c r="S1710" s="672">
        <v>0</v>
      </c>
      <c r="T1710" s="672">
        <v>0</v>
      </c>
      <c r="U1710" s="501" t="s">
        <v>7708</v>
      </c>
      <c r="V1710" s="501" t="s">
        <v>7749</v>
      </c>
      <c r="W1710" s="498">
        <v>157</v>
      </c>
      <c r="X1710" s="501" t="s">
        <v>2193</v>
      </c>
      <c r="Y1710" s="501" t="s">
        <v>3161</v>
      </c>
      <c r="Z1710" s="501" t="s">
        <v>1887</v>
      </c>
      <c r="AA1710" s="501"/>
      <c r="AB1710" s="502" t="s">
        <v>1589</v>
      </c>
    </row>
    <row r="1711" spans="1:28" ht="24" customHeight="1">
      <c r="A1711" s="584"/>
      <c r="B1711" s="460" t="s">
        <v>675</v>
      </c>
      <c r="C1711" s="458" t="s">
        <v>7750</v>
      </c>
      <c r="D1711" s="510" t="s">
        <v>7751</v>
      </c>
      <c r="E1711" s="498">
        <f t="shared" si="135"/>
        <v>40</v>
      </c>
      <c r="F1711" s="498">
        <v>0</v>
      </c>
      <c r="G1711" s="498">
        <v>40</v>
      </c>
      <c r="H1711" s="498">
        <v>0</v>
      </c>
      <c r="I1711" s="498">
        <v>0</v>
      </c>
      <c r="J1711" s="498">
        <v>0</v>
      </c>
      <c r="K1711" s="498">
        <v>0</v>
      </c>
      <c r="L1711" s="668">
        <v>0</v>
      </c>
      <c r="M1711" s="672">
        <v>0</v>
      </c>
      <c r="N1711" s="498">
        <v>0</v>
      </c>
      <c r="O1711" s="715" t="s">
        <v>5255</v>
      </c>
      <c r="P1711" s="501" t="s">
        <v>1588</v>
      </c>
      <c r="Q1711" s="672">
        <v>0</v>
      </c>
      <c r="R1711" s="672">
        <v>0</v>
      </c>
      <c r="S1711" s="672">
        <v>0</v>
      </c>
      <c r="T1711" s="672">
        <v>0</v>
      </c>
      <c r="U1711" s="501" t="s">
        <v>7708</v>
      </c>
      <c r="V1711" s="501" t="s">
        <v>6690</v>
      </c>
      <c r="W1711" s="498">
        <v>89</v>
      </c>
      <c r="X1711" s="501" t="s">
        <v>2193</v>
      </c>
      <c r="Y1711" s="501" t="s">
        <v>3232</v>
      </c>
      <c r="Z1711" s="501" t="s">
        <v>1887</v>
      </c>
      <c r="AA1711" s="501"/>
      <c r="AB1711" s="502" t="s">
        <v>1589</v>
      </c>
    </row>
    <row r="1712" spans="1:28" ht="24" customHeight="1">
      <c r="A1712" s="584"/>
      <c r="B1712" s="460" t="s">
        <v>675</v>
      </c>
      <c r="C1712" s="458" t="s">
        <v>7752</v>
      </c>
      <c r="D1712" s="510" t="s">
        <v>7753</v>
      </c>
      <c r="E1712" s="498">
        <f t="shared" si="135"/>
        <v>40</v>
      </c>
      <c r="F1712" s="498">
        <v>0</v>
      </c>
      <c r="G1712" s="498">
        <v>40</v>
      </c>
      <c r="H1712" s="498">
        <v>0</v>
      </c>
      <c r="I1712" s="498">
        <v>0</v>
      </c>
      <c r="J1712" s="498">
        <v>0</v>
      </c>
      <c r="K1712" s="498">
        <v>0</v>
      </c>
      <c r="L1712" s="668">
        <v>0</v>
      </c>
      <c r="M1712" s="672">
        <v>0</v>
      </c>
      <c r="N1712" s="498">
        <v>0</v>
      </c>
      <c r="O1712" s="715" t="s">
        <v>5255</v>
      </c>
      <c r="P1712" s="501" t="s">
        <v>1588</v>
      </c>
      <c r="Q1712" s="672">
        <v>0</v>
      </c>
      <c r="R1712" s="672">
        <v>0</v>
      </c>
      <c r="S1712" s="672">
        <v>0</v>
      </c>
      <c r="T1712" s="672">
        <v>0</v>
      </c>
      <c r="U1712" s="501" t="s">
        <v>7708</v>
      </c>
      <c r="V1712" s="501" t="s">
        <v>2615</v>
      </c>
      <c r="W1712" s="498">
        <v>76</v>
      </c>
      <c r="X1712" s="501" t="s">
        <v>2193</v>
      </c>
      <c r="Y1712" s="501" t="s">
        <v>3232</v>
      </c>
      <c r="Z1712" s="501" t="s">
        <v>1887</v>
      </c>
      <c r="AA1712" s="501"/>
      <c r="AB1712" s="502" t="s">
        <v>1589</v>
      </c>
    </row>
    <row r="1713" spans="1:28" ht="24" customHeight="1">
      <c r="A1713" s="584"/>
      <c r="B1713" s="460" t="s">
        <v>675</v>
      </c>
      <c r="C1713" s="458" t="s">
        <v>7754</v>
      </c>
      <c r="D1713" s="510" t="s">
        <v>7755</v>
      </c>
      <c r="E1713" s="498">
        <f t="shared" si="135"/>
        <v>50</v>
      </c>
      <c r="F1713" s="498">
        <v>0</v>
      </c>
      <c r="G1713" s="498">
        <v>50</v>
      </c>
      <c r="H1713" s="498">
        <v>0</v>
      </c>
      <c r="I1713" s="498">
        <v>0</v>
      </c>
      <c r="J1713" s="498">
        <v>0</v>
      </c>
      <c r="K1713" s="498">
        <v>0</v>
      </c>
      <c r="L1713" s="668">
        <v>0</v>
      </c>
      <c r="M1713" s="672">
        <v>0</v>
      </c>
      <c r="N1713" s="498">
        <v>0</v>
      </c>
      <c r="O1713" s="715" t="s">
        <v>7731</v>
      </c>
      <c r="P1713" s="501" t="s">
        <v>1588</v>
      </c>
      <c r="Q1713" s="672">
        <v>0</v>
      </c>
      <c r="R1713" s="672">
        <v>0</v>
      </c>
      <c r="S1713" s="672">
        <v>0</v>
      </c>
      <c r="T1713" s="672">
        <v>0</v>
      </c>
      <c r="U1713" s="501" t="s">
        <v>7708</v>
      </c>
      <c r="V1713" s="501" t="s">
        <v>7756</v>
      </c>
      <c r="W1713" s="498">
        <v>97</v>
      </c>
      <c r="X1713" s="501" t="s">
        <v>2193</v>
      </c>
      <c r="Y1713" s="501" t="s">
        <v>3232</v>
      </c>
      <c r="Z1713" s="501" t="s">
        <v>1887</v>
      </c>
      <c r="AA1713" s="501"/>
      <c r="AB1713" s="502" t="s">
        <v>1589</v>
      </c>
    </row>
    <row r="1714" spans="1:28" ht="24" customHeight="1">
      <c r="A1714" s="584"/>
      <c r="B1714" s="460" t="s">
        <v>675</v>
      </c>
      <c r="C1714" s="458" t="s">
        <v>7757</v>
      </c>
      <c r="D1714" s="510" t="s">
        <v>7758</v>
      </c>
      <c r="E1714" s="498">
        <f t="shared" si="135"/>
        <v>25</v>
      </c>
      <c r="F1714" s="498">
        <v>0</v>
      </c>
      <c r="G1714" s="498">
        <v>25</v>
      </c>
      <c r="H1714" s="498">
        <v>0</v>
      </c>
      <c r="I1714" s="498">
        <v>0</v>
      </c>
      <c r="J1714" s="498">
        <v>0</v>
      </c>
      <c r="K1714" s="498">
        <v>0</v>
      </c>
      <c r="L1714" s="668">
        <v>0</v>
      </c>
      <c r="M1714" s="672">
        <v>0</v>
      </c>
      <c r="N1714" s="498">
        <v>0</v>
      </c>
      <c r="O1714" s="715" t="s">
        <v>5255</v>
      </c>
      <c r="P1714" s="501" t="s">
        <v>1588</v>
      </c>
      <c r="Q1714" s="672">
        <v>0</v>
      </c>
      <c r="R1714" s="672">
        <v>0</v>
      </c>
      <c r="S1714" s="672">
        <v>0</v>
      </c>
      <c r="T1714" s="672">
        <v>0</v>
      </c>
      <c r="U1714" s="501" t="s">
        <v>7708</v>
      </c>
      <c r="V1714" s="501" t="s">
        <v>7759</v>
      </c>
      <c r="W1714" s="498">
        <v>67</v>
      </c>
      <c r="X1714" s="501" t="s">
        <v>2193</v>
      </c>
      <c r="Y1714" s="501" t="s">
        <v>3232</v>
      </c>
      <c r="Z1714" s="501" t="s">
        <v>1887</v>
      </c>
      <c r="AA1714" s="501"/>
      <c r="AB1714" s="502" t="s">
        <v>1589</v>
      </c>
    </row>
    <row r="1715" spans="1:28" ht="24" customHeight="1">
      <c r="A1715" s="584"/>
      <c r="B1715" s="460" t="s">
        <v>675</v>
      </c>
      <c r="C1715" s="458" t="s">
        <v>7760</v>
      </c>
      <c r="D1715" s="510" t="s">
        <v>7761</v>
      </c>
      <c r="E1715" s="498">
        <f t="shared" si="135"/>
        <v>60</v>
      </c>
      <c r="F1715" s="498">
        <v>0</v>
      </c>
      <c r="G1715" s="498">
        <v>60</v>
      </c>
      <c r="H1715" s="498">
        <v>0</v>
      </c>
      <c r="I1715" s="498">
        <v>0</v>
      </c>
      <c r="J1715" s="498">
        <v>0</v>
      </c>
      <c r="K1715" s="498">
        <v>0</v>
      </c>
      <c r="L1715" s="668">
        <v>0</v>
      </c>
      <c r="M1715" s="672">
        <v>0</v>
      </c>
      <c r="N1715" s="498">
        <v>0</v>
      </c>
      <c r="O1715" s="715" t="s">
        <v>3347</v>
      </c>
      <c r="P1715" s="501" t="s">
        <v>1588</v>
      </c>
      <c r="Q1715" s="672">
        <v>0</v>
      </c>
      <c r="R1715" s="672">
        <v>0</v>
      </c>
      <c r="S1715" s="672">
        <v>0</v>
      </c>
      <c r="T1715" s="672">
        <v>0</v>
      </c>
      <c r="U1715" s="501" t="s">
        <v>7708</v>
      </c>
      <c r="V1715" s="501" t="s">
        <v>7759</v>
      </c>
      <c r="W1715" s="498">
        <v>122</v>
      </c>
      <c r="X1715" s="501" t="s">
        <v>2193</v>
      </c>
      <c r="Y1715" s="501" t="s">
        <v>3232</v>
      </c>
      <c r="Z1715" s="501" t="s">
        <v>1887</v>
      </c>
      <c r="AA1715" s="501"/>
      <c r="AB1715" s="502" t="s">
        <v>1589</v>
      </c>
    </row>
    <row r="1716" spans="1:28" ht="24" customHeight="1">
      <c r="A1716" s="584"/>
      <c r="B1716" s="460" t="s">
        <v>675</v>
      </c>
      <c r="C1716" s="458" t="s">
        <v>7762</v>
      </c>
      <c r="D1716" s="510" t="s">
        <v>7763</v>
      </c>
      <c r="E1716" s="498">
        <f t="shared" si="135"/>
        <v>60</v>
      </c>
      <c r="F1716" s="498">
        <v>0</v>
      </c>
      <c r="G1716" s="498">
        <v>0</v>
      </c>
      <c r="H1716" s="498">
        <v>60</v>
      </c>
      <c r="I1716" s="498">
        <v>0</v>
      </c>
      <c r="J1716" s="498">
        <v>0</v>
      </c>
      <c r="K1716" s="498">
        <v>0</v>
      </c>
      <c r="L1716" s="668">
        <v>0</v>
      </c>
      <c r="M1716" s="672">
        <v>0</v>
      </c>
      <c r="N1716" s="498">
        <v>0</v>
      </c>
      <c r="O1716" s="715" t="s">
        <v>7286</v>
      </c>
      <c r="P1716" s="501" t="s">
        <v>1588</v>
      </c>
      <c r="Q1716" s="672">
        <v>0</v>
      </c>
      <c r="R1716" s="672">
        <v>0</v>
      </c>
      <c r="S1716" s="672">
        <v>0</v>
      </c>
      <c r="T1716" s="672">
        <v>0</v>
      </c>
      <c r="U1716" s="501" t="s">
        <v>7708</v>
      </c>
      <c r="V1716" s="501" t="s">
        <v>7764</v>
      </c>
      <c r="W1716" s="498">
        <v>621</v>
      </c>
      <c r="X1716" s="501" t="s">
        <v>2193</v>
      </c>
      <c r="Y1716" s="501" t="s">
        <v>3232</v>
      </c>
      <c r="Z1716" s="501" t="s">
        <v>1887</v>
      </c>
      <c r="AA1716" s="501"/>
      <c r="AB1716" s="502" t="s">
        <v>1589</v>
      </c>
    </row>
    <row r="1717" spans="1:28" ht="24" customHeight="1">
      <c r="A1717" s="584"/>
      <c r="B1717" s="460" t="s">
        <v>675</v>
      </c>
      <c r="C1717" s="458" t="s">
        <v>7765</v>
      </c>
      <c r="D1717" s="510" t="s">
        <v>7766</v>
      </c>
      <c r="E1717" s="498">
        <f t="shared" si="135"/>
        <v>60</v>
      </c>
      <c r="F1717" s="498">
        <v>0</v>
      </c>
      <c r="G1717" s="498">
        <v>0</v>
      </c>
      <c r="H1717" s="498">
        <v>60</v>
      </c>
      <c r="I1717" s="498">
        <v>0</v>
      </c>
      <c r="J1717" s="498">
        <v>0</v>
      </c>
      <c r="K1717" s="498">
        <v>0</v>
      </c>
      <c r="L1717" s="668">
        <v>0</v>
      </c>
      <c r="M1717" s="672">
        <v>0</v>
      </c>
      <c r="N1717" s="498">
        <v>0</v>
      </c>
      <c r="O1717" s="715" t="s">
        <v>3274</v>
      </c>
      <c r="P1717" s="501" t="s">
        <v>1588</v>
      </c>
      <c r="Q1717" s="672">
        <v>0</v>
      </c>
      <c r="R1717" s="672">
        <v>0</v>
      </c>
      <c r="S1717" s="672">
        <v>0</v>
      </c>
      <c r="T1717" s="672">
        <v>0</v>
      </c>
      <c r="U1717" s="501" t="s">
        <v>7708</v>
      </c>
      <c r="V1717" s="501" t="s">
        <v>7764</v>
      </c>
      <c r="W1717" s="498">
        <v>521</v>
      </c>
      <c r="X1717" s="501" t="s">
        <v>2193</v>
      </c>
      <c r="Y1717" s="501" t="s">
        <v>3232</v>
      </c>
      <c r="Z1717" s="501" t="s">
        <v>1887</v>
      </c>
      <c r="AA1717" s="501"/>
      <c r="AB1717" s="502" t="s">
        <v>1589</v>
      </c>
    </row>
    <row r="1718" spans="1:28" ht="24" customHeight="1">
      <c r="A1718" s="582" t="s">
        <v>1907</v>
      </c>
      <c r="B1718" s="460" t="s">
        <v>2201</v>
      </c>
      <c r="C1718" s="458" t="s">
        <v>2333</v>
      </c>
      <c r="D1718" s="510" t="s">
        <v>7767</v>
      </c>
      <c r="E1718" s="498">
        <f t="shared" si="135"/>
        <v>40000</v>
      </c>
      <c r="F1718" s="653">
        <v>0</v>
      </c>
      <c r="G1718" s="653">
        <v>0</v>
      </c>
      <c r="H1718" s="653">
        <v>40000</v>
      </c>
      <c r="I1718" s="498">
        <f t="shared" ref="I1718:I1728" si="136">SUM(J1718:L1718)</f>
        <v>28134</v>
      </c>
      <c r="J1718" s="498">
        <v>0</v>
      </c>
      <c r="K1718" s="498">
        <v>0</v>
      </c>
      <c r="L1718" s="698">
        <v>28134</v>
      </c>
      <c r="M1718" s="672">
        <v>87.6</v>
      </c>
      <c r="N1718" s="498">
        <v>5489</v>
      </c>
      <c r="O1718" s="715" t="s">
        <v>7768</v>
      </c>
      <c r="P1718" s="501" t="s">
        <v>1588</v>
      </c>
      <c r="Q1718" s="672">
        <v>330</v>
      </c>
      <c r="R1718" s="672">
        <v>0</v>
      </c>
      <c r="S1718" s="672">
        <v>0</v>
      </c>
      <c r="T1718" s="672">
        <v>0</v>
      </c>
      <c r="U1718" s="501" t="s">
        <v>7769</v>
      </c>
      <c r="V1718" s="566" t="s">
        <v>7770</v>
      </c>
      <c r="W1718" s="498">
        <v>61845</v>
      </c>
      <c r="X1718" s="501" t="s">
        <v>2199</v>
      </c>
      <c r="Y1718" s="501"/>
      <c r="Z1718" s="501" t="s">
        <v>2078</v>
      </c>
      <c r="AA1718" s="501" t="s">
        <v>1786</v>
      </c>
      <c r="AB1718" s="502" t="s">
        <v>1589</v>
      </c>
    </row>
    <row r="1719" spans="1:28" ht="24" customHeight="1">
      <c r="A1719" s="584"/>
      <c r="B1719" s="460" t="s">
        <v>675</v>
      </c>
      <c r="C1719" s="458" t="s">
        <v>2189</v>
      </c>
      <c r="D1719" s="510" t="s">
        <v>7771</v>
      </c>
      <c r="E1719" s="653">
        <f t="shared" si="135"/>
        <v>30</v>
      </c>
      <c r="F1719" s="653">
        <v>0</v>
      </c>
      <c r="G1719" s="653">
        <v>30</v>
      </c>
      <c r="H1719" s="653">
        <v>0</v>
      </c>
      <c r="I1719" s="498">
        <f t="shared" si="136"/>
        <v>14.9</v>
      </c>
      <c r="J1719" s="498">
        <v>0</v>
      </c>
      <c r="K1719" s="498">
        <v>14.9</v>
      </c>
      <c r="L1719" s="668">
        <v>0</v>
      </c>
      <c r="M1719" s="672">
        <v>90</v>
      </c>
      <c r="N1719" s="498">
        <v>1.2605400000000002</v>
      </c>
      <c r="O1719" s="715" t="s">
        <v>7772</v>
      </c>
      <c r="P1719" s="501" t="s">
        <v>1588</v>
      </c>
      <c r="Q1719" s="672">
        <v>0</v>
      </c>
      <c r="R1719" s="672">
        <v>0</v>
      </c>
      <c r="S1719" s="672">
        <v>0</v>
      </c>
      <c r="T1719" s="672">
        <v>0</v>
      </c>
      <c r="U1719" s="501" t="s">
        <v>7769</v>
      </c>
      <c r="V1719" s="501" t="s">
        <v>7773</v>
      </c>
      <c r="W1719" s="498">
        <v>100</v>
      </c>
      <c r="X1719" s="501" t="s">
        <v>2199</v>
      </c>
      <c r="Y1719" s="501" t="s">
        <v>6967</v>
      </c>
      <c r="Z1719" s="501" t="s">
        <v>7774</v>
      </c>
      <c r="AA1719" s="501" t="s">
        <v>1786</v>
      </c>
      <c r="AB1719" s="502" t="s">
        <v>1589</v>
      </c>
    </row>
    <row r="1720" spans="1:28" ht="24" customHeight="1">
      <c r="A1720" s="584"/>
      <c r="B1720" s="460" t="s">
        <v>675</v>
      </c>
      <c r="C1720" s="458" t="s">
        <v>7257</v>
      </c>
      <c r="D1720" s="510" t="s">
        <v>7775</v>
      </c>
      <c r="E1720" s="653">
        <f t="shared" si="135"/>
        <v>30</v>
      </c>
      <c r="F1720" s="653">
        <v>0</v>
      </c>
      <c r="G1720" s="653">
        <v>30</v>
      </c>
      <c r="H1720" s="653">
        <v>0</v>
      </c>
      <c r="I1720" s="498">
        <f t="shared" si="136"/>
        <v>14.5</v>
      </c>
      <c r="J1720" s="498">
        <v>0</v>
      </c>
      <c r="K1720" s="498">
        <v>14.5</v>
      </c>
      <c r="L1720" s="668">
        <v>0</v>
      </c>
      <c r="M1720" s="672">
        <v>90</v>
      </c>
      <c r="N1720" s="498">
        <v>1.9079099999999996</v>
      </c>
      <c r="O1720" s="715" t="s">
        <v>7772</v>
      </c>
      <c r="P1720" s="501" t="s">
        <v>1588</v>
      </c>
      <c r="Q1720" s="672">
        <v>0</v>
      </c>
      <c r="R1720" s="672">
        <v>0</v>
      </c>
      <c r="S1720" s="672">
        <v>0</v>
      </c>
      <c r="T1720" s="672">
        <v>0</v>
      </c>
      <c r="U1720" s="501" t="s">
        <v>7769</v>
      </c>
      <c r="V1720" s="501" t="s">
        <v>7776</v>
      </c>
      <c r="W1720" s="498">
        <v>100</v>
      </c>
      <c r="X1720" s="501" t="s">
        <v>2199</v>
      </c>
      <c r="Y1720" s="501" t="s">
        <v>6967</v>
      </c>
      <c r="Z1720" s="501" t="s">
        <v>7774</v>
      </c>
      <c r="AA1720" s="501" t="s">
        <v>1786</v>
      </c>
      <c r="AB1720" s="502" t="s">
        <v>1589</v>
      </c>
    </row>
    <row r="1721" spans="1:28" ht="24" customHeight="1">
      <c r="A1721" s="584"/>
      <c r="B1721" s="460" t="s">
        <v>675</v>
      </c>
      <c r="C1721" s="458" t="s">
        <v>7777</v>
      </c>
      <c r="D1721" s="510" t="s">
        <v>7778</v>
      </c>
      <c r="E1721" s="653">
        <f t="shared" si="135"/>
        <v>50</v>
      </c>
      <c r="F1721" s="653">
        <v>0</v>
      </c>
      <c r="G1721" s="653">
        <v>50</v>
      </c>
      <c r="H1721" s="653">
        <v>0</v>
      </c>
      <c r="I1721" s="498">
        <f t="shared" si="136"/>
        <v>38.1</v>
      </c>
      <c r="J1721" s="498">
        <v>0</v>
      </c>
      <c r="K1721" s="498">
        <v>38.1</v>
      </c>
      <c r="L1721" s="668">
        <v>0</v>
      </c>
      <c r="M1721" s="672">
        <v>90</v>
      </c>
      <c r="N1721" s="498">
        <v>4.8554639999999996</v>
      </c>
      <c r="O1721" s="715" t="s">
        <v>7772</v>
      </c>
      <c r="P1721" s="501" t="s">
        <v>1588</v>
      </c>
      <c r="Q1721" s="672">
        <v>0</v>
      </c>
      <c r="R1721" s="672">
        <v>0</v>
      </c>
      <c r="S1721" s="672">
        <v>0</v>
      </c>
      <c r="T1721" s="672">
        <v>0</v>
      </c>
      <c r="U1721" s="501" t="s">
        <v>7769</v>
      </c>
      <c r="V1721" s="501" t="s">
        <v>7779</v>
      </c>
      <c r="W1721" s="498">
        <v>200</v>
      </c>
      <c r="X1721" s="501" t="s">
        <v>2199</v>
      </c>
      <c r="Y1721" s="501" t="s">
        <v>6967</v>
      </c>
      <c r="Z1721" s="501" t="s">
        <v>7774</v>
      </c>
      <c r="AA1721" s="501" t="s">
        <v>1786</v>
      </c>
      <c r="AB1721" s="502" t="s">
        <v>1589</v>
      </c>
    </row>
    <row r="1722" spans="1:28" ht="24" customHeight="1">
      <c r="A1722" s="584"/>
      <c r="B1722" s="460" t="s">
        <v>675</v>
      </c>
      <c r="C1722" s="458" t="s">
        <v>7780</v>
      </c>
      <c r="D1722" s="510" t="s">
        <v>7781</v>
      </c>
      <c r="E1722" s="653">
        <f t="shared" si="135"/>
        <v>40</v>
      </c>
      <c r="F1722" s="653">
        <v>0</v>
      </c>
      <c r="G1722" s="653">
        <v>40</v>
      </c>
      <c r="H1722" s="653">
        <v>0</v>
      </c>
      <c r="I1722" s="498">
        <f t="shared" si="136"/>
        <v>18.8</v>
      </c>
      <c r="J1722" s="498">
        <v>0</v>
      </c>
      <c r="K1722" s="498">
        <v>18.8</v>
      </c>
      <c r="L1722" s="668">
        <v>0</v>
      </c>
      <c r="M1722" s="672">
        <v>90</v>
      </c>
      <c r="N1722" s="498">
        <v>0.64634400000000003</v>
      </c>
      <c r="O1722" s="715" t="s">
        <v>7772</v>
      </c>
      <c r="P1722" s="501" t="s">
        <v>1588</v>
      </c>
      <c r="Q1722" s="672">
        <v>0</v>
      </c>
      <c r="R1722" s="672">
        <v>0</v>
      </c>
      <c r="S1722" s="672">
        <v>0</v>
      </c>
      <c r="T1722" s="672">
        <v>0</v>
      </c>
      <c r="U1722" s="501" t="s">
        <v>7769</v>
      </c>
      <c r="V1722" s="501" t="s">
        <v>7782</v>
      </c>
      <c r="W1722" s="498">
        <v>200</v>
      </c>
      <c r="X1722" s="501" t="s">
        <v>2199</v>
      </c>
      <c r="Y1722" s="501" t="s">
        <v>6967</v>
      </c>
      <c r="Z1722" s="501" t="s">
        <v>7774</v>
      </c>
      <c r="AA1722" s="501" t="s">
        <v>1786</v>
      </c>
      <c r="AB1722" s="502" t="s">
        <v>1589</v>
      </c>
    </row>
    <row r="1723" spans="1:28" ht="24" customHeight="1">
      <c r="A1723" s="584"/>
      <c r="B1723" s="460" t="s">
        <v>675</v>
      </c>
      <c r="C1723" s="458" t="s">
        <v>7783</v>
      </c>
      <c r="D1723" s="510" t="s">
        <v>7784</v>
      </c>
      <c r="E1723" s="653">
        <f t="shared" si="135"/>
        <v>23</v>
      </c>
      <c r="F1723" s="653">
        <v>0</v>
      </c>
      <c r="G1723" s="653">
        <v>23</v>
      </c>
      <c r="H1723" s="653">
        <v>0</v>
      </c>
      <c r="I1723" s="498">
        <f t="shared" si="136"/>
        <v>12.9</v>
      </c>
      <c r="J1723" s="498">
        <v>0</v>
      </c>
      <c r="K1723" s="498">
        <v>12.9</v>
      </c>
      <c r="L1723" s="668">
        <v>0</v>
      </c>
      <c r="M1723" s="672">
        <v>90</v>
      </c>
      <c r="N1723" s="498">
        <v>0.47600999999999999</v>
      </c>
      <c r="O1723" s="715" t="s">
        <v>7785</v>
      </c>
      <c r="P1723" s="501" t="s">
        <v>1588</v>
      </c>
      <c r="Q1723" s="672">
        <v>0</v>
      </c>
      <c r="R1723" s="672">
        <v>0</v>
      </c>
      <c r="S1723" s="672">
        <v>0</v>
      </c>
      <c r="T1723" s="672">
        <v>0</v>
      </c>
      <c r="U1723" s="501" t="s">
        <v>7769</v>
      </c>
      <c r="V1723" s="501" t="s">
        <v>7786</v>
      </c>
      <c r="W1723" s="498">
        <v>100</v>
      </c>
      <c r="X1723" s="501" t="s">
        <v>2199</v>
      </c>
      <c r="Y1723" s="501" t="s">
        <v>6967</v>
      </c>
      <c r="Z1723" s="501" t="s">
        <v>7774</v>
      </c>
      <c r="AA1723" s="501" t="s">
        <v>1786</v>
      </c>
      <c r="AB1723" s="502" t="s">
        <v>1589</v>
      </c>
    </row>
    <row r="1724" spans="1:28" ht="24" customHeight="1">
      <c r="A1724" s="584"/>
      <c r="B1724" s="460" t="s">
        <v>675</v>
      </c>
      <c r="C1724" s="458" t="s">
        <v>7787</v>
      </c>
      <c r="D1724" s="510" t="s">
        <v>7788</v>
      </c>
      <c r="E1724" s="653">
        <f t="shared" si="135"/>
        <v>60</v>
      </c>
      <c r="F1724" s="653">
        <v>0</v>
      </c>
      <c r="G1724" s="653">
        <v>60</v>
      </c>
      <c r="H1724" s="653">
        <v>0</v>
      </c>
      <c r="I1724" s="498">
        <f t="shared" si="136"/>
        <v>34.6</v>
      </c>
      <c r="J1724" s="498">
        <v>0</v>
      </c>
      <c r="K1724" s="498">
        <v>34.6</v>
      </c>
      <c r="L1724" s="668">
        <v>0</v>
      </c>
      <c r="M1724" s="672">
        <v>90</v>
      </c>
      <c r="N1724" s="498">
        <v>1.23003</v>
      </c>
      <c r="O1724" s="715" t="s">
        <v>7785</v>
      </c>
      <c r="P1724" s="501" t="s">
        <v>1588</v>
      </c>
      <c r="Q1724" s="672">
        <v>0</v>
      </c>
      <c r="R1724" s="672">
        <v>0</v>
      </c>
      <c r="S1724" s="672">
        <v>0</v>
      </c>
      <c r="T1724" s="672">
        <v>0</v>
      </c>
      <c r="U1724" s="501" t="s">
        <v>7769</v>
      </c>
      <c r="V1724" s="501" t="s">
        <v>7789</v>
      </c>
      <c r="W1724" s="498">
        <v>360</v>
      </c>
      <c r="X1724" s="501" t="s">
        <v>2199</v>
      </c>
      <c r="Y1724" s="501" t="s">
        <v>6967</v>
      </c>
      <c r="Z1724" s="501" t="s">
        <v>7774</v>
      </c>
      <c r="AA1724" s="501" t="s">
        <v>1786</v>
      </c>
      <c r="AB1724" s="502" t="s">
        <v>1589</v>
      </c>
    </row>
    <row r="1725" spans="1:28" ht="24" customHeight="1">
      <c r="A1725" s="584"/>
      <c r="B1725" s="460" t="s">
        <v>675</v>
      </c>
      <c r="C1725" s="458" t="s">
        <v>321</v>
      </c>
      <c r="D1725" s="510" t="s">
        <v>7790</v>
      </c>
      <c r="E1725" s="653">
        <f t="shared" si="135"/>
        <v>50</v>
      </c>
      <c r="F1725" s="653">
        <v>0</v>
      </c>
      <c r="G1725" s="653">
        <v>50</v>
      </c>
      <c r="H1725" s="653">
        <v>0</v>
      </c>
      <c r="I1725" s="498">
        <f t="shared" si="136"/>
        <v>28.1</v>
      </c>
      <c r="J1725" s="498">
        <v>0</v>
      </c>
      <c r="K1725" s="498">
        <v>28.1</v>
      </c>
      <c r="L1725" s="668">
        <v>0</v>
      </c>
      <c r="M1725" s="672">
        <v>90</v>
      </c>
      <c r="N1725" s="498">
        <v>1.001484</v>
      </c>
      <c r="O1725" s="715" t="s">
        <v>7785</v>
      </c>
      <c r="P1725" s="501" t="s">
        <v>1588</v>
      </c>
      <c r="Q1725" s="672">
        <v>0</v>
      </c>
      <c r="R1725" s="672">
        <v>0</v>
      </c>
      <c r="S1725" s="672">
        <v>0</v>
      </c>
      <c r="T1725" s="672">
        <v>0</v>
      </c>
      <c r="U1725" s="501" t="s">
        <v>7769</v>
      </c>
      <c r="V1725" s="501" t="s">
        <v>7791</v>
      </c>
      <c r="W1725" s="498">
        <v>350</v>
      </c>
      <c r="X1725" s="501" t="s">
        <v>2199</v>
      </c>
      <c r="Y1725" s="501" t="s">
        <v>6967</v>
      </c>
      <c r="Z1725" s="501" t="s">
        <v>7774</v>
      </c>
      <c r="AA1725" s="501" t="s">
        <v>1786</v>
      </c>
      <c r="AB1725" s="502" t="s">
        <v>1589</v>
      </c>
    </row>
    <row r="1726" spans="1:28" ht="24" customHeight="1">
      <c r="A1726" s="584"/>
      <c r="B1726" s="460" t="s">
        <v>675</v>
      </c>
      <c r="C1726" s="458" t="s">
        <v>3482</v>
      </c>
      <c r="D1726" s="510" t="s">
        <v>7792</v>
      </c>
      <c r="E1726" s="653">
        <f t="shared" si="135"/>
        <v>48</v>
      </c>
      <c r="F1726" s="653">
        <v>0</v>
      </c>
      <c r="G1726" s="653">
        <v>48</v>
      </c>
      <c r="H1726" s="653">
        <v>0</v>
      </c>
      <c r="I1726" s="498">
        <f t="shared" si="136"/>
        <v>38.1</v>
      </c>
      <c r="J1726" s="498">
        <v>0</v>
      </c>
      <c r="K1726" s="498">
        <v>38.1</v>
      </c>
      <c r="L1726" s="668">
        <v>0</v>
      </c>
      <c r="M1726" s="672">
        <v>90.3</v>
      </c>
      <c r="N1726" s="498">
        <v>2.6</v>
      </c>
      <c r="O1726" s="715" t="s">
        <v>7793</v>
      </c>
      <c r="P1726" s="501" t="s">
        <v>1588</v>
      </c>
      <c r="Q1726" s="672">
        <v>0</v>
      </c>
      <c r="R1726" s="672">
        <v>0</v>
      </c>
      <c r="S1726" s="672">
        <v>0</v>
      </c>
      <c r="T1726" s="672">
        <v>0</v>
      </c>
      <c r="U1726" s="501" t="s">
        <v>7794</v>
      </c>
      <c r="V1726" s="501" t="s">
        <v>7795</v>
      </c>
      <c r="W1726" s="498">
        <v>300</v>
      </c>
      <c r="X1726" s="501" t="s">
        <v>2199</v>
      </c>
      <c r="Y1726" s="501" t="s">
        <v>6967</v>
      </c>
      <c r="Z1726" s="501" t="s">
        <v>7774</v>
      </c>
      <c r="AA1726" s="501" t="s">
        <v>1786</v>
      </c>
      <c r="AB1726" s="502" t="s">
        <v>1589</v>
      </c>
    </row>
    <row r="1727" spans="1:28" ht="24" customHeight="1">
      <c r="A1727" s="584"/>
      <c r="B1727" s="460" t="s">
        <v>675</v>
      </c>
      <c r="C1727" s="458" t="s">
        <v>7796</v>
      </c>
      <c r="D1727" s="510" t="s">
        <v>7797</v>
      </c>
      <c r="E1727" s="653">
        <f t="shared" si="135"/>
        <v>43</v>
      </c>
      <c r="F1727" s="653">
        <v>0</v>
      </c>
      <c r="G1727" s="653">
        <v>43</v>
      </c>
      <c r="H1727" s="653">
        <v>0</v>
      </c>
      <c r="I1727" s="498">
        <f t="shared" si="136"/>
        <v>47.4</v>
      </c>
      <c r="J1727" s="498">
        <v>0</v>
      </c>
      <c r="K1727" s="498">
        <v>47.4</v>
      </c>
      <c r="L1727" s="668">
        <v>0</v>
      </c>
      <c r="M1727" s="672">
        <v>93.1</v>
      </c>
      <c r="N1727" s="498">
        <v>3.4</v>
      </c>
      <c r="O1727" s="715" t="s">
        <v>7798</v>
      </c>
      <c r="P1727" s="501" t="s">
        <v>1588</v>
      </c>
      <c r="Q1727" s="672">
        <v>0</v>
      </c>
      <c r="R1727" s="672">
        <v>0</v>
      </c>
      <c r="S1727" s="672">
        <v>0</v>
      </c>
      <c r="T1727" s="672">
        <v>0</v>
      </c>
      <c r="U1727" s="501" t="s">
        <v>7794</v>
      </c>
      <c r="V1727" s="501" t="s">
        <v>7799</v>
      </c>
      <c r="W1727" s="498">
        <v>315</v>
      </c>
      <c r="X1727" s="501" t="s">
        <v>2199</v>
      </c>
      <c r="Y1727" s="501" t="s">
        <v>6967</v>
      </c>
      <c r="Z1727" s="501" t="s">
        <v>7774</v>
      </c>
      <c r="AA1727" s="501" t="s">
        <v>1786</v>
      </c>
      <c r="AB1727" s="502" t="s">
        <v>1589</v>
      </c>
    </row>
    <row r="1728" spans="1:28" ht="24" customHeight="1">
      <c r="A1728" s="584"/>
      <c r="B1728" s="460" t="s">
        <v>675</v>
      </c>
      <c r="C1728" s="458" t="s">
        <v>7800</v>
      </c>
      <c r="D1728" s="510" t="s">
        <v>7801</v>
      </c>
      <c r="E1728" s="653">
        <f t="shared" si="135"/>
        <v>60</v>
      </c>
      <c r="F1728" s="653">
        <v>0</v>
      </c>
      <c r="G1728" s="653">
        <v>60</v>
      </c>
      <c r="H1728" s="653">
        <v>0</v>
      </c>
      <c r="I1728" s="498">
        <f t="shared" si="136"/>
        <v>39</v>
      </c>
      <c r="J1728" s="498">
        <v>0</v>
      </c>
      <c r="K1728" s="498">
        <v>39</v>
      </c>
      <c r="L1728" s="668">
        <v>0</v>
      </c>
      <c r="M1728" s="672">
        <v>94.117647058823522</v>
      </c>
      <c r="N1728" s="498">
        <v>2.3528470588235288</v>
      </c>
      <c r="O1728" s="715" t="s">
        <v>7802</v>
      </c>
      <c r="P1728" s="501" t="s">
        <v>1588</v>
      </c>
      <c r="Q1728" s="672">
        <v>0</v>
      </c>
      <c r="R1728" s="672">
        <v>0</v>
      </c>
      <c r="S1728" s="672">
        <v>0</v>
      </c>
      <c r="T1728" s="672">
        <v>0</v>
      </c>
      <c r="U1728" s="501" t="s">
        <v>7769</v>
      </c>
      <c r="V1728" s="501" t="s">
        <v>7803</v>
      </c>
      <c r="W1728" s="498">
        <v>355</v>
      </c>
      <c r="X1728" s="501" t="s">
        <v>2199</v>
      </c>
      <c r="Y1728" s="501" t="s">
        <v>6967</v>
      </c>
      <c r="Z1728" s="501" t="s">
        <v>7774</v>
      </c>
      <c r="AA1728" s="501" t="s">
        <v>1786</v>
      </c>
      <c r="AB1728" s="502" t="s">
        <v>1589</v>
      </c>
    </row>
    <row r="1729" spans="1:28" ht="24" customHeight="1">
      <c r="A1729" s="584"/>
      <c r="B1729" s="460" t="s">
        <v>675</v>
      </c>
      <c r="C1729" s="458" t="s">
        <v>7804</v>
      </c>
      <c r="D1729" s="510" t="s">
        <v>7805</v>
      </c>
      <c r="E1729" s="653">
        <f>SUM(F1729:H1729)</f>
        <v>70</v>
      </c>
      <c r="F1729" s="653">
        <v>0</v>
      </c>
      <c r="G1729" s="653">
        <v>70</v>
      </c>
      <c r="H1729" s="653">
        <v>0</v>
      </c>
      <c r="I1729" s="498">
        <f>SUM(J1729:L1729)</f>
        <v>71.900000000000006</v>
      </c>
      <c r="J1729" s="498">
        <v>0</v>
      </c>
      <c r="K1729" s="498">
        <v>71.900000000000006</v>
      </c>
      <c r="L1729" s="668">
        <v>0</v>
      </c>
      <c r="M1729" s="672">
        <v>92.857142857142861</v>
      </c>
      <c r="N1729" s="498">
        <v>6.8566921428571437</v>
      </c>
      <c r="O1729" s="715" t="s">
        <v>7806</v>
      </c>
      <c r="P1729" s="501" t="s">
        <v>1588</v>
      </c>
      <c r="Q1729" s="672">
        <v>0</v>
      </c>
      <c r="R1729" s="672">
        <v>0</v>
      </c>
      <c r="S1729" s="672">
        <v>0</v>
      </c>
      <c r="T1729" s="672">
        <v>0</v>
      </c>
      <c r="U1729" s="501" t="s">
        <v>7769</v>
      </c>
      <c r="V1729" s="501" t="s">
        <v>7807</v>
      </c>
      <c r="W1729" s="498">
        <v>560</v>
      </c>
      <c r="X1729" s="501" t="s">
        <v>2199</v>
      </c>
      <c r="Y1729" s="501" t="s">
        <v>6967</v>
      </c>
      <c r="Z1729" s="501" t="s">
        <v>7774</v>
      </c>
      <c r="AA1729" s="501" t="s">
        <v>1786</v>
      </c>
      <c r="AB1729" s="502" t="s">
        <v>1589</v>
      </c>
    </row>
    <row r="1730" spans="1:28" ht="24" customHeight="1">
      <c r="A1730" s="584"/>
      <c r="B1730" s="460" t="s">
        <v>675</v>
      </c>
      <c r="C1730" s="458" t="s">
        <v>2397</v>
      </c>
      <c r="D1730" s="510" t="s">
        <v>7808</v>
      </c>
      <c r="E1730" s="653">
        <f>SUM(F1730:H1730)</f>
        <v>45</v>
      </c>
      <c r="F1730" s="653">
        <v>0</v>
      </c>
      <c r="G1730" s="653">
        <v>45</v>
      </c>
      <c r="H1730" s="653">
        <v>0</v>
      </c>
      <c r="I1730" s="498">
        <f>SUM(J1730:L1730)</f>
        <v>45.6</v>
      </c>
      <c r="J1730" s="498">
        <v>0</v>
      </c>
      <c r="K1730" s="498">
        <v>45.6</v>
      </c>
      <c r="L1730" s="668">
        <v>0</v>
      </c>
      <c r="M1730" s="672">
        <v>94.6</v>
      </c>
      <c r="N1730" s="498">
        <v>3.4</v>
      </c>
      <c r="O1730" s="715" t="s">
        <v>7809</v>
      </c>
      <c r="P1730" s="501" t="s">
        <v>1588</v>
      </c>
      <c r="Q1730" s="672">
        <v>0</v>
      </c>
      <c r="R1730" s="672">
        <v>0</v>
      </c>
      <c r="S1730" s="672">
        <v>0</v>
      </c>
      <c r="T1730" s="672">
        <v>0</v>
      </c>
      <c r="U1730" s="501" t="s">
        <v>7794</v>
      </c>
      <c r="V1730" s="501" t="s">
        <v>7810</v>
      </c>
      <c r="W1730" s="498">
        <v>744</v>
      </c>
      <c r="X1730" s="501" t="s">
        <v>2244</v>
      </c>
      <c r="Y1730" s="501" t="s">
        <v>7811</v>
      </c>
      <c r="Z1730" s="501" t="s">
        <v>7812</v>
      </c>
      <c r="AA1730" s="501" t="s">
        <v>744</v>
      </c>
      <c r="AB1730" s="502" t="s">
        <v>1767</v>
      </c>
    </row>
    <row r="1731" spans="1:28" ht="24" customHeight="1">
      <c r="A1731" s="584"/>
      <c r="B1731" s="460" t="s">
        <v>675</v>
      </c>
      <c r="C1731" s="458" t="s">
        <v>7813</v>
      </c>
      <c r="D1731" s="510" t="s">
        <v>7814</v>
      </c>
      <c r="E1731" s="653">
        <f>SUM(F1731:H1731)</f>
        <v>45</v>
      </c>
      <c r="F1731" s="653">
        <v>0</v>
      </c>
      <c r="G1731" s="653">
        <v>45</v>
      </c>
      <c r="H1731" s="653">
        <v>0</v>
      </c>
      <c r="I1731" s="498">
        <f>SUM(J1731:L1731)</f>
        <v>54.2</v>
      </c>
      <c r="J1731" s="498">
        <v>0</v>
      </c>
      <c r="K1731" s="498">
        <v>54.2</v>
      </c>
      <c r="L1731" s="668">
        <v>0</v>
      </c>
      <c r="M1731" s="672">
        <v>96.1</v>
      </c>
      <c r="N1731" s="498">
        <v>7.7</v>
      </c>
      <c r="O1731" s="715" t="s">
        <v>7815</v>
      </c>
      <c r="P1731" s="501" t="s">
        <v>1588</v>
      </c>
      <c r="Q1731" s="672">
        <v>0</v>
      </c>
      <c r="R1731" s="672">
        <v>0</v>
      </c>
      <c r="S1731" s="672">
        <v>0</v>
      </c>
      <c r="T1731" s="672">
        <v>0</v>
      </c>
      <c r="U1731" s="501" t="s">
        <v>7794</v>
      </c>
      <c r="V1731" s="501" t="s">
        <v>7816</v>
      </c>
      <c r="W1731" s="498">
        <v>799</v>
      </c>
      <c r="X1731" s="501" t="s">
        <v>2244</v>
      </c>
      <c r="Y1731" s="501" t="s">
        <v>7811</v>
      </c>
      <c r="Z1731" s="501" t="s">
        <v>7812</v>
      </c>
      <c r="AA1731" s="501" t="s">
        <v>744</v>
      </c>
      <c r="AB1731" s="502" t="s">
        <v>1767</v>
      </c>
    </row>
    <row r="1732" spans="1:28" ht="24" customHeight="1">
      <c r="A1732" s="583"/>
      <c r="B1732" s="460" t="s">
        <v>675</v>
      </c>
      <c r="C1732" s="458" t="s">
        <v>7817</v>
      </c>
      <c r="D1732" s="510" t="s">
        <v>7818</v>
      </c>
      <c r="E1732" s="653">
        <f>SUM(F1732:H1732)</f>
        <v>40</v>
      </c>
      <c r="F1732" s="653">
        <v>0</v>
      </c>
      <c r="G1732" s="653">
        <v>40</v>
      </c>
      <c r="H1732" s="653">
        <v>0</v>
      </c>
      <c r="I1732" s="498">
        <f>SUM(J1732:L1732)</f>
        <v>8.5</v>
      </c>
      <c r="J1732" s="498">
        <v>0</v>
      </c>
      <c r="K1732" s="498">
        <v>8.5</v>
      </c>
      <c r="L1732" s="668">
        <v>0</v>
      </c>
      <c r="M1732" s="672">
        <v>92.9</v>
      </c>
      <c r="N1732" s="498">
        <v>0.6</v>
      </c>
      <c r="O1732" s="715" t="s">
        <v>7806</v>
      </c>
      <c r="P1732" s="501" t="s">
        <v>1588</v>
      </c>
      <c r="Q1732" s="672">
        <v>0</v>
      </c>
      <c r="R1732" s="672">
        <v>0</v>
      </c>
      <c r="S1732" s="672">
        <v>0</v>
      </c>
      <c r="T1732" s="672">
        <v>0</v>
      </c>
      <c r="U1732" s="501" t="s">
        <v>7794</v>
      </c>
      <c r="V1732" s="501" t="s">
        <v>7819</v>
      </c>
      <c r="W1732" s="498">
        <v>888</v>
      </c>
      <c r="X1732" s="501" t="s">
        <v>2244</v>
      </c>
      <c r="Y1732" s="501" t="s">
        <v>7811</v>
      </c>
      <c r="Z1732" s="501" t="s">
        <v>7820</v>
      </c>
      <c r="AA1732" s="501" t="s">
        <v>744</v>
      </c>
      <c r="AB1732" s="502" t="s">
        <v>1767</v>
      </c>
    </row>
    <row r="1733" spans="1:28" ht="24" customHeight="1">
      <c r="A1733" s="583" t="s">
        <v>1616</v>
      </c>
      <c r="B1733" s="458" t="s">
        <v>6046</v>
      </c>
      <c r="C1733" s="579"/>
      <c r="D1733" s="579"/>
      <c r="E1733" s="498" t="s">
        <v>6253</v>
      </c>
      <c r="F1733" s="498">
        <v>0</v>
      </c>
      <c r="G1733" s="498" t="s">
        <v>6254</v>
      </c>
      <c r="H1733" s="498" t="s">
        <v>6255</v>
      </c>
      <c r="I1733" s="498" t="s">
        <v>6256</v>
      </c>
      <c r="J1733" s="498">
        <v>0</v>
      </c>
      <c r="K1733" s="498" t="s">
        <v>6257</v>
      </c>
      <c r="L1733" s="668" t="s">
        <v>6258</v>
      </c>
      <c r="M1733" s="672">
        <v>0</v>
      </c>
      <c r="N1733" s="498" t="s">
        <v>6259</v>
      </c>
      <c r="O1733" s="669" t="s">
        <v>1588</v>
      </c>
      <c r="P1733" s="463" t="s">
        <v>1588</v>
      </c>
      <c r="Q1733" s="672" t="s">
        <v>6260</v>
      </c>
      <c r="R1733" s="672">
        <v>0</v>
      </c>
      <c r="S1733" s="672" t="s">
        <v>6261</v>
      </c>
      <c r="T1733" s="672" t="s">
        <v>6262</v>
      </c>
      <c r="U1733" s="463"/>
      <c r="V1733" s="463"/>
      <c r="W1733" s="498">
        <f>SUM(W1734:W1808)</f>
        <v>328883.84999999998</v>
      </c>
      <c r="X1733" s="463"/>
      <c r="Y1733" s="463"/>
      <c r="Z1733" s="463"/>
      <c r="AA1733" s="463"/>
      <c r="AB1733" s="459"/>
    </row>
    <row r="1734" spans="1:28" ht="24" customHeight="1">
      <c r="A1734" s="582" t="s">
        <v>1908</v>
      </c>
      <c r="B1734" s="460" t="s">
        <v>1935</v>
      </c>
      <c r="C1734" s="458"/>
      <c r="D1734" s="510"/>
      <c r="E1734" s="498">
        <v>0</v>
      </c>
      <c r="F1734" s="498">
        <v>0</v>
      </c>
      <c r="G1734" s="498">
        <v>0</v>
      </c>
      <c r="H1734" s="498">
        <v>0</v>
      </c>
      <c r="I1734" s="498">
        <v>0</v>
      </c>
      <c r="J1734" s="498">
        <v>0</v>
      </c>
      <c r="K1734" s="498">
        <v>0</v>
      </c>
      <c r="L1734" s="668">
        <v>0</v>
      </c>
      <c r="M1734" s="672">
        <v>0</v>
      </c>
      <c r="N1734" s="498">
        <v>0</v>
      </c>
      <c r="O1734" s="715" t="s">
        <v>1588</v>
      </c>
      <c r="P1734" s="501" t="s">
        <v>1588</v>
      </c>
      <c r="Q1734" s="672">
        <v>0</v>
      </c>
      <c r="R1734" s="672">
        <v>0</v>
      </c>
      <c r="S1734" s="672">
        <v>0</v>
      </c>
      <c r="T1734" s="672">
        <v>0</v>
      </c>
      <c r="U1734" s="501"/>
      <c r="V1734" s="501"/>
      <c r="W1734" s="498"/>
      <c r="X1734" s="501"/>
      <c r="Y1734" s="501"/>
      <c r="Z1734" s="501"/>
      <c r="AA1734" s="501"/>
      <c r="AB1734" s="502"/>
    </row>
    <row r="1735" spans="1:28" ht="24" customHeight="1">
      <c r="A1735" s="582" t="s">
        <v>1909</v>
      </c>
      <c r="B1735" s="460" t="s">
        <v>2201</v>
      </c>
      <c r="C1735" s="458" t="s">
        <v>2334</v>
      </c>
      <c r="D1735" s="510" t="s">
        <v>7821</v>
      </c>
      <c r="E1735" s="498">
        <f t="shared" ref="E1735:E1740" si="137">SUM(F1735:H1735)</f>
        <v>8000</v>
      </c>
      <c r="F1735" s="498">
        <v>0</v>
      </c>
      <c r="G1735" s="498">
        <v>0</v>
      </c>
      <c r="H1735" s="498">
        <v>8000</v>
      </c>
      <c r="I1735" s="498">
        <f t="shared" ref="I1735:I1740" si="138">J1735+K1735+L1735</f>
        <v>11484</v>
      </c>
      <c r="J1735" s="498">
        <v>0</v>
      </c>
      <c r="K1735" s="498">
        <v>0</v>
      </c>
      <c r="L1735" s="668">
        <f>11455+Q1735</f>
        <v>11484</v>
      </c>
      <c r="M1735" s="672">
        <v>87.5</v>
      </c>
      <c r="N1735" s="498">
        <f>11484*84.5*98.6%*0.001</f>
        <v>956.81242799999995</v>
      </c>
      <c r="O1735" s="715" t="s">
        <v>7822</v>
      </c>
      <c r="P1735" s="501" t="s">
        <v>1588</v>
      </c>
      <c r="Q1735" s="672">
        <v>29</v>
      </c>
      <c r="R1735" s="672">
        <v>0</v>
      </c>
      <c r="S1735" s="672">
        <v>0</v>
      </c>
      <c r="T1735" s="672">
        <v>0</v>
      </c>
      <c r="U1735" s="501" t="s">
        <v>2457</v>
      </c>
      <c r="V1735" s="501" t="s">
        <v>2289</v>
      </c>
      <c r="W1735" s="498">
        <v>22050</v>
      </c>
      <c r="X1735" s="501" t="s">
        <v>2199</v>
      </c>
      <c r="Y1735" s="501" t="s">
        <v>3336</v>
      </c>
      <c r="Z1735" s="501" t="s">
        <v>1602</v>
      </c>
      <c r="AA1735" s="501" t="s">
        <v>1589</v>
      </c>
      <c r="AB1735" s="502" t="s">
        <v>1589</v>
      </c>
    </row>
    <row r="1736" spans="1:28" ht="24" customHeight="1">
      <c r="A1736" s="584"/>
      <c r="B1736" s="460" t="s">
        <v>2201</v>
      </c>
      <c r="C1736" s="458" t="s">
        <v>289</v>
      </c>
      <c r="D1736" s="510" t="s">
        <v>7823</v>
      </c>
      <c r="E1736" s="498">
        <f t="shared" si="137"/>
        <v>2600</v>
      </c>
      <c r="F1736" s="498">
        <v>0</v>
      </c>
      <c r="G1736" s="498">
        <v>0</v>
      </c>
      <c r="H1736" s="498">
        <v>2600</v>
      </c>
      <c r="I1736" s="498">
        <f t="shared" si="138"/>
        <v>1517</v>
      </c>
      <c r="J1736" s="498">
        <v>0</v>
      </c>
      <c r="K1736" s="498">
        <v>0</v>
      </c>
      <c r="L1736" s="668">
        <v>1517</v>
      </c>
      <c r="M1736" s="672">
        <v>87.2</v>
      </c>
      <c r="N1736" s="498">
        <f>1517*90.5*98.9%*0.001</f>
        <v>135.77832650000002</v>
      </c>
      <c r="O1736" s="715" t="s">
        <v>3347</v>
      </c>
      <c r="P1736" s="501" t="s">
        <v>1588</v>
      </c>
      <c r="Q1736" s="672">
        <v>0</v>
      </c>
      <c r="R1736" s="672">
        <v>0</v>
      </c>
      <c r="S1736" s="672">
        <v>0</v>
      </c>
      <c r="T1736" s="672">
        <v>0</v>
      </c>
      <c r="U1736" s="501" t="s">
        <v>2457</v>
      </c>
      <c r="V1736" s="501" t="s">
        <v>7824</v>
      </c>
      <c r="W1736" s="498">
        <v>12840</v>
      </c>
      <c r="X1736" s="501" t="s">
        <v>2199</v>
      </c>
      <c r="Y1736" s="501" t="s">
        <v>3336</v>
      </c>
      <c r="Z1736" s="501" t="s">
        <v>1910</v>
      </c>
      <c r="AA1736" s="501" t="s">
        <v>1589</v>
      </c>
      <c r="AB1736" s="502" t="s">
        <v>1589</v>
      </c>
    </row>
    <row r="1737" spans="1:28" ht="24" customHeight="1">
      <c r="A1737" s="584"/>
      <c r="B1737" s="460" t="s">
        <v>675</v>
      </c>
      <c r="C1737" s="718" t="s">
        <v>7825</v>
      </c>
      <c r="D1737" s="510" t="s">
        <v>7826</v>
      </c>
      <c r="E1737" s="498">
        <f t="shared" si="137"/>
        <v>60</v>
      </c>
      <c r="F1737" s="498">
        <v>0</v>
      </c>
      <c r="G1737" s="498">
        <v>60</v>
      </c>
      <c r="H1737" s="498">
        <v>0</v>
      </c>
      <c r="I1737" s="498">
        <f t="shared" si="138"/>
        <v>14</v>
      </c>
      <c r="J1737" s="498">
        <v>0</v>
      </c>
      <c r="K1737" s="498">
        <v>14</v>
      </c>
      <c r="L1737" s="668">
        <v>0</v>
      </c>
      <c r="M1737" s="672">
        <v>90.9</v>
      </c>
      <c r="N1737" s="498">
        <f>14*30.3*95.05%*0.001</f>
        <v>0.40320210000000001</v>
      </c>
      <c r="O1737" s="715" t="s">
        <v>7827</v>
      </c>
      <c r="P1737" s="501" t="s">
        <v>1588</v>
      </c>
      <c r="Q1737" s="672">
        <v>0</v>
      </c>
      <c r="R1737" s="672">
        <v>0</v>
      </c>
      <c r="S1737" s="672">
        <v>0</v>
      </c>
      <c r="T1737" s="672">
        <v>0</v>
      </c>
      <c r="U1737" s="501" t="s">
        <v>2457</v>
      </c>
      <c r="V1737" s="501" t="s">
        <v>7828</v>
      </c>
      <c r="W1737" s="498">
        <v>400</v>
      </c>
      <c r="X1737" s="501" t="s">
        <v>2199</v>
      </c>
      <c r="Y1737" s="501" t="s">
        <v>3232</v>
      </c>
      <c r="Z1737" s="501" t="s">
        <v>1910</v>
      </c>
      <c r="AA1737" s="501" t="s">
        <v>1589</v>
      </c>
      <c r="AB1737" s="502" t="s">
        <v>1589</v>
      </c>
    </row>
    <row r="1738" spans="1:28" ht="24" customHeight="1">
      <c r="A1738" s="584"/>
      <c r="B1738" s="460" t="s">
        <v>675</v>
      </c>
      <c r="C1738" s="458" t="s">
        <v>907</v>
      </c>
      <c r="D1738" s="510" t="s">
        <v>7829</v>
      </c>
      <c r="E1738" s="498">
        <f t="shared" si="137"/>
        <v>130</v>
      </c>
      <c r="F1738" s="498">
        <v>0</v>
      </c>
      <c r="G1738" s="498">
        <v>130</v>
      </c>
      <c r="H1738" s="498">
        <v>0</v>
      </c>
      <c r="I1738" s="498">
        <f t="shared" si="138"/>
        <v>108</v>
      </c>
      <c r="J1738" s="498">
        <v>0</v>
      </c>
      <c r="K1738" s="498">
        <v>108</v>
      </c>
      <c r="L1738" s="668">
        <v>0</v>
      </c>
      <c r="M1738" s="672">
        <v>90</v>
      </c>
      <c r="N1738" s="498">
        <f>108*72.3*90%*0.001</f>
        <v>7.0275599999999994</v>
      </c>
      <c r="O1738" s="715" t="s">
        <v>5122</v>
      </c>
      <c r="P1738" s="501" t="s">
        <v>1588</v>
      </c>
      <c r="Q1738" s="672">
        <v>0</v>
      </c>
      <c r="R1738" s="672">
        <v>0</v>
      </c>
      <c r="S1738" s="672">
        <v>0</v>
      </c>
      <c r="T1738" s="672">
        <v>0</v>
      </c>
      <c r="U1738" s="501" t="s">
        <v>7499</v>
      </c>
      <c r="V1738" s="501" t="s">
        <v>7830</v>
      </c>
      <c r="W1738" s="498">
        <v>400</v>
      </c>
      <c r="X1738" s="501" t="s">
        <v>2193</v>
      </c>
      <c r="Y1738" s="501" t="s">
        <v>3232</v>
      </c>
      <c r="Z1738" s="501" t="s">
        <v>1910</v>
      </c>
      <c r="AA1738" s="501" t="s">
        <v>1589</v>
      </c>
      <c r="AB1738" s="502" t="s">
        <v>1589</v>
      </c>
    </row>
    <row r="1739" spans="1:28" ht="24" customHeight="1">
      <c r="A1739" s="582" t="s">
        <v>1912</v>
      </c>
      <c r="B1739" s="460" t="s">
        <v>675</v>
      </c>
      <c r="C1739" s="458" t="s">
        <v>7831</v>
      </c>
      <c r="D1739" s="510" t="s">
        <v>7832</v>
      </c>
      <c r="E1739" s="498">
        <f t="shared" si="137"/>
        <v>150</v>
      </c>
      <c r="F1739" s="498">
        <v>0</v>
      </c>
      <c r="G1739" s="498">
        <v>150</v>
      </c>
      <c r="H1739" s="498">
        <v>0</v>
      </c>
      <c r="I1739" s="498">
        <f t="shared" si="138"/>
        <v>150</v>
      </c>
      <c r="J1739" s="498">
        <v>0</v>
      </c>
      <c r="K1739" s="498">
        <v>150</v>
      </c>
      <c r="L1739" s="668">
        <v>0</v>
      </c>
      <c r="M1739" s="672">
        <v>0</v>
      </c>
      <c r="N1739" s="498">
        <v>0</v>
      </c>
      <c r="O1739" s="715" t="s">
        <v>7833</v>
      </c>
      <c r="P1739" s="501" t="s">
        <v>1588</v>
      </c>
      <c r="Q1739" s="672">
        <v>0</v>
      </c>
      <c r="R1739" s="672">
        <v>0</v>
      </c>
      <c r="S1739" s="672">
        <v>0</v>
      </c>
      <c r="T1739" s="672">
        <v>0</v>
      </c>
      <c r="U1739" s="501" t="s">
        <v>7834</v>
      </c>
      <c r="V1739" s="566" t="s">
        <v>7835</v>
      </c>
      <c r="W1739" s="498">
        <v>600</v>
      </c>
      <c r="X1739" s="501" t="s">
        <v>2193</v>
      </c>
      <c r="Y1739" s="501" t="s">
        <v>1935</v>
      </c>
      <c r="Z1739" s="501" t="s">
        <v>2335</v>
      </c>
      <c r="AA1739" s="501" t="s">
        <v>2336</v>
      </c>
      <c r="AB1739" s="502" t="s">
        <v>1589</v>
      </c>
    </row>
    <row r="1740" spans="1:28" ht="24" customHeight="1">
      <c r="A1740" s="584"/>
      <c r="B1740" s="460" t="s">
        <v>675</v>
      </c>
      <c r="C1740" s="458" t="s">
        <v>7836</v>
      </c>
      <c r="D1740" s="510" t="s">
        <v>7837</v>
      </c>
      <c r="E1740" s="498">
        <f t="shared" si="137"/>
        <v>30</v>
      </c>
      <c r="F1740" s="498">
        <v>0</v>
      </c>
      <c r="G1740" s="498">
        <v>30</v>
      </c>
      <c r="H1740" s="498">
        <v>0</v>
      </c>
      <c r="I1740" s="498">
        <f t="shared" si="138"/>
        <v>30</v>
      </c>
      <c r="J1740" s="498">
        <v>0</v>
      </c>
      <c r="K1740" s="498">
        <v>30</v>
      </c>
      <c r="L1740" s="668">
        <v>0</v>
      </c>
      <c r="M1740" s="672">
        <v>0</v>
      </c>
      <c r="N1740" s="498">
        <v>0</v>
      </c>
      <c r="O1740" s="715" t="s">
        <v>7838</v>
      </c>
      <c r="P1740" s="501" t="s">
        <v>1588</v>
      </c>
      <c r="Q1740" s="672">
        <v>0</v>
      </c>
      <c r="R1740" s="672">
        <v>0</v>
      </c>
      <c r="S1740" s="672">
        <v>0</v>
      </c>
      <c r="T1740" s="672">
        <v>0</v>
      </c>
      <c r="U1740" s="501" t="s">
        <v>7834</v>
      </c>
      <c r="V1740" s="566" t="s">
        <v>7839</v>
      </c>
      <c r="W1740" s="498">
        <v>200</v>
      </c>
      <c r="X1740" s="501" t="s">
        <v>2193</v>
      </c>
      <c r="Y1740" s="501" t="s">
        <v>1935</v>
      </c>
      <c r="Z1740" s="501" t="s">
        <v>1914</v>
      </c>
      <c r="AA1740" s="501" t="s">
        <v>2336</v>
      </c>
      <c r="AB1740" s="502" t="s">
        <v>1589</v>
      </c>
    </row>
    <row r="1741" spans="1:28" ht="24" customHeight="1">
      <c r="A1741" s="582" t="s">
        <v>1913</v>
      </c>
      <c r="B1741" s="460" t="s">
        <v>675</v>
      </c>
      <c r="C1741" s="458" t="s">
        <v>7840</v>
      </c>
      <c r="D1741" s="510" t="s">
        <v>7841</v>
      </c>
      <c r="E1741" s="498">
        <f t="shared" ref="E1741:E1746" si="139">SUM(F1741:H1741)</f>
        <v>30</v>
      </c>
      <c r="F1741" s="498">
        <v>0</v>
      </c>
      <c r="G1741" s="498">
        <v>30</v>
      </c>
      <c r="H1741" s="498">
        <v>0</v>
      </c>
      <c r="I1741" s="498">
        <f t="shared" ref="I1741:I1784" si="140">SUM(J1741:L1741)</f>
        <v>14</v>
      </c>
      <c r="J1741" s="498" t="s">
        <v>1588</v>
      </c>
      <c r="K1741" s="498">
        <v>14</v>
      </c>
      <c r="L1741" s="668" t="s">
        <v>1588</v>
      </c>
      <c r="M1741" s="672">
        <v>0</v>
      </c>
      <c r="N1741" s="498">
        <v>0</v>
      </c>
      <c r="O1741" s="715" t="s">
        <v>7842</v>
      </c>
      <c r="P1741" s="501" t="s">
        <v>1588</v>
      </c>
      <c r="Q1741" s="672">
        <v>0</v>
      </c>
      <c r="R1741" s="672">
        <v>0</v>
      </c>
      <c r="S1741" s="672">
        <v>0</v>
      </c>
      <c r="T1741" s="672">
        <v>0</v>
      </c>
      <c r="U1741" s="501" t="s">
        <v>7500</v>
      </c>
      <c r="V1741" s="566" t="s">
        <v>7843</v>
      </c>
      <c r="W1741" s="498">
        <v>173</v>
      </c>
      <c r="X1741" s="501" t="s">
        <v>2193</v>
      </c>
      <c r="Y1741" s="501" t="s">
        <v>1588</v>
      </c>
      <c r="Z1741" s="501" t="s">
        <v>1914</v>
      </c>
      <c r="AA1741" s="501" t="s">
        <v>1589</v>
      </c>
      <c r="AB1741" s="502" t="s">
        <v>1589</v>
      </c>
    </row>
    <row r="1742" spans="1:28" ht="24" customHeight="1">
      <c r="A1742" s="584"/>
      <c r="B1742" s="460" t="s">
        <v>675</v>
      </c>
      <c r="C1742" s="458" t="s">
        <v>7844</v>
      </c>
      <c r="D1742" s="510" t="s">
        <v>7845</v>
      </c>
      <c r="E1742" s="498">
        <f t="shared" si="139"/>
        <v>30</v>
      </c>
      <c r="F1742" s="498">
        <v>0</v>
      </c>
      <c r="G1742" s="498">
        <v>30</v>
      </c>
      <c r="H1742" s="498">
        <v>0</v>
      </c>
      <c r="I1742" s="498">
        <f t="shared" si="140"/>
        <v>13</v>
      </c>
      <c r="J1742" s="498" t="s">
        <v>1588</v>
      </c>
      <c r="K1742" s="498">
        <v>13</v>
      </c>
      <c r="L1742" s="668" t="s">
        <v>1588</v>
      </c>
      <c r="M1742" s="672">
        <v>0</v>
      </c>
      <c r="N1742" s="498">
        <v>0</v>
      </c>
      <c r="O1742" s="715" t="s">
        <v>3221</v>
      </c>
      <c r="P1742" s="501" t="s">
        <v>1588</v>
      </c>
      <c r="Q1742" s="672">
        <v>0</v>
      </c>
      <c r="R1742" s="672">
        <v>0</v>
      </c>
      <c r="S1742" s="672">
        <v>0</v>
      </c>
      <c r="T1742" s="672">
        <v>0</v>
      </c>
      <c r="U1742" s="501" t="s">
        <v>7500</v>
      </c>
      <c r="V1742" s="566" t="s">
        <v>2360</v>
      </c>
      <c r="W1742" s="498">
        <v>95</v>
      </c>
      <c r="X1742" s="501" t="s">
        <v>2193</v>
      </c>
      <c r="Y1742" s="501" t="s">
        <v>1588</v>
      </c>
      <c r="Z1742" s="501" t="s">
        <v>1914</v>
      </c>
      <c r="AA1742" s="501" t="s">
        <v>1589</v>
      </c>
      <c r="AB1742" s="502" t="s">
        <v>1589</v>
      </c>
    </row>
    <row r="1743" spans="1:28" ht="24" customHeight="1">
      <c r="A1743" s="584"/>
      <c r="B1743" s="460" t="s">
        <v>675</v>
      </c>
      <c r="C1743" s="458" t="s">
        <v>7846</v>
      </c>
      <c r="D1743" s="510" t="s">
        <v>7847</v>
      </c>
      <c r="E1743" s="498">
        <f t="shared" si="139"/>
        <v>20</v>
      </c>
      <c r="F1743" s="498">
        <v>0</v>
      </c>
      <c r="G1743" s="498">
        <v>20</v>
      </c>
      <c r="H1743" s="498">
        <v>0</v>
      </c>
      <c r="I1743" s="498">
        <f t="shared" si="140"/>
        <v>13</v>
      </c>
      <c r="J1743" s="498" t="s">
        <v>1588</v>
      </c>
      <c r="K1743" s="498">
        <v>13</v>
      </c>
      <c r="L1743" s="668" t="s">
        <v>1588</v>
      </c>
      <c r="M1743" s="672">
        <v>0</v>
      </c>
      <c r="N1743" s="498">
        <v>0</v>
      </c>
      <c r="O1743" s="715" t="s">
        <v>7725</v>
      </c>
      <c r="P1743" s="501" t="s">
        <v>1588</v>
      </c>
      <c r="Q1743" s="672">
        <v>0</v>
      </c>
      <c r="R1743" s="672">
        <v>0</v>
      </c>
      <c r="S1743" s="672">
        <v>0</v>
      </c>
      <c r="T1743" s="672">
        <v>0</v>
      </c>
      <c r="U1743" s="501" t="s">
        <v>7500</v>
      </c>
      <c r="V1743" s="566" t="s">
        <v>7848</v>
      </c>
      <c r="W1743" s="498">
        <v>126</v>
      </c>
      <c r="X1743" s="501" t="s">
        <v>2193</v>
      </c>
      <c r="Y1743" s="501" t="s">
        <v>1588</v>
      </c>
      <c r="Z1743" s="501" t="s">
        <v>1914</v>
      </c>
      <c r="AA1743" s="501" t="s">
        <v>1914</v>
      </c>
      <c r="AB1743" s="502" t="s">
        <v>1589</v>
      </c>
    </row>
    <row r="1744" spans="1:28" ht="24" customHeight="1">
      <c r="A1744" s="584"/>
      <c r="B1744" s="460" t="s">
        <v>675</v>
      </c>
      <c r="C1744" s="458" t="s">
        <v>7849</v>
      </c>
      <c r="D1744" s="510" t="s">
        <v>7850</v>
      </c>
      <c r="E1744" s="498">
        <f t="shared" si="139"/>
        <v>50</v>
      </c>
      <c r="F1744" s="498">
        <v>0</v>
      </c>
      <c r="G1744" s="498">
        <v>50</v>
      </c>
      <c r="H1744" s="498">
        <v>0</v>
      </c>
      <c r="I1744" s="498">
        <f t="shared" si="140"/>
        <v>16</v>
      </c>
      <c r="J1744" s="498" t="s">
        <v>1588</v>
      </c>
      <c r="K1744" s="498">
        <v>16</v>
      </c>
      <c r="L1744" s="668" t="s">
        <v>1588</v>
      </c>
      <c r="M1744" s="672">
        <v>0</v>
      </c>
      <c r="N1744" s="498">
        <v>0</v>
      </c>
      <c r="O1744" s="715" t="s">
        <v>3221</v>
      </c>
      <c r="P1744" s="501" t="s">
        <v>1588</v>
      </c>
      <c r="Q1744" s="672">
        <v>0</v>
      </c>
      <c r="R1744" s="672">
        <v>0</v>
      </c>
      <c r="S1744" s="672">
        <v>0</v>
      </c>
      <c r="T1744" s="672">
        <v>0</v>
      </c>
      <c r="U1744" s="501" t="s">
        <v>7500</v>
      </c>
      <c r="V1744" s="566" t="s">
        <v>7843</v>
      </c>
      <c r="W1744" s="498">
        <v>103</v>
      </c>
      <c r="X1744" s="501" t="s">
        <v>2193</v>
      </c>
      <c r="Y1744" s="501" t="s">
        <v>3232</v>
      </c>
      <c r="Z1744" s="501" t="s">
        <v>7851</v>
      </c>
      <c r="AA1744" s="501" t="s">
        <v>1914</v>
      </c>
      <c r="AB1744" s="502" t="s">
        <v>1589</v>
      </c>
    </row>
    <row r="1745" spans="1:28" ht="24" customHeight="1">
      <c r="A1745" s="584"/>
      <c r="B1745" s="460" t="s">
        <v>675</v>
      </c>
      <c r="C1745" s="458" t="s">
        <v>7852</v>
      </c>
      <c r="D1745" s="510" t="s">
        <v>7853</v>
      </c>
      <c r="E1745" s="498">
        <f t="shared" si="139"/>
        <v>30</v>
      </c>
      <c r="F1745" s="498">
        <v>0</v>
      </c>
      <c r="G1745" s="498">
        <v>30</v>
      </c>
      <c r="H1745" s="498">
        <v>0</v>
      </c>
      <c r="I1745" s="498">
        <f t="shared" si="140"/>
        <v>14</v>
      </c>
      <c r="J1745" s="498" t="s">
        <v>1588</v>
      </c>
      <c r="K1745" s="498">
        <v>14</v>
      </c>
      <c r="L1745" s="668" t="s">
        <v>1588</v>
      </c>
      <c r="M1745" s="672">
        <v>0</v>
      </c>
      <c r="N1745" s="498">
        <v>0</v>
      </c>
      <c r="O1745" s="715" t="s">
        <v>7854</v>
      </c>
      <c r="P1745" s="501" t="s">
        <v>1588</v>
      </c>
      <c r="Q1745" s="672">
        <v>0</v>
      </c>
      <c r="R1745" s="672">
        <v>0</v>
      </c>
      <c r="S1745" s="672">
        <v>0</v>
      </c>
      <c r="T1745" s="672">
        <v>0</v>
      </c>
      <c r="U1745" s="501" t="s">
        <v>7500</v>
      </c>
      <c r="V1745" s="566" t="s">
        <v>7843</v>
      </c>
      <c r="W1745" s="498">
        <v>188</v>
      </c>
      <c r="X1745" s="501" t="s">
        <v>2193</v>
      </c>
      <c r="Y1745" s="501" t="s">
        <v>1588</v>
      </c>
      <c r="Z1745" s="478" t="s">
        <v>7855</v>
      </c>
      <c r="AA1745" s="501" t="s">
        <v>1916</v>
      </c>
      <c r="AB1745" s="502" t="s">
        <v>1536</v>
      </c>
    </row>
    <row r="1746" spans="1:28" ht="24" customHeight="1">
      <c r="A1746" s="584"/>
      <c r="B1746" s="460" t="s">
        <v>675</v>
      </c>
      <c r="C1746" s="458" t="s">
        <v>7856</v>
      </c>
      <c r="D1746" s="510" t="s">
        <v>7857</v>
      </c>
      <c r="E1746" s="498">
        <f t="shared" si="139"/>
        <v>50</v>
      </c>
      <c r="F1746" s="498">
        <v>0</v>
      </c>
      <c r="G1746" s="498">
        <v>50</v>
      </c>
      <c r="H1746" s="498">
        <v>0</v>
      </c>
      <c r="I1746" s="498">
        <f t="shared" si="140"/>
        <v>0</v>
      </c>
      <c r="J1746" s="498" t="s">
        <v>1588</v>
      </c>
      <c r="K1746" s="498">
        <v>0</v>
      </c>
      <c r="L1746" s="668" t="s">
        <v>1588</v>
      </c>
      <c r="M1746" s="672">
        <v>0</v>
      </c>
      <c r="N1746" s="498">
        <v>0</v>
      </c>
      <c r="O1746" s="715" t="s">
        <v>7858</v>
      </c>
      <c r="P1746" s="501" t="s">
        <v>1588</v>
      </c>
      <c r="Q1746" s="672">
        <v>0</v>
      </c>
      <c r="R1746" s="672">
        <v>0</v>
      </c>
      <c r="S1746" s="672">
        <v>0</v>
      </c>
      <c r="T1746" s="672">
        <v>0</v>
      </c>
      <c r="U1746" s="501" t="s">
        <v>7500</v>
      </c>
      <c r="V1746" s="501"/>
      <c r="W1746" s="498">
        <v>400</v>
      </c>
      <c r="X1746" s="501"/>
      <c r="Y1746" s="501"/>
      <c r="Z1746" s="501" t="s">
        <v>7859</v>
      </c>
      <c r="AA1746" s="501" t="s">
        <v>1914</v>
      </c>
      <c r="AB1746" s="502" t="s">
        <v>1589</v>
      </c>
    </row>
    <row r="1747" spans="1:28" ht="24" customHeight="1">
      <c r="A1747" s="582" t="s">
        <v>1917</v>
      </c>
      <c r="B1747" s="460" t="s">
        <v>2201</v>
      </c>
      <c r="C1747" s="458" t="s">
        <v>2041</v>
      </c>
      <c r="D1747" s="510" t="s">
        <v>7860</v>
      </c>
      <c r="E1747" s="498">
        <f t="shared" ref="E1747:E1771" si="141">SUM(F1747:H1747)</f>
        <v>13000</v>
      </c>
      <c r="F1747" s="498">
        <v>0</v>
      </c>
      <c r="G1747" s="498">
        <v>13000</v>
      </c>
      <c r="H1747" s="498">
        <v>0</v>
      </c>
      <c r="I1747" s="498">
        <f t="shared" si="140"/>
        <v>11168</v>
      </c>
      <c r="J1747" s="498">
        <v>0</v>
      </c>
      <c r="K1747" s="498">
        <v>11168</v>
      </c>
      <c r="L1747" s="668">
        <v>0</v>
      </c>
      <c r="M1747" s="672">
        <v>91.56</v>
      </c>
      <c r="N1747" s="498">
        <v>1178.22</v>
      </c>
      <c r="O1747" s="715" t="s">
        <v>1535</v>
      </c>
      <c r="P1747" s="501" t="s">
        <v>1588</v>
      </c>
      <c r="Q1747" s="672">
        <v>44.3</v>
      </c>
      <c r="R1747" s="672">
        <v>0</v>
      </c>
      <c r="S1747" s="672">
        <v>0</v>
      </c>
      <c r="T1747" s="672">
        <v>0</v>
      </c>
      <c r="U1747" s="501" t="s">
        <v>7500</v>
      </c>
      <c r="V1747" s="572">
        <v>37152</v>
      </c>
      <c r="W1747" s="498">
        <v>35290</v>
      </c>
      <c r="X1747" s="501" t="s">
        <v>2199</v>
      </c>
      <c r="Y1747" s="501" t="s">
        <v>3336</v>
      </c>
      <c r="Z1747" s="501" t="s">
        <v>580</v>
      </c>
      <c r="AA1747" s="501" t="s">
        <v>1536</v>
      </c>
      <c r="AB1747" s="573" t="s">
        <v>1588</v>
      </c>
    </row>
    <row r="1748" spans="1:28" ht="24" customHeight="1">
      <c r="A1748" s="584"/>
      <c r="B1748" s="460" t="s">
        <v>2201</v>
      </c>
      <c r="C1748" s="458" t="s">
        <v>2337</v>
      </c>
      <c r="D1748" s="510" t="s">
        <v>7861</v>
      </c>
      <c r="E1748" s="498">
        <f t="shared" si="141"/>
        <v>5400</v>
      </c>
      <c r="F1748" s="498">
        <v>0</v>
      </c>
      <c r="G1748" s="498">
        <v>0</v>
      </c>
      <c r="H1748" s="498">
        <v>5400</v>
      </c>
      <c r="I1748" s="498">
        <f t="shared" si="140"/>
        <v>3727</v>
      </c>
      <c r="J1748" s="498">
        <v>0</v>
      </c>
      <c r="K1748" s="498">
        <v>0</v>
      </c>
      <c r="L1748" s="668">
        <v>3727</v>
      </c>
      <c r="M1748" s="672">
        <v>97.23</v>
      </c>
      <c r="N1748" s="498">
        <v>322.76</v>
      </c>
      <c r="O1748" s="715" t="s">
        <v>3347</v>
      </c>
      <c r="P1748" s="501" t="s">
        <v>1588</v>
      </c>
      <c r="Q1748" s="672">
        <v>17.600000000000001</v>
      </c>
      <c r="R1748" s="672">
        <v>0</v>
      </c>
      <c r="S1748" s="672">
        <v>0</v>
      </c>
      <c r="T1748" s="672">
        <v>0</v>
      </c>
      <c r="U1748" s="501" t="s">
        <v>2458</v>
      </c>
      <c r="V1748" s="572">
        <v>38919</v>
      </c>
      <c r="W1748" s="498">
        <v>25789</v>
      </c>
      <c r="X1748" s="501" t="s">
        <v>2199</v>
      </c>
      <c r="Y1748" s="501" t="s">
        <v>3336</v>
      </c>
      <c r="Z1748" s="501" t="s">
        <v>1604</v>
      </c>
      <c r="AA1748" s="501" t="s">
        <v>1536</v>
      </c>
      <c r="AB1748" s="573" t="s">
        <v>1588</v>
      </c>
    </row>
    <row r="1749" spans="1:28" ht="24" customHeight="1">
      <c r="A1749" s="584"/>
      <c r="B1749" s="460" t="s">
        <v>2201</v>
      </c>
      <c r="C1749" s="458" t="s">
        <v>2076</v>
      </c>
      <c r="D1749" s="510" t="s">
        <v>7862</v>
      </c>
      <c r="E1749" s="498">
        <f t="shared" si="141"/>
        <v>800</v>
      </c>
      <c r="F1749" s="498">
        <v>0</v>
      </c>
      <c r="G1749" s="498">
        <v>0</v>
      </c>
      <c r="H1749" s="498">
        <v>800</v>
      </c>
      <c r="I1749" s="498">
        <f t="shared" si="140"/>
        <v>312</v>
      </c>
      <c r="J1749" s="498">
        <v>0</v>
      </c>
      <c r="K1749" s="498">
        <v>0</v>
      </c>
      <c r="L1749" s="668">
        <v>312</v>
      </c>
      <c r="M1749" s="672">
        <v>96.44</v>
      </c>
      <c r="N1749" s="498">
        <v>23.68</v>
      </c>
      <c r="O1749" s="715" t="s">
        <v>3347</v>
      </c>
      <c r="P1749" s="501" t="s">
        <v>1588</v>
      </c>
      <c r="Q1749" s="672">
        <v>0</v>
      </c>
      <c r="R1749" s="672">
        <v>0</v>
      </c>
      <c r="S1749" s="672">
        <v>0</v>
      </c>
      <c r="T1749" s="672">
        <v>0</v>
      </c>
      <c r="U1749" s="501" t="s">
        <v>7501</v>
      </c>
      <c r="V1749" s="574">
        <v>37949</v>
      </c>
      <c r="W1749" s="498">
        <v>7009</v>
      </c>
      <c r="X1749" s="501" t="s">
        <v>2199</v>
      </c>
      <c r="Y1749" s="501" t="s">
        <v>3336</v>
      </c>
      <c r="Z1749" s="501" t="s">
        <v>7863</v>
      </c>
      <c r="AA1749" s="501" t="s">
        <v>1536</v>
      </c>
      <c r="AB1749" s="573" t="s">
        <v>1588</v>
      </c>
    </row>
    <row r="1750" spans="1:28" ht="24" customHeight="1">
      <c r="A1750" s="584"/>
      <c r="B1750" s="460" t="s">
        <v>675</v>
      </c>
      <c r="C1750" s="458" t="s">
        <v>7864</v>
      </c>
      <c r="D1750" s="510" t="s">
        <v>7865</v>
      </c>
      <c r="E1750" s="498">
        <f t="shared" si="141"/>
        <v>120</v>
      </c>
      <c r="F1750" s="498">
        <v>0</v>
      </c>
      <c r="G1750" s="498">
        <v>0</v>
      </c>
      <c r="H1750" s="498">
        <v>120</v>
      </c>
      <c r="I1750" s="498">
        <f t="shared" si="140"/>
        <v>48</v>
      </c>
      <c r="J1750" s="498">
        <v>0</v>
      </c>
      <c r="K1750" s="498">
        <v>0</v>
      </c>
      <c r="L1750" s="668">
        <v>48</v>
      </c>
      <c r="M1750" s="672">
        <v>83.79</v>
      </c>
      <c r="N1750" s="498">
        <v>3.56</v>
      </c>
      <c r="O1750" s="764" t="s">
        <v>7866</v>
      </c>
      <c r="P1750" s="568" t="s">
        <v>7867</v>
      </c>
      <c r="Q1750" s="672">
        <v>0</v>
      </c>
      <c r="R1750" s="672">
        <v>0</v>
      </c>
      <c r="S1750" s="672">
        <v>0</v>
      </c>
      <c r="T1750" s="672">
        <v>0</v>
      </c>
      <c r="U1750" s="501" t="s">
        <v>7502</v>
      </c>
      <c r="V1750" s="572">
        <v>37761</v>
      </c>
      <c r="W1750" s="498">
        <v>486</v>
      </c>
      <c r="X1750" s="501" t="s">
        <v>2199</v>
      </c>
      <c r="Y1750" s="501" t="s">
        <v>3232</v>
      </c>
      <c r="Z1750" s="501"/>
      <c r="AA1750" s="501" t="s">
        <v>1536</v>
      </c>
      <c r="AB1750" s="573"/>
    </row>
    <row r="1751" spans="1:28" ht="24" customHeight="1">
      <c r="A1751" s="584"/>
      <c r="B1751" s="460" t="s">
        <v>675</v>
      </c>
      <c r="C1751" s="458" t="s">
        <v>7868</v>
      </c>
      <c r="D1751" s="510" t="s">
        <v>7869</v>
      </c>
      <c r="E1751" s="498">
        <f t="shared" si="141"/>
        <v>40</v>
      </c>
      <c r="F1751" s="498">
        <v>0</v>
      </c>
      <c r="G1751" s="498">
        <v>0</v>
      </c>
      <c r="H1751" s="498">
        <v>40</v>
      </c>
      <c r="I1751" s="498">
        <f t="shared" si="140"/>
        <v>25</v>
      </c>
      <c r="J1751" s="498">
        <v>0</v>
      </c>
      <c r="K1751" s="498">
        <v>0</v>
      </c>
      <c r="L1751" s="668">
        <v>25</v>
      </c>
      <c r="M1751" s="672">
        <v>82.81</v>
      </c>
      <c r="N1751" s="498">
        <v>1.81</v>
      </c>
      <c r="O1751" s="764" t="s">
        <v>7870</v>
      </c>
      <c r="P1751" s="568" t="s">
        <v>7871</v>
      </c>
      <c r="Q1751" s="672">
        <v>0</v>
      </c>
      <c r="R1751" s="672">
        <v>0</v>
      </c>
      <c r="S1751" s="672">
        <v>0</v>
      </c>
      <c r="T1751" s="672">
        <v>0</v>
      </c>
      <c r="U1751" s="501" t="s">
        <v>7502</v>
      </c>
      <c r="V1751" s="572">
        <v>36899</v>
      </c>
      <c r="W1751" s="498">
        <v>321</v>
      </c>
      <c r="X1751" s="501" t="s">
        <v>2199</v>
      </c>
      <c r="Y1751" s="501" t="s">
        <v>3232</v>
      </c>
      <c r="Z1751" s="501"/>
      <c r="AA1751" s="501" t="s">
        <v>1536</v>
      </c>
      <c r="AB1751" s="573"/>
    </row>
    <row r="1752" spans="1:28" ht="24" customHeight="1">
      <c r="A1752" s="584"/>
      <c r="B1752" s="460" t="s">
        <v>675</v>
      </c>
      <c r="C1752" s="458" t="s">
        <v>7872</v>
      </c>
      <c r="D1752" s="510" t="s">
        <v>7873</v>
      </c>
      <c r="E1752" s="498">
        <f t="shared" si="141"/>
        <v>50</v>
      </c>
      <c r="F1752" s="498">
        <v>0</v>
      </c>
      <c r="G1752" s="498">
        <v>50</v>
      </c>
      <c r="H1752" s="498">
        <v>0</v>
      </c>
      <c r="I1752" s="498">
        <f t="shared" si="140"/>
        <v>21</v>
      </c>
      <c r="J1752" s="498">
        <v>0</v>
      </c>
      <c r="K1752" s="498">
        <v>21</v>
      </c>
      <c r="L1752" s="668">
        <v>0</v>
      </c>
      <c r="M1752" s="672">
        <v>84.78</v>
      </c>
      <c r="N1752" s="498">
        <v>1.57</v>
      </c>
      <c r="O1752" s="715" t="s">
        <v>7874</v>
      </c>
      <c r="P1752" s="501" t="s">
        <v>1588</v>
      </c>
      <c r="Q1752" s="672">
        <v>0</v>
      </c>
      <c r="R1752" s="672">
        <v>0</v>
      </c>
      <c r="S1752" s="672">
        <v>0</v>
      </c>
      <c r="T1752" s="672">
        <v>0</v>
      </c>
      <c r="U1752" s="501" t="s">
        <v>7502</v>
      </c>
      <c r="V1752" s="572">
        <v>36186</v>
      </c>
      <c r="W1752" s="498">
        <v>243</v>
      </c>
      <c r="X1752" s="501" t="s">
        <v>2199</v>
      </c>
      <c r="Y1752" s="501" t="s">
        <v>3232</v>
      </c>
      <c r="Z1752" s="501"/>
      <c r="AA1752" s="501" t="s">
        <v>1536</v>
      </c>
      <c r="AB1752" s="573"/>
    </row>
    <row r="1753" spans="1:28" ht="24" customHeight="1">
      <c r="A1753" s="584"/>
      <c r="B1753" s="460" t="s">
        <v>675</v>
      </c>
      <c r="C1753" s="458" t="s">
        <v>7875</v>
      </c>
      <c r="D1753" s="510" t="s">
        <v>7876</v>
      </c>
      <c r="E1753" s="498">
        <f t="shared" si="141"/>
        <v>80</v>
      </c>
      <c r="F1753" s="498">
        <v>0</v>
      </c>
      <c r="G1753" s="498">
        <v>0</v>
      </c>
      <c r="H1753" s="498">
        <v>80</v>
      </c>
      <c r="I1753" s="498">
        <f t="shared" si="140"/>
        <v>18</v>
      </c>
      <c r="J1753" s="498">
        <v>0</v>
      </c>
      <c r="K1753" s="498">
        <v>0</v>
      </c>
      <c r="L1753" s="668">
        <v>18</v>
      </c>
      <c r="M1753" s="672">
        <v>84.66</v>
      </c>
      <c r="N1753" s="498">
        <v>0.98</v>
      </c>
      <c r="O1753" s="764" t="s">
        <v>7877</v>
      </c>
      <c r="P1753" s="568" t="s">
        <v>1588</v>
      </c>
      <c r="Q1753" s="672">
        <v>0</v>
      </c>
      <c r="R1753" s="672">
        <v>0</v>
      </c>
      <c r="S1753" s="672">
        <v>0</v>
      </c>
      <c r="T1753" s="672">
        <v>0</v>
      </c>
      <c r="U1753" s="501" t="s">
        <v>7502</v>
      </c>
      <c r="V1753" s="572">
        <v>38127</v>
      </c>
      <c r="W1753" s="498">
        <v>3.85</v>
      </c>
      <c r="X1753" s="501" t="s">
        <v>2199</v>
      </c>
      <c r="Y1753" s="501" t="s">
        <v>3232</v>
      </c>
      <c r="Z1753" s="501"/>
      <c r="AA1753" s="501" t="s">
        <v>1536</v>
      </c>
      <c r="AB1753" s="573"/>
    </row>
    <row r="1754" spans="1:28" ht="24" customHeight="1">
      <c r="A1754" s="584"/>
      <c r="B1754" s="460" t="s">
        <v>675</v>
      </c>
      <c r="C1754" s="458" t="s">
        <v>7878</v>
      </c>
      <c r="D1754" s="510" t="s">
        <v>7879</v>
      </c>
      <c r="E1754" s="498">
        <f t="shared" si="141"/>
        <v>180</v>
      </c>
      <c r="F1754" s="498">
        <v>0</v>
      </c>
      <c r="G1754" s="498">
        <v>0</v>
      </c>
      <c r="H1754" s="498">
        <v>180</v>
      </c>
      <c r="I1754" s="498">
        <f t="shared" si="140"/>
        <v>146</v>
      </c>
      <c r="J1754" s="498">
        <v>0</v>
      </c>
      <c r="K1754" s="498">
        <v>0</v>
      </c>
      <c r="L1754" s="668">
        <v>146</v>
      </c>
      <c r="M1754" s="672">
        <v>80.650000000000006</v>
      </c>
      <c r="N1754" s="498">
        <v>8.51</v>
      </c>
      <c r="O1754" s="764" t="s">
        <v>7866</v>
      </c>
      <c r="P1754" s="568" t="s">
        <v>7867</v>
      </c>
      <c r="Q1754" s="672">
        <v>0</v>
      </c>
      <c r="R1754" s="672">
        <v>0</v>
      </c>
      <c r="S1754" s="672">
        <v>0</v>
      </c>
      <c r="T1754" s="672">
        <v>0</v>
      </c>
      <c r="U1754" s="501" t="s">
        <v>7503</v>
      </c>
      <c r="V1754" s="572">
        <v>35062</v>
      </c>
      <c r="W1754" s="498">
        <v>486</v>
      </c>
      <c r="X1754" s="501" t="s">
        <v>2199</v>
      </c>
      <c r="Y1754" s="501" t="s">
        <v>7880</v>
      </c>
      <c r="Z1754" s="501"/>
      <c r="AA1754" s="501" t="s">
        <v>1536</v>
      </c>
      <c r="AB1754" s="573"/>
    </row>
    <row r="1755" spans="1:28" ht="24" customHeight="1">
      <c r="A1755" s="584"/>
      <c r="B1755" s="460" t="s">
        <v>675</v>
      </c>
      <c r="C1755" s="458" t="s">
        <v>7881</v>
      </c>
      <c r="D1755" s="510" t="s">
        <v>7882</v>
      </c>
      <c r="E1755" s="498">
        <f t="shared" si="141"/>
        <v>50</v>
      </c>
      <c r="F1755" s="498">
        <v>0</v>
      </c>
      <c r="G1755" s="498">
        <v>50</v>
      </c>
      <c r="H1755" s="498">
        <v>0</v>
      </c>
      <c r="I1755" s="498">
        <f t="shared" si="140"/>
        <v>42</v>
      </c>
      <c r="J1755" s="498">
        <v>0</v>
      </c>
      <c r="K1755" s="498">
        <v>42</v>
      </c>
      <c r="L1755" s="668">
        <v>0</v>
      </c>
      <c r="M1755" s="672">
        <v>78.78</v>
      </c>
      <c r="N1755" s="498">
        <v>2.4500000000000002</v>
      </c>
      <c r="O1755" s="715" t="s">
        <v>7874</v>
      </c>
      <c r="P1755" s="501" t="s">
        <v>1588</v>
      </c>
      <c r="Q1755" s="672">
        <v>0</v>
      </c>
      <c r="R1755" s="672">
        <v>0</v>
      </c>
      <c r="S1755" s="672">
        <v>0</v>
      </c>
      <c r="T1755" s="672">
        <v>0</v>
      </c>
      <c r="U1755" s="501" t="s">
        <v>7502</v>
      </c>
      <c r="V1755" s="572">
        <v>36839</v>
      </c>
      <c r="W1755" s="653">
        <v>187</v>
      </c>
      <c r="X1755" s="501" t="s">
        <v>2199</v>
      </c>
      <c r="Y1755" s="501" t="s">
        <v>3232</v>
      </c>
      <c r="Z1755" s="501"/>
      <c r="AA1755" s="501" t="s">
        <v>1536</v>
      </c>
      <c r="AB1755" s="573"/>
    </row>
    <row r="1756" spans="1:28" ht="24" customHeight="1">
      <c r="A1756" s="584"/>
      <c r="B1756" s="460" t="s">
        <v>675</v>
      </c>
      <c r="C1756" s="458" t="s">
        <v>7883</v>
      </c>
      <c r="D1756" s="510" t="s">
        <v>7884</v>
      </c>
      <c r="E1756" s="498">
        <f t="shared" si="141"/>
        <v>30</v>
      </c>
      <c r="F1756" s="498">
        <v>0</v>
      </c>
      <c r="G1756" s="498">
        <v>0</v>
      </c>
      <c r="H1756" s="498">
        <v>30</v>
      </c>
      <c r="I1756" s="498">
        <f t="shared" si="140"/>
        <v>45</v>
      </c>
      <c r="J1756" s="498">
        <v>0</v>
      </c>
      <c r="K1756" s="498">
        <v>0</v>
      </c>
      <c r="L1756" s="668">
        <v>45</v>
      </c>
      <c r="M1756" s="672">
        <v>81.73</v>
      </c>
      <c r="N1756" s="498">
        <v>2.13</v>
      </c>
      <c r="O1756" s="715" t="s">
        <v>7885</v>
      </c>
      <c r="P1756" s="501" t="s">
        <v>1588</v>
      </c>
      <c r="Q1756" s="672">
        <v>0</v>
      </c>
      <c r="R1756" s="672">
        <v>0</v>
      </c>
      <c r="S1756" s="672">
        <v>0</v>
      </c>
      <c r="T1756" s="672">
        <v>0</v>
      </c>
      <c r="U1756" s="501" t="s">
        <v>7502</v>
      </c>
      <c r="V1756" s="572">
        <v>35062</v>
      </c>
      <c r="W1756" s="653">
        <v>220</v>
      </c>
      <c r="X1756" s="501" t="s">
        <v>2199</v>
      </c>
      <c r="Y1756" s="501" t="s">
        <v>3336</v>
      </c>
      <c r="Z1756" s="501"/>
      <c r="AA1756" s="501" t="s">
        <v>1536</v>
      </c>
      <c r="AB1756" s="573"/>
    </row>
    <row r="1757" spans="1:28" ht="24" customHeight="1">
      <c r="A1757" s="584"/>
      <c r="B1757" s="460" t="s">
        <v>675</v>
      </c>
      <c r="C1757" s="458" t="s">
        <v>7886</v>
      </c>
      <c r="D1757" s="510" t="s">
        <v>7887</v>
      </c>
      <c r="E1757" s="498">
        <f t="shared" si="141"/>
        <v>40</v>
      </c>
      <c r="F1757" s="498">
        <v>0</v>
      </c>
      <c r="G1757" s="498">
        <v>0</v>
      </c>
      <c r="H1757" s="498">
        <v>40</v>
      </c>
      <c r="I1757" s="498">
        <f t="shared" si="140"/>
        <v>27</v>
      </c>
      <c r="J1757" s="498">
        <v>0</v>
      </c>
      <c r="K1757" s="498">
        <v>0</v>
      </c>
      <c r="L1757" s="668">
        <v>27</v>
      </c>
      <c r="M1757" s="672">
        <v>82.63</v>
      </c>
      <c r="N1757" s="498">
        <v>1.56</v>
      </c>
      <c r="O1757" s="764" t="s">
        <v>7870</v>
      </c>
      <c r="P1757" s="568" t="s">
        <v>7871</v>
      </c>
      <c r="Q1757" s="672">
        <v>0</v>
      </c>
      <c r="R1757" s="672">
        <v>0</v>
      </c>
      <c r="S1757" s="672">
        <v>0</v>
      </c>
      <c r="T1757" s="672">
        <v>0</v>
      </c>
      <c r="U1757" s="501" t="s">
        <v>7502</v>
      </c>
      <c r="V1757" s="572">
        <v>37109</v>
      </c>
      <c r="W1757" s="498">
        <v>212</v>
      </c>
      <c r="X1757" s="501" t="s">
        <v>2199</v>
      </c>
      <c r="Y1757" s="501" t="s">
        <v>3232</v>
      </c>
      <c r="Z1757" s="501"/>
      <c r="AA1757" s="501" t="s">
        <v>1536</v>
      </c>
      <c r="AB1757" s="573"/>
    </row>
    <row r="1758" spans="1:28" ht="24" customHeight="1">
      <c r="A1758" s="584"/>
      <c r="B1758" s="460" t="s">
        <v>675</v>
      </c>
      <c r="C1758" s="458" t="s">
        <v>7888</v>
      </c>
      <c r="D1758" s="510" t="s">
        <v>7889</v>
      </c>
      <c r="E1758" s="498">
        <f t="shared" si="141"/>
        <v>40</v>
      </c>
      <c r="F1758" s="498">
        <v>0</v>
      </c>
      <c r="G1758" s="498">
        <v>0</v>
      </c>
      <c r="H1758" s="498">
        <v>40</v>
      </c>
      <c r="I1758" s="498">
        <f t="shared" si="140"/>
        <v>32</v>
      </c>
      <c r="J1758" s="498">
        <v>0</v>
      </c>
      <c r="K1758" s="498">
        <v>0</v>
      </c>
      <c r="L1758" s="668">
        <v>32</v>
      </c>
      <c r="M1758" s="672">
        <v>83.23</v>
      </c>
      <c r="N1758" s="498">
        <v>1.81</v>
      </c>
      <c r="O1758" s="715" t="s">
        <v>7890</v>
      </c>
      <c r="P1758" s="501" t="s">
        <v>1588</v>
      </c>
      <c r="Q1758" s="672">
        <v>0</v>
      </c>
      <c r="R1758" s="672">
        <v>0</v>
      </c>
      <c r="S1758" s="672">
        <v>0</v>
      </c>
      <c r="T1758" s="672">
        <v>0</v>
      </c>
      <c r="U1758" s="501" t="s">
        <v>7502</v>
      </c>
      <c r="V1758" s="572">
        <v>36186</v>
      </c>
      <c r="W1758" s="653">
        <v>260</v>
      </c>
      <c r="X1758" s="501" t="s">
        <v>2199</v>
      </c>
      <c r="Y1758" s="501" t="s">
        <v>3232</v>
      </c>
      <c r="Z1758" s="501"/>
      <c r="AA1758" s="501" t="s">
        <v>1536</v>
      </c>
      <c r="AB1758" s="573"/>
    </row>
    <row r="1759" spans="1:28" ht="24" customHeight="1">
      <c r="A1759" s="584"/>
      <c r="B1759" s="460" t="s">
        <v>675</v>
      </c>
      <c r="C1759" s="458" t="s">
        <v>7891</v>
      </c>
      <c r="D1759" s="510" t="s">
        <v>7892</v>
      </c>
      <c r="E1759" s="498">
        <f t="shared" si="141"/>
        <v>70</v>
      </c>
      <c r="F1759" s="498">
        <v>0</v>
      </c>
      <c r="G1759" s="498">
        <v>0</v>
      </c>
      <c r="H1759" s="498">
        <v>70</v>
      </c>
      <c r="I1759" s="498">
        <f t="shared" si="140"/>
        <v>22</v>
      </c>
      <c r="J1759" s="498">
        <v>0</v>
      </c>
      <c r="K1759" s="498">
        <v>0</v>
      </c>
      <c r="L1759" s="668">
        <v>22</v>
      </c>
      <c r="M1759" s="672">
        <v>81.66</v>
      </c>
      <c r="N1759" s="498">
        <v>1.23</v>
      </c>
      <c r="O1759" s="764" t="s">
        <v>7893</v>
      </c>
      <c r="P1759" s="568" t="s">
        <v>1588</v>
      </c>
      <c r="Q1759" s="672">
        <v>0</v>
      </c>
      <c r="R1759" s="672">
        <v>0</v>
      </c>
      <c r="S1759" s="672">
        <v>0</v>
      </c>
      <c r="T1759" s="672">
        <v>0</v>
      </c>
      <c r="U1759" s="501" t="s">
        <v>7502</v>
      </c>
      <c r="V1759" s="572">
        <v>37761</v>
      </c>
      <c r="W1759" s="498">
        <v>182</v>
      </c>
      <c r="X1759" s="501" t="s">
        <v>2199</v>
      </c>
      <c r="Y1759" s="501" t="s">
        <v>3232</v>
      </c>
      <c r="Z1759" s="501"/>
      <c r="AA1759" s="501" t="s">
        <v>1536</v>
      </c>
      <c r="AB1759" s="573"/>
    </row>
    <row r="1760" spans="1:28" ht="24" customHeight="1">
      <c r="A1760" s="584"/>
      <c r="B1760" s="460" t="s">
        <v>675</v>
      </c>
      <c r="C1760" s="458" t="s">
        <v>7894</v>
      </c>
      <c r="D1760" s="510" t="s">
        <v>7895</v>
      </c>
      <c r="E1760" s="498">
        <f t="shared" si="141"/>
        <v>180</v>
      </c>
      <c r="F1760" s="498">
        <v>0</v>
      </c>
      <c r="G1760" s="498">
        <v>0</v>
      </c>
      <c r="H1760" s="498">
        <v>180</v>
      </c>
      <c r="I1760" s="498">
        <f t="shared" si="140"/>
        <v>50</v>
      </c>
      <c r="J1760" s="498">
        <v>0</v>
      </c>
      <c r="K1760" s="498">
        <v>0</v>
      </c>
      <c r="L1760" s="668">
        <v>50</v>
      </c>
      <c r="M1760" s="672">
        <v>84.71</v>
      </c>
      <c r="N1760" s="498">
        <v>3.34</v>
      </c>
      <c r="O1760" s="764" t="s">
        <v>7896</v>
      </c>
      <c r="P1760" s="568" t="s">
        <v>7897</v>
      </c>
      <c r="Q1760" s="672">
        <v>0</v>
      </c>
      <c r="R1760" s="672">
        <v>0</v>
      </c>
      <c r="S1760" s="672">
        <v>0</v>
      </c>
      <c r="T1760" s="672">
        <v>0</v>
      </c>
      <c r="U1760" s="501" t="s">
        <v>7502</v>
      </c>
      <c r="V1760" s="572">
        <v>38168</v>
      </c>
      <c r="W1760" s="498">
        <v>638</v>
      </c>
      <c r="X1760" s="501" t="s">
        <v>2199</v>
      </c>
      <c r="Y1760" s="501" t="s">
        <v>7880</v>
      </c>
      <c r="Z1760" s="501"/>
      <c r="AA1760" s="501" t="s">
        <v>1536</v>
      </c>
      <c r="AB1760" s="573"/>
    </row>
    <row r="1761" spans="1:28" ht="24" customHeight="1">
      <c r="A1761" s="584"/>
      <c r="B1761" s="460" t="s">
        <v>675</v>
      </c>
      <c r="C1761" s="458" t="s">
        <v>7898</v>
      </c>
      <c r="D1761" s="510" t="s">
        <v>7899</v>
      </c>
      <c r="E1761" s="498">
        <f t="shared" si="141"/>
        <v>20</v>
      </c>
      <c r="F1761" s="498">
        <v>0</v>
      </c>
      <c r="G1761" s="498">
        <v>20</v>
      </c>
      <c r="H1761" s="498">
        <v>0</v>
      </c>
      <c r="I1761" s="498">
        <f t="shared" si="140"/>
        <v>140</v>
      </c>
      <c r="J1761" s="498">
        <v>0</v>
      </c>
      <c r="K1761" s="498">
        <v>140</v>
      </c>
      <c r="L1761" s="668">
        <v>0</v>
      </c>
      <c r="M1761" s="672">
        <v>80.680000000000007</v>
      </c>
      <c r="N1761" s="498">
        <v>5.42</v>
      </c>
      <c r="O1761" s="715" t="s">
        <v>7900</v>
      </c>
      <c r="P1761" s="501" t="s">
        <v>1588</v>
      </c>
      <c r="Q1761" s="672">
        <v>0</v>
      </c>
      <c r="R1761" s="672">
        <v>0</v>
      </c>
      <c r="S1761" s="672">
        <v>0</v>
      </c>
      <c r="T1761" s="672">
        <v>0</v>
      </c>
      <c r="U1761" s="501" t="s">
        <v>7502</v>
      </c>
      <c r="V1761" s="572">
        <v>36186</v>
      </c>
      <c r="W1761" s="653">
        <v>138</v>
      </c>
      <c r="X1761" s="501" t="s">
        <v>2199</v>
      </c>
      <c r="Y1761" s="501" t="s">
        <v>3232</v>
      </c>
      <c r="Z1761" s="501"/>
      <c r="AA1761" s="501" t="s">
        <v>1536</v>
      </c>
      <c r="AB1761" s="573"/>
    </row>
    <row r="1762" spans="1:28" ht="24" customHeight="1">
      <c r="A1762" s="584"/>
      <c r="B1762" s="460" t="s">
        <v>675</v>
      </c>
      <c r="C1762" s="458" t="s">
        <v>7901</v>
      </c>
      <c r="D1762" s="510" t="s">
        <v>7902</v>
      </c>
      <c r="E1762" s="498">
        <f t="shared" si="141"/>
        <v>80</v>
      </c>
      <c r="F1762" s="498">
        <v>0</v>
      </c>
      <c r="G1762" s="498">
        <v>80</v>
      </c>
      <c r="H1762" s="498">
        <v>0</v>
      </c>
      <c r="I1762" s="498">
        <f t="shared" si="140"/>
        <v>8</v>
      </c>
      <c r="J1762" s="498">
        <v>0</v>
      </c>
      <c r="K1762" s="498">
        <v>8</v>
      </c>
      <c r="L1762" s="668">
        <v>0</v>
      </c>
      <c r="M1762" s="672">
        <v>77.569999999999993</v>
      </c>
      <c r="N1762" s="498">
        <v>0.44</v>
      </c>
      <c r="O1762" s="715" t="s">
        <v>7903</v>
      </c>
      <c r="P1762" s="501" t="s">
        <v>1588</v>
      </c>
      <c r="Q1762" s="672">
        <v>0</v>
      </c>
      <c r="R1762" s="672">
        <v>0</v>
      </c>
      <c r="S1762" s="672">
        <v>0</v>
      </c>
      <c r="T1762" s="672">
        <v>0</v>
      </c>
      <c r="U1762" s="501" t="s">
        <v>7502</v>
      </c>
      <c r="V1762" s="572" t="s">
        <v>7904</v>
      </c>
      <c r="W1762" s="653">
        <v>329</v>
      </c>
      <c r="X1762" s="501" t="s">
        <v>2199</v>
      </c>
      <c r="Y1762" s="501" t="s">
        <v>3232</v>
      </c>
      <c r="Z1762" s="501"/>
      <c r="AA1762" s="501" t="s">
        <v>1536</v>
      </c>
      <c r="AB1762" s="573"/>
    </row>
    <row r="1763" spans="1:28" ht="24" customHeight="1">
      <c r="A1763" s="584"/>
      <c r="B1763" s="460" t="s">
        <v>675</v>
      </c>
      <c r="C1763" s="458" t="s">
        <v>7905</v>
      </c>
      <c r="D1763" s="510" t="s">
        <v>7906</v>
      </c>
      <c r="E1763" s="498">
        <f t="shared" si="141"/>
        <v>35</v>
      </c>
      <c r="F1763" s="498">
        <v>0</v>
      </c>
      <c r="G1763" s="498">
        <v>35</v>
      </c>
      <c r="H1763" s="498">
        <v>0</v>
      </c>
      <c r="I1763" s="498">
        <f t="shared" si="140"/>
        <v>44</v>
      </c>
      <c r="J1763" s="498">
        <v>0</v>
      </c>
      <c r="K1763" s="498">
        <v>44</v>
      </c>
      <c r="L1763" s="668">
        <v>0</v>
      </c>
      <c r="M1763" s="672">
        <v>81.7</v>
      </c>
      <c r="N1763" s="498">
        <v>2.96</v>
      </c>
      <c r="O1763" s="715" t="s">
        <v>7903</v>
      </c>
      <c r="P1763" s="501" t="s">
        <v>1588</v>
      </c>
      <c r="Q1763" s="672">
        <v>0</v>
      </c>
      <c r="R1763" s="672">
        <v>0</v>
      </c>
      <c r="S1763" s="672">
        <v>0</v>
      </c>
      <c r="T1763" s="672">
        <v>0</v>
      </c>
      <c r="U1763" s="501" t="s">
        <v>7502</v>
      </c>
      <c r="V1763" s="572">
        <v>35038</v>
      </c>
      <c r="W1763" s="653">
        <v>180</v>
      </c>
      <c r="X1763" s="501" t="s">
        <v>2199</v>
      </c>
      <c r="Y1763" s="501" t="s">
        <v>3232</v>
      </c>
      <c r="Z1763" s="501"/>
      <c r="AA1763" s="501" t="s">
        <v>1536</v>
      </c>
      <c r="AB1763" s="573"/>
    </row>
    <row r="1764" spans="1:28" ht="24" customHeight="1">
      <c r="A1764" s="584"/>
      <c r="B1764" s="460" t="s">
        <v>675</v>
      </c>
      <c r="C1764" s="458" t="s">
        <v>7907</v>
      </c>
      <c r="D1764" s="510" t="s">
        <v>7908</v>
      </c>
      <c r="E1764" s="498">
        <f t="shared" si="141"/>
        <v>30</v>
      </c>
      <c r="F1764" s="498">
        <v>0</v>
      </c>
      <c r="G1764" s="498">
        <v>30</v>
      </c>
      <c r="H1764" s="498">
        <v>0</v>
      </c>
      <c r="I1764" s="498">
        <f t="shared" si="140"/>
        <v>48</v>
      </c>
      <c r="J1764" s="498">
        <v>0</v>
      </c>
      <c r="K1764" s="498">
        <v>48</v>
      </c>
      <c r="L1764" s="668">
        <v>0</v>
      </c>
      <c r="M1764" s="672">
        <v>78.290000000000006</v>
      </c>
      <c r="N1764" s="498">
        <v>2.76</v>
      </c>
      <c r="O1764" s="715" t="s">
        <v>7903</v>
      </c>
      <c r="P1764" s="501" t="s">
        <v>1588</v>
      </c>
      <c r="Q1764" s="672">
        <v>0</v>
      </c>
      <c r="R1764" s="672">
        <v>0</v>
      </c>
      <c r="S1764" s="672">
        <v>0</v>
      </c>
      <c r="T1764" s="672">
        <v>0</v>
      </c>
      <c r="U1764" s="501" t="s">
        <v>7502</v>
      </c>
      <c r="V1764" s="572">
        <v>36839</v>
      </c>
      <c r="W1764" s="498">
        <v>217</v>
      </c>
      <c r="X1764" s="501" t="s">
        <v>2199</v>
      </c>
      <c r="Y1764" s="501" t="s">
        <v>3232</v>
      </c>
      <c r="Z1764" s="501"/>
      <c r="AA1764" s="501" t="s">
        <v>1536</v>
      </c>
      <c r="AB1764" s="573"/>
    </row>
    <row r="1765" spans="1:28" ht="24" customHeight="1">
      <c r="A1765" s="584"/>
      <c r="B1765" s="460" t="s">
        <v>675</v>
      </c>
      <c r="C1765" s="458" t="s">
        <v>7909</v>
      </c>
      <c r="D1765" s="510" t="s">
        <v>7910</v>
      </c>
      <c r="E1765" s="498">
        <f t="shared" si="141"/>
        <v>40</v>
      </c>
      <c r="F1765" s="498">
        <v>0</v>
      </c>
      <c r="G1765" s="498">
        <v>40</v>
      </c>
      <c r="H1765" s="498">
        <v>0</v>
      </c>
      <c r="I1765" s="498">
        <f t="shared" si="140"/>
        <v>0</v>
      </c>
      <c r="J1765" s="498">
        <v>0</v>
      </c>
      <c r="K1765" s="498">
        <v>0</v>
      </c>
      <c r="L1765" s="668">
        <v>0</v>
      </c>
      <c r="M1765" s="672">
        <v>78.64</v>
      </c>
      <c r="N1765" s="498" t="s">
        <v>1588</v>
      </c>
      <c r="O1765" s="715" t="s">
        <v>7731</v>
      </c>
      <c r="P1765" s="501" t="s">
        <v>1588</v>
      </c>
      <c r="Q1765" s="672">
        <v>0</v>
      </c>
      <c r="R1765" s="672">
        <v>0</v>
      </c>
      <c r="S1765" s="672">
        <v>0</v>
      </c>
      <c r="T1765" s="672">
        <v>0</v>
      </c>
      <c r="U1765" s="501" t="s">
        <v>7502</v>
      </c>
      <c r="V1765" s="572">
        <v>35836</v>
      </c>
      <c r="W1765" s="653">
        <v>24</v>
      </c>
      <c r="X1765" s="501" t="s">
        <v>2199</v>
      </c>
      <c r="Y1765" s="501" t="s">
        <v>3232</v>
      </c>
      <c r="Z1765" s="501"/>
      <c r="AA1765" s="501" t="s">
        <v>1536</v>
      </c>
      <c r="AB1765" s="573"/>
    </row>
    <row r="1766" spans="1:28" ht="24" customHeight="1">
      <c r="A1766" s="584"/>
      <c r="B1766" s="460" t="s">
        <v>675</v>
      </c>
      <c r="C1766" s="458" t="s">
        <v>7911</v>
      </c>
      <c r="D1766" s="510" t="s">
        <v>7912</v>
      </c>
      <c r="E1766" s="498">
        <f t="shared" si="141"/>
        <v>40</v>
      </c>
      <c r="F1766" s="498">
        <v>0</v>
      </c>
      <c r="G1766" s="498">
        <v>40</v>
      </c>
      <c r="H1766" s="498">
        <v>0</v>
      </c>
      <c r="I1766" s="498">
        <f t="shared" si="140"/>
        <v>0</v>
      </c>
      <c r="J1766" s="498">
        <v>0</v>
      </c>
      <c r="K1766" s="498">
        <v>0</v>
      </c>
      <c r="L1766" s="668">
        <v>0</v>
      </c>
      <c r="M1766" s="672">
        <v>77.14</v>
      </c>
      <c r="N1766" s="498" t="s">
        <v>1588</v>
      </c>
      <c r="O1766" s="715" t="s">
        <v>7903</v>
      </c>
      <c r="P1766" s="501" t="s">
        <v>1588</v>
      </c>
      <c r="Q1766" s="672">
        <v>0</v>
      </c>
      <c r="R1766" s="672">
        <v>0</v>
      </c>
      <c r="S1766" s="672">
        <v>0</v>
      </c>
      <c r="T1766" s="672">
        <v>0</v>
      </c>
      <c r="U1766" s="501" t="s">
        <v>7502</v>
      </c>
      <c r="V1766" s="572">
        <v>37129</v>
      </c>
      <c r="W1766" s="498">
        <v>277</v>
      </c>
      <c r="X1766" s="501" t="s">
        <v>2199</v>
      </c>
      <c r="Y1766" s="501" t="s">
        <v>3232</v>
      </c>
      <c r="Z1766" s="501"/>
      <c r="AA1766" s="501" t="s">
        <v>1536</v>
      </c>
      <c r="AB1766" s="573"/>
    </row>
    <row r="1767" spans="1:28" ht="24" customHeight="1">
      <c r="A1767" s="584"/>
      <c r="B1767" s="460" t="s">
        <v>675</v>
      </c>
      <c r="C1767" s="458" t="s">
        <v>7913</v>
      </c>
      <c r="D1767" s="510" t="s">
        <v>7914</v>
      </c>
      <c r="E1767" s="498">
        <f t="shared" si="141"/>
        <v>35</v>
      </c>
      <c r="F1767" s="498">
        <v>0</v>
      </c>
      <c r="G1767" s="498">
        <v>35</v>
      </c>
      <c r="H1767" s="498">
        <v>0</v>
      </c>
      <c r="I1767" s="498">
        <f t="shared" si="140"/>
        <v>38</v>
      </c>
      <c r="J1767" s="498">
        <v>0</v>
      </c>
      <c r="K1767" s="498">
        <v>38</v>
      </c>
      <c r="L1767" s="668">
        <v>0</v>
      </c>
      <c r="M1767" s="672">
        <v>79.09</v>
      </c>
      <c r="N1767" s="498">
        <v>1.73</v>
      </c>
      <c r="O1767" s="715" t="s">
        <v>7731</v>
      </c>
      <c r="P1767" s="501" t="s">
        <v>1588</v>
      </c>
      <c r="Q1767" s="672">
        <v>0</v>
      </c>
      <c r="R1767" s="672">
        <v>0</v>
      </c>
      <c r="S1767" s="672">
        <v>0</v>
      </c>
      <c r="T1767" s="672">
        <v>0</v>
      </c>
      <c r="U1767" s="501" t="s">
        <v>7502</v>
      </c>
      <c r="V1767" s="572">
        <v>35836</v>
      </c>
      <c r="W1767" s="653">
        <v>260</v>
      </c>
      <c r="X1767" s="501" t="s">
        <v>2199</v>
      </c>
      <c r="Y1767" s="501" t="s">
        <v>3232</v>
      </c>
      <c r="Z1767" s="501"/>
      <c r="AA1767" s="501" t="s">
        <v>7915</v>
      </c>
      <c r="AB1767" s="573"/>
    </row>
    <row r="1768" spans="1:28" ht="24" customHeight="1">
      <c r="A1768" s="584"/>
      <c r="B1768" s="460" t="s">
        <v>675</v>
      </c>
      <c r="C1768" s="458" t="s">
        <v>7916</v>
      </c>
      <c r="D1768" s="510" t="s">
        <v>7917</v>
      </c>
      <c r="E1768" s="498">
        <f t="shared" si="141"/>
        <v>60</v>
      </c>
      <c r="F1768" s="498">
        <v>0</v>
      </c>
      <c r="G1768" s="498">
        <v>0</v>
      </c>
      <c r="H1768" s="498">
        <v>60</v>
      </c>
      <c r="I1768" s="498">
        <f t="shared" si="140"/>
        <v>5</v>
      </c>
      <c r="J1768" s="498">
        <v>0</v>
      </c>
      <c r="K1768" s="498">
        <v>0</v>
      </c>
      <c r="L1768" s="668">
        <v>5</v>
      </c>
      <c r="M1768" s="672">
        <v>88.68</v>
      </c>
      <c r="N1768" s="498">
        <v>0.24</v>
      </c>
      <c r="O1768" s="764" t="s">
        <v>7870</v>
      </c>
      <c r="P1768" s="568" t="s">
        <v>7871</v>
      </c>
      <c r="Q1768" s="672">
        <v>0</v>
      </c>
      <c r="R1768" s="672">
        <v>0</v>
      </c>
      <c r="S1768" s="672">
        <v>0</v>
      </c>
      <c r="T1768" s="672">
        <v>0</v>
      </c>
      <c r="U1768" s="501" t="s">
        <v>7502</v>
      </c>
      <c r="V1768" s="572">
        <v>16.666666666666668</v>
      </c>
      <c r="W1768" s="498">
        <v>423</v>
      </c>
      <c r="X1768" s="501" t="s">
        <v>2199</v>
      </c>
      <c r="Y1768" s="501" t="s">
        <v>3232</v>
      </c>
      <c r="Z1768" s="501"/>
      <c r="AA1768" s="501" t="s">
        <v>1536</v>
      </c>
      <c r="AB1768" s="573"/>
    </row>
    <row r="1769" spans="1:28" ht="24" customHeight="1">
      <c r="A1769" s="584"/>
      <c r="B1769" s="460" t="s">
        <v>675</v>
      </c>
      <c r="C1769" s="458" t="s">
        <v>7918</v>
      </c>
      <c r="D1769" s="510" t="s">
        <v>7919</v>
      </c>
      <c r="E1769" s="498">
        <f t="shared" si="141"/>
        <v>35</v>
      </c>
      <c r="F1769" s="498">
        <v>0</v>
      </c>
      <c r="G1769" s="498">
        <v>35</v>
      </c>
      <c r="H1769" s="498">
        <v>0</v>
      </c>
      <c r="I1769" s="498">
        <f t="shared" si="140"/>
        <v>0</v>
      </c>
      <c r="J1769" s="498">
        <v>0</v>
      </c>
      <c r="K1769" s="498">
        <v>0</v>
      </c>
      <c r="L1769" s="668">
        <v>0</v>
      </c>
      <c r="M1769" s="672">
        <v>94.03</v>
      </c>
      <c r="N1769" s="498" t="s">
        <v>1588</v>
      </c>
      <c r="O1769" s="715" t="s">
        <v>5122</v>
      </c>
      <c r="P1769" s="501" t="s">
        <v>1588</v>
      </c>
      <c r="Q1769" s="672">
        <v>0</v>
      </c>
      <c r="R1769" s="672">
        <v>0</v>
      </c>
      <c r="S1769" s="672">
        <v>0</v>
      </c>
      <c r="T1769" s="672">
        <v>0</v>
      </c>
      <c r="U1769" s="501" t="s">
        <v>7502</v>
      </c>
      <c r="V1769" s="572">
        <v>35836</v>
      </c>
      <c r="W1769" s="653">
        <v>242</v>
      </c>
      <c r="X1769" s="501" t="s">
        <v>2199</v>
      </c>
      <c r="Y1769" s="501" t="s">
        <v>3232</v>
      </c>
      <c r="Z1769" s="501"/>
      <c r="AA1769" s="501" t="s">
        <v>1536</v>
      </c>
      <c r="AB1769" s="573"/>
    </row>
    <row r="1770" spans="1:28" ht="24" customHeight="1">
      <c r="A1770" s="584"/>
      <c r="B1770" s="460" t="s">
        <v>675</v>
      </c>
      <c r="C1770" s="458" t="s">
        <v>7920</v>
      </c>
      <c r="D1770" s="510" t="s">
        <v>7921</v>
      </c>
      <c r="E1770" s="498">
        <f t="shared" si="141"/>
        <v>27</v>
      </c>
      <c r="F1770" s="498">
        <v>0</v>
      </c>
      <c r="G1770" s="498">
        <v>27</v>
      </c>
      <c r="H1770" s="498">
        <v>0</v>
      </c>
      <c r="I1770" s="498">
        <f t="shared" si="140"/>
        <v>17</v>
      </c>
      <c r="J1770" s="498">
        <v>0</v>
      </c>
      <c r="K1770" s="498">
        <v>17</v>
      </c>
      <c r="L1770" s="668">
        <v>0</v>
      </c>
      <c r="M1770" s="672">
        <v>90.82</v>
      </c>
      <c r="N1770" s="498">
        <v>1.04</v>
      </c>
      <c r="O1770" s="715" t="s">
        <v>7731</v>
      </c>
      <c r="P1770" s="501" t="s">
        <v>1588</v>
      </c>
      <c r="Q1770" s="672">
        <v>0</v>
      </c>
      <c r="R1770" s="672">
        <v>0</v>
      </c>
      <c r="S1770" s="672">
        <v>0</v>
      </c>
      <c r="T1770" s="672">
        <v>0</v>
      </c>
      <c r="U1770" s="501" t="s">
        <v>7502</v>
      </c>
      <c r="V1770" s="572">
        <v>35790</v>
      </c>
      <c r="W1770" s="653">
        <v>129</v>
      </c>
      <c r="X1770" s="501" t="s">
        <v>2199</v>
      </c>
      <c r="Y1770" s="501" t="s">
        <v>3232</v>
      </c>
      <c r="Z1770" s="501"/>
      <c r="AA1770" s="501" t="s">
        <v>1536</v>
      </c>
      <c r="AB1770" s="573"/>
    </row>
    <row r="1771" spans="1:28" ht="24" customHeight="1">
      <c r="A1771" s="584"/>
      <c r="B1771" s="460" t="s">
        <v>675</v>
      </c>
      <c r="C1771" s="458" t="s">
        <v>7922</v>
      </c>
      <c r="D1771" s="510" t="s">
        <v>7923</v>
      </c>
      <c r="E1771" s="498">
        <f t="shared" si="141"/>
        <v>90</v>
      </c>
      <c r="F1771" s="498">
        <v>0</v>
      </c>
      <c r="G1771" s="498">
        <v>0</v>
      </c>
      <c r="H1771" s="498">
        <v>90</v>
      </c>
      <c r="I1771" s="498">
        <f t="shared" si="140"/>
        <v>21</v>
      </c>
      <c r="J1771" s="498">
        <v>0</v>
      </c>
      <c r="K1771" s="498">
        <v>0</v>
      </c>
      <c r="L1771" s="668">
        <v>21</v>
      </c>
      <c r="M1771" s="672">
        <v>79.47</v>
      </c>
      <c r="N1771" s="498">
        <v>0.99</v>
      </c>
      <c r="O1771" s="764" t="s">
        <v>7924</v>
      </c>
      <c r="P1771" s="568" t="s">
        <v>7925</v>
      </c>
      <c r="Q1771" s="672">
        <v>0</v>
      </c>
      <c r="R1771" s="672">
        <v>0</v>
      </c>
      <c r="S1771" s="672">
        <v>0</v>
      </c>
      <c r="T1771" s="672">
        <v>0</v>
      </c>
      <c r="U1771" s="501" t="s">
        <v>7502</v>
      </c>
      <c r="V1771" s="572" t="s">
        <v>7926</v>
      </c>
      <c r="W1771" s="498">
        <v>420</v>
      </c>
      <c r="X1771" s="501" t="s">
        <v>2199</v>
      </c>
      <c r="Y1771" s="501" t="s">
        <v>3336</v>
      </c>
      <c r="Z1771" s="501"/>
      <c r="AA1771" s="501" t="s">
        <v>1536</v>
      </c>
      <c r="AB1771" s="573"/>
    </row>
    <row r="1772" spans="1:28" ht="24" customHeight="1">
      <c r="A1772" s="582" t="s">
        <v>1918</v>
      </c>
      <c r="B1772" s="460" t="s">
        <v>2201</v>
      </c>
      <c r="C1772" s="458" t="s">
        <v>2338</v>
      </c>
      <c r="D1772" s="510" t="s">
        <v>2339</v>
      </c>
      <c r="E1772" s="498">
        <f>SUM(F1772:H1772)</f>
        <v>7600</v>
      </c>
      <c r="F1772" s="498">
        <v>0</v>
      </c>
      <c r="G1772" s="498">
        <v>7600</v>
      </c>
      <c r="H1772" s="498">
        <v>0</v>
      </c>
      <c r="I1772" s="498">
        <f t="shared" si="140"/>
        <v>7000</v>
      </c>
      <c r="J1772" s="498">
        <v>0</v>
      </c>
      <c r="K1772" s="498">
        <v>7000</v>
      </c>
      <c r="L1772" s="668">
        <v>0</v>
      </c>
      <c r="M1772" s="672">
        <v>95</v>
      </c>
      <c r="N1772" s="498">
        <v>49</v>
      </c>
      <c r="O1772" s="715" t="s">
        <v>5362</v>
      </c>
      <c r="P1772" s="501" t="s">
        <v>1588</v>
      </c>
      <c r="Q1772" s="672">
        <v>13.2</v>
      </c>
      <c r="R1772" s="672">
        <v>0</v>
      </c>
      <c r="S1772" s="672">
        <v>0</v>
      </c>
      <c r="T1772" s="672">
        <v>0</v>
      </c>
      <c r="U1772" s="501" t="s">
        <v>2340</v>
      </c>
      <c r="V1772" s="501" t="s">
        <v>7927</v>
      </c>
      <c r="W1772" s="498">
        <v>21023</v>
      </c>
      <c r="X1772" s="501" t="s">
        <v>2193</v>
      </c>
      <c r="Y1772" s="501" t="s">
        <v>3232</v>
      </c>
      <c r="Z1772" s="501"/>
      <c r="AA1772" s="501" t="s">
        <v>1589</v>
      </c>
      <c r="AB1772" s="502" t="s">
        <v>1589</v>
      </c>
    </row>
    <row r="1773" spans="1:28" ht="24" customHeight="1">
      <c r="A1773" s="584"/>
      <c r="B1773" s="460" t="s">
        <v>2201</v>
      </c>
      <c r="C1773" s="458" t="s">
        <v>338</v>
      </c>
      <c r="D1773" s="510" t="s">
        <v>7928</v>
      </c>
      <c r="E1773" s="498">
        <f>SUM(F1773:H1773)</f>
        <v>700</v>
      </c>
      <c r="F1773" s="498">
        <v>0</v>
      </c>
      <c r="G1773" s="498">
        <v>700</v>
      </c>
      <c r="H1773" s="498">
        <v>0</v>
      </c>
      <c r="I1773" s="498">
        <f t="shared" si="140"/>
        <v>500</v>
      </c>
      <c r="J1773" s="498">
        <v>0</v>
      </c>
      <c r="K1773" s="498">
        <v>500</v>
      </c>
      <c r="L1773" s="668">
        <v>0</v>
      </c>
      <c r="M1773" s="672">
        <v>96</v>
      </c>
      <c r="N1773" s="498">
        <v>1.5</v>
      </c>
      <c r="O1773" s="715" t="s">
        <v>3176</v>
      </c>
      <c r="P1773" s="501" t="s">
        <v>1588</v>
      </c>
      <c r="Q1773" s="672">
        <v>0</v>
      </c>
      <c r="R1773" s="672">
        <v>0</v>
      </c>
      <c r="S1773" s="672">
        <v>0</v>
      </c>
      <c r="T1773" s="672">
        <v>0</v>
      </c>
      <c r="U1773" s="501" t="s">
        <v>2340</v>
      </c>
      <c r="V1773" s="501" t="s">
        <v>7929</v>
      </c>
      <c r="W1773" s="498">
        <v>5943</v>
      </c>
      <c r="X1773" s="501" t="s">
        <v>2193</v>
      </c>
      <c r="Y1773" s="501" t="s">
        <v>3336</v>
      </c>
      <c r="Z1773" s="501"/>
      <c r="AA1773" s="501" t="s">
        <v>1589</v>
      </c>
      <c r="AB1773" s="502" t="s">
        <v>1589</v>
      </c>
    </row>
    <row r="1774" spans="1:28" ht="24" customHeight="1">
      <c r="A1774" s="584"/>
      <c r="B1774" s="460" t="s">
        <v>675</v>
      </c>
      <c r="C1774" s="458" t="s">
        <v>7930</v>
      </c>
      <c r="D1774" s="510" t="s">
        <v>7931</v>
      </c>
      <c r="E1774" s="498">
        <f>SUM(F1774:H1774)</f>
        <v>20</v>
      </c>
      <c r="F1774" s="498">
        <v>0</v>
      </c>
      <c r="G1774" s="498">
        <v>20</v>
      </c>
      <c r="H1774" s="498">
        <v>0</v>
      </c>
      <c r="I1774" s="498">
        <f t="shared" si="140"/>
        <v>10</v>
      </c>
      <c r="J1774" s="498">
        <v>0</v>
      </c>
      <c r="K1774" s="498">
        <v>10</v>
      </c>
      <c r="L1774" s="668">
        <v>0</v>
      </c>
      <c r="M1774" s="672">
        <v>90</v>
      </c>
      <c r="N1774" s="498">
        <v>0.5</v>
      </c>
      <c r="O1774" s="715" t="s">
        <v>7854</v>
      </c>
      <c r="P1774" s="501" t="s">
        <v>1588</v>
      </c>
      <c r="Q1774" s="672">
        <v>0</v>
      </c>
      <c r="R1774" s="672">
        <v>0</v>
      </c>
      <c r="S1774" s="672">
        <v>0</v>
      </c>
      <c r="T1774" s="672">
        <v>0</v>
      </c>
      <c r="U1774" s="501" t="s">
        <v>2340</v>
      </c>
      <c r="V1774" s="501" t="s">
        <v>7932</v>
      </c>
      <c r="W1774" s="498">
        <v>111</v>
      </c>
      <c r="X1774" s="501" t="s">
        <v>2193</v>
      </c>
      <c r="Y1774" s="501" t="s">
        <v>3232</v>
      </c>
      <c r="Z1774" s="501"/>
      <c r="AA1774" s="501" t="s">
        <v>1589</v>
      </c>
      <c r="AB1774" s="502" t="s">
        <v>1589</v>
      </c>
    </row>
    <row r="1775" spans="1:28" ht="24" customHeight="1">
      <c r="A1775" s="582" t="s">
        <v>1919</v>
      </c>
      <c r="B1775" s="460" t="s">
        <v>2201</v>
      </c>
      <c r="C1775" s="458" t="s">
        <v>2341</v>
      </c>
      <c r="D1775" s="510" t="s">
        <v>7933</v>
      </c>
      <c r="E1775" s="498">
        <v>6000</v>
      </c>
      <c r="F1775" s="498">
        <v>0</v>
      </c>
      <c r="G1775" s="498">
        <v>6000</v>
      </c>
      <c r="H1775" s="498">
        <v>0</v>
      </c>
      <c r="I1775" s="498">
        <f t="shared" si="140"/>
        <v>5127</v>
      </c>
      <c r="J1775" s="498">
        <v>0</v>
      </c>
      <c r="K1775" s="498">
        <v>5127</v>
      </c>
      <c r="L1775" s="668">
        <v>0</v>
      </c>
      <c r="M1775" s="672">
        <v>90</v>
      </c>
      <c r="N1775" s="498">
        <v>329.9</v>
      </c>
      <c r="O1775" s="715" t="s">
        <v>3533</v>
      </c>
      <c r="P1775" s="501" t="s">
        <v>1588</v>
      </c>
      <c r="Q1775" s="672">
        <v>50</v>
      </c>
      <c r="R1775" s="672">
        <v>0</v>
      </c>
      <c r="S1775" s="672">
        <v>0</v>
      </c>
      <c r="T1775" s="672">
        <v>0</v>
      </c>
      <c r="U1775" s="501" t="s">
        <v>2459</v>
      </c>
      <c r="V1775" s="501" t="s">
        <v>7934</v>
      </c>
      <c r="W1775" s="498">
        <v>12246</v>
      </c>
      <c r="X1775" s="501" t="s">
        <v>2199</v>
      </c>
      <c r="Y1775" s="501"/>
      <c r="Z1775" s="501" t="s">
        <v>1920</v>
      </c>
      <c r="AA1775" s="501" t="s">
        <v>1589</v>
      </c>
      <c r="AB1775" s="502" t="s">
        <v>1589</v>
      </c>
    </row>
    <row r="1776" spans="1:28" ht="24" customHeight="1">
      <c r="A1776" s="584"/>
      <c r="B1776" s="460" t="s">
        <v>675</v>
      </c>
      <c r="C1776" s="458" t="s">
        <v>7935</v>
      </c>
      <c r="D1776" s="510" t="s">
        <v>7936</v>
      </c>
      <c r="E1776" s="498">
        <v>65</v>
      </c>
      <c r="F1776" s="498">
        <v>0</v>
      </c>
      <c r="G1776" s="498">
        <v>65</v>
      </c>
      <c r="H1776" s="498">
        <v>0</v>
      </c>
      <c r="I1776" s="498">
        <f t="shared" si="140"/>
        <v>29</v>
      </c>
      <c r="J1776" s="498">
        <v>0</v>
      </c>
      <c r="K1776" s="498">
        <v>29</v>
      </c>
      <c r="L1776" s="668">
        <v>0</v>
      </c>
      <c r="M1776" s="672">
        <v>90</v>
      </c>
      <c r="N1776" s="498">
        <v>1.75</v>
      </c>
      <c r="O1776" s="715" t="s">
        <v>7937</v>
      </c>
      <c r="P1776" s="501" t="s">
        <v>1588</v>
      </c>
      <c r="Q1776" s="672">
        <v>0</v>
      </c>
      <c r="R1776" s="672">
        <v>0</v>
      </c>
      <c r="S1776" s="672">
        <v>0</v>
      </c>
      <c r="T1776" s="672">
        <v>0</v>
      </c>
      <c r="U1776" s="501" t="s">
        <v>2459</v>
      </c>
      <c r="V1776" s="501" t="s">
        <v>7938</v>
      </c>
      <c r="W1776" s="498">
        <v>100</v>
      </c>
      <c r="X1776" s="501" t="s">
        <v>2199</v>
      </c>
      <c r="Y1776" s="501"/>
      <c r="Z1776" s="501" t="s">
        <v>1920</v>
      </c>
      <c r="AA1776" s="501" t="s">
        <v>1589</v>
      </c>
      <c r="AB1776" s="502" t="s">
        <v>1589</v>
      </c>
    </row>
    <row r="1777" spans="1:28" ht="24" customHeight="1">
      <c r="A1777" s="584"/>
      <c r="B1777" s="460" t="s">
        <v>675</v>
      </c>
      <c r="C1777" s="458" t="s">
        <v>7939</v>
      </c>
      <c r="D1777" s="510" t="s">
        <v>7940</v>
      </c>
      <c r="E1777" s="498">
        <v>57</v>
      </c>
      <c r="F1777" s="498">
        <v>0</v>
      </c>
      <c r="G1777" s="498">
        <v>0</v>
      </c>
      <c r="H1777" s="498">
        <v>57</v>
      </c>
      <c r="I1777" s="498">
        <f t="shared" si="140"/>
        <v>28</v>
      </c>
      <c r="J1777" s="498">
        <v>0</v>
      </c>
      <c r="K1777" s="498">
        <v>0</v>
      </c>
      <c r="L1777" s="668">
        <v>28</v>
      </c>
      <c r="M1777" s="672">
        <v>90</v>
      </c>
      <c r="N1777" s="498">
        <v>3.41</v>
      </c>
      <c r="O1777" s="715" t="s">
        <v>7941</v>
      </c>
      <c r="P1777" s="501" t="s">
        <v>1588</v>
      </c>
      <c r="Q1777" s="672">
        <v>0</v>
      </c>
      <c r="R1777" s="672">
        <v>0</v>
      </c>
      <c r="S1777" s="672">
        <v>0</v>
      </c>
      <c r="T1777" s="672">
        <v>0</v>
      </c>
      <c r="U1777" s="501" t="s">
        <v>2459</v>
      </c>
      <c r="V1777" s="501" t="s">
        <v>7942</v>
      </c>
      <c r="W1777" s="498">
        <v>267</v>
      </c>
      <c r="X1777" s="501" t="s">
        <v>2199</v>
      </c>
      <c r="Y1777" s="501"/>
      <c r="Z1777" s="501" t="s">
        <v>7943</v>
      </c>
      <c r="AA1777" s="501" t="s">
        <v>1589</v>
      </c>
      <c r="AB1777" s="502" t="s">
        <v>1589</v>
      </c>
    </row>
    <row r="1778" spans="1:28" ht="24" customHeight="1">
      <c r="A1778" s="584"/>
      <c r="B1778" s="460" t="s">
        <v>675</v>
      </c>
      <c r="C1778" s="458" t="s">
        <v>7944</v>
      </c>
      <c r="D1778" s="510" t="s">
        <v>7945</v>
      </c>
      <c r="E1778" s="498">
        <v>40</v>
      </c>
      <c r="F1778" s="498">
        <v>0</v>
      </c>
      <c r="G1778" s="498">
        <v>40</v>
      </c>
      <c r="H1778" s="498">
        <v>0</v>
      </c>
      <c r="I1778" s="498">
        <f t="shared" si="140"/>
        <v>25</v>
      </c>
      <c r="J1778" s="498">
        <v>0</v>
      </c>
      <c r="K1778" s="498">
        <v>25</v>
      </c>
      <c r="L1778" s="668">
        <v>0</v>
      </c>
      <c r="M1778" s="672">
        <v>90</v>
      </c>
      <c r="N1778" s="498">
        <v>1.68</v>
      </c>
      <c r="O1778" s="715" t="s">
        <v>7731</v>
      </c>
      <c r="P1778" s="501" t="s">
        <v>1588</v>
      </c>
      <c r="Q1778" s="672">
        <v>0</v>
      </c>
      <c r="R1778" s="672">
        <v>0</v>
      </c>
      <c r="S1778" s="672">
        <v>0</v>
      </c>
      <c r="T1778" s="672">
        <v>0</v>
      </c>
      <c r="U1778" s="501" t="s">
        <v>2459</v>
      </c>
      <c r="V1778" s="501" t="s">
        <v>7946</v>
      </c>
      <c r="W1778" s="498">
        <v>83</v>
      </c>
      <c r="X1778" s="501" t="s">
        <v>2199</v>
      </c>
      <c r="Y1778" s="501"/>
      <c r="Z1778" s="501" t="s">
        <v>7943</v>
      </c>
      <c r="AA1778" s="501" t="s">
        <v>1589</v>
      </c>
      <c r="AB1778" s="502" t="s">
        <v>1589</v>
      </c>
    </row>
    <row r="1779" spans="1:28" ht="24" customHeight="1">
      <c r="A1779" s="582" t="s">
        <v>1921</v>
      </c>
      <c r="B1779" s="460" t="s">
        <v>2201</v>
      </c>
      <c r="C1779" s="458" t="s">
        <v>2342</v>
      </c>
      <c r="D1779" s="510" t="s">
        <v>7947</v>
      </c>
      <c r="E1779" s="498">
        <v>4500</v>
      </c>
      <c r="F1779" s="498">
        <v>0</v>
      </c>
      <c r="G1779" s="498">
        <v>0</v>
      </c>
      <c r="H1779" s="653">
        <v>4500</v>
      </c>
      <c r="I1779" s="498">
        <f t="shared" si="140"/>
        <v>3144</v>
      </c>
      <c r="J1779" s="498">
        <v>0</v>
      </c>
      <c r="K1779" s="498">
        <v>0</v>
      </c>
      <c r="L1779" s="698">
        <v>3144</v>
      </c>
      <c r="M1779" s="672">
        <v>96.7</v>
      </c>
      <c r="N1779" s="498">
        <v>138.30000000000001</v>
      </c>
      <c r="O1779" s="715" t="s">
        <v>3651</v>
      </c>
      <c r="P1779" s="501" t="s">
        <v>7948</v>
      </c>
      <c r="Q1779" s="672">
        <v>0</v>
      </c>
      <c r="R1779" s="672">
        <v>0</v>
      </c>
      <c r="S1779" s="672">
        <v>0</v>
      </c>
      <c r="T1779" s="672">
        <v>0</v>
      </c>
      <c r="U1779" s="501" t="s">
        <v>7504</v>
      </c>
      <c r="V1779" s="501" t="s">
        <v>7949</v>
      </c>
      <c r="W1779" s="498">
        <v>16014</v>
      </c>
      <c r="X1779" s="501" t="s">
        <v>2199</v>
      </c>
      <c r="Y1779" s="501" t="s">
        <v>3161</v>
      </c>
      <c r="Z1779" s="501" t="s">
        <v>7950</v>
      </c>
      <c r="AA1779" s="501" t="s">
        <v>1589</v>
      </c>
      <c r="AB1779" s="502" t="s">
        <v>1589</v>
      </c>
    </row>
    <row r="1780" spans="1:28" ht="24" customHeight="1">
      <c r="A1780" s="584"/>
      <c r="B1780" s="460" t="s">
        <v>675</v>
      </c>
      <c r="C1780" s="458" t="s">
        <v>7951</v>
      </c>
      <c r="D1780" s="510" t="s">
        <v>7952</v>
      </c>
      <c r="E1780" s="498">
        <v>50</v>
      </c>
      <c r="F1780" s="498">
        <v>0</v>
      </c>
      <c r="G1780" s="498">
        <v>0</v>
      </c>
      <c r="H1780" s="653">
        <v>50</v>
      </c>
      <c r="I1780" s="653">
        <f t="shared" si="140"/>
        <v>38</v>
      </c>
      <c r="J1780" s="498">
        <v>0</v>
      </c>
      <c r="K1780" s="498">
        <v>0</v>
      </c>
      <c r="L1780" s="698">
        <v>38</v>
      </c>
      <c r="M1780" s="672">
        <v>91.8</v>
      </c>
      <c r="N1780" s="498">
        <v>1.7</v>
      </c>
      <c r="O1780" s="715" t="s">
        <v>7953</v>
      </c>
      <c r="P1780" s="501" t="s">
        <v>7954</v>
      </c>
      <c r="Q1780" s="672">
        <v>0</v>
      </c>
      <c r="R1780" s="672">
        <v>0</v>
      </c>
      <c r="S1780" s="672">
        <v>0</v>
      </c>
      <c r="T1780" s="672">
        <v>0</v>
      </c>
      <c r="U1780" s="501" t="s">
        <v>7504</v>
      </c>
      <c r="V1780" s="566" t="s">
        <v>7955</v>
      </c>
      <c r="W1780" s="498">
        <v>467</v>
      </c>
      <c r="X1780" s="501" t="s">
        <v>2199</v>
      </c>
      <c r="Y1780" s="501" t="s">
        <v>1991</v>
      </c>
      <c r="Z1780" s="501" t="s">
        <v>1769</v>
      </c>
      <c r="AA1780" s="501" t="s">
        <v>1589</v>
      </c>
      <c r="AB1780" s="502" t="s">
        <v>1589</v>
      </c>
    </row>
    <row r="1781" spans="1:28" ht="24" customHeight="1">
      <c r="A1781" s="584"/>
      <c r="B1781" s="460" t="s">
        <v>675</v>
      </c>
      <c r="C1781" s="458" t="s">
        <v>907</v>
      </c>
      <c r="D1781" s="510" t="s">
        <v>7956</v>
      </c>
      <c r="E1781" s="498">
        <v>70</v>
      </c>
      <c r="F1781" s="498">
        <v>0</v>
      </c>
      <c r="G1781" s="498">
        <v>0</v>
      </c>
      <c r="H1781" s="653">
        <v>70</v>
      </c>
      <c r="I1781" s="653">
        <f t="shared" si="140"/>
        <v>15</v>
      </c>
      <c r="J1781" s="498">
        <v>0</v>
      </c>
      <c r="K1781" s="498">
        <v>0</v>
      </c>
      <c r="L1781" s="698">
        <v>15</v>
      </c>
      <c r="M1781" s="672">
        <v>2005.3</v>
      </c>
      <c r="N1781" s="498">
        <v>2.2000000000000002</v>
      </c>
      <c r="O1781" s="715" t="s">
        <v>7957</v>
      </c>
      <c r="P1781" s="501" t="s">
        <v>7958</v>
      </c>
      <c r="Q1781" s="672">
        <v>0</v>
      </c>
      <c r="R1781" s="672">
        <v>0</v>
      </c>
      <c r="S1781" s="672">
        <v>0</v>
      </c>
      <c r="T1781" s="672">
        <v>0</v>
      </c>
      <c r="U1781" s="501" t="s">
        <v>7504</v>
      </c>
      <c r="V1781" s="566" t="s">
        <v>2701</v>
      </c>
      <c r="W1781" s="498">
        <v>400</v>
      </c>
      <c r="X1781" s="501" t="s">
        <v>2199</v>
      </c>
      <c r="Y1781" s="501" t="s">
        <v>3161</v>
      </c>
      <c r="Z1781" s="501" t="s">
        <v>1769</v>
      </c>
      <c r="AA1781" s="501" t="s">
        <v>1589</v>
      </c>
      <c r="AB1781" s="502" t="s">
        <v>1589</v>
      </c>
    </row>
    <row r="1782" spans="1:28" ht="24" customHeight="1">
      <c r="A1782" s="582" t="s">
        <v>1922</v>
      </c>
      <c r="B1782" s="460" t="s">
        <v>2201</v>
      </c>
      <c r="C1782" s="458" t="s">
        <v>290</v>
      </c>
      <c r="D1782" s="510" t="s">
        <v>7959</v>
      </c>
      <c r="E1782" s="498">
        <f>F1782+G1782+H1782</f>
        <v>42000</v>
      </c>
      <c r="F1782" s="498">
        <v>0</v>
      </c>
      <c r="G1782" s="498">
        <v>20000</v>
      </c>
      <c r="H1782" s="498">
        <v>22000</v>
      </c>
      <c r="I1782" s="653">
        <f t="shared" si="140"/>
        <v>22159</v>
      </c>
      <c r="J1782" s="498">
        <v>0</v>
      </c>
      <c r="K1782" s="498">
        <f>12550+38</f>
        <v>12588</v>
      </c>
      <c r="L1782" s="668">
        <f>9534+37</f>
        <v>9571</v>
      </c>
      <c r="M1782" s="672">
        <v>97.4</v>
      </c>
      <c r="N1782" s="498">
        <f>I1782*104.2*M1782*0.01*0.001</f>
        <v>2248.9346372000005</v>
      </c>
      <c r="O1782" s="715" t="s">
        <v>7960</v>
      </c>
      <c r="P1782" s="501" t="s">
        <v>1588</v>
      </c>
      <c r="Q1782" s="672">
        <v>56</v>
      </c>
      <c r="R1782" s="672">
        <v>0</v>
      </c>
      <c r="S1782" s="672">
        <v>10</v>
      </c>
      <c r="T1782" s="672">
        <v>9</v>
      </c>
      <c r="U1782" s="501" t="s">
        <v>7505</v>
      </c>
      <c r="V1782" s="566" t="s">
        <v>7961</v>
      </c>
      <c r="W1782" s="498">
        <v>67764</v>
      </c>
      <c r="X1782" s="501" t="s">
        <v>2199</v>
      </c>
      <c r="Y1782" s="501" t="s">
        <v>3161</v>
      </c>
      <c r="Z1782" s="501"/>
      <c r="AA1782" s="501" t="s">
        <v>1589</v>
      </c>
      <c r="AB1782" s="502" t="s">
        <v>1589</v>
      </c>
    </row>
    <row r="1783" spans="1:28" ht="24" customHeight="1">
      <c r="A1783" s="584"/>
      <c r="B1783" s="460" t="s">
        <v>2201</v>
      </c>
      <c r="C1783" s="458" t="s">
        <v>291</v>
      </c>
      <c r="D1783" s="510" t="s">
        <v>7962</v>
      </c>
      <c r="E1783" s="498">
        <f>F1783+G1783+H1783</f>
        <v>20000</v>
      </c>
      <c r="F1783" s="498">
        <v>0</v>
      </c>
      <c r="G1783" s="498">
        <v>20000</v>
      </c>
      <c r="H1783" s="498">
        <v>0</v>
      </c>
      <c r="I1783" s="498">
        <f t="shared" si="140"/>
        <v>15109</v>
      </c>
      <c r="J1783" s="498">
        <v>0</v>
      </c>
      <c r="K1783" s="498">
        <v>0</v>
      </c>
      <c r="L1783" s="668">
        <f>15098+11</f>
        <v>15109</v>
      </c>
      <c r="M1783" s="672">
        <v>95.2</v>
      </c>
      <c r="N1783" s="498">
        <f>I1783*82.5*M1783*0.01*0.001</f>
        <v>1186.6608600000002</v>
      </c>
      <c r="O1783" s="715" t="s">
        <v>5429</v>
      </c>
      <c r="P1783" s="501" t="s">
        <v>1588</v>
      </c>
      <c r="Q1783" s="672">
        <v>11</v>
      </c>
      <c r="R1783" s="672">
        <v>0</v>
      </c>
      <c r="S1783" s="672">
        <v>0</v>
      </c>
      <c r="T1783" s="672">
        <v>0</v>
      </c>
      <c r="U1783" s="501" t="s">
        <v>7505</v>
      </c>
      <c r="V1783" s="566" t="s">
        <v>2801</v>
      </c>
      <c r="W1783" s="498">
        <v>31630</v>
      </c>
      <c r="X1783" s="501" t="s">
        <v>2199</v>
      </c>
      <c r="Y1783" s="501" t="s">
        <v>3161</v>
      </c>
      <c r="Z1783" s="501" t="s">
        <v>7963</v>
      </c>
      <c r="AA1783" s="501" t="s">
        <v>1589</v>
      </c>
      <c r="AB1783" s="502" t="s">
        <v>1589</v>
      </c>
    </row>
    <row r="1784" spans="1:28" ht="24" customHeight="1">
      <c r="A1784" s="584"/>
      <c r="B1784" s="460" t="s">
        <v>675</v>
      </c>
      <c r="C1784" s="458" t="s">
        <v>7964</v>
      </c>
      <c r="D1784" s="510" t="s">
        <v>7965</v>
      </c>
      <c r="E1784" s="498">
        <f>F1784+G1784+H1784</f>
        <v>50</v>
      </c>
      <c r="F1784" s="498">
        <v>0</v>
      </c>
      <c r="G1784" s="498">
        <v>0</v>
      </c>
      <c r="H1784" s="498">
        <v>50</v>
      </c>
      <c r="I1784" s="498">
        <f t="shared" si="140"/>
        <v>40</v>
      </c>
      <c r="J1784" s="498">
        <v>0</v>
      </c>
      <c r="K1784" s="498">
        <v>0</v>
      </c>
      <c r="L1784" s="668">
        <v>40</v>
      </c>
      <c r="M1784" s="672">
        <v>95</v>
      </c>
      <c r="N1784" s="498">
        <f>I1784*94*M1784*0.01*0.001</f>
        <v>3.5720000000000001</v>
      </c>
      <c r="O1784" s="715" t="s">
        <v>3399</v>
      </c>
      <c r="P1784" s="501" t="s">
        <v>1588</v>
      </c>
      <c r="Q1784" s="672">
        <v>0</v>
      </c>
      <c r="R1784" s="672">
        <v>0</v>
      </c>
      <c r="S1784" s="672">
        <v>0</v>
      </c>
      <c r="T1784" s="672">
        <v>0</v>
      </c>
      <c r="U1784" s="501" t="s">
        <v>7506</v>
      </c>
      <c r="V1784" s="566" t="s">
        <v>7966</v>
      </c>
      <c r="W1784" s="498">
        <v>457</v>
      </c>
      <c r="X1784" s="501" t="s">
        <v>2193</v>
      </c>
      <c r="Y1784" s="501" t="s">
        <v>3161</v>
      </c>
      <c r="Z1784" s="501" t="s">
        <v>7967</v>
      </c>
      <c r="AA1784" s="501" t="s">
        <v>1786</v>
      </c>
      <c r="AB1784" s="502" t="s">
        <v>1786</v>
      </c>
    </row>
    <row r="1785" spans="1:28" ht="24" customHeight="1">
      <c r="A1785" s="582" t="s">
        <v>1923</v>
      </c>
      <c r="B1785" s="460" t="s">
        <v>2201</v>
      </c>
      <c r="C1785" s="458" t="s">
        <v>2343</v>
      </c>
      <c r="D1785" s="510" t="s">
        <v>2344</v>
      </c>
      <c r="E1785" s="498">
        <f t="shared" ref="E1785:E1791" si="142">F1785+G1785+H1785</f>
        <v>7500</v>
      </c>
      <c r="F1785" s="498">
        <v>0</v>
      </c>
      <c r="G1785" s="498">
        <v>0</v>
      </c>
      <c r="H1785" s="498">
        <v>7500</v>
      </c>
      <c r="I1785" s="498">
        <f t="shared" ref="I1785:I1791" si="143">SUM(J1785:L1785)</f>
        <v>7522</v>
      </c>
      <c r="J1785" s="498">
        <v>0</v>
      </c>
      <c r="K1785" s="498">
        <v>0</v>
      </c>
      <c r="L1785" s="668">
        <v>7522</v>
      </c>
      <c r="M1785" s="672">
        <v>96.1</v>
      </c>
      <c r="N1785" s="498">
        <v>28.9</v>
      </c>
      <c r="O1785" s="715" t="s">
        <v>1535</v>
      </c>
      <c r="P1785" s="501" t="s">
        <v>7968</v>
      </c>
      <c r="Q1785" s="672">
        <v>32.4</v>
      </c>
      <c r="R1785" s="672">
        <v>0</v>
      </c>
      <c r="S1785" s="672">
        <v>0</v>
      </c>
      <c r="T1785" s="672">
        <v>0</v>
      </c>
      <c r="U1785" s="501" t="s">
        <v>2460</v>
      </c>
      <c r="V1785" s="501" t="s">
        <v>7969</v>
      </c>
      <c r="W1785" s="498">
        <v>33668</v>
      </c>
      <c r="X1785" s="501" t="s">
        <v>2193</v>
      </c>
      <c r="Y1785" s="501" t="s">
        <v>3161</v>
      </c>
      <c r="Z1785" s="478" t="s">
        <v>4697</v>
      </c>
      <c r="AA1785" s="501" t="s">
        <v>1924</v>
      </c>
      <c r="AB1785" s="502" t="s">
        <v>1589</v>
      </c>
    </row>
    <row r="1786" spans="1:28" ht="24" customHeight="1">
      <c r="A1786" s="584"/>
      <c r="B1786" s="460" t="s">
        <v>675</v>
      </c>
      <c r="C1786" s="458" t="s">
        <v>7970</v>
      </c>
      <c r="D1786" s="510" t="s">
        <v>7971</v>
      </c>
      <c r="E1786" s="498">
        <f t="shared" si="142"/>
        <v>21</v>
      </c>
      <c r="F1786" s="498">
        <v>0</v>
      </c>
      <c r="G1786" s="498">
        <v>0</v>
      </c>
      <c r="H1786" s="498">
        <v>21</v>
      </c>
      <c r="I1786" s="498">
        <f t="shared" si="143"/>
        <v>16</v>
      </c>
      <c r="J1786" s="498">
        <v>0</v>
      </c>
      <c r="K1786" s="498">
        <v>0</v>
      </c>
      <c r="L1786" s="668">
        <v>16</v>
      </c>
      <c r="M1786" s="672">
        <v>76</v>
      </c>
      <c r="N1786" s="498">
        <v>1</v>
      </c>
      <c r="O1786" s="715" t="s">
        <v>7972</v>
      </c>
      <c r="P1786" s="501" t="s">
        <v>1588</v>
      </c>
      <c r="Q1786" s="672">
        <v>0</v>
      </c>
      <c r="R1786" s="672">
        <v>0</v>
      </c>
      <c r="S1786" s="672">
        <v>0</v>
      </c>
      <c r="T1786" s="672">
        <v>0</v>
      </c>
      <c r="U1786" s="501" t="s">
        <v>7507</v>
      </c>
      <c r="V1786" s="501" t="s">
        <v>7973</v>
      </c>
      <c r="W1786" s="498">
        <v>150</v>
      </c>
      <c r="X1786" s="501" t="s">
        <v>2193</v>
      </c>
      <c r="Y1786" s="501" t="s">
        <v>1432</v>
      </c>
      <c r="Z1786" s="478" t="s">
        <v>4697</v>
      </c>
      <c r="AA1786" s="501" t="s">
        <v>1924</v>
      </c>
      <c r="AB1786" s="502" t="s">
        <v>1589</v>
      </c>
    </row>
    <row r="1787" spans="1:28" ht="24" customHeight="1">
      <c r="A1787" s="584"/>
      <c r="B1787" s="460" t="s">
        <v>675</v>
      </c>
      <c r="C1787" s="458" t="s">
        <v>7974</v>
      </c>
      <c r="D1787" s="510" t="s">
        <v>7975</v>
      </c>
      <c r="E1787" s="498">
        <f t="shared" si="142"/>
        <v>20</v>
      </c>
      <c r="F1787" s="498">
        <v>0</v>
      </c>
      <c r="G1787" s="498">
        <v>0</v>
      </c>
      <c r="H1787" s="498">
        <v>20</v>
      </c>
      <c r="I1787" s="498">
        <f t="shared" si="143"/>
        <v>10</v>
      </c>
      <c r="J1787" s="498">
        <v>0</v>
      </c>
      <c r="K1787" s="498">
        <v>0</v>
      </c>
      <c r="L1787" s="668">
        <v>10</v>
      </c>
      <c r="M1787" s="672">
        <v>50</v>
      </c>
      <c r="N1787" s="498">
        <v>1</v>
      </c>
      <c r="O1787" s="715" t="s">
        <v>7976</v>
      </c>
      <c r="P1787" s="501" t="s">
        <v>1588</v>
      </c>
      <c r="Q1787" s="672">
        <v>0</v>
      </c>
      <c r="R1787" s="672">
        <v>0</v>
      </c>
      <c r="S1787" s="672">
        <v>0</v>
      </c>
      <c r="T1787" s="672">
        <v>0</v>
      </c>
      <c r="U1787" s="501" t="s">
        <v>7507</v>
      </c>
      <c r="V1787" s="501">
        <v>98.12</v>
      </c>
      <c r="W1787" s="498">
        <v>166</v>
      </c>
      <c r="X1787" s="501" t="s">
        <v>2193</v>
      </c>
      <c r="Y1787" s="501" t="s">
        <v>1432</v>
      </c>
      <c r="Z1787" s="478" t="s">
        <v>4697</v>
      </c>
      <c r="AA1787" s="501" t="s">
        <v>1924</v>
      </c>
      <c r="AB1787" s="502" t="s">
        <v>1589</v>
      </c>
    </row>
    <row r="1788" spans="1:28" ht="24" customHeight="1">
      <c r="A1788" s="584"/>
      <c r="B1788" s="460" t="s">
        <v>675</v>
      </c>
      <c r="C1788" s="458" t="s">
        <v>7977</v>
      </c>
      <c r="D1788" s="510" t="s">
        <v>7978</v>
      </c>
      <c r="E1788" s="498">
        <f t="shared" si="142"/>
        <v>30</v>
      </c>
      <c r="F1788" s="498">
        <v>0</v>
      </c>
      <c r="G1788" s="498">
        <v>0</v>
      </c>
      <c r="H1788" s="498">
        <v>30</v>
      </c>
      <c r="I1788" s="498">
        <f t="shared" si="143"/>
        <v>21</v>
      </c>
      <c r="J1788" s="498">
        <v>0</v>
      </c>
      <c r="K1788" s="498">
        <v>0</v>
      </c>
      <c r="L1788" s="668">
        <v>21</v>
      </c>
      <c r="M1788" s="672">
        <v>70</v>
      </c>
      <c r="N1788" s="498">
        <v>1</v>
      </c>
      <c r="O1788" s="715" t="s">
        <v>7979</v>
      </c>
      <c r="P1788" s="501" t="s">
        <v>1588</v>
      </c>
      <c r="Q1788" s="672">
        <v>0</v>
      </c>
      <c r="R1788" s="672">
        <v>0</v>
      </c>
      <c r="S1788" s="672">
        <v>0</v>
      </c>
      <c r="T1788" s="672">
        <v>0</v>
      </c>
      <c r="U1788" s="501" t="s">
        <v>7507</v>
      </c>
      <c r="V1788" s="501" t="s">
        <v>7973</v>
      </c>
      <c r="W1788" s="498">
        <v>150</v>
      </c>
      <c r="X1788" s="501" t="s">
        <v>2193</v>
      </c>
      <c r="Y1788" s="501" t="s">
        <v>1432</v>
      </c>
      <c r="Z1788" s="478" t="s">
        <v>7980</v>
      </c>
      <c r="AA1788" s="501" t="s">
        <v>1924</v>
      </c>
      <c r="AB1788" s="502" t="s">
        <v>1589</v>
      </c>
    </row>
    <row r="1789" spans="1:28" ht="24" customHeight="1">
      <c r="A1789" s="584"/>
      <c r="B1789" s="460" t="s">
        <v>675</v>
      </c>
      <c r="C1789" s="458" t="s">
        <v>7981</v>
      </c>
      <c r="D1789" s="510" t="s">
        <v>7982</v>
      </c>
      <c r="E1789" s="498">
        <f t="shared" si="142"/>
        <v>20</v>
      </c>
      <c r="F1789" s="498">
        <v>0</v>
      </c>
      <c r="G1789" s="498">
        <v>0</v>
      </c>
      <c r="H1789" s="498">
        <v>20</v>
      </c>
      <c r="I1789" s="498">
        <f t="shared" si="143"/>
        <v>18</v>
      </c>
      <c r="J1789" s="498">
        <v>0</v>
      </c>
      <c r="K1789" s="498">
        <v>0</v>
      </c>
      <c r="L1789" s="668">
        <v>18</v>
      </c>
      <c r="M1789" s="672">
        <v>90</v>
      </c>
      <c r="N1789" s="498">
        <v>1</v>
      </c>
      <c r="O1789" s="715" t="s">
        <v>7983</v>
      </c>
      <c r="P1789" s="501" t="s">
        <v>1588</v>
      </c>
      <c r="Q1789" s="672">
        <v>0</v>
      </c>
      <c r="R1789" s="672">
        <v>0</v>
      </c>
      <c r="S1789" s="672">
        <v>0</v>
      </c>
      <c r="T1789" s="672">
        <v>0</v>
      </c>
      <c r="U1789" s="501" t="s">
        <v>7507</v>
      </c>
      <c r="V1789" s="501">
        <v>99.03</v>
      </c>
      <c r="W1789" s="498">
        <v>100</v>
      </c>
      <c r="X1789" s="501" t="s">
        <v>2193</v>
      </c>
      <c r="Y1789" s="501" t="s">
        <v>1432</v>
      </c>
      <c r="Z1789" s="478" t="s">
        <v>7980</v>
      </c>
      <c r="AA1789" s="501" t="s">
        <v>1924</v>
      </c>
      <c r="AB1789" s="502" t="s">
        <v>1589</v>
      </c>
    </row>
    <row r="1790" spans="1:28" ht="24" customHeight="1">
      <c r="A1790" s="584"/>
      <c r="B1790" s="460" t="s">
        <v>675</v>
      </c>
      <c r="C1790" s="458" t="s">
        <v>7984</v>
      </c>
      <c r="D1790" s="510" t="s">
        <v>7985</v>
      </c>
      <c r="E1790" s="498">
        <f t="shared" si="142"/>
        <v>21</v>
      </c>
      <c r="F1790" s="498">
        <v>0</v>
      </c>
      <c r="G1790" s="498">
        <v>0</v>
      </c>
      <c r="H1790" s="498">
        <v>21</v>
      </c>
      <c r="I1790" s="498">
        <f t="shared" si="143"/>
        <v>19</v>
      </c>
      <c r="J1790" s="498">
        <v>0</v>
      </c>
      <c r="K1790" s="498">
        <v>0</v>
      </c>
      <c r="L1790" s="668">
        <v>19</v>
      </c>
      <c r="M1790" s="672">
        <v>90</v>
      </c>
      <c r="N1790" s="498">
        <v>1</v>
      </c>
      <c r="O1790" s="715" t="s">
        <v>7986</v>
      </c>
      <c r="P1790" s="501" t="s">
        <v>1588</v>
      </c>
      <c r="Q1790" s="672">
        <v>0</v>
      </c>
      <c r="R1790" s="672">
        <v>0</v>
      </c>
      <c r="S1790" s="672">
        <v>0</v>
      </c>
      <c r="T1790" s="672">
        <v>0</v>
      </c>
      <c r="U1790" s="501" t="s">
        <v>7507</v>
      </c>
      <c r="V1790" s="501" t="s">
        <v>7987</v>
      </c>
      <c r="W1790" s="498">
        <v>150</v>
      </c>
      <c r="X1790" s="501" t="s">
        <v>2193</v>
      </c>
      <c r="Y1790" s="501" t="s">
        <v>1432</v>
      </c>
      <c r="Z1790" s="478" t="s">
        <v>1588</v>
      </c>
      <c r="AA1790" s="501" t="s">
        <v>1588</v>
      </c>
      <c r="AB1790" s="502" t="s">
        <v>1589</v>
      </c>
    </row>
    <row r="1791" spans="1:28" ht="24" customHeight="1">
      <c r="A1791" s="584"/>
      <c r="B1791" s="460" t="s">
        <v>675</v>
      </c>
      <c r="C1791" s="458" t="s">
        <v>7988</v>
      </c>
      <c r="D1791" s="510" t="s">
        <v>7989</v>
      </c>
      <c r="E1791" s="498">
        <f t="shared" si="142"/>
        <v>80</v>
      </c>
      <c r="F1791" s="498">
        <v>0</v>
      </c>
      <c r="G1791" s="498">
        <v>0</v>
      </c>
      <c r="H1791" s="498">
        <v>80</v>
      </c>
      <c r="I1791" s="498">
        <f t="shared" si="143"/>
        <v>50</v>
      </c>
      <c r="J1791" s="498">
        <v>0</v>
      </c>
      <c r="K1791" s="498">
        <v>0</v>
      </c>
      <c r="L1791" s="668">
        <v>50</v>
      </c>
      <c r="M1791" s="672">
        <v>63</v>
      </c>
      <c r="N1791" s="498">
        <v>1</v>
      </c>
      <c r="O1791" s="715" t="s">
        <v>1075</v>
      </c>
      <c r="P1791" s="501" t="s">
        <v>1588</v>
      </c>
      <c r="Q1791" s="672">
        <v>0</v>
      </c>
      <c r="R1791" s="672">
        <v>0</v>
      </c>
      <c r="S1791" s="672">
        <v>0</v>
      </c>
      <c r="T1791" s="672">
        <v>0</v>
      </c>
      <c r="U1791" s="501" t="s">
        <v>7508</v>
      </c>
      <c r="V1791" s="566" t="s">
        <v>7990</v>
      </c>
      <c r="W1791" s="498">
        <v>300</v>
      </c>
      <c r="X1791" s="501" t="s">
        <v>2193</v>
      </c>
      <c r="Y1791" s="501" t="s">
        <v>1432</v>
      </c>
      <c r="Z1791" s="478" t="s">
        <v>7991</v>
      </c>
      <c r="AA1791" s="501" t="s">
        <v>1924</v>
      </c>
      <c r="AB1791" s="502" t="s">
        <v>1589</v>
      </c>
    </row>
    <row r="1792" spans="1:28" ht="24" customHeight="1">
      <c r="A1792" s="582" t="s">
        <v>1926</v>
      </c>
      <c r="B1792" s="460" t="s">
        <v>675</v>
      </c>
      <c r="C1792" s="458" t="s">
        <v>7992</v>
      </c>
      <c r="D1792" s="510" t="s">
        <v>7993</v>
      </c>
      <c r="E1792" s="498">
        <f>SUM(F1792:H1792)</f>
        <v>110</v>
      </c>
      <c r="F1792" s="498">
        <v>0</v>
      </c>
      <c r="G1792" s="498">
        <v>110</v>
      </c>
      <c r="H1792" s="498">
        <v>0</v>
      </c>
      <c r="I1792" s="498">
        <f>J1792+K1792+L1792</f>
        <v>40</v>
      </c>
      <c r="J1792" s="498">
        <v>0</v>
      </c>
      <c r="K1792" s="498">
        <v>40</v>
      </c>
      <c r="L1792" s="668">
        <v>0</v>
      </c>
      <c r="M1792" s="672">
        <v>90</v>
      </c>
      <c r="N1792" s="498">
        <v>181.8</v>
      </c>
      <c r="O1792" s="715" t="s">
        <v>1180</v>
      </c>
      <c r="P1792" s="501" t="s">
        <v>1588</v>
      </c>
      <c r="Q1792" s="672">
        <v>0</v>
      </c>
      <c r="R1792" s="672">
        <v>0</v>
      </c>
      <c r="S1792" s="672">
        <v>0</v>
      </c>
      <c r="T1792" s="672">
        <v>0</v>
      </c>
      <c r="U1792" s="501" t="s">
        <v>7509</v>
      </c>
      <c r="V1792" s="566" t="s">
        <v>2128</v>
      </c>
      <c r="W1792" s="498">
        <v>380</v>
      </c>
      <c r="X1792" s="501" t="s">
        <v>2193</v>
      </c>
      <c r="Y1792" s="501"/>
      <c r="Z1792" s="501" t="s">
        <v>1357</v>
      </c>
      <c r="AA1792" s="501" t="s">
        <v>1924</v>
      </c>
      <c r="AB1792" s="502" t="s">
        <v>1589</v>
      </c>
    </row>
    <row r="1793" spans="1:28" ht="24" customHeight="1">
      <c r="A1793" s="584"/>
      <c r="B1793" s="460" t="s">
        <v>675</v>
      </c>
      <c r="C1793" s="458" t="s">
        <v>7994</v>
      </c>
      <c r="D1793" s="510" t="s">
        <v>7995</v>
      </c>
      <c r="E1793" s="498">
        <f t="shared" ref="E1793:E1800" si="144">SUM(F1793:H1793)</f>
        <v>34</v>
      </c>
      <c r="F1793" s="498">
        <v>0</v>
      </c>
      <c r="G1793" s="498">
        <v>34</v>
      </c>
      <c r="H1793" s="498">
        <v>0</v>
      </c>
      <c r="I1793" s="498">
        <f t="shared" ref="I1793:I1807" si="145">J1793+K1793+L1793</f>
        <v>32</v>
      </c>
      <c r="J1793" s="498">
        <v>0</v>
      </c>
      <c r="K1793" s="498">
        <v>32</v>
      </c>
      <c r="L1793" s="668">
        <v>0</v>
      </c>
      <c r="M1793" s="672">
        <v>90</v>
      </c>
      <c r="N1793" s="498">
        <v>48.384</v>
      </c>
      <c r="O1793" s="715" t="s">
        <v>7996</v>
      </c>
      <c r="P1793" s="501" t="s">
        <v>1588</v>
      </c>
      <c r="Q1793" s="672">
        <v>0</v>
      </c>
      <c r="R1793" s="672">
        <v>0</v>
      </c>
      <c r="S1793" s="672">
        <v>0</v>
      </c>
      <c r="T1793" s="672">
        <v>0</v>
      </c>
      <c r="U1793" s="501" t="s">
        <v>7509</v>
      </c>
      <c r="V1793" s="566" t="s">
        <v>7997</v>
      </c>
      <c r="W1793" s="498">
        <v>213</v>
      </c>
      <c r="X1793" s="501" t="s">
        <v>2193</v>
      </c>
      <c r="Y1793" s="501" t="s">
        <v>3232</v>
      </c>
      <c r="Z1793" s="501" t="s">
        <v>7998</v>
      </c>
      <c r="AA1793" s="501" t="s">
        <v>1924</v>
      </c>
      <c r="AB1793" s="502" t="s">
        <v>1589</v>
      </c>
    </row>
    <row r="1794" spans="1:28" ht="24" customHeight="1">
      <c r="A1794" s="584"/>
      <c r="B1794" s="460" t="s">
        <v>675</v>
      </c>
      <c r="C1794" s="458" t="s">
        <v>7999</v>
      </c>
      <c r="D1794" s="510" t="s">
        <v>8000</v>
      </c>
      <c r="E1794" s="498">
        <f t="shared" si="144"/>
        <v>34</v>
      </c>
      <c r="F1794" s="498">
        <v>0</v>
      </c>
      <c r="G1794" s="498">
        <v>34</v>
      </c>
      <c r="H1794" s="498">
        <v>0</v>
      </c>
      <c r="I1794" s="498">
        <f t="shared" si="145"/>
        <v>32</v>
      </c>
      <c r="J1794" s="498">
        <v>0</v>
      </c>
      <c r="K1794" s="498">
        <v>32</v>
      </c>
      <c r="L1794" s="668">
        <v>0</v>
      </c>
      <c r="M1794" s="672">
        <v>90</v>
      </c>
      <c r="N1794" s="498">
        <v>49.248000000000005</v>
      </c>
      <c r="O1794" s="715" t="s">
        <v>7996</v>
      </c>
      <c r="P1794" s="501" t="s">
        <v>1588</v>
      </c>
      <c r="Q1794" s="672">
        <v>0</v>
      </c>
      <c r="R1794" s="672">
        <v>0</v>
      </c>
      <c r="S1794" s="672">
        <v>0</v>
      </c>
      <c r="T1794" s="672">
        <v>0</v>
      </c>
      <c r="U1794" s="501" t="s">
        <v>7509</v>
      </c>
      <c r="V1794" s="566" t="s">
        <v>5423</v>
      </c>
      <c r="W1794" s="498">
        <v>212</v>
      </c>
      <c r="X1794" s="501" t="s">
        <v>2193</v>
      </c>
      <c r="Y1794" s="501" t="s">
        <v>3232</v>
      </c>
      <c r="Z1794" s="501" t="s">
        <v>8001</v>
      </c>
      <c r="AA1794" s="501" t="s">
        <v>1924</v>
      </c>
      <c r="AB1794" s="502" t="s">
        <v>1589</v>
      </c>
    </row>
    <row r="1795" spans="1:28" ht="24" customHeight="1">
      <c r="A1795" s="584"/>
      <c r="B1795" s="460" t="s">
        <v>675</v>
      </c>
      <c r="C1795" s="458" t="s">
        <v>8002</v>
      </c>
      <c r="D1795" s="510" t="s">
        <v>8003</v>
      </c>
      <c r="E1795" s="498">
        <f t="shared" si="144"/>
        <v>80</v>
      </c>
      <c r="F1795" s="498">
        <v>0</v>
      </c>
      <c r="G1795" s="498">
        <v>80</v>
      </c>
      <c r="H1795" s="498">
        <v>0</v>
      </c>
      <c r="I1795" s="498">
        <f t="shared" si="145"/>
        <v>70</v>
      </c>
      <c r="J1795" s="498">
        <v>0</v>
      </c>
      <c r="K1795" s="498">
        <v>70</v>
      </c>
      <c r="L1795" s="668">
        <v>0</v>
      </c>
      <c r="M1795" s="672">
        <v>90</v>
      </c>
      <c r="N1795" s="498">
        <v>272.79000000000002</v>
      </c>
      <c r="O1795" s="715" t="s">
        <v>5737</v>
      </c>
      <c r="P1795" s="501" t="s">
        <v>1588</v>
      </c>
      <c r="Q1795" s="672">
        <v>0</v>
      </c>
      <c r="R1795" s="672">
        <v>0</v>
      </c>
      <c r="S1795" s="672">
        <v>0</v>
      </c>
      <c r="T1795" s="672">
        <v>0</v>
      </c>
      <c r="U1795" s="501" t="s">
        <v>7509</v>
      </c>
      <c r="V1795" s="566" t="s">
        <v>8004</v>
      </c>
      <c r="W1795" s="498">
        <v>300</v>
      </c>
      <c r="X1795" s="501" t="s">
        <v>2193</v>
      </c>
      <c r="Y1795" s="501" t="s">
        <v>3232</v>
      </c>
      <c r="Z1795" s="501" t="s">
        <v>8005</v>
      </c>
      <c r="AA1795" s="501" t="s">
        <v>1924</v>
      </c>
      <c r="AB1795" s="502" t="s">
        <v>1589</v>
      </c>
    </row>
    <row r="1796" spans="1:28" ht="24" customHeight="1">
      <c r="A1796" s="584"/>
      <c r="B1796" s="460" t="s">
        <v>675</v>
      </c>
      <c r="C1796" s="458" t="s">
        <v>8006</v>
      </c>
      <c r="D1796" s="510" t="s">
        <v>8007</v>
      </c>
      <c r="E1796" s="498">
        <f t="shared" si="144"/>
        <v>46</v>
      </c>
      <c r="F1796" s="498">
        <v>0</v>
      </c>
      <c r="G1796" s="498">
        <v>46</v>
      </c>
      <c r="H1796" s="498">
        <v>0</v>
      </c>
      <c r="I1796" s="498">
        <f t="shared" si="145"/>
        <v>45</v>
      </c>
      <c r="J1796" s="498">
        <v>0</v>
      </c>
      <c r="K1796" s="498">
        <v>45</v>
      </c>
      <c r="L1796" s="668">
        <v>0</v>
      </c>
      <c r="M1796" s="672">
        <v>90</v>
      </c>
      <c r="N1796" s="498">
        <v>222.75</v>
      </c>
      <c r="O1796" s="715" t="s">
        <v>7996</v>
      </c>
      <c r="P1796" s="501" t="s">
        <v>1588</v>
      </c>
      <c r="Q1796" s="672">
        <v>0</v>
      </c>
      <c r="R1796" s="672">
        <v>0</v>
      </c>
      <c r="S1796" s="672">
        <v>0</v>
      </c>
      <c r="T1796" s="672">
        <v>0</v>
      </c>
      <c r="U1796" s="501" t="s">
        <v>7509</v>
      </c>
      <c r="V1796" s="566" t="s">
        <v>7997</v>
      </c>
      <c r="W1796" s="498">
        <v>253</v>
      </c>
      <c r="X1796" s="501" t="s">
        <v>2193</v>
      </c>
      <c r="Y1796" s="501" t="s">
        <v>3232</v>
      </c>
      <c r="Z1796" s="501" t="s">
        <v>6647</v>
      </c>
      <c r="AA1796" s="501" t="s">
        <v>1924</v>
      </c>
      <c r="AB1796" s="502" t="s">
        <v>1589</v>
      </c>
    </row>
    <row r="1797" spans="1:28" ht="24" customHeight="1">
      <c r="A1797" s="584"/>
      <c r="B1797" s="460" t="s">
        <v>675</v>
      </c>
      <c r="C1797" s="458" t="s">
        <v>8008</v>
      </c>
      <c r="D1797" s="510" t="s">
        <v>8009</v>
      </c>
      <c r="E1797" s="498">
        <f t="shared" si="144"/>
        <v>70</v>
      </c>
      <c r="F1797" s="498">
        <v>0</v>
      </c>
      <c r="G1797" s="498">
        <v>70</v>
      </c>
      <c r="H1797" s="498">
        <v>0</v>
      </c>
      <c r="I1797" s="498">
        <f t="shared" si="145"/>
        <v>65</v>
      </c>
      <c r="J1797" s="498">
        <v>0</v>
      </c>
      <c r="K1797" s="498">
        <v>65</v>
      </c>
      <c r="L1797" s="668">
        <v>0</v>
      </c>
      <c r="M1797" s="672">
        <v>90</v>
      </c>
      <c r="N1797" s="498">
        <v>135.13499999999999</v>
      </c>
      <c r="O1797" s="715" t="s">
        <v>7996</v>
      </c>
      <c r="P1797" s="501" t="s">
        <v>1588</v>
      </c>
      <c r="Q1797" s="672">
        <v>0</v>
      </c>
      <c r="R1797" s="672">
        <v>0</v>
      </c>
      <c r="S1797" s="672">
        <v>0</v>
      </c>
      <c r="T1797" s="672">
        <v>0</v>
      </c>
      <c r="U1797" s="501" t="s">
        <v>7509</v>
      </c>
      <c r="V1797" s="566" t="s">
        <v>8010</v>
      </c>
      <c r="W1797" s="498">
        <v>380</v>
      </c>
      <c r="X1797" s="501" t="s">
        <v>2193</v>
      </c>
      <c r="Y1797" s="501" t="s">
        <v>3232</v>
      </c>
      <c r="Z1797" s="501" t="s">
        <v>1927</v>
      </c>
      <c r="AA1797" s="501" t="s">
        <v>1924</v>
      </c>
      <c r="AB1797" s="502" t="s">
        <v>1589</v>
      </c>
    </row>
    <row r="1798" spans="1:28" ht="24" customHeight="1">
      <c r="A1798" s="584"/>
      <c r="B1798" s="460" t="s">
        <v>675</v>
      </c>
      <c r="C1798" s="458" t="s">
        <v>8011</v>
      </c>
      <c r="D1798" s="510" t="s">
        <v>8012</v>
      </c>
      <c r="E1798" s="498">
        <f t="shared" si="144"/>
        <v>50</v>
      </c>
      <c r="F1798" s="498">
        <v>0</v>
      </c>
      <c r="G1798" s="498">
        <v>50</v>
      </c>
      <c r="H1798" s="498">
        <v>0</v>
      </c>
      <c r="I1798" s="498">
        <f t="shared" si="145"/>
        <v>45</v>
      </c>
      <c r="J1798" s="498">
        <v>0</v>
      </c>
      <c r="K1798" s="498">
        <v>45</v>
      </c>
      <c r="L1798" s="668">
        <v>0</v>
      </c>
      <c r="M1798" s="672">
        <v>90</v>
      </c>
      <c r="N1798" s="498">
        <v>84.24</v>
      </c>
      <c r="O1798" s="715" t="s">
        <v>8013</v>
      </c>
      <c r="P1798" s="501" t="s">
        <v>1588</v>
      </c>
      <c r="Q1798" s="672">
        <v>0</v>
      </c>
      <c r="R1798" s="672">
        <v>0</v>
      </c>
      <c r="S1798" s="672">
        <v>0</v>
      </c>
      <c r="T1798" s="672">
        <v>0</v>
      </c>
      <c r="U1798" s="501" t="s">
        <v>7509</v>
      </c>
      <c r="V1798" s="566" t="s">
        <v>5418</v>
      </c>
      <c r="W1798" s="498">
        <v>400</v>
      </c>
      <c r="X1798" s="501" t="s">
        <v>2193</v>
      </c>
      <c r="Y1798" s="501"/>
      <c r="Z1798" s="501" t="s">
        <v>8014</v>
      </c>
      <c r="AA1798" s="501" t="s">
        <v>1924</v>
      </c>
      <c r="AB1798" s="502" t="s">
        <v>1589</v>
      </c>
    </row>
    <row r="1799" spans="1:28" ht="24" customHeight="1">
      <c r="A1799" s="584"/>
      <c r="B1799" s="460" t="s">
        <v>675</v>
      </c>
      <c r="C1799" s="458" t="s">
        <v>8015</v>
      </c>
      <c r="D1799" s="510" t="s">
        <v>8016</v>
      </c>
      <c r="E1799" s="498">
        <f t="shared" si="144"/>
        <v>34</v>
      </c>
      <c r="F1799" s="498">
        <v>0</v>
      </c>
      <c r="G1799" s="498">
        <v>34</v>
      </c>
      <c r="H1799" s="498">
        <v>0</v>
      </c>
      <c r="I1799" s="498">
        <f t="shared" si="145"/>
        <v>32</v>
      </c>
      <c r="J1799" s="498">
        <v>0</v>
      </c>
      <c r="K1799" s="498">
        <v>32</v>
      </c>
      <c r="L1799" s="668">
        <v>0</v>
      </c>
      <c r="M1799" s="672">
        <v>90</v>
      </c>
      <c r="N1799" s="498">
        <v>88.703999999999994</v>
      </c>
      <c r="O1799" s="715" t="s">
        <v>7996</v>
      </c>
      <c r="P1799" s="501" t="s">
        <v>1588</v>
      </c>
      <c r="Q1799" s="672">
        <v>0</v>
      </c>
      <c r="R1799" s="672">
        <v>0</v>
      </c>
      <c r="S1799" s="672">
        <v>0</v>
      </c>
      <c r="T1799" s="672">
        <v>0</v>
      </c>
      <c r="U1799" s="501" t="s">
        <v>7509</v>
      </c>
      <c r="V1799" s="566" t="s">
        <v>5423</v>
      </c>
      <c r="W1799" s="498">
        <v>198</v>
      </c>
      <c r="X1799" s="501" t="s">
        <v>2193</v>
      </c>
      <c r="Y1799" s="501" t="s">
        <v>3232</v>
      </c>
      <c r="Z1799" s="501" t="s">
        <v>8017</v>
      </c>
      <c r="AA1799" s="501" t="s">
        <v>1924</v>
      </c>
      <c r="AB1799" s="502" t="s">
        <v>1589</v>
      </c>
    </row>
    <row r="1800" spans="1:28" ht="24" customHeight="1">
      <c r="A1800" s="584"/>
      <c r="B1800" s="460" t="s">
        <v>675</v>
      </c>
      <c r="C1800" s="458" t="s">
        <v>8018</v>
      </c>
      <c r="D1800" s="510" t="s">
        <v>8019</v>
      </c>
      <c r="E1800" s="498">
        <f t="shared" si="144"/>
        <v>46</v>
      </c>
      <c r="F1800" s="498">
        <v>0</v>
      </c>
      <c r="G1800" s="498">
        <v>46</v>
      </c>
      <c r="H1800" s="498">
        <v>0</v>
      </c>
      <c r="I1800" s="498">
        <f t="shared" si="145"/>
        <v>40</v>
      </c>
      <c r="J1800" s="498">
        <v>0</v>
      </c>
      <c r="K1800" s="498">
        <v>40</v>
      </c>
      <c r="L1800" s="668">
        <v>0</v>
      </c>
      <c r="M1800" s="672">
        <v>90</v>
      </c>
      <c r="N1800" s="498">
        <v>272.88</v>
      </c>
      <c r="O1800" s="715" t="s">
        <v>7996</v>
      </c>
      <c r="P1800" s="501" t="s">
        <v>1588</v>
      </c>
      <c r="Q1800" s="672">
        <v>0</v>
      </c>
      <c r="R1800" s="672">
        <v>0</v>
      </c>
      <c r="S1800" s="672">
        <v>0</v>
      </c>
      <c r="T1800" s="672">
        <v>0</v>
      </c>
      <c r="U1800" s="501" t="s">
        <v>7509</v>
      </c>
      <c r="V1800" s="566" t="s">
        <v>2137</v>
      </c>
      <c r="W1800" s="498">
        <v>238</v>
      </c>
      <c r="X1800" s="501" t="s">
        <v>2193</v>
      </c>
      <c r="Y1800" s="501" t="s">
        <v>3232</v>
      </c>
      <c r="Z1800" s="501" t="s">
        <v>8020</v>
      </c>
      <c r="AA1800" s="501" t="s">
        <v>1924</v>
      </c>
      <c r="AB1800" s="502" t="s">
        <v>1589</v>
      </c>
    </row>
    <row r="1801" spans="1:28" ht="24" customHeight="1">
      <c r="A1801" s="582" t="s">
        <v>1928</v>
      </c>
      <c r="B1801" s="460" t="s">
        <v>2201</v>
      </c>
      <c r="C1801" s="458" t="s">
        <v>2345</v>
      </c>
      <c r="D1801" s="510" t="s">
        <v>8021</v>
      </c>
      <c r="E1801" s="498">
        <f t="shared" ref="E1801:E1807" si="146">SUM(F1801:H1801)</f>
        <v>5000</v>
      </c>
      <c r="F1801" s="498">
        <v>0</v>
      </c>
      <c r="G1801" s="498">
        <v>0</v>
      </c>
      <c r="H1801" s="498">
        <v>5000</v>
      </c>
      <c r="I1801" s="498">
        <f t="shared" si="145"/>
        <v>4113</v>
      </c>
      <c r="J1801" s="498">
        <v>0</v>
      </c>
      <c r="K1801" s="498">
        <v>0</v>
      </c>
      <c r="L1801" s="668">
        <v>4113</v>
      </c>
      <c r="M1801" s="690">
        <v>98.3</v>
      </c>
      <c r="N1801" s="498">
        <v>531.29999999999995</v>
      </c>
      <c r="O1801" s="715" t="s">
        <v>8022</v>
      </c>
      <c r="P1801" s="501" t="s">
        <v>1588</v>
      </c>
      <c r="Q1801" s="672">
        <v>0</v>
      </c>
      <c r="R1801" s="672">
        <v>0</v>
      </c>
      <c r="S1801" s="672">
        <v>0</v>
      </c>
      <c r="T1801" s="672">
        <v>0</v>
      </c>
      <c r="U1801" s="501" t="s">
        <v>7510</v>
      </c>
      <c r="V1801" s="501" t="s">
        <v>8023</v>
      </c>
      <c r="W1801" s="498">
        <v>15643</v>
      </c>
      <c r="X1801" s="501" t="s">
        <v>2193</v>
      </c>
      <c r="Y1801" s="501" t="s">
        <v>3161</v>
      </c>
      <c r="Z1801" s="501" t="s">
        <v>1602</v>
      </c>
      <c r="AA1801" s="501"/>
      <c r="AB1801" s="502" t="s">
        <v>1536</v>
      </c>
    </row>
    <row r="1802" spans="1:28" ht="24" customHeight="1">
      <c r="A1802" s="584"/>
      <c r="B1802" s="460" t="s">
        <v>2201</v>
      </c>
      <c r="C1802" s="458" t="s">
        <v>292</v>
      </c>
      <c r="D1802" s="510" t="s">
        <v>8024</v>
      </c>
      <c r="E1802" s="498">
        <f t="shared" si="146"/>
        <v>6500</v>
      </c>
      <c r="F1802" s="498">
        <v>0</v>
      </c>
      <c r="G1802" s="498">
        <v>6500</v>
      </c>
      <c r="H1802" s="498">
        <v>0</v>
      </c>
      <c r="I1802" s="498">
        <f t="shared" si="145"/>
        <v>3741</v>
      </c>
      <c r="J1802" s="498">
        <v>0</v>
      </c>
      <c r="K1802" s="498">
        <v>3741</v>
      </c>
      <c r="L1802" s="668">
        <v>0</v>
      </c>
      <c r="M1802" s="690">
        <v>88.2</v>
      </c>
      <c r="N1802" s="664">
        <v>123.8</v>
      </c>
      <c r="O1802" s="715" t="s">
        <v>7271</v>
      </c>
      <c r="P1802" s="501" t="s">
        <v>1588</v>
      </c>
      <c r="Q1802" s="672">
        <v>0</v>
      </c>
      <c r="R1802" s="672">
        <v>0</v>
      </c>
      <c r="S1802" s="672">
        <v>0</v>
      </c>
      <c r="T1802" s="672">
        <v>0</v>
      </c>
      <c r="U1802" s="501" t="s">
        <v>7511</v>
      </c>
      <c r="V1802" s="501" t="s">
        <v>8025</v>
      </c>
      <c r="W1802" s="498">
        <v>5604</v>
      </c>
      <c r="X1802" s="501" t="s">
        <v>2193</v>
      </c>
      <c r="Y1802" s="501" t="s">
        <v>3161</v>
      </c>
      <c r="Z1802" s="501" t="s">
        <v>1602</v>
      </c>
      <c r="AA1802" s="501"/>
      <c r="AB1802" s="502" t="s">
        <v>1536</v>
      </c>
    </row>
    <row r="1803" spans="1:28" ht="24" customHeight="1">
      <c r="A1803" s="584"/>
      <c r="B1803" s="460" t="s">
        <v>675</v>
      </c>
      <c r="C1803" s="458" t="s">
        <v>8026</v>
      </c>
      <c r="D1803" s="510" t="s">
        <v>8027</v>
      </c>
      <c r="E1803" s="498">
        <f t="shared" si="146"/>
        <v>50</v>
      </c>
      <c r="F1803" s="498">
        <v>0</v>
      </c>
      <c r="G1803" s="498">
        <v>50</v>
      </c>
      <c r="H1803" s="498">
        <v>0</v>
      </c>
      <c r="I1803" s="498">
        <f t="shared" si="145"/>
        <v>35</v>
      </c>
      <c r="J1803" s="498">
        <v>0</v>
      </c>
      <c r="K1803" s="498">
        <v>35</v>
      </c>
      <c r="L1803" s="668">
        <v>0</v>
      </c>
      <c r="M1803" s="690">
        <v>93.7</v>
      </c>
      <c r="N1803" s="498">
        <v>343.4</v>
      </c>
      <c r="O1803" s="715" t="s">
        <v>2675</v>
      </c>
      <c r="P1803" s="501" t="s">
        <v>1588</v>
      </c>
      <c r="Q1803" s="672">
        <v>0</v>
      </c>
      <c r="R1803" s="672">
        <v>0</v>
      </c>
      <c r="S1803" s="672">
        <v>0</v>
      </c>
      <c r="T1803" s="672">
        <v>0</v>
      </c>
      <c r="U1803" s="501" t="s">
        <v>7510</v>
      </c>
      <c r="V1803" s="501" t="s">
        <v>5306</v>
      </c>
      <c r="W1803" s="498">
        <v>259</v>
      </c>
      <c r="X1803" s="501" t="s">
        <v>2193</v>
      </c>
      <c r="Y1803" s="501" t="s">
        <v>3161</v>
      </c>
      <c r="Z1803" s="501" t="s">
        <v>1602</v>
      </c>
      <c r="AA1803" s="501"/>
      <c r="AB1803" s="502" t="s">
        <v>1536</v>
      </c>
    </row>
    <row r="1804" spans="1:28" ht="24" customHeight="1">
      <c r="A1804" s="584"/>
      <c r="B1804" s="460" t="s">
        <v>675</v>
      </c>
      <c r="C1804" s="458" t="s">
        <v>8028</v>
      </c>
      <c r="D1804" s="510" t="s">
        <v>8029</v>
      </c>
      <c r="E1804" s="498">
        <f t="shared" si="146"/>
        <v>60</v>
      </c>
      <c r="F1804" s="498">
        <v>0</v>
      </c>
      <c r="G1804" s="498">
        <v>0</v>
      </c>
      <c r="H1804" s="498">
        <v>60</v>
      </c>
      <c r="I1804" s="498">
        <f t="shared" si="145"/>
        <v>44</v>
      </c>
      <c r="J1804" s="498">
        <v>0</v>
      </c>
      <c r="K1804" s="498">
        <v>0</v>
      </c>
      <c r="L1804" s="668">
        <v>44</v>
      </c>
      <c r="M1804" s="690">
        <v>86</v>
      </c>
      <c r="N1804" s="498">
        <v>178.9</v>
      </c>
      <c r="O1804" s="715" t="s">
        <v>2675</v>
      </c>
      <c r="P1804" s="501" t="s">
        <v>1588</v>
      </c>
      <c r="Q1804" s="672">
        <v>0</v>
      </c>
      <c r="R1804" s="672">
        <v>0</v>
      </c>
      <c r="S1804" s="672">
        <v>0</v>
      </c>
      <c r="T1804" s="672">
        <v>0</v>
      </c>
      <c r="U1804" s="501" t="s">
        <v>7510</v>
      </c>
      <c r="V1804" s="501" t="s">
        <v>8030</v>
      </c>
      <c r="W1804" s="498">
        <v>488</v>
      </c>
      <c r="X1804" s="501" t="s">
        <v>2193</v>
      </c>
      <c r="Y1804" s="501"/>
      <c r="Z1804" s="501" t="s">
        <v>1602</v>
      </c>
      <c r="AA1804" s="501"/>
      <c r="AB1804" s="502" t="s">
        <v>1536</v>
      </c>
    </row>
    <row r="1805" spans="1:28" ht="24" customHeight="1">
      <c r="A1805" s="584"/>
      <c r="B1805" s="460" t="s">
        <v>675</v>
      </c>
      <c r="C1805" s="458" t="s">
        <v>8031</v>
      </c>
      <c r="D1805" s="510" t="s">
        <v>8032</v>
      </c>
      <c r="E1805" s="498">
        <f t="shared" si="146"/>
        <v>20</v>
      </c>
      <c r="F1805" s="498">
        <v>0</v>
      </c>
      <c r="G1805" s="498">
        <v>20</v>
      </c>
      <c r="H1805" s="498">
        <v>0</v>
      </c>
      <c r="I1805" s="498">
        <f t="shared" si="145"/>
        <v>0</v>
      </c>
      <c r="J1805" s="498">
        <v>0</v>
      </c>
      <c r="K1805" s="498">
        <v>0</v>
      </c>
      <c r="L1805" s="668">
        <v>0</v>
      </c>
      <c r="M1805" s="690">
        <v>0</v>
      </c>
      <c r="N1805" s="683">
        <v>0</v>
      </c>
      <c r="O1805" s="717" t="s">
        <v>3517</v>
      </c>
      <c r="P1805" s="501" t="s">
        <v>1588</v>
      </c>
      <c r="Q1805" s="841">
        <v>0</v>
      </c>
      <c r="R1805" s="841">
        <v>0</v>
      </c>
      <c r="S1805" s="672">
        <v>0</v>
      </c>
      <c r="T1805" s="672">
        <v>0</v>
      </c>
      <c r="U1805" s="501" t="s">
        <v>7510</v>
      </c>
      <c r="V1805" s="501" t="s">
        <v>8033</v>
      </c>
      <c r="W1805" s="498">
        <v>147</v>
      </c>
      <c r="X1805" s="501" t="s">
        <v>2193</v>
      </c>
      <c r="Y1805" s="501"/>
      <c r="Z1805" s="501" t="s">
        <v>1929</v>
      </c>
      <c r="AA1805" s="501"/>
      <c r="AB1805" s="502" t="s">
        <v>1536</v>
      </c>
    </row>
    <row r="1806" spans="1:28" ht="24" customHeight="1">
      <c r="A1806" s="584"/>
      <c r="B1806" s="460" t="s">
        <v>675</v>
      </c>
      <c r="C1806" s="458" t="s">
        <v>8034</v>
      </c>
      <c r="D1806" s="510" t="s">
        <v>8035</v>
      </c>
      <c r="E1806" s="498">
        <f t="shared" si="146"/>
        <v>50</v>
      </c>
      <c r="F1806" s="498">
        <v>0</v>
      </c>
      <c r="G1806" s="498">
        <v>0</v>
      </c>
      <c r="H1806" s="498">
        <v>50</v>
      </c>
      <c r="I1806" s="498">
        <f t="shared" si="145"/>
        <v>38</v>
      </c>
      <c r="J1806" s="498">
        <v>0</v>
      </c>
      <c r="K1806" s="498">
        <v>0</v>
      </c>
      <c r="L1806" s="668">
        <v>38</v>
      </c>
      <c r="M1806" s="690">
        <v>94.1</v>
      </c>
      <c r="N1806" s="498">
        <v>322.2</v>
      </c>
      <c r="O1806" s="715" t="s">
        <v>8036</v>
      </c>
      <c r="P1806" s="501" t="s">
        <v>1588</v>
      </c>
      <c r="Q1806" s="672">
        <v>0</v>
      </c>
      <c r="R1806" s="672">
        <v>0</v>
      </c>
      <c r="S1806" s="672">
        <v>0</v>
      </c>
      <c r="T1806" s="672">
        <v>0</v>
      </c>
      <c r="U1806" s="501" t="s">
        <v>7510</v>
      </c>
      <c r="V1806" s="501" t="s">
        <v>8037</v>
      </c>
      <c r="W1806" s="498">
        <v>542</v>
      </c>
      <c r="X1806" s="501" t="s">
        <v>2193</v>
      </c>
      <c r="Y1806" s="501" t="s">
        <v>3161</v>
      </c>
      <c r="Z1806" s="501" t="s">
        <v>1929</v>
      </c>
      <c r="AA1806" s="501"/>
      <c r="AB1806" s="502" t="s">
        <v>1536</v>
      </c>
    </row>
    <row r="1807" spans="1:28" ht="24" customHeight="1">
      <c r="A1807" s="583"/>
      <c r="B1807" s="460" t="s">
        <v>675</v>
      </c>
      <c r="C1807" s="458" t="s">
        <v>8038</v>
      </c>
      <c r="D1807" s="510" t="s">
        <v>8039</v>
      </c>
      <c r="E1807" s="498">
        <f t="shared" si="146"/>
        <v>50</v>
      </c>
      <c r="F1807" s="498">
        <v>0</v>
      </c>
      <c r="G1807" s="498">
        <v>0</v>
      </c>
      <c r="H1807" s="498">
        <v>50</v>
      </c>
      <c r="I1807" s="498">
        <f t="shared" si="145"/>
        <v>40</v>
      </c>
      <c r="J1807" s="498">
        <v>0</v>
      </c>
      <c r="K1807" s="498">
        <v>0</v>
      </c>
      <c r="L1807" s="668">
        <v>40</v>
      </c>
      <c r="M1807" s="690">
        <v>92.9</v>
      </c>
      <c r="N1807" s="498">
        <v>423.3</v>
      </c>
      <c r="O1807" s="715" t="s">
        <v>8040</v>
      </c>
      <c r="P1807" s="501" t="s">
        <v>1588</v>
      </c>
      <c r="Q1807" s="672">
        <v>0</v>
      </c>
      <c r="R1807" s="672">
        <v>0</v>
      </c>
      <c r="S1807" s="672">
        <v>0</v>
      </c>
      <c r="T1807" s="672">
        <v>0</v>
      </c>
      <c r="U1807" s="501" t="s">
        <v>7510</v>
      </c>
      <c r="V1807" s="501" t="s">
        <v>8041</v>
      </c>
      <c r="W1807" s="498">
        <v>897</v>
      </c>
      <c r="X1807" s="501" t="s">
        <v>2193</v>
      </c>
      <c r="Y1807" s="501" t="s">
        <v>3161</v>
      </c>
      <c r="Z1807" s="501" t="s">
        <v>1916</v>
      </c>
      <c r="AA1807" s="501"/>
      <c r="AB1807" s="502" t="s">
        <v>1536</v>
      </c>
    </row>
    <row r="1808" spans="1:28" ht="24" customHeight="1">
      <c r="A1808" s="583" t="s">
        <v>8042</v>
      </c>
      <c r="B1808" s="460" t="s">
        <v>1694</v>
      </c>
      <c r="C1808" s="458"/>
      <c r="D1808" s="510"/>
      <c r="E1808" s="498">
        <v>0</v>
      </c>
      <c r="F1808" s="498">
        <v>0</v>
      </c>
      <c r="G1808" s="498">
        <v>0</v>
      </c>
      <c r="H1808" s="498">
        <v>0</v>
      </c>
      <c r="I1808" s="498">
        <v>0</v>
      </c>
      <c r="J1808" s="498">
        <v>0</v>
      </c>
      <c r="K1808" s="498">
        <v>0</v>
      </c>
      <c r="L1808" s="668">
        <v>0</v>
      </c>
      <c r="M1808" s="672">
        <v>0</v>
      </c>
      <c r="N1808" s="498">
        <v>0</v>
      </c>
      <c r="O1808" s="715" t="s">
        <v>1588</v>
      </c>
      <c r="P1808" s="501" t="s">
        <v>1588</v>
      </c>
      <c r="Q1808" s="672">
        <v>0</v>
      </c>
      <c r="R1808" s="672">
        <v>0</v>
      </c>
      <c r="S1808" s="672">
        <v>0</v>
      </c>
      <c r="T1808" s="672">
        <v>0</v>
      </c>
      <c r="U1808" s="501"/>
      <c r="V1808" s="501"/>
      <c r="W1808" s="498"/>
      <c r="X1808" s="501"/>
      <c r="Y1808" s="501"/>
      <c r="Z1808" s="501"/>
      <c r="AA1808" s="501"/>
      <c r="AB1808" s="502"/>
    </row>
    <row r="1809" spans="1:28" ht="24" customHeight="1">
      <c r="A1809" s="457" t="s">
        <v>1978</v>
      </c>
      <c r="B1809" s="458" t="s">
        <v>6049</v>
      </c>
      <c r="C1809" s="458"/>
      <c r="D1809" s="510"/>
      <c r="E1809" s="498" t="s">
        <v>7355</v>
      </c>
      <c r="F1809" s="498">
        <v>0</v>
      </c>
      <c r="G1809" s="498" t="s">
        <v>7356</v>
      </c>
      <c r="H1809" s="498" t="s">
        <v>7357</v>
      </c>
      <c r="I1809" s="498" t="s">
        <v>7358</v>
      </c>
      <c r="J1809" s="498">
        <v>0</v>
      </c>
      <c r="K1809" s="498" t="s">
        <v>7359</v>
      </c>
      <c r="L1809" s="668" t="s">
        <v>7360</v>
      </c>
      <c r="M1809" s="672">
        <v>0</v>
      </c>
      <c r="N1809" s="498" t="s">
        <v>7361</v>
      </c>
      <c r="O1809" s="669" t="s">
        <v>1588</v>
      </c>
      <c r="P1809" s="463" t="s">
        <v>1588</v>
      </c>
      <c r="Q1809" s="672" t="s">
        <v>7362</v>
      </c>
      <c r="R1809" s="672" t="s">
        <v>6110</v>
      </c>
      <c r="S1809" s="672" t="s">
        <v>7363</v>
      </c>
      <c r="T1809" s="672" t="s">
        <v>6273</v>
      </c>
      <c r="U1809" s="463"/>
      <c r="V1809" s="463"/>
      <c r="W1809" s="498">
        <f>W1810+W1908</f>
        <v>4998794.3499999996</v>
      </c>
      <c r="X1809" s="463"/>
      <c r="Y1809" s="463"/>
      <c r="Z1809" s="463"/>
      <c r="AA1809" s="463"/>
      <c r="AB1809" s="459"/>
    </row>
    <row r="1810" spans="1:28" ht="24" customHeight="1">
      <c r="A1810" s="457" t="s">
        <v>1674</v>
      </c>
      <c r="B1810" s="458" t="s">
        <v>6048</v>
      </c>
      <c r="C1810" s="579">
        <f>COUNTIF($B$1811:$B$1907,"하수")</f>
        <v>20</v>
      </c>
      <c r="D1810" s="579">
        <f>COUNTIF($B$1811:$B$1907,"마을")</f>
        <v>77</v>
      </c>
      <c r="E1810" s="498" t="s">
        <v>6263</v>
      </c>
      <c r="F1810" s="498">
        <v>0</v>
      </c>
      <c r="G1810" s="498" t="s">
        <v>6264</v>
      </c>
      <c r="H1810" s="498" t="s">
        <v>6265</v>
      </c>
      <c r="I1810" s="498" t="s">
        <v>6266</v>
      </c>
      <c r="J1810" s="498">
        <v>0</v>
      </c>
      <c r="K1810" s="498" t="s">
        <v>6267</v>
      </c>
      <c r="L1810" s="668" t="s">
        <v>6268</v>
      </c>
      <c r="M1810" s="672">
        <v>0</v>
      </c>
      <c r="N1810" s="498" t="s">
        <v>6269</v>
      </c>
      <c r="O1810" s="669" t="s">
        <v>1588</v>
      </c>
      <c r="P1810" s="463" t="s">
        <v>1588</v>
      </c>
      <c r="Q1810" s="672" t="s">
        <v>6270</v>
      </c>
      <c r="R1810" s="672" t="s">
        <v>6271</v>
      </c>
      <c r="S1810" s="672" t="s">
        <v>6272</v>
      </c>
      <c r="T1810" s="672" t="s">
        <v>6273</v>
      </c>
      <c r="U1810" s="463"/>
      <c r="V1810" s="463"/>
      <c r="W1810" s="498">
        <f>SUM(W1811:W1907)</f>
        <v>1318461</v>
      </c>
      <c r="X1810" s="463"/>
      <c r="Y1810" s="463"/>
      <c r="Z1810" s="463"/>
      <c r="AA1810" s="463"/>
      <c r="AB1810" s="459"/>
    </row>
    <row r="1811" spans="1:28" ht="24" customHeight="1">
      <c r="A1811" s="582" t="s">
        <v>1930</v>
      </c>
      <c r="B1811" s="460" t="s">
        <v>2201</v>
      </c>
      <c r="C1811" s="458" t="s">
        <v>2346</v>
      </c>
      <c r="D1811" s="510" t="s">
        <v>8043</v>
      </c>
      <c r="E1811" s="653">
        <f>F1811+G1811+H1811</f>
        <v>280000</v>
      </c>
      <c r="F1811" s="653">
        <v>0</v>
      </c>
      <c r="G1811" s="653">
        <v>0</v>
      </c>
      <c r="H1811" s="653">
        <v>280000</v>
      </c>
      <c r="I1811" s="655">
        <f t="shared" ref="I1811:I1874" si="147">SUM(J1811:L1811)</f>
        <v>285023</v>
      </c>
      <c r="J1811" s="655">
        <v>0</v>
      </c>
      <c r="K1811" s="655">
        <v>0</v>
      </c>
      <c r="L1811" s="710">
        <v>285023</v>
      </c>
      <c r="M1811" s="680">
        <f t="shared" ref="M1811:M1874" si="148">I1811/E1811*100</f>
        <v>101.79392857142857</v>
      </c>
      <c r="N1811" s="498">
        <v>21975</v>
      </c>
      <c r="O1811" s="669" t="s">
        <v>3409</v>
      </c>
      <c r="P1811" s="463" t="s">
        <v>1588</v>
      </c>
      <c r="Q1811" s="672">
        <v>226</v>
      </c>
      <c r="R1811" s="672">
        <v>0</v>
      </c>
      <c r="S1811" s="672">
        <v>233</v>
      </c>
      <c r="T1811" s="672">
        <v>0</v>
      </c>
      <c r="U1811" s="463" t="s">
        <v>2249</v>
      </c>
      <c r="V1811" s="463" t="s">
        <v>8044</v>
      </c>
      <c r="W1811" s="498">
        <v>216367</v>
      </c>
      <c r="X1811" s="463" t="s">
        <v>1532</v>
      </c>
      <c r="Y1811" s="463" t="s">
        <v>3399</v>
      </c>
      <c r="Z1811" s="463" t="s">
        <v>2071</v>
      </c>
      <c r="AA1811" s="463" t="s">
        <v>8045</v>
      </c>
      <c r="AB1811" s="459" t="s">
        <v>1770</v>
      </c>
    </row>
    <row r="1812" spans="1:28" ht="24" customHeight="1">
      <c r="A1812" s="582" t="s">
        <v>1931</v>
      </c>
      <c r="B1812" s="460" t="s">
        <v>2201</v>
      </c>
      <c r="C1812" s="458" t="s">
        <v>1931</v>
      </c>
      <c r="D1812" s="510" t="s">
        <v>8046</v>
      </c>
      <c r="E1812" s="498">
        <f t="shared" ref="E1812:E1853" si="149">F1812+G1812+H1812</f>
        <v>150000</v>
      </c>
      <c r="F1812" s="498">
        <v>0</v>
      </c>
      <c r="G1812" s="498">
        <v>150000</v>
      </c>
      <c r="H1812" s="498">
        <v>0</v>
      </c>
      <c r="I1812" s="655">
        <f t="shared" si="147"/>
        <v>114029</v>
      </c>
      <c r="J1812" s="655">
        <v>0</v>
      </c>
      <c r="K1812" s="655">
        <v>114029</v>
      </c>
      <c r="L1812" s="710">
        <v>0</v>
      </c>
      <c r="M1812" s="680">
        <f t="shared" si="148"/>
        <v>76.019333333333336</v>
      </c>
      <c r="N1812" s="498">
        <v>969</v>
      </c>
      <c r="O1812" s="669" t="s">
        <v>1535</v>
      </c>
      <c r="P1812" s="463" t="s">
        <v>1588</v>
      </c>
      <c r="Q1812" s="672">
        <v>0</v>
      </c>
      <c r="R1812" s="672">
        <v>0</v>
      </c>
      <c r="S1812" s="672">
        <v>0</v>
      </c>
      <c r="T1812" s="672">
        <v>0</v>
      </c>
      <c r="U1812" s="463" t="s">
        <v>2461</v>
      </c>
      <c r="V1812" s="463" t="s">
        <v>8047</v>
      </c>
      <c r="W1812" s="498">
        <v>81250</v>
      </c>
      <c r="X1812" s="463" t="s">
        <v>1532</v>
      </c>
      <c r="Y1812" s="463" t="s">
        <v>1533</v>
      </c>
      <c r="Z1812" s="463" t="s">
        <v>1932</v>
      </c>
      <c r="AA1812" s="463" t="s">
        <v>1589</v>
      </c>
      <c r="AB1812" s="459" t="s">
        <v>1589</v>
      </c>
    </row>
    <row r="1813" spans="1:28" ht="24" customHeight="1">
      <c r="A1813" s="584"/>
      <c r="B1813" s="460" t="s">
        <v>2201</v>
      </c>
      <c r="C1813" s="458" t="s">
        <v>8048</v>
      </c>
      <c r="D1813" s="510" t="s">
        <v>8049</v>
      </c>
      <c r="E1813" s="498">
        <f t="shared" si="149"/>
        <v>3200</v>
      </c>
      <c r="F1813" s="498">
        <v>0</v>
      </c>
      <c r="G1813" s="498">
        <v>3200</v>
      </c>
      <c r="H1813" s="498">
        <v>0</v>
      </c>
      <c r="I1813" s="655">
        <f t="shared" si="147"/>
        <v>2262</v>
      </c>
      <c r="J1813" s="655">
        <v>0</v>
      </c>
      <c r="K1813" s="655">
        <v>2262</v>
      </c>
      <c r="L1813" s="710">
        <v>0</v>
      </c>
      <c r="M1813" s="680">
        <f t="shared" si="148"/>
        <v>70.6875</v>
      </c>
      <c r="N1813" s="498">
        <v>22.48</v>
      </c>
      <c r="O1813" s="669" t="s">
        <v>1535</v>
      </c>
      <c r="P1813" s="463" t="s">
        <v>1588</v>
      </c>
      <c r="Q1813" s="672">
        <v>0</v>
      </c>
      <c r="R1813" s="672">
        <v>0</v>
      </c>
      <c r="S1813" s="672">
        <v>0</v>
      </c>
      <c r="T1813" s="672">
        <v>0</v>
      </c>
      <c r="U1813" s="463" t="s">
        <v>2461</v>
      </c>
      <c r="V1813" s="463" t="s">
        <v>8050</v>
      </c>
      <c r="W1813" s="498">
        <v>9689</v>
      </c>
      <c r="X1813" s="463" t="s">
        <v>1532</v>
      </c>
      <c r="Y1813" s="463" t="s">
        <v>8051</v>
      </c>
      <c r="Z1813" s="463" t="s">
        <v>1932</v>
      </c>
      <c r="AA1813" s="463" t="s">
        <v>1589</v>
      </c>
      <c r="AB1813" s="459" t="s">
        <v>1589</v>
      </c>
    </row>
    <row r="1814" spans="1:28" ht="24" customHeight="1">
      <c r="A1814" s="584"/>
      <c r="B1814" s="460" t="s">
        <v>2201</v>
      </c>
      <c r="C1814" s="458" t="s">
        <v>8052</v>
      </c>
      <c r="D1814" s="510" t="s">
        <v>8053</v>
      </c>
      <c r="E1814" s="498">
        <f t="shared" si="149"/>
        <v>2400</v>
      </c>
      <c r="F1814" s="498">
        <v>0</v>
      </c>
      <c r="G1814" s="498">
        <v>2400</v>
      </c>
      <c r="H1814" s="498">
        <v>0</v>
      </c>
      <c r="I1814" s="655">
        <f t="shared" si="147"/>
        <v>1054</v>
      </c>
      <c r="J1814" s="655">
        <v>0</v>
      </c>
      <c r="K1814" s="655">
        <v>1054</v>
      </c>
      <c r="L1814" s="710">
        <v>0</v>
      </c>
      <c r="M1814" s="680">
        <f t="shared" si="148"/>
        <v>43.916666666666664</v>
      </c>
      <c r="N1814" s="498">
        <v>14.75</v>
      </c>
      <c r="O1814" s="669" t="s">
        <v>1535</v>
      </c>
      <c r="P1814" s="463" t="s">
        <v>1588</v>
      </c>
      <c r="Q1814" s="672">
        <v>0</v>
      </c>
      <c r="R1814" s="672">
        <v>0</v>
      </c>
      <c r="S1814" s="672">
        <v>0</v>
      </c>
      <c r="T1814" s="672">
        <v>0</v>
      </c>
      <c r="U1814" s="463" t="s">
        <v>2461</v>
      </c>
      <c r="V1814" s="463" t="s">
        <v>8054</v>
      </c>
      <c r="W1814" s="498">
        <v>11729</v>
      </c>
      <c r="X1814" s="463" t="s">
        <v>1532</v>
      </c>
      <c r="Y1814" s="463" t="s">
        <v>8055</v>
      </c>
      <c r="Z1814" s="463" t="s">
        <v>1932</v>
      </c>
      <c r="AA1814" s="463" t="s">
        <v>1589</v>
      </c>
      <c r="AB1814" s="459" t="s">
        <v>1589</v>
      </c>
    </row>
    <row r="1815" spans="1:28" ht="24" customHeight="1">
      <c r="A1815" s="584"/>
      <c r="B1815" s="460" t="s">
        <v>675</v>
      </c>
      <c r="C1815" s="458" t="s">
        <v>2125</v>
      </c>
      <c r="D1815" s="510" t="s">
        <v>8056</v>
      </c>
      <c r="E1815" s="498">
        <f t="shared" si="149"/>
        <v>50</v>
      </c>
      <c r="F1815" s="498">
        <v>0</v>
      </c>
      <c r="G1815" s="498">
        <v>50</v>
      </c>
      <c r="H1815" s="498">
        <v>0</v>
      </c>
      <c r="I1815" s="655">
        <f t="shared" si="147"/>
        <v>21</v>
      </c>
      <c r="J1815" s="655">
        <v>0</v>
      </c>
      <c r="K1815" s="655">
        <v>21</v>
      </c>
      <c r="L1815" s="710">
        <v>0</v>
      </c>
      <c r="M1815" s="680">
        <f t="shared" si="148"/>
        <v>42</v>
      </c>
      <c r="N1815" s="498">
        <v>5.5E-2</v>
      </c>
      <c r="O1815" s="669" t="s">
        <v>8057</v>
      </c>
      <c r="P1815" s="463" t="s">
        <v>1588</v>
      </c>
      <c r="Q1815" s="672">
        <v>0</v>
      </c>
      <c r="R1815" s="672">
        <v>0</v>
      </c>
      <c r="S1815" s="672">
        <v>0</v>
      </c>
      <c r="T1815" s="672">
        <v>0</v>
      </c>
      <c r="U1815" s="463" t="s">
        <v>2461</v>
      </c>
      <c r="V1815" s="463" t="s">
        <v>8058</v>
      </c>
      <c r="W1815" s="498">
        <v>236</v>
      </c>
      <c r="X1815" s="463" t="s">
        <v>1532</v>
      </c>
      <c r="Y1815" s="463" t="s">
        <v>8055</v>
      </c>
      <c r="Z1815" s="463" t="s">
        <v>1932</v>
      </c>
      <c r="AA1815" s="463" t="s">
        <v>1589</v>
      </c>
      <c r="AB1815" s="459" t="s">
        <v>1589</v>
      </c>
    </row>
    <row r="1816" spans="1:28" ht="24" customHeight="1">
      <c r="A1816" s="584"/>
      <c r="B1816" s="460" t="s">
        <v>675</v>
      </c>
      <c r="C1816" s="458" t="s">
        <v>8059</v>
      </c>
      <c r="D1816" s="510" t="s">
        <v>8060</v>
      </c>
      <c r="E1816" s="498">
        <f t="shared" si="149"/>
        <v>50</v>
      </c>
      <c r="F1816" s="498">
        <v>0</v>
      </c>
      <c r="G1816" s="498">
        <v>50</v>
      </c>
      <c r="H1816" s="498">
        <v>0</v>
      </c>
      <c r="I1816" s="655">
        <f t="shared" si="147"/>
        <v>45</v>
      </c>
      <c r="J1816" s="655">
        <v>0</v>
      </c>
      <c r="K1816" s="655">
        <v>45</v>
      </c>
      <c r="L1816" s="710">
        <v>0</v>
      </c>
      <c r="M1816" s="680">
        <f t="shared" si="148"/>
        <v>90</v>
      </c>
      <c r="N1816" s="498">
        <v>0.19400000000000001</v>
      </c>
      <c r="O1816" s="669" t="s">
        <v>8057</v>
      </c>
      <c r="P1816" s="463" t="s">
        <v>1588</v>
      </c>
      <c r="Q1816" s="672">
        <v>0</v>
      </c>
      <c r="R1816" s="672">
        <v>0</v>
      </c>
      <c r="S1816" s="672">
        <v>0</v>
      </c>
      <c r="T1816" s="672">
        <v>0</v>
      </c>
      <c r="U1816" s="463" t="s">
        <v>2461</v>
      </c>
      <c r="V1816" s="463" t="s">
        <v>8058</v>
      </c>
      <c r="W1816" s="498">
        <v>290</v>
      </c>
      <c r="X1816" s="463" t="s">
        <v>1532</v>
      </c>
      <c r="Y1816" s="463" t="s">
        <v>8055</v>
      </c>
      <c r="Z1816" s="463" t="s">
        <v>1932</v>
      </c>
      <c r="AA1816" s="463" t="s">
        <v>1589</v>
      </c>
      <c r="AB1816" s="459" t="s">
        <v>1589</v>
      </c>
    </row>
    <row r="1817" spans="1:28" ht="24" customHeight="1">
      <c r="A1817" s="584"/>
      <c r="B1817" s="460" t="s">
        <v>675</v>
      </c>
      <c r="C1817" s="458" t="s">
        <v>8061</v>
      </c>
      <c r="D1817" s="510" t="s">
        <v>8062</v>
      </c>
      <c r="E1817" s="498">
        <f t="shared" si="149"/>
        <v>30</v>
      </c>
      <c r="F1817" s="498">
        <v>0</v>
      </c>
      <c r="G1817" s="498">
        <v>30</v>
      </c>
      <c r="H1817" s="498">
        <v>0</v>
      </c>
      <c r="I1817" s="655">
        <f t="shared" si="147"/>
        <v>28</v>
      </c>
      <c r="J1817" s="655">
        <v>0</v>
      </c>
      <c r="K1817" s="655">
        <v>28</v>
      </c>
      <c r="L1817" s="710">
        <v>0</v>
      </c>
      <c r="M1817" s="680">
        <f t="shared" si="148"/>
        <v>93.333333333333329</v>
      </c>
      <c r="N1817" s="498">
        <v>0.19900000000000001</v>
      </c>
      <c r="O1817" s="669" t="s">
        <v>1254</v>
      </c>
      <c r="P1817" s="463" t="s">
        <v>1588</v>
      </c>
      <c r="Q1817" s="672">
        <v>0</v>
      </c>
      <c r="R1817" s="672">
        <v>0</v>
      </c>
      <c r="S1817" s="672">
        <v>0</v>
      </c>
      <c r="T1817" s="672">
        <v>0</v>
      </c>
      <c r="U1817" s="463" t="s">
        <v>2461</v>
      </c>
      <c r="V1817" s="463" t="s">
        <v>8063</v>
      </c>
      <c r="W1817" s="498">
        <v>290</v>
      </c>
      <c r="X1817" s="463" t="s">
        <v>1532</v>
      </c>
      <c r="Y1817" s="463" t="s">
        <v>8055</v>
      </c>
      <c r="Z1817" s="463" t="s">
        <v>1932</v>
      </c>
      <c r="AA1817" s="463" t="s">
        <v>1589</v>
      </c>
      <c r="AB1817" s="459" t="s">
        <v>1589</v>
      </c>
    </row>
    <row r="1818" spans="1:28" ht="24" customHeight="1">
      <c r="A1818" s="584"/>
      <c r="B1818" s="460" t="s">
        <v>675</v>
      </c>
      <c r="C1818" s="458" t="s">
        <v>1081</v>
      </c>
      <c r="D1818" s="510" t="s">
        <v>8064</v>
      </c>
      <c r="E1818" s="498">
        <f t="shared" si="149"/>
        <v>50</v>
      </c>
      <c r="F1818" s="498">
        <v>0</v>
      </c>
      <c r="G1818" s="498">
        <v>50</v>
      </c>
      <c r="H1818" s="498">
        <v>0</v>
      </c>
      <c r="I1818" s="655">
        <f t="shared" si="147"/>
        <v>47</v>
      </c>
      <c r="J1818" s="655">
        <v>0</v>
      </c>
      <c r="K1818" s="655">
        <v>47</v>
      </c>
      <c r="L1818" s="710">
        <v>0</v>
      </c>
      <c r="M1818" s="680">
        <f t="shared" si="148"/>
        <v>94</v>
      </c>
      <c r="N1818" s="498">
        <v>0.182</v>
      </c>
      <c r="O1818" s="669" t="s">
        <v>8065</v>
      </c>
      <c r="P1818" s="463" t="s">
        <v>1588</v>
      </c>
      <c r="Q1818" s="672">
        <v>0</v>
      </c>
      <c r="R1818" s="672">
        <v>0</v>
      </c>
      <c r="S1818" s="672">
        <v>0</v>
      </c>
      <c r="T1818" s="672">
        <v>0</v>
      </c>
      <c r="U1818" s="463" t="s">
        <v>2461</v>
      </c>
      <c r="V1818" s="463" t="s">
        <v>8066</v>
      </c>
      <c r="W1818" s="498">
        <v>266</v>
      </c>
      <c r="X1818" s="463" t="s">
        <v>1532</v>
      </c>
      <c r="Y1818" s="463" t="s">
        <v>8055</v>
      </c>
      <c r="Z1818" s="463" t="s">
        <v>1932</v>
      </c>
      <c r="AA1818" s="463" t="s">
        <v>1589</v>
      </c>
      <c r="AB1818" s="459" t="s">
        <v>1589</v>
      </c>
    </row>
    <row r="1819" spans="1:28" ht="24" customHeight="1">
      <c r="A1819" s="584"/>
      <c r="B1819" s="460" t="s">
        <v>675</v>
      </c>
      <c r="C1819" s="458" t="s">
        <v>2018</v>
      </c>
      <c r="D1819" s="510" t="s">
        <v>8067</v>
      </c>
      <c r="E1819" s="498">
        <f t="shared" si="149"/>
        <v>50</v>
      </c>
      <c r="F1819" s="498">
        <v>0</v>
      </c>
      <c r="G1819" s="498">
        <v>50</v>
      </c>
      <c r="H1819" s="498">
        <v>0</v>
      </c>
      <c r="I1819" s="655">
        <f t="shared" si="147"/>
        <v>45.6</v>
      </c>
      <c r="J1819" s="655">
        <v>0</v>
      </c>
      <c r="K1819" s="655">
        <v>45.6</v>
      </c>
      <c r="L1819" s="710">
        <v>0</v>
      </c>
      <c r="M1819" s="680">
        <f t="shared" si="148"/>
        <v>91.2</v>
      </c>
      <c r="N1819" s="498">
        <v>0.17599999999999999</v>
      </c>
      <c r="O1819" s="669" t="s">
        <v>8068</v>
      </c>
      <c r="P1819" s="463" t="s">
        <v>1588</v>
      </c>
      <c r="Q1819" s="672">
        <v>0</v>
      </c>
      <c r="R1819" s="672">
        <v>0</v>
      </c>
      <c r="S1819" s="672">
        <v>0</v>
      </c>
      <c r="T1819" s="672">
        <v>0</v>
      </c>
      <c r="U1819" s="463" t="s">
        <v>2461</v>
      </c>
      <c r="V1819" s="463" t="s">
        <v>8069</v>
      </c>
      <c r="W1819" s="498">
        <v>235</v>
      </c>
      <c r="X1819" s="463" t="s">
        <v>1532</v>
      </c>
      <c r="Y1819" s="463" t="s">
        <v>8055</v>
      </c>
      <c r="Z1819" s="463" t="s">
        <v>1932</v>
      </c>
      <c r="AA1819" s="463" t="s">
        <v>1589</v>
      </c>
      <c r="AB1819" s="459" t="s">
        <v>1589</v>
      </c>
    </row>
    <row r="1820" spans="1:28" ht="24" customHeight="1">
      <c r="A1820" s="584"/>
      <c r="B1820" s="460" t="s">
        <v>675</v>
      </c>
      <c r="C1820" s="458" t="s">
        <v>8070</v>
      </c>
      <c r="D1820" s="510" t="s">
        <v>8071</v>
      </c>
      <c r="E1820" s="498">
        <f t="shared" si="149"/>
        <v>50</v>
      </c>
      <c r="F1820" s="498">
        <v>0</v>
      </c>
      <c r="G1820" s="498">
        <v>50</v>
      </c>
      <c r="H1820" s="498">
        <v>0</v>
      </c>
      <c r="I1820" s="655">
        <f t="shared" si="147"/>
        <v>36.799999999999997</v>
      </c>
      <c r="J1820" s="655">
        <v>0</v>
      </c>
      <c r="K1820" s="655">
        <v>36.799999999999997</v>
      </c>
      <c r="L1820" s="710">
        <v>0</v>
      </c>
      <c r="M1820" s="680">
        <f t="shared" si="148"/>
        <v>73.599999999999994</v>
      </c>
      <c r="N1820" s="498">
        <v>0.185</v>
      </c>
      <c r="O1820" s="669" t="s">
        <v>8065</v>
      </c>
      <c r="P1820" s="463" t="s">
        <v>1588</v>
      </c>
      <c r="Q1820" s="672">
        <v>0</v>
      </c>
      <c r="R1820" s="672">
        <v>0</v>
      </c>
      <c r="S1820" s="672">
        <v>0</v>
      </c>
      <c r="T1820" s="672">
        <v>0</v>
      </c>
      <c r="U1820" s="463" t="s">
        <v>2461</v>
      </c>
      <c r="V1820" s="463" t="s">
        <v>8069</v>
      </c>
      <c r="W1820" s="498">
        <v>299</v>
      </c>
      <c r="X1820" s="463" t="s">
        <v>1532</v>
      </c>
      <c r="Y1820" s="463" t="s">
        <v>8055</v>
      </c>
      <c r="Z1820" s="463" t="s">
        <v>1932</v>
      </c>
      <c r="AA1820" s="463" t="s">
        <v>1589</v>
      </c>
      <c r="AB1820" s="459" t="s">
        <v>1589</v>
      </c>
    </row>
    <row r="1821" spans="1:28" ht="24" customHeight="1">
      <c r="A1821" s="584"/>
      <c r="B1821" s="460" t="s">
        <v>675</v>
      </c>
      <c r="C1821" s="458" t="s">
        <v>2068</v>
      </c>
      <c r="D1821" s="510" t="s">
        <v>8072</v>
      </c>
      <c r="E1821" s="498">
        <f t="shared" si="149"/>
        <v>30</v>
      </c>
      <c r="F1821" s="498">
        <v>0</v>
      </c>
      <c r="G1821" s="498">
        <v>30</v>
      </c>
      <c r="H1821" s="498">
        <v>0</v>
      </c>
      <c r="I1821" s="655">
        <f t="shared" si="147"/>
        <v>16</v>
      </c>
      <c r="J1821" s="655">
        <v>0</v>
      </c>
      <c r="K1821" s="655">
        <v>16</v>
      </c>
      <c r="L1821" s="710">
        <v>0</v>
      </c>
      <c r="M1821" s="680">
        <f t="shared" si="148"/>
        <v>53.333333333333336</v>
      </c>
      <c r="N1821" s="498">
        <v>7.5999999999999998E-2</v>
      </c>
      <c r="O1821" s="669" t="s">
        <v>8065</v>
      </c>
      <c r="P1821" s="463" t="s">
        <v>1588</v>
      </c>
      <c r="Q1821" s="672">
        <v>0</v>
      </c>
      <c r="R1821" s="672">
        <v>0</v>
      </c>
      <c r="S1821" s="672">
        <v>0</v>
      </c>
      <c r="T1821" s="672">
        <v>0</v>
      </c>
      <c r="U1821" s="463" t="s">
        <v>2461</v>
      </c>
      <c r="V1821" s="463" t="s">
        <v>8073</v>
      </c>
      <c r="W1821" s="498">
        <v>185</v>
      </c>
      <c r="X1821" s="463" t="s">
        <v>1532</v>
      </c>
      <c r="Y1821" s="463" t="s">
        <v>8055</v>
      </c>
      <c r="Z1821" s="463" t="s">
        <v>1932</v>
      </c>
      <c r="AA1821" s="463" t="s">
        <v>1589</v>
      </c>
      <c r="AB1821" s="459" t="s">
        <v>1589</v>
      </c>
    </row>
    <row r="1822" spans="1:28" ht="24" customHeight="1">
      <c r="A1822" s="584"/>
      <c r="B1822" s="460" t="s">
        <v>675</v>
      </c>
      <c r="C1822" s="458" t="s">
        <v>8074</v>
      </c>
      <c r="D1822" s="510" t="s">
        <v>8075</v>
      </c>
      <c r="E1822" s="498">
        <f t="shared" si="149"/>
        <v>30</v>
      </c>
      <c r="F1822" s="498">
        <v>0</v>
      </c>
      <c r="G1822" s="498">
        <v>30</v>
      </c>
      <c r="H1822" s="498">
        <v>0</v>
      </c>
      <c r="I1822" s="655">
        <f t="shared" si="147"/>
        <v>21</v>
      </c>
      <c r="J1822" s="655">
        <v>0</v>
      </c>
      <c r="K1822" s="655">
        <v>21</v>
      </c>
      <c r="L1822" s="710">
        <v>0</v>
      </c>
      <c r="M1822" s="680">
        <f t="shared" si="148"/>
        <v>70</v>
      </c>
      <c r="N1822" s="498">
        <v>5.6000000000000001E-2</v>
      </c>
      <c r="O1822" s="669" t="s">
        <v>8076</v>
      </c>
      <c r="P1822" s="463" t="s">
        <v>1588</v>
      </c>
      <c r="Q1822" s="672">
        <v>0</v>
      </c>
      <c r="R1822" s="672">
        <v>0</v>
      </c>
      <c r="S1822" s="672">
        <v>0</v>
      </c>
      <c r="T1822" s="672">
        <v>0</v>
      </c>
      <c r="U1822" s="463" t="s">
        <v>2461</v>
      </c>
      <c r="V1822" s="463" t="s">
        <v>8077</v>
      </c>
      <c r="W1822" s="498">
        <v>185</v>
      </c>
      <c r="X1822" s="463" t="s">
        <v>1532</v>
      </c>
      <c r="Y1822" s="463" t="s">
        <v>8055</v>
      </c>
      <c r="Z1822" s="463" t="s">
        <v>1932</v>
      </c>
      <c r="AA1822" s="463" t="s">
        <v>1589</v>
      </c>
      <c r="AB1822" s="459" t="s">
        <v>1589</v>
      </c>
    </row>
    <row r="1823" spans="1:28" ht="24" customHeight="1">
      <c r="A1823" s="584"/>
      <c r="B1823" s="460" t="s">
        <v>675</v>
      </c>
      <c r="C1823" s="458" t="s">
        <v>8078</v>
      </c>
      <c r="D1823" s="510" t="s">
        <v>8079</v>
      </c>
      <c r="E1823" s="498">
        <f t="shared" si="149"/>
        <v>60</v>
      </c>
      <c r="F1823" s="498">
        <v>0</v>
      </c>
      <c r="G1823" s="498">
        <v>60</v>
      </c>
      <c r="H1823" s="498">
        <v>0</v>
      </c>
      <c r="I1823" s="655">
        <f t="shared" si="147"/>
        <v>50.4</v>
      </c>
      <c r="J1823" s="655">
        <v>0</v>
      </c>
      <c r="K1823" s="655">
        <v>50.4</v>
      </c>
      <c r="L1823" s="710">
        <v>0</v>
      </c>
      <c r="M1823" s="680">
        <f t="shared" si="148"/>
        <v>84</v>
      </c>
      <c r="N1823" s="498">
        <v>0.26500000000000001</v>
      </c>
      <c r="O1823" s="669" t="s">
        <v>2197</v>
      </c>
      <c r="P1823" s="463" t="s">
        <v>1588</v>
      </c>
      <c r="Q1823" s="672">
        <v>0</v>
      </c>
      <c r="R1823" s="672">
        <v>0</v>
      </c>
      <c r="S1823" s="672">
        <v>0</v>
      </c>
      <c r="T1823" s="672">
        <v>0</v>
      </c>
      <c r="U1823" s="463" t="s">
        <v>2461</v>
      </c>
      <c r="V1823" s="463" t="s">
        <v>8080</v>
      </c>
      <c r="W1823" s="498">
        <v>185</v>
      </c>
      <c r="X1823" s="463" t="s">
        <v>1532</v>
      </c>
      <c r="Y1823" s="463" t="s">
        <v>8055</v>
      </c>
      <c r="Z1823" s="463" t="s">
        <v>1932</v>
      </c>
      <c r="AA1823" s="463" t="s">
        <v>1589</v>
      </c>
      <c r="AB1823" s="459" t="s">
        <v>1589</v>
      </c>
    </row>
    <row r="1824" spans="1:28" ht="24" customHeight="1">
      <c r="A1824" s="584"/>
      <c r="B1824" s="460" t="s">
        <v>675</v>
      </c>
      <c r="C1824" s="458" t="s">
        <v>7981</v>
      </c>
      <c r="D1824" s="510" t="s">
        <v>8081</v>
      </c>
      <c r="E1824" s="498">
        <f t="shared" si="149"/>
        <v>40</v>
      </c>
      <c r="F1824" s="498">
        <v>0</v>
      </c>
      <c r="G1824" s="498">
        <v>40</v>
      </c>
      <c r="H1824" s="498">
        <v>0</v>
      </c>
      <c r="I1824" s="655">
        <f t="shared" si="147"/>
        <v>30.8</v>
      </c>
      <c r="J1824" s="655">
        <v>0</v>
      </c>
      <c r="K1824" s="655">
        <v>30.8</v>
      </c>
      <c r="L1824" s="710">
        <v>0</v>
      </c>
      <c r="M1824" s="680">
        <f t="shared" si="148"/>
        <v>77</v>
      </c>
      <c r="N1824" s="498">
        <v>0.30399999999999999</v>
      </c>
      <c r="O1824" s="669" t="s">
        <v>8082</v>
      </c>
      <c r="P1824" s="463" t="s">
        <v>1588</v>
      </c>
      <c r="Q1824" s="672">
        <v>0</v>
      </c>
      <c r="R1824" s="672">
        <v>0</v>
      </c>
      <c r="S1824" s="672">
        <v>0</v>
      </c>
      <c r="T1824" s="672">
        <v>0</v>
      </c>
      <c r="U1824" s="463" t="s">
        <v>2461</v>
      </c>
      <c r="V1824" s="463" t="s">
        <v>8080</v>
      </c>
      <c r="W1824" s="498">
        <v>185</v>
      </c>
      <c r="X1824" s="463" t="s">
        <v>1532</v>
      </c>
      <c r="Y1824" s="463" t="s">
        <v>8055</v>
      </c>
      <c r="Z1824" s="463" t="s">
        <v>1932</v>
      </c>
      <c r="AA1824" s="463" t="s">
        <v>1589</v>
      </c>
      <c r="AB1824" s="459" t="s">
        <v>1589</v>
      </c>
    </row>
    <row r="1825" spans="1:28" ht="24" customHeight="1">
      <c r="A1825" s="584"/>
      <c r="B1825" s="460" t="s">
        <v>675</v>
      </c>
      <c r="C1825" s="458" t="s">
        <v>8083</v>
      </c>
      <c r="D1825" s="510" t="s">
        <v>8084</v>
      </c>
      <c r="E1825" s="498">
        <f t="shared" si="149"/>
        <v>20</v>
      </c>
      <c r="F1825" s="498">
        <v>0</v>
      </c>
      <c r="G1825" s="498">
        <v>20</v>
      </c>
      <c r="H1825" s="498">
        <v>0</v>
      </c>
      <c r="I1825" s="655">
        <f t="shared" si="147"/>
        <v>15</v>
      </c>
      <c r="J1825" s="655">
        <v>0</v>
      </c>
      <c r="K1825" s="655">
        <v>15</v>
      </c>
      <c r="L1825" s="710">
        <v>0</v>
      </c>
      <c r="M1825" s="680">
        <f t="shared" si="148"/>
        <v>75</v>
      </c>
      <c r="N1825" s="498">
        <v>0</v>
      </c>
      <c r="O1825" s="669" t="s">
        <v>1254</v>
      </c>
      <c r="P1825" s="463" t="s">
        <v>1588</v>
      </c>
      <c r="Q1825" s="672">
        <v>0</v>
      </c>
      <c r="R1825" s="672">
        <v>0</v>
      </c>
      <c r="S1825" s="672">
        <v>0</v>
      </c>
      <c r="T1825" s="672">
        <v>0</v>
      </c>
      <c r="U1825" s="463" t="s">
        <v>2461</v>
      </c>
      <c r="V1825" s="463" t="s">
        <v>8085</v>
      </c>
      <c r="W1825" s="498">
        <v>235</v>
      </c>
      <c r="X1825" s="463" t="s">
        <v>1532</v>
      </c>
      <c r="Y1825" s="463" t="s">
        <v>8055</v>
      </c>
      <c r="Z1825" s="463" t="s">
        <v>1932</v>
      </c>
      <c r="AA1825" s="463" t="s">
        <v>1589</v>
      </c>
      <c r="AB1825" s="459" t="s">
        <v>1589</v>
      </c>
    </row>
    <row r="1826" spans="1:28" ht="24" customHeight="1">
      <c r="A1826" s="584"/>
      <c r="B1826" s="460" t="s">
        <v>675</v>
      </c>
      <c r="C1826" s="458" t="s">
        <v>8086</v>
      </c>
      <c r="D1826" s="510" t="s">
        <v>8087</v>
      </c>
      <c r="E1826" s="498">
        <f t="shared" si="149"/>
        <v>50</v>
      </c>
      <c r="F1826" s="498">
        <v>0</v>
      </c>
      <c r="G1826" s="498">
        <v>50</v>
      </c>
      <c r="H1826" s="498">
        <v>0</v>
      </c>
      <c r="I1826" s="655">
        <f t="shared" si="147"/>
        <v>47</v>
      </c>
      <c r="J1826" s="655">
        <v>0</v>
      </c>
      <c r="K1826" s="655">
        <v>47</v>
      </c>
      <c r="L1826" s="710">
        <v>0</v>
      </c>
      <c r="M1826" s="680">
        <f t="shared" si="148"/>
        <v>94</v>
      </c>
      <c r="N1826" s="498">
        <v>0.32900000000000001</v>
      </c>
      <c r="O1826" s="669" t="s">
        <v>8088</v>
      </c>
      <c r="P1826" s="463" t="s">
        <v>1588</v>
      </c>
      <c r="Q1826" s="672">
        <v>0</v>
      </c>
      <c r="R1826" s="672">
        <v>0</v>
      </c>
      <c r="S1826" s="672">
        <v>0</v>
      </c>
      <c r="T1826" s="672">
        <v>0</v>
      </c>
      <c r="U1826" s="463" t="s">
        <v>2461</v>
      </c>
      <c r="V1826" s="463" t="s">
        <v>8089</v>
      </c>
      <c r="W1826" s="498">
        <v>336</v>
      </c>
      <c r="X1826" s="463" t="s">
        <v>1532</v>
      </c>
      <c r="Y1826" s="463" t="s">
        <v>8055</v>
      </c>
      <c r="Z1826" s="463" t="s">
        <v>1932</v>
      </c>
      <c r="AA1826" s="463" t="s">
        <v>1589</v>
      </c>
      <c r="AB1826" s="459" t="s">
        <v>1589</v>
      </c>
    </row>
    <row r="1827" spans="1:28" ht="24" customHeight="1">
      <c r="A1827" s="584"/>
      <c r="B1827" s="460" t="s">
        <v>675</v>
      </c>
      <c r="C1827" s="458" t="s">
        <v>6770</v>
      </c>
      <c r="D1827" s="510" t="s">
        <v>8090</v>
      </c>
      <c r="E1827" s="498">
        <f t="shared" si="149"/>
        <v>50</v>
      </c>
      <c r="F1827" s="498">
        <v>0</v>
      </c>
      <c r="G1827" s="498">
        <v>50</v>
      </c>
      <c r="H1827" s="498">
        <v>0</v>
      </c>
      <c r="I1827" s="655">
        <f t="shared" si="147"/>
        <v>45</v>
      </c>
      <c r="J1827" s="655">
        <v>0</v>
      </c>
      <c r="K1827" s="655">
        <v>45</v>
      </c>
      <c r="L1827" s="710">
        <v>0</v>
      </c>
      <c r="M1827" s="680">
        <f t="shared" si="148"/>
        <v>90</v>
      </c>
      <c r="N1827" s="498">
        <v>0.315</v>
      </c>
      <c r="O1827" s="669" t="s">
        <v>8091</v>
      </c>
      <c r="P1827" s="463" t="s">
        <v>1588</v>
      </c>
      <c r="Q1827" s="672">
        <v>0</v>
      </c>
      <c r="R1827" s="672">
        <v>0</v>
      </c>
      <c r="S1827" s="672">
        <v>0</v>
      </c>
      <c r="T1827" s="672">
        <v>0</v>
      </c>
      <c r="U1827" s="463" t="s">
        <v>2461</v>
      </c>
      <c r="V1827" s="463" t="s">
        <v>8089</v>
      </c>
      <c r="W1827" s="498">
        <v>454</v>
      </c>
      <c r="X1827" s="463" t="s">
        <v>1532</v>
      </c>
      <c r="Y1827" s="463" t="s">
        <v>8055</v>
      </c>
      <c r="Z1827" s="463" t="s">
        <v>1932</v>
      </c>
      <c r="AA1827" s="463" t="s">
        <v>1589</v>
      </c>
      <c r="AB1827" s="459" t="s">
        <v>1589</v>
      </c>
    </row>
    <row r="1828" spans="1:28" ht="24" customHeight="1">
      <c r="A1828" s="584"/>
      <c r="B1828" s="460" t="s">
        <v>675</v>
      </c>
      <c r="C1828" s="458" t="s">
        <v>1970</v>
      </c>
      <c r="D1828" s="510" t="s">
        <v>8092</v>
      </c>
      <c r="E1828" s="498">
        <f t="shared" si="149"/>
        <v>50</v>
      </c>
      <c r="F1828" s="498">
        <v>0</v>
      </c>
      <c r="G1828" s="498">
        <v>50</v>
      </c>
      <c r="H1828" s="498">
        <v>0</v>
      </c>
      <c r="I1828" s="655">
        <f t="shared" si="147"/>
        <v>45</v>
      </c>
      <c r="J1828" s="655">
        <v>0</v>
      </c>
      <c r="K1828" s="655">
        <v>45</v>
      </c>
      <c r="L1828" s="710">
        <v>0</v>
      </c>
      <c r="M1828" s="680">
        <f t="shared" si="148"/>
        <v>90</v>
      </c>
      <c r="N1828" s="498">
        <v>0.315</v>
      </c>
      <c r="O1828" s="669" t="s">
        <v>8093</v>
      </c>
      <c r="P1828" s="463" t="s">
        <v>1588</v>
      </c>
      <c r="Q1828" s="672">
        <v>0</v>
      </c>
      <c r="R1828" s="672">
        <v>0</v>
      </c>
      <c r="S1828" s="672">
        <v>0</v>
      </c>
      <c r="T1828" s="672">
        <v>0</v>
      </c>
      <c r="U1828" s="463" t="s">
        <v>2461</v>
      </c>
      <c r="V1828" s="463" t="s">
        <v>8089</v>
      </c>
      <c r="W1828" s="498">
        <v>722</v>
      </c>
      <c r="X1828" s="463" t="s">
        <v>1532</v>
      </c>
      <c r="Y1828" s="463" t="s">
        <v>8055</v>
      </c>
      <c r="Z1828" s="463" t="s">
        <v>1932</v>
      </c>
      <c r="AA1828" s="463" t="s">
        <v>1589</v>
      </c>
      <c r="AB1828" s="459" t="s">
        <v>1589</v>
      </c>
    </row>
    <row r="1829" spans="1:28" ht="24" customHeight="1">
      <c r="A1829" s="584"/>
      <c r="B1829" s="460" t="s">
        <v>675</v>
      </c>
      <c r="C1829" s="458" t="s">
        <v>8094</v>
      </c>
      <c r="D1829" s="510" t="s">
        <v>8095</v>
      </c>
      <c r="E1829" s="498">
        <f t="shared" si="149"/>
        <v>50</v>
      </c>
      <c r="F1829" s="498">
        <v>0</v>
      </c>
      <c r="G1829" s="498">
        <v>50</v>
      </c>
      <c r="H1829" s="498">
        <v>0</v>
      </c>
      <c r="I1829" s="655">
        <f t="shared" si="147"/>
        <v>30</v>
      </c>
      <c r="J1829" s="655">
        <v>0</v>
      </c>
      <c r="K1829" s="655">
        <v>30</v>
      </c>
      <c r="L1829" s="710">
        <v>0</v>
      </c>
      <c r="M1829" s="680">
        <f t="shared" si="148"/>
        <v>60</v>
      </c>
      <c r="N1829" s="498">
        <v>0.28799999999999998</v>
      </c>
      <c r="O1829" s="669" t="s">
        <v>8096</v>
      </c>
      <c r="P1829" s="463" t="s">
        <v>1588</v>
      </c>
      <c r="Q1829" s="672">
        <v>0</v>
      </c>
      <c r="R1829" s="672">
        <v>0</v>
      </c>
      <c r="S1829" s="672">
        <v>0</v>
      </c>
      <c r="T1829" s="672">
        <v>0</v>
      </c>
      <c r="U1829" s="463" t="s">
        <v>2461</v>
      </c>
      <c r="V1829" s="463" t="s">
        <v>8089</v>
      </c>
      <c r="W1829" s="498">
        <v>682</v>
      </c>
      <c r="X1829" s="463" t="s">
        <v>1532</v>
      </c>
      <c r="Y1829" s="463" t="s">
        <v>8055</v>
      </c>
      <c r="Z1829" s="463" t="s">
        <v>1932</v>
      </c>
      <c r="AA1829" s="463" t="s">
        <v>1589</v>
      </c>
      <c r="AB1829" s="459" t="s">
        <v>1589</v>
      </c>
    </row>
    <row r="1830" spans="1:28" ht="24" customHeight="1">
      <c r="A1830" s="584"/>
      <c r="B1830" s="460" t="s">
        <v>675</v>
      </c>
      <c r="C1830" s="458" t="s">
        <v>8097</v>
      </c>
      <c r="D1830" s="510" t="s">
        <v>8098</v>
      </c>
      <c r="E1830" s="498">
        <f t="shared" si="149"/>
        <v>80</v>
      </c>
      <c r="F1830" s="498">
        <v>0</v>
      </c>
      <c r="G1830" s="498">
        <v>80</v>
      </c>
      <c r="H1830" s="498">
        <v>0</v>
      </c>
      <c r="I1830" s="655">
        <f t="shared" si="147"/>
        <v>75</v>
      </c>
      <c r="J1830" s="655">
        <v>0</v>
      </c>
      <c r="K1830" s="655">
        <v>75</v>
      </c>
      <c r="L1830" s="710">
        <v>0</v>
      </c>
      <c r="M1830" s="680">
        <f t="shared" si="148"/>
        <v>93.75</v>
      </c>
      <c r="N1830" s="498">
        <v>0.52500000000000002</v>
      </c>
      <c r="O1830" s="669" t="s">
        <v>8099</v>
      </c>
      <c r="P1830" s="463" t="s">
        <v>1588</v>
      </c>
      <c r="Q1830" s="672">
        <v>0</v>
      </c>
      <c r="R1830" s="672">
        <v>0</v>
      </c>
      <c r="S1830" s="672">
        <v>0</v>
      </c>
      <c r="T1830" s="672">
        <v>0</v>
      </c>
      <c r="U1830" s="463" t="s">
        <v>7512</v>
      </c>
      <c r="V1830" s="463" t="s">
        <v>8100</v>
      </c>
      <c r="W1830" s="498">
        <v>1120</v>
      </c>
      <c r="X1830" s="463" t="s">
        <v>1532</v>
      </c>
      <c r="Y1830" s="463" t="s">
        <v>8055</v>
      </c>
      <c r="Z1830" s="463" t="s">
        <v>1932</v>
      </c>
      <c r="AA1830" s="463" t="s">
        <v>1589</v>
      </c>
      <c r="AB1830" s="459" t="s">
        <v>1589</v>
      </c>
    </row>
    <row r="1831" spans="1:28" ht="24" customHeight="1">
      <c r="A1831" s="584"/>
      <c r="B1831" s="460" t="s">
        <v>675</v>
      </c>
      <c r="C1831" s="458" t="s">
        <v>8101</v>
      </c>
      <c r="D1831" s="510" t="s">
        <v>8102</v>
      </c>
      <c r="E1831" s="498">
        <f t="shared" si="149"/>
        <v>50</v>
      </c>
      <c r="F1831" s="498">
        <v>0</v>
      </c>
      <c r="G1831" s="498">
        <v>50</v>
      </c>
      <c r="H1831" s="498">
        <v>0</v>
      </c>
      <c r="I1831" s="655">
        <f t="shared" si="147"/>
        <v>45</v>
      </c>
      <c r="J1831" s="655">
        <v>0</v>
      </c>
      <c r="K1831" s="655">
        <v>45</v>
      </c>
      <c r="L1831" s="710">
        <v>0</v>
      </c>
      <c r="M1831" s="680">
        <f t="shared" si="148"/>
        <v>90</v>
      </c>
      <c r="N1831" s="498">
        <v>0.252</v>
      </c>
      <c r="O1831" s="669" t="s">
        <v>780</v>
      </c>
      <c r="P1831" s="463" t="s">
        <v>1588</v>
      </c>
      <c r="Q1831" s="672">
        <v>0</v>
      </c>
      <c r="R1831" s="672">
        <v>0</v>
      </c>
      <c r="S1831" s="672">
        <v>0</v>
      </c>
      <c r="T1831" s="672">
        <v>0</v>
      </c>
      <c r="U1831" s="463" t="s">
        <v>7513</v>
      </c>
      <c r="V1831" s="463" t="s">
        <v>8103</v>
      </c>
      <c r="W1831" s="498">
        <v>680</v>
      </c>
      <c r="X1831" s="463" t="s">
        <v>1532</v>
      </c>
      <c r="Y1831" s="463" t="s">
        <v>8055</v>
      </c>
      <c r="Z1831" s="463" t="s">
        <v>1932</v>
      </c>
      <c r="AA1831" s="463" t="s">
        <v>1589</v>
      </c>
      <c r="AB1831" s="459" t="s">
        <v>1589</v>
      </c>
    </row>
    <row r="1832" spans="1:28" ht="24" customHeight="1">
      <c r="A1832" s="584"/>
      <c r="B1832" s="460" t="s">
        <v>675</v>
      </c>
      <c r="C1832" s="458" t="s">
        <v>8104</v>
      </c>
      <c r="D1832" s="510" t="s">
        <v>8105</v>
      </c>
      <c r="E1832" s="498">
        <f t="shared" si="149"/>
        <v>60</v>
      </c>
      <c r="F1832" s="498">
        <v>0</v>
      </c>
      <c r="G1832" s="498">
        <v>60</v>
      </c>
      <c r="H1832" s="498">
        <v>0</v>
      </c>
      <c r="I1832" s="655">
        <f t="shared" si="147"/>
        <v>55</v>
      </c>
      <c r="J1832" s="655">
        <v>0</v>
      </c>
      <c r="K1832" s="655">
        <v>55</v>
      </c>
      <c r="L1832" s="710">
        <v>0</v>
      </c>
      <c r="M1832" s="680">
        <f t="shared" si="148"/>
        <v>91.666666666666657</v>
      </c>
      <c r="N1832" s="498">
        <v>0.495</v>
      </c>
      <c r="O1832" s="669" t="s">
        <v>8065</v>
      </c>
      <c r="P1832" s="463" t="s">
        <v>1588</v>
      </c>
      <c r="Q1832" s="672">
        <v>0</v>
      </c>
      <c r="R1832" s="672">
        <v>0</v>
      </c>
      <c r="S1832" s="672">
        <v>0</v>
      </c>
      <c r="T1832" s="672">
        <v>0</v>
      </c>
      <c r="U1832" s="463" t="s">
        <v>7514</v>
      </c>
      <c r="V1832" s="463" t="s">
        <v>8106</v>
      </c>
      <c r="W1832" s="498">
        <v>618</v>
      </c>
      <c r="X1832" s="463" t="s">
        <v>1532</v>
      </c>
      <c r="Y1832" s="463" t="s">
        <v>8055</v>
      </c>
      <c r="Z1832" s="463" t="s">
        <v>1932</v>
      </c>
      <c r="AA1832" s="463" t="s">
        <v>1589</v>
      </c>
      <c r="AB1832" s="459" t="s">
        <v>1589</v>
      </c>
    </row>
    <row r="1833" spans="1:28" ht="24" customHeight="1">
      <c r="A1833" s="584"/>
      <c r="B1833" s="460" t="s">
        <v>675</v>
      </c>
      <c r="C1833" s="458" t="s">
        <v>8107</v>
      </c>
      <c r="D1833" s="510" t="s">
        <v>8108</v>
      </c>
      <c r="E1833" s="498">
        <f t="shared" si="149"/>
        <v>50</v>
      </c>
      <c r="F1833" s="498">
        <v>0</v>
      </c>
      <c r="G1833" s="498">
        <v>50</v>
      </c>
      <c r="H1833" s="498">
        <v>0</v>
      </c>
      <c r="I1833" s="655">
        <f t="shared" si="147"/>
        <v>45</v>
      </c>
      <c r="J1833" s="655">
        <v>0</v>
      </c>
      <c r="K1833" s="655">
        <v>45</v>
      </c>
      <c r="L1833" s="710">
        <v>0</v>
      </c>
      <c r="M1833" s="680">
        <f t="shared" si="148"/>
        <v>90</v>
      </c>
      <c r="N1833" s="498">
        <v>0.22500000000000001</v>
      </c>
      <c r="O1833" s="669" t="s">
        <v>8109</v>
      </c>
      <c r="P1833" s="463" t="s">
        <v>1588</v>
      </c>
      <c r="Q1833" s="672">
        <v>0</v>
      </c>
      <c r="R1833" s="672">
        <v>0</v>
      </c>
      <c r="S1833" s="672">
        <v>0</v>
      </c>
      <c r="T1833" s="672">
        <v>0</v>
      </c>
      <c r="U1833" s="463" t="s">
        <v>7515</v>
      </c>
      <c r="V1833" s="463" t="s">
        <v>8110</v>
      </c>
      <c r="W1833" s="498">
        <v>477</v>
      </c>
      <c r="X1833" s="463" t="s">
        <v>1532</v>
      </c>
      <c r="Y1833" s="463" t="s">
        <v>8055</v>
      </c>
      <c r="Z1833" s="463" t="s">
        <v>1932</v>
      </c>
      <c r="AA1833" s="463" t="s">
        <v>1589</v>
      </c>
      <c r="AB1833" s="459" t="s">
        <v>1589</v>
      </c>
    </row>
    <row r="1834" spans="1:28" ht="24" customHeight="1">
      <c r="A1834" s="584"/>
      <c r="B1834" s="460" t="s">
        <v>675</v>
      </c>
      <c r="C1834" s="458" t="s">
        <v>8111</v>
      </c>
      <c r="D1834" s="510" t="s">
        <v>8112</v>
      </c>
      <c r="E1834" s="498">
        <f t="shared" si="149"/>
        <v>110</v>
      </c>
      <c r="F1834" s="498">
        <v>0</v>
      </c>
      <c r="G1834" s="498">
        <v>110</v>
      </c>
      <c r="H1834" s="498">
        <v>0</v>
      </c>
      <c r="I1834" s="655">
        <f t="shared" si="147"/>
        <v>100</v>
      </c>
      <c r="J1834" s="655">
        <v>0</v>
      </c>
      <c r="K1834" s="655">
        <v>100</v>
      </c>
      <c r="L1834" s="710">
        <v>0</v>
      </c>
      <c r="M1834" s="680">
        <f t="shared" si="148"/>
        <v>90.909090909090907</v>
      </c>
      <c r="N1834" s="498">
        <v>0.5</v>
      </c>
      <c r="O1834" s="669" t="s">
        <v>8109</v>
      </c>
      <c r="P1834" s="463" t="s">
        <v>1588</v>
      </c>
      <c r="Q1834" s="672">
        <v>0</v>
      </c>
      <c r="R1834" s="672">
        <v>0</v>
      </c>
      <c r="S1834" s="672">
        <v>0</v>
      </c>
      <c r="T1834" s="672">
        <v>0</v>
      </c>
      <c r="U1834" s="463" t="s">
        <v>7516</v>
      </c>
      <c r="V1834" s="463" t="s">
        <v>8113</v>
      </c>
      <c r="W1834" s="498">
        <v>818</v>
      </c>
      <c r="X1834" s="463" t="s">
        <v>1532</v>
      </c>
      <c r="Y1834" s="463" t="s">
        <v>8055</v>
      </c>
      <c r="Z1834" s="463" t="s">
        <v>1932</v>
      </c>
      <c r="AA1834" s="463" t="s">
        <v>1589</v>
      </c>
      <c r="AB1834" s="459" t="s">
        <v>1589</v>
      </c>
    </row>
    <row r="1835" spans="1:28" ht="24" customHeight="1">
      <c r="A1835" s="583"/>
      <c r="B1835" s="460" t="s">
        <v>675</v>
      </c>
      <c r="C1835" s="458" t="s">
        <v>8114</v>
      </c>
      <c r="D1835" s="510" t="s">
        <v>8115</v>
      </c>
      <c r="E1835" s="498">
        <f t="shared" si="149"/>
        <v>65</v>
      </c>
      <c r="F1835" s="498">
        <v>0</v>
      </c>
      <c r="G1835" s="498">
        <v>65</v>
      </c>
      <c r="H1835" s="498">
        <v>0</v>
      </c>
      <c r="I1835" s="655">
        <f t="shared" si="147"/>
        <v>40</v>
      </c>
      <c r="J1835" s="655">
        <v>0</v>
      </c>
      <c r="K1835" s="655">
        <v>40</v>
      </c>
      <c r="L1835" s="710">
        <v>0</v>
      </c>
      <c r="M1835" s="680">
        <f t="shared" si="148"/>
        <v>61.53846153846154</v>
      </c>
      <c r="N1835" s="498">
        <v>0.2</v>
      </c>
      <c r="O1835" s="669" t="s">
        <v>8109</v>
      </c>
      <c r="P1835" s="463" t="s">
        <v>1588</v>
      </c>
      <c r="Q1835" s="672">
        <v>0</v>
      </c>
      <c r="R1835" s="672">
        <v>0</v>
      </c>
      <c r="S1835" s="672">
        <v>0</v>
      </c>
      <c r="T1835" s="672">
        <v>0</v>
      </c>
      <c r="U1835" s="463" t="s">
        <v>7517</v>
      </c>
      <c r="V1835" s="463" t="s">
        <v>8116</v>
      </c>
      <c r="W1835" s="498">
        <v>989</v>
      </c>
      <c r="X1835" s="463" t="s">
        <v>1532</v>
      </c>
      <c r="Y1835" s="463" t="s">
        <v>8055</v>
      </c>
      <c r="Z1835" s="463" t="s">
        <v>1932</v>
      </c>
      <c r="AA1835" s="463" t="s">
        <v>1589</v>
      </c>
      <c r="AB1835" s="459" t="s">
        <v>1589</v>
      </c>
    </row>
    <row r="1836" spans="1:28" ht="24" customHeight="1">
      <c r="A1836" s="584" t="s">
        <v>1933</v>
      </c>
      <c r="B1836" s="460" t="s">
        <v>2201</v>
      </c>
      <c r="C1836" s="458" t="s">
        <v>2439</v>
      </c>
      <c r="D1836" s="510" t="s">
        <v>8117</v>
      </c>
      <c r="E1836" s="498">
        <f t="shared" si="149"/>
        <v>60000</v>
      </c>
      <c r="F1836" s="498">
        <v>0</v>
      </c>
      <c r="G1836" s="498">
        <v>60000</v>
      </c>
      <c r="H1836" s="498">
        <v>0</v>
      </c>
      <c r="I1836" s="655">
        <f t="shared" si="147"/>
        <v>47865</v>
      </c>
      <c r="J1836" s="655">
        <v>0</v>
      </c>
      <c r="K1836" s="655">
        <v>47865</v>
      </c>
      <c r="L1836" s="710">
        <v>0</v>
      </c>
      <c r="M1836" s="680">
        <f t="shared" si="148"/>
        <v>79.774999999999991</v>
      </c>
      <c r="N1836" s="498">
        <v>7379</v>
      </c>
      <c r="O1836" s="669" t="s">
        <v>1260</v>
      </c>
      <c r="P1836" s="463" t="s">
        <v>1588</v>
      </c>
      <c r="Q1836" s="672">
        <v>171</v>
      </c>
      <c r="R1836" s="672">
        <v>0</v>
      </c>
      <c r="S1836" s="672">
        <v>64</v>
      </c>
      <c r="T1836" s="672">
        <v>0</v>
      </c>
      <c r="U1836" s="463" t="s">
        <v>8118</v>
      </c>
      <c r="V1836" s="466" t="s">
        <v>2129</v>
      </c>
      <c r="W1836" s="498">
        <v>97616</v>
      </c>
      <c r="X1836" s="463" t="s">
        <v>2199</v>
      </c>
      <c r="Y1836" s="463" t="s">
        <v>1533</v>
      </c>
      <c r="Z1836" s="463"/>
      <c r="AA1836" s="463"/>
      <c r="AB1836" s="459" t="s">
        <v>1934</v>
      </c>
    </row>
    <row r="1837" spans="1:28" ht="24" customHeight="1">
      <c r="A1837" s="582" t="s">
        <v>1936</v>
      </c>
      <c r="B1837" s="460" t="s">
        <v>2201</v>
      </c>
      <c r="C1837" s="458" t="s">
        <v>2440</v>
      </c>
      <c r="D1837" s="510" t="s">
        <v>8119</v>
      </c>
      <c r="E1837" s="498">
        <f t="shared" si="149"/>
        <v>54000</v>
      </c>
      <c r="F1837" s="498">
        <v>0</v>
      </c>
      <c r="G1837" s="498">
        <v>20000</v>
      </c>
      <c r="H1837" s="498">
        <v>34000</v>
      </c>
      <c r="I1837" s="655">
        <f t="shared" si="147"/>
        <v>40154</v>
      </c>
      <c r="J1837" s="655">
        <v>0</v>
      </c>
      <c r="K1837" s="655">
        <v>15096</v>
      </c>
      <c r="L1837" s="710">
        <v>25058</v>
      </c>
      <c r="M1837" s="680">
        <f t="shared" si="148"/>
        <v>74.359259259259261</v>
      </c>
      <c r="N1837" s="498">
        <v>1686.5</v>
      </c>
      <c r="O1837" s="669" t="s">
        <v>8120</v>
      </c>
      <c r="P1837" s="463" t="s">
        <v>1588</v>
      </c>
      <c r="Q1837" s="672">
        <v>0</v>
      </c>
      <c r="R1837" s="672">
        <v>0</v>
      </c>
      <c r="S1837" s="1807">
        <v>172</v>
      </c>
      <c r="T1837" s="1807">
        <v>3026</v>
      </c>
      <c r="U1837" s="1801" t="s">
        <v>8121</v>
      </c>
      <c r="V1837" s="1808" t="s">
        <v>8122</v>
      </c>
      <c r="W1837" s="1803">
        <v>48112</v>
      </c>
      <c r="X1837" s="1801" t="s">
        <v>1532</v>
      </c>
      <c r="Y1837" s="1801" t="s">
        <v>3390</v>
      </c>
      <c r="Z1837" s="1801"/>
      <c r="AA1837" s="1801" t="s">
        <v>1770</v>
      </c>
      <c r="AB1837" s="1802" t="s">
        <v>1934</v>
      </c>
    </row>
    <row r="1838" spans="1:28" ht="24" customHeight="1">
      <c r="A1838" s="584"/>
      <c r="B1838" s="460" t="s">
        <v>675</v>
      </c>
      <c r="C1838" s="458" t="s">
        <v>2017</v>
      </c>
      <c r="D1838" s="510" t="s">
        <v>8123</v>
      </c>
      <c r="E1838" s="498">
        <f t="shared" si="149"/>
        <v>30</v>
      </c>
      <c r="F1838" s="498">
        <v>0</v>
      </c>
      <c r="G1838" s="498">
        <v>30</v>
      </c>
      <c r="H1838" s="498">
        <v>0</v>
      </c>
      <c r="I1838" s="655">
        <f t="shared" si="147"/>
        <v>27</v>
      </c>
      <c r="J1838" s="655">
        <v>0</v>
      </c>
      <c r="K1838" s="655">
        <v>27</v>
      </c>
      <c r="L1838" s="710">
        <v>0</v>
      </c>
      <c r="M1838" s="680">
        <f t="shared" si="148"/>
        <v>90</v>
      </c>
      <c r="N1838" s="498">
        <v>121.61</v>
      </c>
      <c r="O1838" s="669" t="s">
        <v>8124</v>
      </c>
      <c r="P1838" s="463" t="s">
        <v>1588</v>
      </c>
      <c r="Q1838" s="672">
        <v>0</v>
      </c>
      <c r="R1838" s="672">
        <v>0</v>
      </c>
      <c r="S1838" s="1807"/>
      <c r="T1838" s="1807"/>
      <c r="U1838" s="1801"/>
      <c r="V1838" s="1808"/>
      <c r="W1838" s="1803"/>
      <c r="X1838" s="1801"/>
      <c r="Y1838" s="1801"/>
      <c r="Z1838" s="1801"/>
      <c r="AA1838" s="1801"/>
      <c r="AB1838" s="1802"/>
    </row>
    <row r="1839" spans="1:28" ht="24" customHeight="1">
      <c r="A1839" s="584"/>
      <c r="B1839" s="460" t="s">
        <v>675</v>
      </c>
      <c r="C1839" s="458" t="s">
        <v>6331</v>
      </c>
      <c r="D1839" s="510" t="s">
        <v>8125</v>
      </c>
      <c r="E1839" s="498">
        <f t="shared" si="149"/>
        <v>36</v>
      </c>
      <c r="F1839" s="498">
        <v>0</v>
      </c>
      <c r="G1839" s="498">
        <v>36</v>
      </c>
      <c r="H1839" s="498">
        <v>0</v>
      </c>
      <c r="I1839" s="655">
        <f t="shared" si="147"/>
        <v>29</v>
      </c>
      <c r="J1839" s="655">
        <v>0</v>
      </c>
      <c r="K1839" s="655">
        <v>29</v>
      </c>
      <c r="L1839" s="710">
        <v>0</v>
      </c>
      <c r="M1839" s="680">
        <f t="shared" si="148"/>
        <v>80.555555555555557</v>
      </c>
      <c r="N1839" s="498">
        <v>62.04</v>
      </c>
      <c r="O1839" s="669" t="s">
        <v>8126</v>
      </c>
      <c r="P1839" s="463" t="s">
        <v>1588</v>
      </c>
      <c r="Q1839" s="672">
        <v>0</v>
      </c>
      <c r="R1839" s="672">
        <v>0</v>
      </c>
      <c r="S1839" s="672">
        <v>0</v>
      </c>
      <c r="T1839" s="672">
        <v>0</v>
      </c>
      <c r="U1839" s="463" t="s">
        <v>8127</v>
      </c>
      <c r="V1839" s="463" t="s">
        <v>8128</v>
      </c>
      <c r="W1839" s="498">
        <v>143</v>
      </c>
      <c r="X1839" s="463" t="s">
        <v>1532</v>
      </c>
      <c r="Y1839" s="463" t="s">
        <v>605</v>
      </c>
      <c r="Z1839" s="463"/>
      <c r="AA1839" s="463" t="s">
        <v>1770</v>
      </c>
      <c r="AB1839" s="459" t="s">
        <v>1934</v>
      </c>
    </row>
    <row r="1840" spans="1:28" ht="24" customHeight="1">
      <c r="A1840" s="584"/>
      <c r="B1840" s="460" t="s">
        <v>675</v>
      </c>
      <c r="C1840" s="458" t="s">
        <v>8129</v>
      </c>
      <c r="D1840" s="510" t="s">
        <v>8130</v>
      </c>
      <c r="E1840" s="498">
        <f t="shared" si="149"/>
        <v>45</v>
      </c>
      <c r="F1840" s="498">
        <v>0</v>
      </c>
      <c r="G1840" s="498">
        <v>45</v>
      </c>
      <c r="H1840" s="498">
        <v>0</v>
      </c>
      <c r="I1840" s="655">
        <f t="shared" si="147"/>
        <v>37</v>
      </c>
      <c r="J1840" s="655">
        <v>0</v>
      </c>
      <c r="K1840" s="655">
        <v>37</v>
      </c>
      <c r="L1840" s="710">
        <v>0</v>
      </c>
      <c r="M1840" s="680">
        <f t="shared" si="148"/>
        <v>82.222222222222214</v>
      </c>
      <c r="N1840" s="498">
        <v>151</v>
      </c>
      <c r="O1840" s="669" t="s">
        <v>8124</v>
      </c>
      <c r="P1840" s="463" t="s">
        <v>1588</v>
      </c>
      <c r="Q1840" s="672">
        <v>0</v>
      </c>
      <c r="R1840" s="672">
        <v>0</v>
      </c>
      <c r="S1840" s="672">
        <v>0</v>
      </c>
      <c r="T1840" s="672">
        <v>0</v>
      </c>
      <c r="U1840" s="463" t="s">
        <v>8127</v>
      </c>
      <c r="V1840" s="463" t="s">
        <v>8131</v>
      </c>
      <c r="W1840" s="498">
        <v>104</v>
      </c>
      <c r="X1840" s="463" t="s">
        <v>1532</v>
      </c>
      <c r="Y1840" s="463" t="s">
        <v>3390</v>
      </c>
      <c r="Z1840" s="463"/>
      <c r="AA1840" s="463" t="s">
        <v>1770</v>
      </c>
      <c r="AB1840" s="459" t="s">
        <v>1934</v>
      </c>
    </row>
    <row r="1841" spans="1:28" ht="24" customHeight="1">
      <c r="A1841" s="584"/>
      <c r="B1841" s="460" t="s">
        <v>675</v>
      </c>
      <c r="C1841" s="458" t="s">
        <v>8132</v>
      </c>
      <c r="D1841" s="510" t="s">
        <v>8133</v>
      </c>
      <c r="E1841" s="498">
        <f t="shared" si="149"/>
        <v>60</v>
      </c>
      <c r="F1841" s="498">
        <v>0</v>
      </c>
      <c r="G1841" s="498">
        <v>60</v>
      </c>
      <c r="H1841" s="498">
        <v>0</v>
      </c>
      <c r="I1841" s="655">
        <f t="shared" si="147"/>
        <v>36</v>
      </c>
      <c r="J1841" s="655">
        <v>0</v>
      </c>
      <c r="K1841" s="655">
        <v>36</v>
      </c>
      <c r="L1841" s="710">
        <v>0</v>
      </c>
      <c r="M1841" s="680">
        <f t="shared" si="148"/>
        <v>60</v>
      </c>
      <c r="N1841" s="498">
        <v>147.4</v>
      </c>
      <c r="O1841" s="669" t="s">
        <v>6615</v>
      </c>
      <c r="P1841" s="463" t="s">
        <v>1588</v>
      </c>
      <c r="Q1841" s="672">
        <v>0</v>
      </c>
      <c r="R1841" s="672">
        <v>0</v>
      </c>
      <c r="S1841" s="672">
        <v>0</v>
      </c>
      <c r="T1841" s="672">
        <v>0</v>
      </c>
      <c r="U1841" s="463" t="s">
        <v>8127</v>
      </c>
      <c r="V1841" s="463" t="s">
        <v>5583</v>
      </c>
      <c r="W1841" s="498">
        <v>441</v>
      </c>
      <c r="X1841" s="463" t="s">
        <v>1532</v>
      </c>
      <c r="Y1841" s="463" t="s">
        <v>3390</v>
      </c>
      <c r="Z1841" s="463"/>
      <c r="AA1841" s="463" t="s">
        <v>1770</v>
      </c>
      <c r="AB1841" s="459" t="s">
        <v>1934</v>
      </c>
    </row>
    <row r="1842" spans="1:28" ht="24" customHeight="1">
      <c r="A1842" s="584"/>
      <c r="B1842" s="460" t="s">
        <v>675</v>
      </c>
      <c r="C1842" s="458" t="s">
        <v>8134</v>
      </c>
      <c r="D1842" s="510" t="s">
        <v>8135</v>
      </c>
      <c r="E1842" s="498">
        <f t="shared" si="149"/>
        <v>120</v>
      </c>
      <c r="F1842" s="498">
        <v>0</v>
      </c>
      <c r="G1842" s="498">
        <v>120</v>
      </c>
      <c r="H1842" s="498">
        <v>0</v>
      </c>
      <c r="I1842" s="655">
        <f t="shared" si="147"/>
        <v>79</v>
      </c>
      <c r="J1842" s="655">
        <v>0</v>
      </c>
      <c r="K1842" s="655">
        <v>79</v>
      </c>
      <c r="L1842" s="710">
        <v>0</v>
      </c>
      <c r="M1842" s="680">
        <f t="shared" si="148"/>
        <v>65.833333333333329</v>
      </c>
      <c r="N1842" s="498">
        <v>211.76</v>
      </c>
      <c r="O1842" s="669" t="s">
        <v>8124</v>
      </c>
      <c r="P1842" s="463" t="s">
        <v>1588</v>
      </c>
      <c r="Q1842" s="672">
        <v>0</v>
      </c>
      <c r="R1842" s="672">
        <v>0</v>
      </c>
      <c r="S1842" s="672">
        <v>0</v>
      </c>
      <c r="T1842" s="672">
        <v>0</v>
      </c>
      <c r="U1842" s="463" t="s">
        <v>8127</v>
      </c>
      <c r="V1842" s="463" t="s">
        <v>8136</v>
      </c>
      <c r="W1842" s="498">
        <v>758</v>
      </c>
      <c r="X1842" s="463" t="s">
        <v>1532</v>
      </c>
      <c r="Y1842" s="463" t="s">
        <v>3390</v>
      </c>
      <c r="Z1842" s="463"/>
      <c r="AA1842" s="463" t="s">
        <v>1770</v>
      </c>
      <c r="AB1842" s="459" t="s">
        <v>1934</v>
      </c>
    </row>
    <row r="1843" spans="1:28" ht="24" customHeight="1">
      <c r="A1843" s="584"/>
      <c r="B1843" s="460" t="s">
        <v>675</v>
      </c>
      <c r="C1843" s="458" t="s">
        <v>8137</v>
      </c>
      <c r="D1843" s="510" t="s">
        <v>8138</v>
      </c>
      <c r="E1843" s="498">
        <f t="shared" si="149"/>
        <v>150</v>
      </c>
      <c r="F1843" s="498">
        <v>0</v>
      </c>
      <c r="G1843" s="498">
        <v>150</v>
      </c>
      <c r="H1843" s="498">
        <v>0</v>
      </c>
      <c r="I1843" s="655">
        <f t="shared" si="147"/>
        <v>105</v>
      </c>
      <c r="J1843" s="655">
        <v>0</v>
      </c>
      <c r="K1843" s="655">
        <v>105</v>
      </c>
      <c r="L1843" s="710">
        <v>0</v>
      </c>
      <c r="M1843" s="680">
        <f t="shared" si="148"/>
        <v>70</v>
      </c>
      <c r="N1843" s="498">
        <v>102.31</v>
      </c>
      <c r="O1843" s="669" t="s">
        <v>8139</v>
      </c>
      <c r="P1843" s="463" t="s">
        <v>1588</v>
      </c>
      <c r="Q1843" s="672">
        <v>0</v>
      </c>
      <c r="R1843" s="672">
        <v>0</v>
      </c>
      <c r="S1843" s="672">
        <v>0</v>
      </c>
      <c r="T1843" s="672">
        <v>0</v>
      </c>
      <c r="U1843" s="463" t="s">
        <v>8127</v>
      </c>
      <c r="V1843" s="463" t="s">
        <v>8140</v>
      </c>
      <c r="W1843" s="498">
        <v>510</v>
      </c>
      <c r="X1843" s="463" t="s">
        <v>1532</v>
      </c>
      <c r="Y1843" s="463" t="s">
        <v>3390</v>
      </c>
      <c r="Z1843" s="463"/>
      <c r="AA1843" s="463" t="s">
        <v>1770</v>
      </c>
      <c r="AB1843" s="459" t="s">
        <v>1934</v>
      </c>
    </row>
    <row r="1844" spans="1:28" ht="24" customHeight="1">
      <c r="A1844" s="584"/>
      <c r="B1844" s="460" t="s">
        <v>675</v>
      </c>
      <c r="C1844" s="458" t="s">
        <v>8141</v>
      </c>
      <c r="D1844" s="510" t="s">
        <v>8142</v>
      </c>
      <c r="E1844" s="498">
        <f t="shared" si="149"/>
        <v>25</v>
      </c>
      <c r="F1844" s="498">
        <v>0</v>
      </c>
      <c r="G1844" s="498">
        <v>25</v>
      </c>
      <c r="H1844" s="498">
        <v>0</v>
      </c>
      <c r="I1844" s="655">
        <f t="shared" si="147"/>
        <v>22</v>
      </c>
      <c r="J1844" s="655">
        <v>0</v>
      </c>
      <c r="K1844" s="655">
        <v>22</v>
      </c>
      <c r="L1844" s="710">
        <v>0</v>
      </c>
      <c r="M1844" s="680">
        <f t="shared" si="148"/>
        <v>88</v>
      </c>
      <c r="N1844" s="498">
        <v>326.48</v>
      </c>
      <c r="O1844" s="669" t="s">
        <v>8124</v>
      </c>
      <c r="P1844" s="463" t="s">
        <v>1588</v>
      </c>
      <c r="Q1844" s="672">
        <v>0</v>
      </c>
      <c r="R1844" s="672">
        <v>0</v>
      </c>
      <c r="S1844" s="672">
        <v>0</v>
      </c>
      <c r="T1844" s="672">
        <v>0</v>
      </c>
      <c r="U1844" s="463" t="s">
        <v>8127</v>
      </c>
      <c r="V1844" s="463" t="s">
        <v>8143</v>
      </c>
      <c r="W1844" s="498">
        <v>322</v>
      </c>
      <c r="X1844" s="463" t="s">
        <v>1532</v>
      </c>
      <c r="Y1844" s="463" t="s">
        <v>605</v>
      </c>
      <c r="Z1844" s="463"/>
      <c r="AA1844" s="463" t="s">
        <v>1770</v>
      </c>
      <c r="AB1844" s="459" t="s">
        <v>1934</v>
      </c>
    </row>
    <row r="1845" spans="1:28" ht="24" customHeight="1">
      <c r="A1845" s="582" t="s">
        <v>1937</v>
      </c>
      <c r="B1845" s="460" t="s">
        <v>2201</v>
      </c>
      <c r="C1845" s="458" t="s">
        <v>1938</v>
      </c>
      <c r="D1845" s="510" t="s">
        <v>2347</v>
      </c>
      <c r="E1845" s="498">
        <f t="shared" si="149"/>
        <v>18000</v>
      </c>
      <c r="F1845" s="498">
        <v>0</v>
      </c>
      <c r="G1845" s="498">
        <v>0</v>
      </c>
      <c r="H1845" s="498">
        <v>18000</v>
      </c>
      <c r="I1845" s="655">
        <f t="shared" si="147"/>
        <v>14830</v>
      </c>
      <c r="J1845" s="655">
        <v>0</v>
      </c>
      <c r="K1845" s="655">
        <v>0</v>
      </c>
      <c r="L1845" s="710">
        <v>14830</v>
      </c>
      <c r="M1845" s="680">
        <f t="shared" si="148"/>
        <v>82.388888888888886</v>
      </c>
      <c r="N1845" s="498">
        <v>991</v>
      </c>
      <c r="O1845" s="725" t="s">
        <v>3595</v>
      </c>
      <c r="P1845" s="498" t="s">
        <v>1588</v>
      </c>
      <c r="Q1845" s="672">
        <v>53.2</v>
      </c>
      <c r="R1845" s="672">
        <v>0</v>
      </c>
      <c r="S1845" s="672">
        <v>9.8000000000000007</v>
      </c>
      <c r="T1845" s="672">
        <v>0</v>
      </c>
      <c r="U1845" s="498" t="s">
        <v>2462</v>
      </c>
      <c r="V1845" s="498" t="s">
        <v>8144</v>
      </c>
      <c r="W1845" s="498">
        <v>45915</v>
      </c>
      <c r="X1845" s="498" t="s">
        <v>2193</v>
      </c>
      <c r="Y1845" s="498" t="s">
        <v>3232</v>
      </c>
      <c r="Z1845" s="498" t="s">
        <v>1770</v>
      </c>
      <c r="AA1845" s="498"/>
      <c r="AB1845" s="459" t="s">
        <v>1587</v>
      </c>
    </row>
    <row r="1846" spans="1:28" ht="24" customHeight="1">
      <c r="A1846" s="584"/>
      <c r="B1846" s="460" t="s">
        <v>2201</v>
      </c>
      <c r="C1846" s="458" t="s">
        <v>298</v>
      </c>
      <c r="D1846" s="510" t="s">
        <v>8145</v>
      </c>
      <c r="E1846" s="498">
        <f t="shared" si="149"/>
        <v>43000</v>
      </c>
      <c r="F1846" s="498">
        <v>0</v>
      </c>
      <c r="G1846" s="498">
        <v>43000</v>
      </c>
      <c r="H1846" s="498">
        <v>0</v>
      </c>
      <c r="I1846" s="655">
        <f t="shared" si="147"/>
        <v>32093</v>
      </c>
      <c r="J1846" s="655">
        <v>0</v>
      </c>
      <c r="K1846" s="655">
        <v>32093</v>
      </c>
      <c r="L1846" s="710">
        <v>0</v>
      </c>
      <c r="M1846" s="680">
        <f t="shared" si="148"/>
        <v>74.634883720930233</v>
      </c>
      <c r="N1846" s="498">
        <v>4555</v>
      </c>
      <c r="O1846" s="725" t="s">
        <v>1535</v>
      </c>
      <c r="P1846" s="498" t="s">
        <v>1588</v>
      </c>
      <c r="Q1846" s="672">
        <v>44</v>
      </c>
      <c r="R1846" s="672">
        <v>0</v>
      </c>
      <c r="S1846" s="672">
        <v>64.2</v>
      </c>
      <c r="T1846" s="672">
        <v>37.200000000000003</v>
      </c>
      <c r="U1846" s="498" t="s">
        <v>2463</v>
      </c>
      <c r="V1846" s="498" t="s">
        <v>8146</v>
      </c>
      <c r="W1846" s="498">
        <v>67672</v>
      </c>
      <c r="X1846" s="498" t="s">
        <v>2199</v>
      </c>
      <c r="Y1846" s="498" t="s">
        <v>3161</v>
      </c>
      <c r="Z1846" s="498" t="s">
        <v>1770</v>
      </c>
      <c r="AA1846" s="498"/>
      <c r="AB1846" s="459" t="s">
        <v>1587</v>
      </c>
    </row>
    <row r="1847" spans="1:28" ht="24" customHeight="1">
      <c r="A1847" s="584"/>
      <c r="B1847" s="460" t="s">
        <v>2201</v>
      </c>
      <c r="C1847" s="458" t="s">
        <v>2131</v>
      </c>
      <c r="D1847" s="510" t="s">
        <v>8147</v>
      </c>
      <c r="E1847" s="498">
        <f t="shared" si="149"/>
        <v>1700</v>
      </c>
      <c r="F1847" s="498">
        <v>0</v>
      </c>
      <c r="G1847" s="498">
        <v>0</v>
      </c>
      <c r="H1847" s="498">
        <v>1700</v>
      </c>
      <c r="I1847" s="655">
        <f t="shared" si="147"/>
        <v>797.9</v>
      </c>
      <c r="J1847" s="655">
        <v>0</v>
      </c>
      <c r="K1847" s="655">
        <v>0</v>
      </c>
      <c r="L1847" s="710">
        <v>797.9</v>
      </c>
      <c r="M1847" s="680">
        <f t="shared" si="148"/>
        <v>46.935294117647061</v>
      </c>
      <c r="N1847" s="498">
        <v>51</v>
      </c>
      <c r="O1847" s="725" t="s">
        <v>8148</v>
      </c>
      <c r="P1847" s="498" t="s">
        <v>1588</v>
      </c>
      <c r="Q1847" s="672">
        <v>0</v>
      </c>
      <c r="R1847" s="672">
        <v>0</v>
      </c>
      <c r="S1847" s="672">
        <v>0</v>
      </c>
      <c r="T1847" s="672">
        <v>0</v>
      </c>
      <c r="U1847" s="498" t="s">
        <v>2462</v>
      </c>
      <c r="V1847" s="498" t="s">
        <v>2132</v>
      </c>
      <c r="W1847" s="498">
        <v>18807</v>
      </c>
      <c r="X1847" s="498" t="s">
        <v>2193</v>
      </c>
      <c r="Y1847" s="498" t="s">
        <v>3161</v>
      </c>
      <c r="Z1847" s="498" t="s">
        <v>1770</v>
      </c>
      <c r="AA1847" s="498"/>
      <c r="AB1847" s="459" t="s">
        <v>1587</v>
      </c>
    </row>
    <row r="1848" spans="1:28" ht="24" customHeight="1">
      <c r="A1848" s="584"/>
      <c r="B1848" s="460" t="s">
        <v>2201</v>
      </c>
      <c r="C1848" s="458" t="s">
        <v>299</v>
      </c>
      <c r="D1848" s="510" t="s">
        <v>8149</v>
      </c>
      <c r="E1848" s="498">
        <f t="shared" si="149"/>
        <v>700</v>
      </c>
      <c r="F1848" s="498">
        <v>0</v>
      </c>
      <c r="G1848" s="498">
        <v>0</v>
      </c>
      <c r="H1848" s="498">
        <v>700</v>
      </c>
      <c r="I1848" s="655">
        <f t="shared" si="147"/>
        <v>200.9</v>
      </c>
      <c r="J1848" s="655">
        <v>0</v>
      </c>
      <c r="K1848" s="655">
        <v>0</v>
      </c>
      <c r="L1848" s="710">
        <v>200.9</v>
      </c>
      <c r="M1848" s="680">
        <f t="shared" si="148"/>
        <v>28.700000000000003</v>
      </c>
      <c r="N1848" s="498">
        <v>12</v>
      </c>
      <c r="O1848" s="725" t="s">
        <v>8148</v>
      </c>
      <c r="P1848" s="498" t="s">
        <v>7427</v>
      </c>
      <c r="Q1848" s="672">
        <v>0</v>
      </c>
      <c r="R1848" s="672">
        <v>0</v>
      </c>
      <c r="S1848" s="672">
        <v>0</v>
      </c>
      <c r="T1848" s="672">
        <v>0</v>
      </c>
      <c r="U1848" s="498" t="s">
        <v>2462</v>
      </c>
      <c r="V1848" s="498" t="s">
        <v>2136</v>
      </c>
      <c r="W1848" s="498">
        <v>11688</v>
      </c>
      <c r="X1848" s="498" t="s">
        <v>2193</v>
      </c>
      <c r="Y1848" s="498" t="s">
        <v>3161</v>
      </c>
      <c r="Z1848" s="498" t="s">
        <v>1770</v>
      </c>
      <c r="AA1848" s="498"/>
      <c r="AB1848" s="459" t="s">
        <v>1587</v>
      </c>
    </row>
    <row r="1849" spans="1:28" ht="24" customHeight="1">
      <c r="A1849" s="584"/>
      <c r="B1849" s="460" t="s">
        <v>675</v>
      </c>
      <c r="C1849" s="458" t="s">
        <v>6891</v>
      </c>
      <c r="D1849" s="510" t="s">
        <v>8150</v>
      </c>
      <c r="E1849" s="498">
        <f t="shared" si="149"/>
        <v>60</v>
      </c>
      <c r="F1849" s="498">
        <v>0</v>
      </c>
      <c r="G1849" s="498">
        <v>60</v>
      </c>
      <c r="H1849" s="498">
        <v>0</v>
      </c>
      <c r="I1849" s="655">
        <f t="shared" si="147"/>
        <v>40</v>
      </c>
      <c r="J1849" s="655">
        <v>0</v>
      </c>
      <c r="K1849" s="655">
        <v>40</v>
      </c>
      <c r="L1849" s="710">
        <v>0</v>
      </c>
      <c r="M1849" s="680">
        <f t="shared" si="148"/>
        <v>66.666666666666657</v>
      </c>
      <c r="N1849" s="498">
        <v>3</v>
      </c>
      <c r="O1849" s="725" t="s">
        <v>5089</v>
      </c>
      <c r="P1849" s="498" t="s">
        <v>7427</v>
      </c>
      <c r="Q1849" s="672">
        <v>0</v>
      </c>
      <c r="R1849" s="672">
        <v>0</v>
      </c>
      <c r="S1849" s="672">
        <v>0</v>
      </c>
      <c r="T1849" s="672">
        <v>0</v>
      </c>
      <c r="U1849" s="498" t="s">
        <v>2462</v>
      </c>
      <c r="V1849" s="498" t="s">
        <v>2122</v>
      </c>
      <c r="W1849" s="498">
        <v>200</v>
      </c>
      <c r="X1849" s="498" t="s">
        <v>2193</v>
      </c>
      <c r="Y1849" s="498" t="s">
        <v>3232</v>
      </c>
      <c r="Z1849" s="498" t="s">
        <v>1770</v>
      </c>
      <c r="AA1849" s="498"/>
      <c r="AB1849" s="459" t="s">
        <v>1587</v>
      </c>
    </row>
    <row r="1850" spans="1:28" ht="24" customHeight="1">
      <c r="A1850" s="584"/>
      <c r="B1850" s="460" t="s">
        <v>675</v>
      </c>
      <c r="C1850" s="458" t="s">
        <v>8151</v>
      </c>
      <c r="D1850" s="510" t="s">
        <v>8152</v>
      </c>
      <c r="E1850" s="498">
        <f t="shared" si="149"/>
        <v>90</v>
      </c>
      <c r="F1850" s="498">
        <v>0</v>
      </c>
      <c r="G1850" s="498">
        <v>90</v>
      </c>
      <c r="H1850" s="498">
        <v>0</v>
      </c>
      <c r="I1850" s="655">
        <f t="shared" si="147"/>
        <v>70</v>
      </c>
      <c r="J1850" s="655">
        <v>0</v>
      </c>
      <c r="K1850" s="655">
        <v>70</v>
      </c>
      <c r="L1850" s="710">
        <v>0</v>
      </c>
      <c r="M1850" s="680">
        <f t="shared" si="148"/>
        <v>77.777777777777786</v>
      </c>
      <c r="N1850" s="498">
        <v>4</v>
      </c>
      <c r="O1850" s="725" t="s">
        <v>8153</v>
      </c>
      <c r="P1850" s="498" t="s">
        <v>7427</v>
      </c>
      <c r="Q1850" s="672">
        <v>0</v>
      </c>
      <c r="R1850" s="672">
        <v>0</v>
      </c>
      <c r="S1850" s="672">
        <v>0</v>
      </c>
      <c r="T1850" s="672">
        <v>0</v>
      </c>
      <c r="U1850" s="498" t="s">
        <v>2462</v>
      </c>
      <c r="V1850" s="498" t="s">
        <v>8154</v>
      </c>
      <c r="W1850" s="498">
        <v>290</v>
      </c>
      <c r="X1850" s="498" t="s">
        <v>2193</v>
      </c>
      <c r="Y1850" s="498" t="s">
        <v>3232</v>
      </c>
      <c r="Z1850" s="498" t="s">
        <v>1770</v>
      </c>
      <c r="AA1850" s="498"/>
      <c r="AB1850" s="459" t="s">
        <v>1587</v>
      </c>
    </row>
    <row r="1851" spans="1:28" ht="24" customHeight="1">
      <c r="A1851" s="584"/>
      <c r="B1851" s="460" t="s">
        <v>675</v>
      </c>
      <c r="C1851" s="458" t="s">
        <v>8155</v>
      </c>
      <c r="D1851" s="510" t="s">
        <v>8156</v>
      </c>
      <c r="E1851" s="498">
        <f t="shared" si="149"/>
        <v>39</v>
      </c>
      <c r="F1851" s="498">
        <v>0</v>
      </c>
      <c r="G1851" s="498">
        <v>39</v>
      </c>
      <c r="H1851" s="498">
        <v>0</v>
      </c>
      <c r="I1851" s="655">
        <f t="shared" si="147"/>
        <v>30</v>
      </c>
      <c r="J1851" s="655">
        <v>0</v>
      </c>
      <c r="K1851" s="655">
        <v>30</v>
      </c>
      <c r="L1851" s="710">
        <v>0</v>
      </c>
      <c r="M1851" s="680">
        <f t="shared" si="148"/>
        <v>76.923076923076934</v>
      </c>
      <c r="N1851" s="498">
        <v>2</v>
      </c>
      <c r="O1851" s="725" t="s">
        <v>5089</v>
      </c>
      <c r="P1851" s="498" t="s">
        <v>7427</v>
      </c>
      <c r="Q1851" s="672">
        <v>0</v>
      </c>
      <c r="R1851" s="672">
        <v>0</v>
      </c>
      <c r="S1851" s="672">
        <v>0</v>
      </c>
      <c r="T1851" s="672">
        <v>0</v>
      </c>
      <c r="U1851" s="498" t="s">
        <v>2462</v>
      </c>
      <c r="V1851" s="498" t="s">
        <v>8157</v>
      </c>
      <c r="W1851" s="498">
        <v>170</v>
      </c>
      <c r="X1851" s="498" t="s">
        <v>2193</v>
      </c>
      <c r="Y1851" s="498" t="s">
        <v>3161</v>
      </c>
      <c r="Z1851" s="498" t="s">
        <v>1770</v>
      </c>
      <c r="AA1851" s="498"/>
      <c r="AB1851" s="459" t="s">
        <v>1587</v>
      </c>
    </row>
    <row r="1852" spans="1:28" ht="24" customHeight="1">
      <c r="A1852" s="584"/>
      <c r="B1852" s="460" t="s">
        <v>675</v>
      </c>
      <c r="C1852" s="458" t="s">
        <v>8158</v>
      </c>
      <c r="D1852" s="510" t="s">
        <v>8159</v>
      </c>
      <c r="E1852" s="498">
        <f t="shared" si="149"/>
        <v>40</v>
      </c>
      <c r="F1852" s="498">
        <v>0</v>
      </c>
      <c r="G1852" s="498">
        <v>40</v>
      </c>
      <c r="H1852" s="498">
        <v>0</v>
      </c>
      <c r="I1852" s="655">
        <f t="shared" si="147"/>
        <v>30</v>
      </c>
      <c r="J1852" s="655">
        <v>0</v>
      </c>
      <c r="K1852" s="655">
        <v>30</v>
      </c>
      <c r="L1852" s="710">
        <v>0</v>
      </c>
      <c r="M1852" s="680">
        <f t="shared" si="148"/>
        <v>75</v>
      </c>
      <c r="N1852" s="498">
        <v>3</v>
      </c>
      <c r="O1852" s="725" t="s">
        <v>8160</v>
      </c>
      <c r="P1852" s="498" t="s">
        <v>7427</v>
      </c>
      <c r="Q1852" s="672">
        <v>0</v>
      </c>
      <c r="R1852" s="672">
        <v>0</v>
      </c>
      <c r="S1852" s="672">
        <v>0</v>
      </c>
      <c r="T1852" s="672">
        <v>0</v>
      </c>
      <c r="U1852" s="498" t="s">
        <v>2462</v>
      </c>
      <c r="V1852" s="498" t="s">
        <v>8161</v>
      </c>
      <c r="W1852" s="498">
        <v>174</v>
      </c>
      <c r="X1852" s="498" t="s">
        <v>2193</v>
      </c>
      <c r="Y1852" s="498" t="s">
        <v>3232</v>
      </c>
      <c r="Z1852" s="498" t="s">
        <v>1770</v>
      </c>
      <c r="AA1852" s="498"/>
      <c r="AB1852" s="459" t="s">
        <v>1587</v>
      </c>
    </row>
    <row r="1853" spans="1:28" ht="24" customHeight="1">
      <c r="A1853" s="584"/>
      <c r="B1853" s="460" t="s">
        <v>675</v>
      </c>
      <c r="C1853" s="458" t="s">
        <v>3919</v>
      </c>
      <c r="D1853" s="510" t="s">
        <v>8162</v>
      </c>
      <c r="E1853" s="498">
        <f t="shared" si="149"/>
        <v>46</v>
      </c>
      <c r="F1853" s="498">
        <v>0</v>
      </c>
      <c r="G1853" s="498">
        <v>46</v>
      </c>
      <c r="H1853" s="498">
        <v>0</v>
      </c>
      <c r="I1853" s="655">
        <f t="shared" si="147"/>
        <v>30</v>
      </c>
      <c r="J1853" s="655">
        <v>0</v>
      </c>
      <c r="K1853" s="655">
        <v>30</v>
      </c>
      <c r="L1853" s="710">
        <v>0</v>
      </c>
      <c r="M1853" s="680">
        <f t="shared" si="148"/>
        <v>65.217391304347828</v>
      </c>
      <c r="N1853" s="498">
        <v>2</v>
      </c>
      <c r="O1853" s="725" t="s">
        <v>5089</v>
      </c>
      <c r="P1853" s="498" t="s">
        <v>7427</v>
      </c>
      <c r="Q1853" s="672">
        <v>0</v>
      </c>
      <c r="R1853" s="672">
        <v>0</v>
      </c>
      <c r="S1853" s="672">
        <v>0</v>
      </c>
      <c r="T1853" s="672">
        <v>0</v>
      </c>
      <c r="U1853" s="498" t="s">
        <v>2462</v>
      </c>
      <c r="V1853" s="498" t="s">
        <v>8163</v>
      </c>
      <c r="W1853" s="498">
        <v>254</v>
      </c>
      <c r="X1853" s="498" t="s">
        <v>2193</v>
      </c>
      <c r="Y1853" s="498" t="s">
        <v>3161</v>
      </c>
      <c r="Z1853" s="498" t="s">
        <v>1770</v>
      </c>
      <c r="AA1853" s="498"/>
      <c r="AB1853" s="459" t="s">
        <v>1587</v>
      </c>
    </row>
    <row r="1854" spans="1:28" ht="24" customHeight="1">
      <c r="A1854" s="584"/>
      <c r="B1854" s="460" t="s">
        <v>675</v>
      </c>
      <c r="C1854" s="458" t="s">
        <v>8164</v>
      </c>
      <c r="D1854" s="510" t="s">
        <v>8165</v>
      </c>
      <c r="E1854" s="498">
        <f>F1854+G1854+H1854</f>
        <v>57</v>
      </c>
      <c r="F1854" s="498">
        <v>0</v>
      </c>
      <c r="G1854" s="498">
        <v>57</v>
      </c>
      <c r="H1854" s="498">
        <v>0</v>
      </c>
      <c r="I1854" s="655">
        <f t="shared" si="147"/>
        <v>50</v>
      </c>
      <c r="J1854" s="655">
        <v>0</v>
      </c>
      <c r="K1854" s="655">
        <v>50</v>
      </c>
      <c r="L1854" s="710">
        <v>0</v>
      </c>
      <c r="M1854" s="680">
        <f t="shared" si="148"/>
        <v>87.719298245614027</v>
      </c>
      <c r="N1854" s="498">
        <v>5</v>
      </c>
      <c r="O1854" s="725" t="s">
        <v>5089</v>
      </c>
      <c r="P1854" s="498" t="s">
        <v>7427</v>
      </c>
      <c r="Q1854" s="672">
        <v>0</v>
      </c>
      <c r="R1854" s="672">
        <v>0</v>
      </c>
      <c r="S1854" s="672">
        <v>0</v>
      </c>
      <c r="T1854" s="672">
        <v>0</v>
      </c>
      <c r="U1854" s="498" t="s">
        <v>2462</v>
      </c>
      <c r="V1854" s="498" t="s">
        <v>4774</v>
      </c>
      <c r="W1854" s="498">
        <v>205</v>
      </c>
      <c r="X1854" s="498" t="s">
        <v>2193</v>
      </c>
      <c r="Y1854" s="498" t="s">
        <v>3232</v>
      </c>
      <c r="Z1854" s="498" t="s">
        <v>1770</v>
      </c>
      <c r="AA1854" s="498"/>
      <c r="AB1854" s="459" t="s">
        <v>1587</v>
      </c>
    </row>
    <row r="1855" spans="1:28" ht="24" customHeight="1">
      <c r="A1855" s="582" t="s">
        <v>1939</v>
      </c>
      <c r="B1855" s="460" t="s">
        <v>2201</v>
      </c>
      <c r="C1855" s="458" t="s">
        <v>421</v>
      </c>
      <c r="D1855" s="510" t="s">
        <v>8166</v>
      </c>
      <c r="E1855" s="498">
        <f t="shared" ref="E1855:E1907" si="150">F1855+G1855+H1855</f>
        <v>114000</v>
      </c>
      <c r="F1855" s="498">
        <v>0</v>
      </c>
      <c r="G1855" s="498">
        <v>114000</v>
      </c>
      <c r="H1855" s="498">
        <v>0</v>
      </c>
      <c r="I1855" s="765">
        <f t="shared" si="147"/>
        <v>61257</v>
      </c>
      <c r="J1855" s="655">
        <v>0</v>
      </c>
      <c r="K1855" s="655">
        <v>61257</v>
      </c>
      <c r="L1855" s="710">
        <v>0</v>
      </c>
      <c r="M1855" s="680">
        <f t="shared" si="148"/>
        <v>53.734210526315785</v>
      </c>
      <c r="N1855" s="498">
        <v>7742</v>
      </c>
      <c r="O1855" s="669" t="s">
        <v>8167</v>
      </c>
      <c r="P1855" s="463" t="s">
        <v>7427</v>
      </c>
      <c r="Q1855" s="672">
        <v>0</v>
      </c>
      <c r="R1855" s="672">
        <v>0</v>
      </c>
      <c r="S1855" s="672">
        <v>0</v>
      </c>
      <c r="T1855" s="672">
        <v>0</v>
      </c>
      <c r="U1855" s="463" t="s">
        <v>2464</v>
      </c>
      <c r="V1855" s="463" t="s">
        <v>2348</v>
      </c>
      <c r="W1855" s="498">
        <v>127885</v>
      </c>
      <c r="X1855" s="463" t="s">
        <v>8168</v>
      </c>
      <c r="Y1855" s="463" t="s">
        <v>8169</v>
      </c>
      <c r="Z1855" s="463" t="s">
        <v>1940</v>
      </c>
      <c r="AA1855" s="463" t="s">
        <v>8170</v>
      </c>
      <c r="AB1855" s="459" t="s">
        <v>1589</v>
      </c>
    </row>
    <row r="1856" spans="1:28" ht="24" customHeight="1">
      <c r="A1856" s="584"/>
      <c r="B1856" s="460" t="s">
        <v>2201</v>
      </c>
      <c r="C1856" s="458" t="s">
        <v>422</v>
      </c>
      <c r="D1856" s="510" t="s">
        <v>8171</v>
      </c>
      <c r="E1856" s="498">
        <f t="shared" si="150"/>
        <v>97000</v>
      </c>
      <c r="F1856" s="498">
        <v>0</v>
      </c>
      <c r="G1856" s="498">
        <v>0</v>
      </c>
      <c r="H1856" s="498">
        <v>97000</v>
      </c>
      <c r="I1856" s="655">
        <f t="shared" si="147"/>
        <v>52064</v>
      </c>
      <c r="J1856" s="655">
        <v>0</v>
      </c>
      <c r="K1856" s="655">
        <v>0</v>
      </c>
      <c r="L1856" s="710">
        <v>52064</v>
      </c>
      <c r="M1856" s="680">
        <f t="shared" si="148"/>
        <v>53.674226804123712</v>
      </c>
      <c r="N1856" s="498">
        <v>8082</v>
      </c>
      <c r="O1856" s="669" t="s">
        <v>8172</v>
      </c>
      <c r="P1856" s="463" t="s">
        <v>3595</v>
      </c>
      <c r="Q1856" s="672">
        <v>172.3</v>
      </c>
      <c r="R1856" s="672">
        <v>0</v>
      </c>
      <c r="S1856" s="672">
        <v>0</v>
      </c>
      <c r="T1856" s="672">
        <v>0</v>
      </c>
      <c r="U1856" s="463" t="s">
        <v>7518</v>
      </c>
      <c r="V1856" s="463" t="s">
        <v>6564</v>
      </c>
      <c r="W1856" s="498">
        <v>156302</v>
      </c>
      <c r="X1856" s="463" t="s">
        <v>2187</v>
      </c>
      <c r="Y1856" s="463" t="s">
        <v>3336</v>
      </c>
      <c r="Z1856" s="463" t="s">
        <v>1940</v>
      </c>
      <c r="AA1856" s="463" t="s">
        <v>8170</v>
      </c>
      <c r="AB1856" s="459" t="s">
        <v>1589</v>
      </c>
    </row>
    <row r="1857" spans="1:28" ht="24" customHeight="1">
      <c r="A1857" s="584"/>
      <c r="B1857" s="460" t="s">
        <v>2201</v>
      </c>
      <c r="C1857" s="458" t="s">
        <v>423</v>
      </c>
      <c r="D1857" s="510" t="s">
        <v>8173</v>
      </c>
      <c r="E1857" s="498">
        <f t="shared" si="150"/>
        <v>12000</v>
      </c>
      <c r="F1857" s="498">
        <v>0</v>
      </c>
      <c r="G1857" s="498">
        <v>0</v>
      </c>
      <c r="H1857" s="498">
        <v>12000</v>
      </c>
      <c r="I1857" s="655">
        <f t="shared" si="147"/>
        <v>7375</v>
      </c>
      <c r="J1857" s="655">
        <v>0</v>
      </c>
      <c r="K1857" s="655">
        <v>0</v>
      </c>
      <c r="L1857" s="710">
        <v>7375</v>
      </c>
      <c r="M1857" s="680">
        <f t="shared" si="148"/>
        <v>61.458333333333336</v>
      </c>
      <c r="N1857" s="498">
        <v>737</v>
      </c>
      <c r="O1857" s="669" t="s">
        <v>8174</v>
      </c>
      <c r="P1857" s="463" t="s">
        <v>7427</v>
      </c>
      <c r="Q1857" s="672">
        <v>0</v>
      </c>
      <c r="R1857" s="672">
        <v>0</v>
      </c>
      <c r="S1857" s="672">
        <v>177</v>
      </c>
      <c r="T1857" s="672">
        <v>0</v>
      </c>
      <c r="U1857" s="463" t="s">
        <v>7519</v>
      </c>
      <c r="V1857" s="463" t="s">
        <v>8175</v>
      </c>
      <c r="W1857" s="498">
        <v>40346</v>
      </c>
      <c r="X1857" s="463" t="s">
        <v>2187</v>
      </c>
      <c r="Y1857" s="463" t="s">
        <v>3336</v>
      </c>
      <c r="Z1857" s="463" t="s">
        <v>8176</v>
      </c>
      <c r="AA1857" s="463" t="s">
        <v>1589</v>
      </c>
      <c r="AB1857" s="459" t="s">
        <v>1589</v>
      </c>
    </row>
    <row r="1858" spans="1:28" ht="24" customHeight="1">
      <c r="A1858" s="584"/>
      <c r="B1858" s="460" t="s">
        <v>675</v>
      </c>
      <c r="C1858" s="458" t="s">
        <v>8177</v>
      </c>
      <c r="D1858" s="510" t="s">
        <v>8178</v>
      </c>
      <c r="E1858" s="498">
        <f t="shared" si="150"/>
        <v>30</v>
      </c>
      <c r="F1858" s="498">
        <v>0</v>
      </c>
      <c r="G1858" s="498">
        <v>0</v>
      </c>
      <c r="H1858" s="498">
        <v>30</v>
      </c>
      <c r="I1858" s="655">
        <f t="shared" si="147"/>
        <v>30</v>
      </c>
      <c r="J1858" s="655">
        <v>0</v>
      </c>
      <c r="K1858" s="655">
        <v>0</v>
      </c>
      <c r="L1858" s="710">
        <v>30</v>
      </c>
      <c r="M1858" s="680">
        <f t="shared" si="148"/>
        <v>100</v>
      </c>
      <c r="N1858" s="498">
        <v>4.55</v>
      </c>
      <c r="O1858" s="669" t="s">
        <v>8179</v>
      </c>
      <c r="P1858" s="463" t="s">
        <v>7427</v>
      </c>
      <c r="Q1858" s="672">
        <v>0</v>
      </c>
      <c r="R1858" s="672">
        <v>0</v>
      </c>
      <c r="S1858" s="672">
        <v>0</v>
      </c>
      <c r="T1858" s="672">
        <v>0</v>
      </c>
      <c r="U1858" s="463" t="s">
        <v>7519</v>
      </c>
      <c r="V1858" s="463" t="s">
        <v>8180</v>
      </c>
      <c r="W1858" s="498">
        <v>186</v>
      </c>
      <c r="X1858" s="463" t="s">
        <v>2187</v>
      </c>
      <c r="Y1858" s="463" t="s">
        <v>1533</v>
      </c>
      <c r="Z1858" s="463" t="s">
        <v>8181</v>
      </c>
      <c r="AA1858" s="463" t="s">
        <v>1589</v>
      </c>
      <c r="AB1858" s="459" t="s">
        <v>1589</v>
      </c>
    </row>
    <row r="1859" spans="1:28" ht="24" customHeight="1">
      <c r="A1859" s="584"/>
      <c r="B1859" s="460" t="s">
        <v>675</v>
      </c>
      <c r="C1859" s="458" t="s">
        <v>907</v>
      </c>
      <c r="D1859" s="510" t="s">
        <v>8182</v>
      </c>
      <c r="E1859" s="498">
        <f t="shared" si="150"/>
        <v>150</v>
      </c>
      <c r="F1859" s="498">
        <v>0</v>
      </c>
      <c r="G1859" s="498">
        <v>0</v>
      </c>
      <c r="H1859" s="498">
        <v>150</v>
      </c>
      <c r="I1859" s="655">
        <f t="shared" si="147"/>
        <v>82.7</v>
      </c>
      <c r="J1859" s="655">
        <v>0</v>
      </c>
      <c r="K1859" s="655">
        <v>0</v>
      </c>
      <c r="L1859" s="710">
        <v>82.7</v>
      </c>
      <c r="M1859" s="680">
        <f t="shared" si="148"/>
        <v>55.133333333333333</v>
      </c>
      <c r="N1859" s="498">
        <v>4.18</v>
      </c>
      <c r="O1859" s="669" t="s">
        <v>8183</v>
      </c>
      <c r="P1859" s="463" t="s">
        <v>7427</v>
      </c>
      <c r="Q1859" s="672">
        <v>0</v>
      </c>
      <c r="R1859" s="672">
        <v>0</v>
      </c>
      <c r="S1859" s="672">
        <v>0</v>
      </c>
      <c r="T1859" s="672">
        <v>0</v>
      </c>
      <c r="U1859" s="463" t="s">
        <v>7519</v>
      </c>
      <c r="V1859" s="463" t="s">
        <v>8184</v>
      </c>
      <c r="W1859" s="498">
        <v>400</v>
      </c>
      <c r="X1859" s="463" t="s">
        <v>2187</v>
      </c>
      <c r="Y1859" s="463" t="s">
        <v>1533</v>
      </c>
      <c r="Z1859" s="463" t="s">
        <v>8181</v>
      </c>
      <c r="AA1859" s="463" t="s">
        <v>1589</v>
      </c>
      <c r="AB1859" s="459" t="s">
        <v>1589</v>
      </c>
    </row>
    <row r="1860" spans="1:28" ht="24" customHeight="1">
      <c r="A1860" s="582" t="s">
        <v>1941</v>
      </c>
      <c r="B1860" s="460" t="s">
        <v>2201</v>
      </c>
      <c r="C1860" s="458" t="s">
        <v>2349</v>
      </c>
      <c r="D1860" s="510" t="s">
        <v>2144</v>
      </c>
      <c r="E1860" s="498">
        <f t="shared" si="150"/>
        <v>30000</v>
      </c>
      <c r="F1860" s="498">
        <v>0</v>
      </c>
      <c r="G1860" s="498">
        <v>30000</v>
      </c>
      <c r="H1860" s="498">
        <v>0</v>
      </c>
      <c r="I1860" s="655">
        <f t="shared" si="147"/>
        <v>28190</v>
      </c>
      <c r="J1860" s="655">
        <v>0</v>
      </c>
      <c r="K1860" s="655">
        <v>28190</v>
      </c>
      <c r="L1860" s="710">
        <v>0</v>
      </c>
      <c r="M1860" s="680">
        <f t="shared" si="148"/>
        <v>93.966666666666669</v>
      </c>
      <c r="N1860" s="498">
        <v>1252</v>
      </c>
      <c r="O1860" s="669" t="s">
        <v>1535</v>
      </c>
      <c r="P1860" s="463" t="s">
        <v>7427</v>
      </c>
      <c r="Q1860" s="672">
        <v>32.799999999999997</v>
      </c>
      <c r="R1860" s="672">
        <v>60.1</v>
      </c>
      <c r="S1860" s="672">
        <v>57.1</v>
      </c>
      <c r="T1860" s="672">
        <v>0</v>
      </c>
      <c r="U1860" s="463" t="s">
        <v>8185</v>
      </c>
      <c r="V1860" s="463" t="s">
        <v>8186</v>
      </c>
      <c r="W1860" s="578">
        <v>43699</v>
      </c>
      <c r="X1860" s="463" t="s">
        <v>2199</v>
      </c>
      <c r="Y1860" s="463" t="s">
        <v>6967</v>
      </c>
      <c r="Z1860" s="463" t="s">
        <v>1942</v>
      </c>
      <c r="AA1860" s="463" t="s">
        <v>1589</v>
      </c>
      <c r="AB1860" s="459" t="s">
        <v>1589</v>
      </c>
    </row>
    <row r="1861" spans="1:28" ht="24" customHeight="1">
      <c r="A1861" s="584"/>
      <c r="B1861" s="460" t="s">
        <v>2201</v>
      </c>
      <c r="C1861" s="458" t="s">
        <v>303</v>
      </c>
      <c r="D1861" s="510" t="s">
        <v>8187</v>
      </c>
      <c r="E1861" s="498">
        <f t="shared" si="150"/>
        <v>4000</v>
      </c>
      <c r="F1861" s="498">
        <v>0</v>
      </c>
      <c r="G1861" s="498">
        <v>0</v>
      </c>
      <c r="H1861" s="498">
        <v>4000</v>
      </c>
      <c r="I1861" s="655">
        <f t="shared" si="147"/>
        <v>1669</v>
      </c>
      <c r="J1861" s="655">
        <v>0</v>
      </c>
      <c r="K1861" s="655">
        <v>0</v>
      </c>
      <c r="L1861" s="710">
        <v>1669</v>
      </c>
      <c r="M1861" s="680">
        <f t="shared" si="148"/>
        <v>41.725000000000001</v>
      </c>
      <c r="N1861" s="498">
        <v>73</v>
      </c>
      <c r="O1861" s="669" t="s">
        <v>8188</v>
      </c>
      <c r="P1861" s="463" t="s">
        <v>7427</v>
      </c>
      <c r="Q1861" s="672">
        <v>0</v>
      </c>
      <c r="R1861" s="672">
        <v>0</v>
      </c>
      <c r="S1861" s="672">
        <v>0</v>
      </c>
      <c r="T1861" s="672">
        <v>0</v>
      </c>
      <c r="U1861" s="463" t="s">
        <v>8185</v>
      </c>
      <c r="V1861" s="463" t="s">
        <v>2138</v>
      </c>
      <c r="W1861" s="498">
        <v>16494</v>
      </c>
      <c r="X1861" s="463" t="s">
        <v>2199</v>
      </c>
      <c r="Y1861" s="463" t="s">
        <v>3336</v>
      </c>
      <c r="Z1861" s="463" t="s">
        <v>8189</v>
      </c>
      <c r="AA1861" s="463" t="s">
        <v>1589</v>
      </c>
      <c r="AB1861" s="459" t="s">
        <v>1589</v>
      </c>
    </row>
    <row r="1862" spans="1:28" ht="24" customHeight="1">
      <c r="A1862" s="584"/>
      <c r="B1862" s="460" t="s">
        <v>2201</v>
      </c>
      <c r="C1862" s="458" t="s">
        <v>2115</v>
      </c>
      <c r="D1862" s="510" t="s">
        <v>2141</v>
      </c>
      <c r="E1862" s="498">
        <f t="shared" si="150"/>
        <v>4000</v>
      </c>
      <c r="F1862" s="498">
        <v>0</v>
      </c>
      <c r="G1862" s="498">
        <v>0</v>
      </c>
      <c r="H1862" s="498">
        <v>4000</v>
      </c>
      <c r="I1862" s="655">
        <f t="shared" si="147"/>
        <v>2543</v>
      </c>
      <c r="J1862" s="655">
        <v>0</v>
      </c>
      <c r="K1862" s="655">
        <v>0</v>
      </c>
      <c r="L1862" s="710">
        <v>2543</v>
      </c>
      <c r="M1862" s="680">
        <f t="shared" si="148"/>
        <v>63.575000000000003</v>
      </c>
      <c r="N1862" s="498">
        <v>153</v>
      </c>
      <c r="O1862" s="669" t="s">
        <v>8188</v>
      </c>
      <c r="P1862" s="463" t="s">
        <v>7427</v>
      </c>
      <c r="Q1862" s="672">
        <v>0</v>
      </c>
      <c r="R1862" s="672">
        <v>0</v>
      </c>
      <c r="S1862" s="672">
        <v>0</v>
      </c>
      <c r="T1862" s="672">
        <v>0</v>
      </c>
      <c r="U1862" s="463" t="s">
        <v>8185</v>
      </c>
      <c r="V1862" s="463" t="s">
        <v>2142</v>
      </c>
      <c r="W1862" s="498">
        <v>14994</v>
      </c>
      <c r="X1862" s="463" t="s">
        <v>2199</v>
      </c>
      <c r="Y1862" s="463" t="s">
        <v>3336</v>
      </c>
      <c r="Z1862" s="463" t="s">
        <v>1589</v>
      </c>
      <c r="AA1862" s="463" t="s">
        <v>1589</v>
      </c>
      <c r="AB1862" s="459" t="s">
        <v>1589</v>
      </c>
    </row>
    <row r="1863" spans="1:28" ht="24" customHeight="1">
      <c r="A1863" s="584"/>
      <c r="B1863" s="460" t="s">
        <v>675</v>
      </c>
      <c r="C1863" s="458" t="s">
        <v>8190</v>
      </c>
      <c r="D1863" s="510" t="s">
        <v>8191</v>
      </c>
      <c r="E1863" s="498">
        <f t="shared" si="150"/>
        <v>45</v>
      </c>
      <c r="F1863" s="498">
        <v>0</v>
      </c>
      <c r="G1863" s="498">
        <v>45</v>
      </c>
      <c r="H1863" s="498">
        <v>0</v>
      </c>
      <c r="I1863" s="655">
        <f t="shared" si="147"/>
        <v>41</v>
      </c>
      <c r="J1863" s="655">
        <v>0</v>
      </c>
      <c r="K1863" s="655">
        <v>41</v>
      </c>
      <c r="L1863" s="710">
        <v>0</v>
      </c>
      <c r="M1863" s="680">
        <f t="shared" si="148"/>
        <v>91.111111111111114</v>
      </c>
      <c r="N1863" s="498">
        <v>0.7</v>
      </c>
      <c r="O1863" s="669" t="s">
        <v>7725</v>
      </c>
      <c r="P1863" s="463" t="s">
        <v>7427</v>
      </c>
      <c r="Q1863" s="672">
        <v>0</v>
      </c>
      <c r="R1863" s="672">
        <v>0</v>
      </c>
      <c r="S1863" s="672">
        <v>0</v>
      </c>
      <c r="T1863" s="672">
        <v>0</v>
      </c>
      <c r="U1863" s="463" t="s">
        <v>8185</v>
      </c>
      <c r="V1863" s="463" t="s">
        <v>8192</v>
      </c>
      <c r="W1863" s="498">
        <v>145</v>
      </c>
      <c r="X1863" s="463" t="s">
        <v>2199</v>
      </c>
      <c r="Y1863" s="463" t="s">
        <v>3336</v>
      </c>
      <c r="Z1863" s="463" t="s">
        <v>1906</v>
      </c>
      <c r="AA1863" s="463" t="s">
        <v>1589</v>
      </c>
      <c r="AB1863" s="459" t="s">
        <v>1589</v>
      </c>
    </row>
    <row r="1864" spans="1:28" ht="24" customHeight="1">
      <c r="A1864" s="584"/>
      <c r="B1864" s="460" t="s">
        <v>675</v>
      </c>
      <c r="C1864" s="458" t="s">
        <v>2164</v>
      </c>
      <c r="D1864" s="510" t="s">
        <v>8193</v>
      </c>
      <c r="E1864" s="498">
        <f t="shared" si="150"/>
        <v>120</v>
      </c>
      <c r="F1864" s="498">
        <v>0</v>
      </c>
      <c r="G1864" s="498">
        <v>120</v>
      </c>
      <c r="H1864" s="498">
        <v>0</v>
      </c>
      <c r="I1864" s="655">
        <f t="shared" si="147"/>
        <v>44</v>
      </c>
      <c r="J1864" s="655">
        <v>0</v>
      </c>
      <c r="K1864" s="655">
        <v>44</v>
      </c>
      <c r="L1864" s="710">
        <v>0</v>
      </c>
      <c r="M1864" s="680">
        <f t="shared" si="148"/>
        <v>36.666666666666664</v>
      </c>
      <c r="N1864" s="498">
        <v>3.7</v>
      </c>
      <c r="O1864" s="669" t="s">
        <v>7725</v>
      </c>
      <c r="P1864" s="463" t="s">
        <v>7427</v>
      </c>
      <c r="Q1864" s="672">
        <v>0</v>
      </c>
      <c r="R1864" s="672">
        <v>0</v>
      </c>
      <c r="S1864" s="672">
        <v>0</v>
      </c>
      <c r="T1864" s="672">
        <v>0</v>
      </c>
      <c r="U1864" s="463" t="s">
        <v>8185</v>
      </c>
      <c r="V1864" s="463" t="s">
        <v>8194</v>
      </c>
      <c r="W1864" s="498">
        <v>365</v>
      </c>
      <c r="X1864" s="463" t="s">
        <v>2199</v>
      </c>
      <c r="Y1864" s="463" t="s">
        <v>3336</v>
      </c>
      <c r="Z1864" s="463" t="s">
        <v>1942</v>
      </c>
      <c r="AA1864" s="463" t="s">
        <v>1589</v>
      </c>
      <c r="AB1864" s="459" t="s">
        <v>1589</v>
      </c>
    </row>
    <row r="1865" spans="1:28" ht="24" customHeight="1">
      <c r="A1865" s="584"/>
      <c r="B1865" s="460" t="s">
        <v>675</v>
      </c>
      <c r="C1865" s="458" t="s">
        <v>2437</v>
      </c>
      <c r="D1865" s="510" t="s">
        <v>8195</v>
      </c>
      <c r="E1865" s="498">
        <f t="shared" si="150"/>
        <v>50</v>
      </c>
      <c r="F1865" s="498">
        <v>0</v>
      </c>
      <c r="G1865" s="498">
        <v>50</v>
      </c>
      <c r="H1865" s="498">
        <v>0</v>
      </c>
      <c r="I1865" s="655">
        <f t="shared" si="147"/>
        <v>13</v>
      </c>
      <c r="J1865" s="655">
        <v>0</v>
      </c>
      <c r="K1865" s="655">
        <v>13</v>
      </c>
      <c r="L1865" s="710">
        <v>0</v>
      </c>
      <c r="M1865" s="680">
        <f t="shared" si="148"/>
        <v>26</v>
      </c>
      <c r="N1865" s="498">
        <v>1.4</v>
      </c>
      <c r="O1865" s="669" t="s">
        <v>7725</v>
      </c>
      <c r="P1865" s="463" t="s">
        <v>7427</v>
      </c>
      <c r="Q1865" s="672">
        <v>0</v>
      </c>
      <c r="R1865" s="672">
        <v>0</v>
      </c>
      <c r="S1865" s="672">
        <v>0</v>
      </c>
      <c r="T1865" s="672">
        <v>0</v>
      </c>
      <c r="U1865" s="463" t="s">
        <v>8185</v>
      </c>
      <c r="V1865" s="463" t="s">
        <v>8196</v>
      </c>
      <c r="W1865" s="498">
        <v>239</v>
      </c>
      <c r="X1865" s="463" t="s">
        <v>2199</v>
      </c>
      <c r="Y1865" s="463" t="s">
        <v>3336</v>
      </c>
      <c r="Z1865" s="463" t="s">
        <v>1942</v>
      </c>
      <c r="AA1865" s="463" t="s">
        <v>1589</v>
      </c>
      <c r="AB1865" s="459" t="s">
        <v>1589</v>
      </c>
    </row>
    <row r="1866" spans="1:28" ht="24" customHeight="1">
      <c r="A1866" s="584"/>
      <c r="B1866" s="460" t="s">
        <v>675</v>
      </c>
      <c r="C1866" s="458" t="s">
        <v>8197</v>
      </c>
      <c r="D1866" s="510" t="s">
        <v>8198</v>
      </c>
      <c r="E1866" s="498">
        <f t="shared" si="150"/>
        <v>70</v>
      </c>
      <c r="F1866" s="498">
        <v>0</v>
      </c>
      <c r="G1866" s="498">
        <v>70</v>
      </c>
      <c r="H1866" s="498">
        <v>0</v>
      </c>
      <c r="I1866" s="655">
        <f t="shared" si="147"/>
        <v>117</v>
      </c>
      <c r="J1866" s="655">
        <v>0</v>
      </c>
      <c r="K1866" s="655">
        <v>117</v>
      </c>
      <c r="L1866" s="710">
        <v>0</v>
      </c>
      <c r="M1866" s="680">
        <f t="shared" si="148"/>
        <v>167.14285714285714</v>
      </c>
      <c r="N1866" s="498">
        <v>8.1</v>
      </c>
      <c r="O1866" s="669" t="s">
        <v>5122</v>
      </c>
      <c r="P1866" s="463" t="s">
        <v>7427</v>
      </c>
      <c r="Q1866" s="672">
        <v>0</v>
      </c>
      <c r="R1866" s="672">
        <v>0</v>
      </c>
      <c r="S1866" s="672">
        <v>0</v>
      </c>
      <c r="T1866" s="672">
        <v>0</v>
      </c>
      <c r="U1866" s="463" t="s">
        <v>8185</v>
      </c>
      <c r="V1866" s="463" t="s">
        <v>8199</v>
      </c>
      <c r="W1866" s="498">
        <v>383</v>
      </c>
      <c r="X1866" s="463" t="s">
        <v>2199</v>
      </c>
      <c r="Y1866" s="463" t="s">
        <v>3336</v>
      </c>
      <c r="Z1866" s="463" t="s">
        <v>1942</v>
      </c>
      <c r="AA1866" s="463" t="s">
        <v>1589</v>
      </c>
      <c r="AB1866" s="459" t="s">
        <v>1589</v>
      </c>
    </row>
    <row r="1867" spans="1:28" ht="24" customHeight="1">
      <c r="A1867" s="584"/>
      <c r="B1867" s="460" t="s">
        <v>675</v>
      </c>
      <c r="C1867" s="458" t="s">
        <v>8200</v>
      </c>
      <c r="D1867" s="510" t="s">
        <v>8198</v>
      </c>
      <c r="E1867" s="498">
        <f t="shared" si="150"/>
        <v>40</v>
      </c>
      <c r="F1867" s="498">
        <v>0</v>
      </c>
      <c r="G1867" s="498">
        <v>40</v>
      </c>
      <c r="H1867" s="498">
        <v>0</v>
      </c>
      <c r="I1867" s="655">
        <f t="shared" si="147"/>
        <v>72</v>
      </c>
      <c r="J1867" s="655">
        <v>0</v>
      </c>
      <c r="K1867" s="655">
        <v>72</v>
      </c>
      <c r="L1867" s="710">
        <v>0</v>
      </c>
      <c r="M1867" s="680">
        <f t="shared" si="148"/>
        <v>180</v>
      </c>
      <c r="N1867" s="498">
        <v>3.1</v>
      </c>
      <c r="O1867" s="669" t="s">
        <v>5122</v>
      </c>
      <c r="P1867" s="463" t="s">
        <v>7427</v>
      </c>
      <c r="Q1867" s="672">
        <v>0</v>
      </c>
      <c r="R1867" s="672">
        <v>0</v>
      </c>
      <c r="S1867" s="672">
        <v>0</v>
      </c>
      <c r="T1867" s="672">
        <v>0</v>
      </c>
      <c r="U1867" s="463" t="s">
        <v>8185</v>
      </c>
      <c r="V1867" s="463" t="s">
        <v>7828</v>
      </c>
      <c r="W1867" s="498">
        <v>353</v>
      </c>
      <c r="X1867" s="463" t="s">
        <v>2199</v>
      </c>
      <c r="Y1867" s="463" t="s">
        <v>3336</v>
      </c>
      <c r="Z1867" s="463" t="s">
        <v>1942</v>
      </c>
      <c r="AA1867" s="463" t="s">
        <v>1589</v>
      </c>
      <c r="AB1867" s="459" t="s">
        <v>1589</v>
      </c>
    </row>
    <row r="1868" spans="1:28" ht="24" customHeight="1">
      <c r="A1868" s="584"/>
      <c r="B1868" s="460" t="s">
        <v>675</v>
      </c>
      <c r="C1868" s="458" t="s">
        <v>8201</v>
      </c>
      <c r="D1868" s="510" t="s">
        <v>8202</v>
      </c>
      <c r="E1868" s="498">
        <f t="shared" si="150"/>
        <v>100</v>
      </c>
      <c r="F1868" s="498">
        <v>0</v>
      </c>
      <c r="G1868" s="498">
        <v>0</v>
      </c>
      <c r="H1868" s="498">
        <v>100</v>
      </c>
      <c r="I1868" s="655">
        <f t="shared" si="147"/>
        <v>78</v>
      </c>
      <c r="J1868" s="655">
        <v>0</v>
      </c>
      <c r="K1868" s="655">
        <v>0</v>
      </c>
      <c r="L1868" s="710">
        <v>78</v>
      </c>
      <c r="M1868" s="680">
        <f t="shared" si="148"/>
        <v>78</v>
      </c>
      <c r="N1868" s="498">
        <v>3.2</v>
      </c>
      <c r="O1868" s="669" t="s">
        <v>2303</v>
      </c>
      <c r="P1868" s="463" t="s">
        <v>7427</v>
      </c>
      <c r="Q1868" s="672">
        <v>0</v>
      </c>
      <c r="R1868" s="672">
        <v>0</v>
      </c>
      <c r="S1868" s="672">
        <v>0</v>
      </c>
      <c r="T1868" s="672">
        <v>0</v>
      </c>
      <c r="U1868" s="463" t="s">
        <v>8185</v>
      </c>
      <c r="V1868" s="463" t="s">
        <v>8203</v>
      </c>
      <c r="W1868" s="498">
        <v>425</v>
      </c>
      <c r="X1868" s="463" t="s">
        <v>2199</v>
      </c>
      <c r="Y1868" s="463" t="s">
        <v>3336</v>
      </c>
      <c r="Z1868" s="463" t="s">
        <v>1942</v>
      </c>
      <c r="AA1868" s="463" t="s">
        <v>1589</v>
      </c>
      <c r="AB1868" s="459" t="s">
        <v>1589</v>
      </c>
    </row>
    <row r="1869" spans="1:28" ht="24" customHeight="1">
      <c r="A1869" s="584"/>
      <c r="B1869" s="460" t="s">
        <v>675</v>
      </c>
      <c r="C1869" s="458" t="s">
        <v>8204</v>
      </c>
      <c r="D1869" s="510" t="s">
        <v>8205</v>
      </c>
      <c r="E1869" s="498">
        <f t="shared" si="150"/>
        <v>140</v>
      </c>
      <c r="F1869" s="498">
        <v>0</v>
      </c>
      <c r="G1869" s="498">
        <v>0</v>
      </c>
      <c r="H1869" s="498">
        <v>140</v>
      </c>
      <c r="I1869" s="655">
        <f t="shared" si="147"/>
        <v>105</v>
      </c>
      <c r="J1869" s="655">
        <v>0</v>
      </c>
      <c r="K1869" s="655">
        <v>0</v>
      </c>
      <c r="L1869" s="710">
        <v>105</v>
      </c>
      <c r="M1869" s="680">
        <f t="shared" si="148"/>
        <v>75</v>
      </c>
      <c r="N1869" s="498">
        <v>8.3000000000000007</v>
      </c>
      <c r="O1869" s="669" t="s">
        <v>3274</v>
      </c>
      <c r="P1869" s="463" t="s">
        <v>7427</v>
      </c>
      <c r="Q1869" s="672">
        <v>0</v>
      </c>
      <c r="R1869" s="672">
        <v>0</v>
      </c>
      <c r="S1869" s="672">
        <v>0</v>
      </c>
      <c r="T1869" s="672">
        <v>0</v>
      </c>
      <c r="U1869" s="463" t="s">
        <v>8185</v>
      </c>
      <c r="V1869" s="463" t="s">
        <v>8206</v>
      </c>
      <c r="W1869" s="498">
        <v>748</v>
      </c>
      <c r="X1869" s="463" t="s">
        <v>2199</v>
      </c>
      <c r="Y1869" s="463" t="s">
        <v>3336</v>
      </c>
      <c r="Z1869" s="463" t="s">
        <v>1942</v>
      </c>
      <c r="AA1869" s="463" t="s">
        <v>1589</v>
      </c>
      <c r="AB1869" s="459" t="s">
        <v>1589</v>
      </c>
    </row>
    <row r="1870" spans="1:28" ht="24" customHeight="1">
      <c r="A1870" s="584"/>
      <c r="B1870" s="460" t="s">
        <v>675</v>
      </c>
      <c r="C1870" s="458" t="s">
        <v>8207</v>
      </c>
      <c r="D1870" s="510" t="s">
        <v>8208</v>
      </c>
      <c r="E1870" s="498">
        <f t="shared" si="150"/>
        <v>190</v>
      </c>
      <c r="F1870" s="498">
        <v>0</v>
      </c>
      <c r="G1870" s="498">
        <v>0</v>
      </c>
      <c r="H1870" s="498">
        <v>190</v>
      </c>
      <c r="I1870" s="655">
        <f t="shared" si="147"/>
        <v>59</v>
      </c>
      <c r="J1870" s="655">
        <v>0</v>
      </c>
      <c r="K1870" s="655">
        <v>0</v>
      </c>
      <c r="L1870" s="710">
        <v>59</v>
      </c>
      <c r="M1870" s="680">
        <f t="shared" si="148"/>
        <v>31.05263157894737</v>
      </c>
      <c r="N1870" s="498">
        <v>3.2</v>
      </c>
      <c r="O1870" s="669" t="s">
        <v>3274</v>
      </c>
      <c r="P1870" s="463" t="s">
        <v>7427</v>
      </c>
      <c r="Q1870" s="672">
        <v>0</v>
      </c>
      <c r="R1870" s="672">
        <v>0</v>
      </c>
      <c r="S1870" s="672">
        <v>0</v>
      </c>
      <c r="T1870" s="672">
        <v>0</v>
      </c>
      <c r="U1870" s="463" t="s">
        <v>8185</v>
      </c>
      <c r="V1870" s="463" t="s">
        <v>8209</v>
      </c>
      <c r="W1870" s="498">
        <v>190</v>
      </c>
      <c r="X1870" s="463" t="s">
        <v>2199</v>
      </c>
      <c r="Y1870" s="463" t="s">
        <v>3336</v>
      </c>
      <c r="Z1870" s="463" t="s">
        <v>8210</v>
      </c>
      <c r="AA1870" s="463" t="s">
        <v>1589</v>
      </c>
      <c r="AB1870" s="459" t="s">
        <v>1589</v>
      </c>
    </row>
    <row r="1871" spans="1:28" ht="24" customHeight="1">
      <c r="A1871" s="584"/>
      <c r="B1871" s="460" t="s">
        <v>675</v>
      </c>
      <c r="C1871" s="458" t="s">
        <v>6523</v>
      </c>
      <c r="D1871" s="510" t="s">
        <v>8211</v>
      </c>
      <c r="E1871" s="498">
        <f t="shared" si="150"/>
        <v>50</v>
      </c>
      <c r="F1871" s="498">
        <v>0</v>
      </c>
      <c r="G1871" s="498">
        <v>0</v>
      </c>
      <c r="H1871" s="498">
        <v>50</v>
      </c>
      <c r="I1871" s="655">
        <f t="shared" si="147"/>
        <v>52</v>
      </c>
      <c r="J1871" s="655">
        <v>0</v>
      </c>
      <c r="K1871" s="655">
        <v>0</v>
      </c>
      <c r="L1871" s="710">
        <v>52</v>
      </c>
      <c r="M1871" s="680">
        <f t="shared" si="148"/>
        <v>104</v>
      </c>
      <c r="N1871" s="498">
        <v>1.8</v>
      </c>
      <c r="O1871" s="669" t="s">
        <v>3274</v>
      </c>
      <c r="P1871" s="463" t="s">
        <v>7427</v>
      </c>
      <c r="Q1871" s="672">
        <v>0</v>
      </c>
      <c r="R1871" s="672">
        <v>0</v>
      </c>
      <c r="S1871" s="672">
        <v>0</v>
      </c>
      <c r="T1871" s="672">
        <v>0</v>
      </c>
      <c r="U1871" s="463" t="s">
        <v>8185</v>
      </c>
      <c r="V1871" s="463" t="s">
        <v>8212</v>
      </c>
      <c r="W1871" s="498">
        <v>390</v>
      </c>
      <c r="X1871" s="463" t="s">
        <v>2199</v>
      </c>
      <c r="Y1871" s="463" t="s">
        <v>3336</v>
      </c>
      <c r="Z1871" s="463" t="s">
        <v>8210</v>
      </c>
      <c r="AA1871" s="463" t="s">
        <v>1589</v>
      </c>
      <c r="AB1871" s="459" t="s">
        <v>1589</v>
      </c>
    </row>
    <row r="1872" spans="1:28" ht="24" customHeight="1">
      <c r="A1872" s="582" t="s">
        <v>1943</v>
      </c>
      <c r="B1872" s="460" t="s">
        <v>2201</v>
      </c>
      <c r="C1872" s="458" t="s">
        <v>304</v>
      </c>
      <c r="D1872" s="510" t="s">
        <v>8213</v>
      </c>
      <c r="E1872" s="498">
        <f t="shared" si="150"/>
        <v>15000</v>
      </c>
      <c r="F1872" s="653">
        <v>0</v>
      </c>
      <c r="G1872" s="653">
        <v>0</v>
      </c>
      <c r="H1872" s="653">
        <v>15000</v>
      </c>
      <c r="I1872" s="655">
        <f t="shared" si="147"/>
        <v>11294</v>
      </c>
      <c r="J1872" s="655">
        <v>0</v>
      </c>
      <c r="K1872" s="655">
        <v>0</v>
      </c>
      <c r="L1872" s="710">
        <v>11294</v>
      </c>
      <c r="M1872" s="680">
        <f t="shared" si="148"/>
        <v>75.293333333333337</v>
      </c>
      <c r="N1872" s="653">
        <v>121888</v>
      </c>
      <c r="O1872" s="725" t="s">
        <v>8214</v>
      </c>
      <c r="P1872" s="463" t="s">
        <v>8215</v>
      </c>
      <c r="Q1872" s="672">
        <v>0</v>
      </c>
      <c r="R1872" s="672">
        <v>0</v>
      </c>
      <c r="S1872" s="672">
        <v>0</v>
      </c>
      <c r="T1872" s="672">
        <v>0</v>
      </c>
      <c r="U1872" s="463" t="s">
        <v>8216</v>
      </c>
      <c r="V1872" s="463" t="s">
        <v>2147</v>
      </c>
      <c r="W1872" s="498">
        <v>44024</v>
      </c>
      <c r="X1872" s="463" t="s">
        <v>1532</v>
      </c>
      <c r="Y1872" s="463" t="s">
        <v>3399</v>
      </c>
      <c r="Z1872" s="463" t="s">
        <v>1588</v>
      </c>
      <c r="AA1872" s="463" t="s">
        <v>1770</v>
      </c>
      <c r="AB1872" s="459" t="s">
        <v>1770</v>
      </c>
    </row>
    <row r="1873" spans="1:28" ht="24" customHeight="1">
      <c r="A1873" s="584"/>
      <c r="B1873" s="460" t="s">
        <v>2201</v>
      </c>
      <c r="C1873" s="458" t="s">
        <v>1944</v>
      </c>
      <c r="D1873" s="510" t="s">
        <v>8217</v>
      </c>
      <c r="E1873" s="498">
        <f t="shared" si="150"/>
        <v>2000</v>
      </c>
      <c r="F1873" s="653">
        <v>0</v>
      </c>
      <c r="G1873" s="653">
        <v>0</v>
      </c>
      <c r="H1873" s="653">
        <v>2000</v>
      </c>
      <c r="I1873" s="655">
        <f t="shared" si="147"/>
        <v>813</v>
      </c>
      <c r="J1873" s="655">
        <v>0</v>
      </c>
      <c r="K1873" s="655">
        <v>0</v>
      </c>
      <c r="L1873" s="710">
        <v>813</v>
      </c>
      <c r="M1873" s="680">
        <f t="shared" si="148"/>
        <v>40.65</v>
      </c>
      <c r="N1873" s="653">
        <v>3371</v>
      </c>
      <c r="O1873" s="669" t="s">
        <v>1862</v>
      </c>
      <c r="P1873" s="463" t="s">
        <v>8215</v>
      </c>
      <c r="Q1873" s="672">
        <v>0</v>
      </c>
      <c r="R1873" s="672">
        <v>0</v>
      </c>
      <c r="S1873" s="672">
        <v>0</v>
      </c>
      <c r="T1873" s="672">
        <v>0</v>
      </c>
      <c r="U1873" s="463" t="s">
        <v>8216</v>
      </c>
      <c r="V1873" s="498" t="s">
        <v>8218</v>
      </c>
      <c r="W1873" s="498">
        <v>12250</v>
      </c>
      <c r="X1873" s="463" t="s">
        <v>1862</v>
      </c>
      <c r="Y1873" s="463" t="s">
        <v>1862</v>
      </c>
      <c r="Z1873" s="463" t="s">
        <v>1588</v>
      </c>
      <c r="AA1873" s="463" t="s">
        <v>1770</v>
      </c>
      <c r="AB1873" s="459" t="s">
        <v>1770</v>
      </c>
    </row>
    <row r="1874" spans="1:28" ht="24" customHeight="1">
      <c r="A1874" s="584"/>
      <c r="B1874" s="460" t="s">
        <v>675</v>
      </c>
      <c r="C1874" s="458" t="s">
        <v>6762</v>
      </c>
      <c r="D1874" s="510" t="s">
        <v>8219</v>
      </c>
      <c r="E1874" s="498">
        <f t="shared" si="150"/>
        <v>20</v>
      </c>
      <c r="F1874" s="653">
        <v>0</v>
      </c>
      <c r="G1874" s="653">
        <v>0</v>
      </c>
      <c r="H1874" s="653">
        <v>20</v>
      </c>
      <c r="I1874" s="655">
        <f t="shared" si="147"/>
        <v>20</v>
      </c>
      <c r="J1874" s="655">
        <v>0</v>
      </c>
      <c r="K1874" s="655">
        <v>0</v>
      </c>
      <c r="L1874" s="710">
        <v>20</v>
      </c>
      <c r="M1874" s="680">
        <f t="shared" si="148"/>
        <v>100</v>
      </c>
      <c r="N1874" s="653">
        <v>0</v>
      </c>
      <c r="O1874" s="725" t="s">
        <v>8220</v>
      </c>
      <c r="P1874" s="498">
        <v>0</v>
      </c>
      <c r="Q1874" s="672">
        <v>0</v>
      </c>
      <c r="R1874" s="672">
        <v>0</v>
      </c>
      <c r="S1874" s="672">
        <v>0</v>
      </c>
      <c r="T1874" s="672">
        <v>0</v>
      </c>
      <c r="U1874" s="498" t="s">
        <v>8221</v>
      </c>
      <c r="V1874" s="498" t="s">
        <v>8222</v>
      </c>
      <c r="W1874" s="498">
        <v>223</v>
      </c>
      <c r="X1874" s="463" t="s">
        <v>1862</v>
      </c>
      <c r="Y1874" s="498" t="s">
        <v>3399</v>
      </c>
      <c r="Z1874" s="498"/>
      <c r="AA1874" s="463" t="s">
        <v>1770</v>
      </c>
      <c r="AB1874" s="459" t="s">
        <v>1770</v>
      </c>
    </row>
    <row r="1875" spans="1:28" ht="24" customHeight="1">
      <c r="A1875" s="584"/>
      <c r="B1875" s="460" t="s">
        <v>675</v>
      </c>
      <c r="C1875" s="458" t="s">
        <v>8223</v>
      </c>
      <c r="D1875" s="510" t="s">
        <v>8224</v>
      </c>
      <c r="E1875" s="498">
        <f t="shared" si="150"/>
        <v>16</v>
      </c>
      <c r="F1875" s="653">
        <v>0</v>
      </c>
      <c r="G1875" s="653">
        <v>16</v>
      </c>
      <c r="H1875" s="653">
        <v>0</v>
      </c>
      <c r="I1875" s="765">
        <f t="shared" ref="I1875:I1907" si="151">SUM(J1875:L1875)</f>
        <v>16</v>
      </c>
      <c r="J1875" s="655">
        <v>0</v>
      </c>
      <c r="K1875" s="655">
        <v>16</v>
      </c>
      <c r="L1875" s="710">
        <v>0</v>
      </c>
      <c r="M1875" s="680">
        <f t="shared" ref="M1875:M1907" si="152">I1875/E1875*100</f>
        <v>100</v>
      </c>
      <c r="N1875" s="653">
        <v>0</v>
      </c>
      <c r="O1875" s="725" t="s">
        <v>1254</v>
      </c>
      <c r="P1875" s="498">
        <v>0</v>
      </c>
      <c r="Q1875" s="672">
        <v>0</v>
      </c>
      <c r="R1875" s="672">
        <v>0</v>
      </c>
      <c r="S1875" s="672">
        <v>0</v>
      </c>
      <c r="T1875" s="672">
        <v>0</v>
      </c>
      <c r="U1875" s="498" t="s">
        <v>8221</v>
      </c>
      <c r="V1875" s="498" t="s">
        <v>8222</v>
      </c>
      <c r="W1875" s="498">
        <v>65</v>
      </c>
      <c r="X1875" s="463" t="s">
        <v>1862</v>
      </c>
      <c r="Y1875" s="498" t="s">
        <v>3399</v>
      </c>
      <c r="Z1875" s="498"/>
      <c r="AA1875" s="463" t="s">
        <v>1770</v>
      </c>
      <c r="AB1875" s="459" t="s">
        <v>1770</v>
      </c>
    </row>
    <row r="1876" spans="1:28" ht="24" customHeight="1">
      <c r="A1876" s="584"/>
      <c r="B1876" s="460" t="s">
        <v>675</v>
      </c>
      <c r="C1876" s="458" t="s">
        <v>8225</v>
      </c>
      <c r="D1876" s="510" t="s">
        <v>8226</v>
      </c>
      <c r="E1876" s="498">
        <f t="shared" si="150"/>
        <v>20</v>
      </c>
      <c r="F1876" s="653">
        <v>0</v>
      </c>
      <c r="G1876" s="653">
        <v>20</v>
      </c>
      <c r="H1876" s="653">
        <v>0</v>
      </c>
      <c r="I1876" s="655">
        <f t="shared" si="151"/>
        <v>20</v>
      </c>
      <c r="J1876" s="655">
        <v>0</v>
      </c>
      <c r="K1876" s="655">
        <v>20</v>
      </c>
      <c r="L1876" s="710">
        <v>0</v>
      </c>
      <c r="M1876" s="680">
        <f t="shared" si="152"/>
        <v>100</v>
      </c>
      <c r="N1876" s="653">
        <v>0</v>
      </c>
      <c r="O1876" s="725" t="s">
        <v>8227</v>
      </c>
      <c r="P1876" s="498">
        <v>0</v>
      </c>
      <c r="Q1876" s="672">
        <v>0</v>
      </c>
      <c r="R1876" s="672">
        <v>0</v>
      </c>
      <c r="S1876" s="672">
        <v>0</v>
      </c>
      <c r="T1876" s="672">
        <v>0</v>
      </c>
      <c r="U1876" s="498" t="s">
        <v>8228</v>
      </c>
      <c r="V1876" s="498" t="s">
        <v>8229</v>
      </c>
      <c r="W1876" s="498">
        <v>278</v>
      </c>
      <c r="X1876" s="463" t="s">
        <v>1862</v>
      </c>
      <c r="Y1876" s="498" t="s">
        <v>3399</v>
      </c>
      <c r="Z1876" s="498"/>
      <c r="AA1876" s="463" t="s">
        <v>1770</v>
      </c>
      <c r="AB1876" s="459" t="s">
        <v>1770</v>
      </c>
    </row>
    <row r="1877" spans="1:28" ht="24" customHeight="1">
      <c r="A1877" s="584"/>
      <c r="B1877" s="460" t="s">
        <v>675</v>
      </c>
      <c r="C1877" s="458" t="s">
        <v>8230</v>
      </c>
      <c r="D1877" s="510" t="s">
        <v>8231</v>
      </c>
      <c r="E1877" s="498">
        <f t="shared" si="150"/>
        <v>25</v>
      </c>
      <c r="F1877" s="653">
        <v>0</v>
      </c>
      <c r="G1877" s="653">
        <v>0</v>
      </c>
      <c r="H1877" s="653">
        <v>25</v>
      </c>
      <c r="I1877" s="655">
        <f t="shared" si="151"/>
        <v>25</v>
      </c>
      <c r="J1877" s="655">
        <v>0</v>
      </c>
      <c r="K1877" s="655">
        <v>0</v>
      </c>
      <c r="L1877" s="710">
        <v>25</v>
      </c>
      <c r="M1877" s="680">
        <f t="shared" si="152"/>
        <v>100</v>
      </c>
      <c r="N1877" s="653">
        <v>0</v>
      </c>
      <c r="O1877" s="725" t="s">
        <v>8232</v>
      </c>
      <c r="P1877" s="498">
        <v>0</v>
      </c>
      <c r="Q1877" s="672">
        <v>0</v>
      </c>
      <c r="R1877" s="672">
        <v>0</v>
      </c>
      <c r="S1877" s="672">
        <v>0</v>
      </c>
      <c r="T1877" s="672">
        <v>0</v>
      </c>
      <c r="U1877" s="498" t="s">
        <v>8228</v>
      </c>
      <c r="V1877" s="498" t="s">
        <v>8233</v>
      </c>
      <c r="W1877" s="498">
        <v>208</v>
      </c>
      <c r="X1877" s="463" t="s">
        <v>1862</v>
      </c>
      <c r="Y1877" s="498" t="s">
        <v>3399</v>
      </c>
      <c r="Z1877" s="498"/>
      <c r="AA1877" s="463" t="s">
        <v>1770</v>
      </c>
      <c r="AB1877" s="459" t="s">
        <v>1770</v>
      </c>
    </row>
    <row r="1878" spans="1:28" ht="24" customHeight="1">
      <c r="A1878" s="584"/>
      <c r="B1878" s="460" t="s">
        <v>675</v>
      </c>
      <c r="C1878" s="458" t="s">
        <v>4406</v>
      </c>
      <c r="D1878" s="510" t="s">
        <v>8234</v>
      </c>
      <c r="E1878" s="498">
        <f t="shared" si="150"/>
        <v>45</v>
      </c>
      <c r="F1878" s="653">
        <v>0</v>
      </c>
      <c r="G1878" s="653">
        <v>0</v>
      </c>
      <c r="H1878" s="653">
        <v>45</v>
      </c>
      <c r="I1878" s="655">
        <f t="shared" si="151"/>
        <v>45</v>
      </c>
      <c r="J1878" s="655">
        <v>0</v>
      </c>
      <c r="K1878" s="655">
        <v>0</v>
      </c>
      <c r="L1878" s="710">
        <v>45</v>
      </c>
      <c r="M1878" s="680">
        <f t="shared" si="152"/>
        <v>100</v>
      </c>
      <c r="N1878" s="653">
        <v>0</v>
      </c>
      <c r="O1878" s="725" t="s">
        <v>8235</v>
      </c>
      <c r="P1878" s="498">
        <v>0</v>
      </c>
      <c r="Q1878" s="672">
        <v>0</v>
      </c>
      <c r="R1878" s="672">
        <v>0</v>
      </c>
      <c r="S1878" s="672">
        <v>0</v>
      </c>
      <c r="T1878" s="672">
        <v>0</v>
      </c>
      <c r="U1878" s="498" t="s">
        <v>8228</v>
      </c>
      <c r="V1878" s="498" t="s">
        <v>8236</v>
      </c>
      <c r="W1878" s="498">
        <v>310</v>
      </c>
      <c r="X1878" s="463" t="s">
        <v>1862</v>
      </c>
      <c r="Y1878" s="498" t="s">
        <v>8237</v>
      </c>
      <c r="Z1878" s="498"/>
      <c r="AA1878" s="463" t="s">
        <v>1770</v>
      </c>
      <c r="AB1878" s="459" t="s">
        <v>1770</v>
      </c>
    </row>
    <row r="1879" spans="1:28" ht="24" customHeight="1">
      <c r="A1879" s="584"/>
      <c r="B1879" s="460" t="s">
        <v>675</v>
      </c>
      <c r="C1879" s="458" t="s">
        <v>8238</v>
      </c>
      <c r="D1879" s="510" t="s">
        <v>8239</v>
      </c>
      <c r="E1879" s="498">
        <f t="shared" si="150"/>
        <v>330</v>
      </c>
      <c r="F1879" s="653">
        <v>0</v>
      </c>
      <c r="G1879" s="653">
        <v>0</v>
      </c>
      <c r="H1879" s="653">
        <v>330</v>
      </c>
      <c r="I1879" s="655">
        <f t="shared" si="151"/>
        <v>330</v>
      </c>
      <c r="J1879" s="655">
        <v>0</v>
      </c>
      <c r="K1879" s="655">
        <v>0</v>
      </c>
      <c r="L1879" s="710">
        <v>330</v>
      </c>
      <c r="M1879" s="680">
        <f t="shared" si="152"/>
        <v>100</v>
      </c>
      <c r="N1879" s="653">
        <v>0</v>
      </c>
      <c r="O1879" s="725" t="s">
        <v>8235</v>
      </c>
      <c r="P1879" s="498">
        <v>0</v>
      </c>
      <c r="Q1879" s="672">
        <v>0</v>
      </c>
      <c r="R1879" s="672">
        <v>0</v>
      </c>
      <c r="S1879" s="672">
        <v>0</v>
      </c>
      <c r="T1879" s="672">
        <v>0</v>
      </c>
      <c r="U1879" s="498" t="s">
        <v>8228</v>
      </c>
      <c r="V1879" s="498" t="s">
        <v>8236</v>
      </c>
      <c r="W1879" s="498">
        <v>434</v>
      </c>
      <c r="X1879" s="463" t="s">
        <v>1862</v>
      </c>
      <c r="Y1879" s="498" t="s">
        <v>3399</v>
      </c>
      <c r="Z1879" s="498"/>
      <c r="AA1879" s="463" t="s">
        <v>1770</v>
      </c>
      <c r="AB1879" s="459" t="s">
        <v>1770</v>
      </c>
    </row>
    <row r="1880" spans="1:28" ht="24" customHeight="1">
      <c r="A1880" s="584"/>
      <c r="B1880" s="460" t="s">
        <v>675</v>
      </c>
      <c r="C1880" s="458" t="s">
        <v>8240</v>
      </c>
      <c r="D1880" s="510" t="s">
        <v>8241</v>
      </c>
      <c r="E1880" s="498">
        <f t="shared" si="150"/>
        <v>80</v>
      </c>
      <c r="F1880" s="653">
        <v>0</v>
      </c>
      <c r="G1880" s="653">
        <v>0</v>
      </c>
      <c r="H1880" s="653">
        <v>80</v>
      </c>
      <c r="I1880" s="655">
        <f t="shared" si="151"/>
        <v>80</v>
      </c>
      <c r="J1880" s="655">
        <v>0</v>
      </c>
      <c r="K1880" s="655">
        <v>0</v>
      </c>
      <c r="L1880" s="710">
        <v>80</v>
      </c>
      <c r="M1880" s="680">
        <f t="shared" si="152"/>
        <v>100</v>
      </c>
      <c r="N1880" s="653">
        <v>0</v>
      </c>
      <c r="O1880" s="725" t="s">
        <v>2967</v>
      </c>
      <c r="P1880" s="498">
        <v>0</v>
      </c>
      <c r="Q1880" s="672">
        <v>0</v>
      </c>
      <c r="R1880" s="672">
        <v>0</v>
      </c>
      <c r="S1880" s="672">
        <v>0</v>
      </c>
      <c r="T1880" s="672">
        <v>0</v>
      </c>
      <c r="U1880" s="498" t="s">
        <v>8228</v>
      </c>
      <c r="V1880" s="498" t="s">
        <v>8242</v>
      </c>
      <c r="W1880" s="498">
        <v>344</v>
      </c>
      <c r="X1880" s="463" t="s">
        <v>1862</v>
      </c>
      <c r="Y1880" s="498" t="s">
        <v>8237</v>
      </c>
      <c r="Z1880" s="498"/>
      <c r="AA1880" s="463" t="s">
        <v>1770</v>
      </c>
      <c r="AB1880" s="459" t="s">
        <v>1770</v>
      </c>
    </row>
    <row r="1881" spans="1:28" ht="24" customHeight="1">
      <c r="A1881" s="584"/>
      <c r="B1881" s="460" t="s">
        <v>675</v>
      </c>
      <c r="C1881" s="458" t="s">
        <v>8243</v>
      </c>
      <c r="D1881" s="510" t="s">
        <v>8244</v>
      </c>
      <c r="E1881" s="498">
        <f t="shared" si="150"/>
        <v>45</v>
      </c>
      <c r="F1881" s="653">
        <v>0</v>
      </c>
      <c r="G1881" s="653">
        <v>0</v>
      </c>
      <c r="H1881" s="653">
        <v>45</v>
      </c>
      <c r="I1881" s="655">
        <f t="shared" si="151"/>
        <v>45</v>
      </c>
      <c r="J1881" s="655">
        <v>0</v>
      </c>
      <c r="K1881" s="655">
        <v>0</v>
      </c>
      <c r="L1881" s="710">
        <v>45</v>
      </c>
      <c r="M1881" s="680">
        <f t="shared" si="152"/>
        <v>100</v>
      </c>
      <c r="N1881" s="653">
        <v>0</v>
      </c>
      <c r="O1881" s="725" t="s">
        <v>8245</v>
      </c>
      <c r="P1881" s="498">
        <v>0</v>
      </c>
      <c r="Q1881" s="672">
        <v>0</v>
      </c>
      <c r="R1881" s="672">
        <v>0</v>
      </c>
      <c r="S1881" s="672">
        <v>0</v>
      </c>
      <c r="T1881" s="672">
        <v>0</v>
      </c>
      <c r="U1881" s="498" t="s">
        <v>8228</v>
      </c>
      <c r="V1881" s="498" t="s">
        <v>8246</v>
      </c>
      <c r="W1881" s="498">
        <v>319</v>
      </c>
      <c r="X1881" s="463" t="s">
        <v>1862</v>
      </c>
      <c r="Y1881" s="498" t="s">
        <v>3399</v>
      </c>
      <c r="Z1881" s="498"/>
      <c r="AA1881" s="463" t="s">
        <v>1770</v>
      </c>
      <c r="AB1881" s="459" t="s">
        <v>1770</v>
      </c>
    </row>
    <row r="1882" spans="1:28" ht="24" customHeight="1">
      <c r="A1882" s="584"/>
      <c r="B1882" s="460" t="s">
        <v>675</v>
      </c>
      <c r="C1882" s="458" t="s">
        <v>8247</v>
      </c>
      <c r="D1882" s="510" t="s">
        <v>8248</v>
      </c>
      <c r="E1882" s="498">
        <f t="shared" si="150"/>
        <v>65</v>
      </c>
      <c r="F1882" s="653">
        <v>0</v>
      </c>
      <c r="G1882" s="653">
        <v>0</v>
      </c>
      <c r="H1882" s="653">
        <v>65</v>
      </c>
      <c r="I1882" s="655">
        <f t="shared" si="151"/>
        <v>65</v>
      </c>
      <c r="J1882" s="655">
        <v>0</v>
      </c>
      <c r="K1882" s="655">
        <v>0</v>
      </c>
      <c r="L1882" s="710">
        <v>65</v>
      </c>
      <c r="M1882" s="680">
        <f t="shared" si="152"/>
        <v>100</v>
      </c>
      <c r="N1882" s="653">
        <v>0</v>
      </c>
      <c r="O1882" s="725" t="s">
        <v>8220</v>
      </c>
      <c r="P1882" s="498">
        <v>0</v>
      </c>
      <c r="Q1882" s="672">
        <v>0</v>
      </c>
      <c r="R1882" s="672">
        <v>0</v>
      </c>
      <c r="S1882" s="672">
        <v>0</v>
      </c>
      <c r="T1882" s="672">
        <v>0</v>
      </c>
      <c r="U1882" s="498" t="s">
        <v>8228</v>
      </c>
      <c r="V1882" s="498" t="s">
        <v>8249</v>
      </c>
      <c r="W1882" s="498">
        <v>223</v>
      </c>
      <c r="X1882" s="463" t="s">
        <v>1862</v>
      </c>
      <c r="Y1882" s="498" t="s">
        <v>8237</v>
      </c>
      <c r="Z1882" s="498"/>
      <c r="AA1882" s="463" t="s">
        <v>1770</v>
      </c>
      <c r="AB1882" s="459" t="s">
        <v>1770</v>
      </c>
    </row>
    <row r="1883" spans="1:28" ht="24" customHeight="1">
      <c r="A1883" s="584"/>
      <c r="B1883" s="460" t="s">
        <v>675</v>
      </c>
      <c r="C1883" s="458" t="s">
        <v>8250</v>
      </c>
      <c r="D1883" s="510" t="s">
        <v>8251</v>
      </c>
      <c r="E1883" s="498">
        <f t="shared" si="150"/>
        <v>240</v>
      </c>
      <c r="F1883" s="653">
        <v>0</v>
      </c>
      <c r="G1883" s="653">
        <v>0</v>
      </c>
      <c r="H1883" s="653">
        <v>240</v>
      </c>
      <c r="I1883" s="655">
        <f t="shared" si="151"/>
        <v>240</v>
      </c>
      <c r="J1883" s="655">
        <v>0</v>
      </c>
      <c r="K1883" s="655">
        <v>0</v>
      </c>
      <c r="L1883" s="710">
        <v>240</v>
      </c>
      <c r="M1883" s="680">
        <f t="shared" si="152"/>
        <v>100</v>
      </c>
      <c r="N1883" s="653">
        <v>0</v>
      </c>
      <c r="O1883" s="725" t="s">
        <v>8220</v>
      </c>
      <c r="P1883" s="498">
        <v>0</v>
      </c>
      <c r="Q1883" s="672">
        <v>0</v>
      </c>
      <c r="R1883" s="672">
        <v>0</v>
      </c>
      <c r="S1883" s="672">
        <v>0</v>
      </c>
      <c r="T1883" s="672">
        <v>0</v>
      </c>
      <c r="U1883" s="498" t="s">
        <v>8228</v>
      </c>
      <c r="V1883" s="498" t="s">
        <v>8252</v>
      </c>
      <c r="W1883" s="498">
        <v>875</v>
      </c>
      <c r="X1883" s="463" t="s">
        <v>1862</v>
      </c>
      <c r="Y1883" s="575">
        <v>0</v>
      </c>
      <c r="Z1883" s="498"/>
      <c r="AA1883" s="463" t="s">
        <v>1770</v>
      </c>
      <c r="AB1883" s="459" t="s">
        <v>1770</v>
      </c>
    </row>
    <row r="1884" spans="1:28" ht="24" customHeight="1">
      <c r="A1884" s="584"/>
      <c r="B1884" s="460" t="s">
        <v>675</v>
      </c>
      <c r="C1884" s="458" t="s">
        <v>8253</v>
      </c>
      <c r="D1884" s="510" t="s">
        <v>8254</v>
      </c>
      <c r="E1884" s="498">
        <f t="shared" si="150"/>
        <v>70</v>
      </c>
      <c r="F1884" s="653">
        <v>0</v>
      </c>
      <c r="G1884" s="653">
        <v>70</v>
      </c>
      <c r="H1884" s="653">
        <v>0</v>
      </c>
      <c r="I1884" s="655">
        <f t="shared" si="151"/>
        <v>70</v>
      </c>
      <c r="J1884" s="655">
        <v>0</v>
      </c>
      <c r="K1884" s="655">
        <v>70</v>
      </c>
      <c r="L1884" s="710">
        <v>0</v>
      </c>
      <c r="M1884" s="680">
        <f t="shared" si="152"/>
        <v>100</v>
      </c>
      <c r="N1884" s="653">
        <v>0</v>
      </c>
      <c r="O1884" s="725" t="s">
        <v>6980</v>
      </c>
      <c r="P1884" s="498">
        <v>0</v>
      </c>
      <c r="Q1884" s="672">
        <v>0</v>
      </c>
      <c r="R1884" s="672">
        <v>0</v>
      </c>
      <c r="S1884" s="672">
        <v>0</v>
      </c>
      <c r="T1884" s="672">
        <v>0</v>
      </c>
      <c r="U1884" s="498" t="s">
        <v>8228</v>
      </c>
      <c r="V1884" s="498" t="s">
        <v>8255</v>
      </c>
      <c r="W1884" s="498">
        <v>325</v>
      </c>
      <c r="X1884" s="463" t="s">
        <v>1862</v>
      </c>
      <c r="Y1884" s="575">
        <v>0</v>
      </c>
      <c r="Z1884" s="498"/>
      <c r="AA1884" s="463" t="s">
        <v>1770</v>
      </c>
      <c r="AB1884" s="459" t="s">
        <v>1770</v>
      </c>
    </row>
    <row r="1885" spans="1:28" ht="24" customHeight="1">
      <c r="A1885" s="584"/>
      <c r="B1885" s="460" t="s">
        <v>675</v>
      </c>
      <c r="C1885" s="458" t="s">
        <v>8256</v>
      </c>
      <c r="D1885" s="510" t="s">
        <v>8257</v>
      </c>
      <c r="E1885" s="498">
        <f t="shared" si="150"/>
        <v>200</v>
      </c>
      <c r="F1885" s="653">
        <v>0</v>
      </c>
      <c r="G1885" s="653">
        <v>0</v>
      </c>
      <c r="H1885" s="653">
        <v>200</v>
      </c>
      <c r="I1885" s="655">
        <f t="shared" si="151"/>
        <v>200</v>
      </c>
      <c r="J1885" s="655">
        <v>0</v>
      </c>
      <c r="K1885" s="655">
        <v>0</v>
      </c>
      <c r="L1885" s="710">
        <v>200</v>
      </c>
      <c r="M1885" s="680">
        <f t="shared" si="152"/>
        <v>100</v>
      </c>
      <c r="N1885" s="653">
        <v>0</v>
      </c>
      <c r="O1885" s="725" t="s">
        <v>8235</v>
      </c>
      <c r="P1885" s="498">
        <v>0</v>
      </c>
      <c r="Q1885" s="672">
        <v>0</v>
      </c>
      <c r="R1885" s="672">
        <v>0</v>
      </c>
      <c r="S1885" s="672">
        <v>0</v>
      </c>
      <c r="T1885" s="672">
        <v>0</v>
      </c>
      <c r="U1885" s="498" t="s">
        <v>8228</v>
      </c>
      <c r="V1885" s="498" t="s">
        <v>8258</v>
      </c>
      <c r="W1885" s="498">
        <v>599</v>
      </c>
      <c r="X1885" s="463" t="s">
        <v>1862</v>
      </c>
      <c r="Y1885" s="498" t="s">
        <v>8237</v>
      </c>
      <c r="Z1885" s="498"/>
      <c r="AA1885" s="463" t="s">
        <v>1770</v>
      </c>
      <c r="AB1885" s="459" t="s">
        <v>1770</v>
      </c>
    </row>
    <row r="1886" spans="1:28" ht="24" customHeight="1">
      <c r="A1886" s="584"/>
      <c r="B1886" s="460" t="s">
        <v>675</v>
      </c>
      <c r="C1886" s="458" t="s">
        <v>8259</v>
      </c>
      <c r="D1886" s="510" t="s">
        <v>8260</v>
      </c>
      <c r="E1886" s="498">
        <f t="shared" si="150"/>
        <v>25</v>
      </c>
      <c r="F1886" s="653">
        <v>0</v>
      </c>
      <c r="G1886" s="653">
        <v>0</v>
      </c>
      <c r="H1886" s="653">
        <v>25</v>
      </c>
      <c r="I1886" s="655">
        <f t="shared" si="151"/>
        <v>25</v>
      </c>
      <c r="J1886" s="655">
        <v>0</v>
      </c>
      <c r="K1886" s="655">
        <v>0</v>
      </c>
      <c r="L1886" s="710">
        <v>25</v>
      </c>
      <c r="M1886" s="680">
        <f t="shared" si="152"/>
        <v>100</v>
      </c>
      <c r="N1886" s="653">
        <v>0</v>
      </c>
      <c r="O1886" s="725" t="s">
        <v>8232</v>
      </c>
      <c r="P1886" s="498">
        <v>0</v>
      </c>
      <c r="Q1886" s="672">
        <v>0</v>
      </c>
      <c r="R1886" s="672">
        <v>0</v>
      </c>
      <c r="S1886" s="672">
        <v>0</v>
      </c>
      <c r="T1886" s="672">
        <v>0</v>
      </c>
      <c r="U1886" s="498" t="s">
        <v>8228</v>
      </c>
      <c r="V1886" s="498" t="s">
        <v>8233</v>
      </c>
      <c r="W1886" s="498">
        <v>225</v>
      </c>
      <c r="X1886" s="463" t="s">
        <v>1862</v>
      </c>
      <c r="Y1886" s="498" t="s">
        <v>3399</v>
      </c>
      <c r="Z1886" s="498"/>
      <c r="AA1886" s="463" t="s">
        <v>1770</v>
      </c>
      <c r="AB1886" s="459" t="s">
        <v>1770</v>
      </c>
    </row>
    <row r="1887" spans="1:28" ht="24" customHeight="1">
      <c r="A1887" s="584"/>
      <c r="B1887" s="460" t="s">
        <v>675</v>
      </c>
      <c r="C1887" s="458" t="s">
        <v>8261</v>
      </c>
      <c r="D1887" s="510" t="s">
        <v>8262</v>
      </c>
      <c r="E1887" s="498">
        <f t="shared" si="150"/>
        <v>30</v>
      </c>
      <c r="F1887" s="653">
        <v>0</v>
      </c>
      <c r="G1887" s="653">
        <v>30</v>
      </c>
      <c r="H1887" s="653">
        <v>0</v>
      </c>
      <c r="I1887" s="655">
        <f t="shared" si="151"/>
        <v>30</v>
      </c>
      <c r="J1887" s="655">
        <v>0</v>
      </c>
      <c r="K1887" s="655">
        <v>30</v>
      </c>
      <c r="L1887" s="710">
        <v>0</v>
      </c>
      <c r="M1887" s="680">
        <f t="shared" si="152"/>
        <v>100</v>
      </c>
      <c r="N1887" s="653">
        <v>0</v>
      </c>
      <c r="O1887" s="725" t="s">
        <v>6980</v>
      </c>
      <c r="P1887" s="498">
        <v>0</v>
      </c>
      <c r="Q1887" s="672">
        <v>0</v>
      </c>
      <c r="R1887" s="672">
        <v>0</v>
      </c>
      <c r="S1887" s="672">
        <v>0</v>
      </c>
      <c r="T1887" s="672">
        <v>0</v>
      </c>
      <c r="U1887" s="498" t="s">
        <v>8228</v>
      </c>
      <c r="V1887" s="498" t="s">
        <v>8263</v>
      </c>
      <c r="W1887" s="498">
        <v>310</v>
      </c>
      <c r="X1887" s="463" t="s">
        <v>1862</v>
      </c>
      <c r="Y1887" s="575">
        <v>0</v>
      </c>
      <c r="Z1887" s="498"/>
      <c r="AA1887" s="463" t="s">
        <v>1770</v>
      </c>
      <c r="AB1887" s="459" t="s">
        <v>1770</v>
      </c>
    </row>
    <row r="1888" spans="1:28" ht="24" customHeight="1">
      <c r="A1888" s="584"/>
      <c r="B1888" s="460" t="s">
        <v>675</v>
      </c>
      <c r="C1888" s="458" t="s">
        <v>8264</v>
      </c>
      <c r="D1888" s="510" t="s">
        <v>8265</v>
      </c>
      <c r="E1888" s="498">
        <f t="shared" si="150"/>
        <v>45</v>
      </c>
      <c r="F1888" s="653">
        <v>0</v>
      </c>
      <c r="G1888" s="653">
        <v>0</v>
      </c>
      <c r="H1888" s="653">
        <v>45</v>
      </c>
      <c r="I1888" s="655">
        <f t="shared" si="151"/>
        <v>45</v>
      </c>
      <c r="J1888" s="655">
        <v>0</v>
      </c>
      <c r="K1888" s="655">
        <v>0</v>
      </c>
      <c r="L1888" s="710">
        <v>45</v>
      </c>
      <c r="M1888" s="680">
        <f t="shared" si="152"/>
        <v>100</v>
      </c>
      <c r="N1888" s="653">
        <v>0</v>
      </c>
      <c r="O1888" s="725" t="s">
        <v>8235</v>
      </c>
      <c r="P1888" s="498">
        <v>0</v>
      </c>
      <c r="Q1888" s="672">
        <v>0</v>
      </c>
      <c r="R1888" s="672">
        <v>0</v>
      </c>
      <c r="S1888" s="672">
        <v>0</v>
      </c>
      <c r="T1888" s="672">
        <v>0</v>
      </c>
      <c r="U1888" s="498" t="s">
        <v>8228</v>
      </c>
      <c r="V1888" s="498" t="s">
        <v>8266</v>
      </c>
      <c r="W1888" s="498">
        <v>302</v>
      </c>
      <c r="X1888" s="463" t="s">
        <v>1862</v>
      </c>
      <c r="Y1888" s="575">
        <v>0</v>
      </c>
      <c r="Z1888" s="498"/>
      <c r="AA1888" s="463" t="s">
        <v>1770</v>
      </c>
      <c r="AB1888" s="459" t="s">
        <v>1770</v>
      </c>
    </row>
    <row r="1889" spans="1:28" ht="24" customHeight="1">
      <c r="A1889" s="584"/>
      <c r="B1889" s="460" t="s">
        <v>675</v>
      </c>
      <c r="C1889" s="458" t="s">
        <v>8267</v>
      </c>
      <c r="D1889" s="510" t="s">
        <v>8268</v>
      </c>
      <c r="E1889" s="498">
        <f t="shared" si="150"/>
        <v>50</v>
      </c>
      <c r="F1889" s="653">
        <v>0</v>
      </c>
      <c r="G1889" s="653">
        <v>50</v>
      </c>
      <c r="H1889" s="653">
        <v>0</v>
      </c>
      <c r="I1889" s="655">
        <f t="shared" si="151"/>
        <v>50</v>
      </c>
      <c r="J1889" s="655">
        <v>0</v>
      </c>
      <c r="K1889" s="655">
        <v>50</v>
      </c>
      <c r="L1889" s="710">
        <v>0</v>
      </c>
      <c r="M1889" s="680">
        <f t="shared" si="152"/>
        <v>100</v>
      </c>
      <c r="N1889" s="653">
        <v>0</v>
      </c>
      <c r="O1889" s="725" t="s">
        <v>8269</v>
      </c>
      <c r="P1889" s="498">
        <v>0</v>
      </c>
      <c r="Q1889" s="672">
        <v>0</v>
      </c>
      <c r="R1889" s="672">
        <v>0</v>
      </c>
      <c r="S1889" s="672">
        <v>0</v>
      </c>
      <c r="T1889" s="672">
        <v>0</v>
      </c>
      <c r="U1889" s="498" t="s">
        <v>8228</v>
      </c>
      <c r="V1889" s="498" t="s">
        <v>8263</v>
      </c>
      <c r="W1889" s="498">
        <v>259</v>
      </c>
      <c r="X1889" s="463" t="s">
        <v>1862</v>
      </c>
      <c r="Y1889" s="575">
        <v>0</v>
      </c>
      <c r="Z1889" s="498"/>
      <c r="AA1889" s="463" t="s">
        <v>1770</v>
      </c>
      <c r="AB1889" s="459" t="s">
        <v>1770</v>
      </c>
    </row>
    <row r="1890" spans="1:28" ht="24" customHeight="1">
      <c r="A1890" s="584"/>
      <c r="B1890" s="460" t="s">
        <v>675</v>
      </c>
      <c r="C1890" s="458" t="s">
        <v>8270</v>
      </c>
      <c r="D1890" s="510" t="s">
        <v>8271</v>
      </c>
      <c r="E1890" s="498">
        <f t="shared" si="150"/>
        <v>40</v>
      </c>
      <c r="F1890" s="653">
        <v>0</v>
      </c>
      <c r="G1890" s="653">
        <v>0</v>
      </c>
      <c r="H1890" s="653">
        <v>40</v>
      </c>
      <c r="I1890" s="655">
        <f t="shared" si="151"/>
        <v>40</v>
      </c>
      <c r="J1890" s="655">
        <v>0</v>
      </c>
      <c r="K1890" s="655">
        <v>0</v>
      </c>
      <c r="L1890" s="710">
        <v>40</v>
      </c>
      <c r="M1890" s="680">
        <f t="shared" si="152"/>
        <v>100</v>
      </c>
      <c r="N1890" s="653">
        <v>0</v>
      </c>
      <c r="O1890" s="725" t="s">
        <v>8245</v>
      </c>
      <c r="P1890" s="498">
        <v>0</v>
      </c>
      <c r="Q1890" s="672">
        <v>0</v>
      </c>
      <c r="R1890" s="672">
        <v>0</v>
      </c>
      <c r="S1890" s="672">
        <v>0</v>
      </c>
      <c r="T1890" s="672">
        <v>0</v>
      </c>
      <c r="U1890" s="498" t="s">
        <v>8228</v>
      </c>
      <c r="V1890" s="498" t="s">
        <v>8266</v>
      </c>
      <c r="W1890" s="498">
        <v>366</v>
      </c>
      <c r="X1890" s="463" t="s">
        <v>1862</v>
      </c>
      <c r="Y1890" s="498" t="s">
        <v>8237</v>
      </c>
      <c r="Z1890" s="498"/>
      <c r="AA1890" s="463" t="s">
        <v>1770</v>
      </c>
      <c r="AB1890" s="459" t="s">
        <v>1770</v>
      </c>
    </row>
    <row r="1891" spans="1:28" ht="24" customHeight="1">
      <c r="A1891" s="584"/>
      <c r="B1891" s="460" t="s">
        <v>675</v>
      </c>
      <c r="C1891" s="458" t="s">
        <v>8272</v>
      </c>
      <c r="D1891" s="510" t="s">
        <v>8273</v>
      </c>
      <c r="E1891" s="498">
        <f t="shared" si="150"/>
        <v>45</v>
      </c>
      <c r="F1891" s="653">
        <v>0</v>
      </c>
      <c r="G1891" s="653">
        <v>0</v>
      </c>
      <c r="H1891" s="653">
        <v>45</v>
      </c>
      <c r="I1891" s="655">
        <f t="shared" si="151"/>
        <v>45</v>
      </c>
      <c r="J1891" s="655">
        <v>0</v>
      </c>
      <c r="K1891" s="655">
        <v>0</v>
      </c>
      <c r="L1891" s="710">
        <v>45</v>
      </c>
      <c r="M1891" s="680">
        <f t="shared" si="152"/>
        <v>100</v>
      </c>
      <c r="N1891" s="653">
        <v>0</v>
      </c>
      <c r="O1891" s="725" t="s">
        <v>2967</v>
      </c>
      <c r="P1891" s="498">
        <v>0</v>
      </c>
      <c r="Q1891" s="672">
        <v>0</v>
      </c>
      <c r="R1891" s="672">
        <v>0</v>
      </c>
      <c r="S1891" s="672">
        <v>0</v>
      </c>
      <c r="T1891" s="672">
        <v>0</v>
      </c>
      <c r="U1891" s="498" t="s">
        <v>8228</v>
      </c>
      <c r="V1891" s="498" t="s">
        <v>8266</v>
      </c>
      <c r="W1891" s="498">
        <v>138</v>
      </c>
      <c r="X1891" s="463" t="s">
        <v>1862</v>
      </c>
      <c r="Y1891" s="575">
        <v>0</v>
      </c>
      <c r="Z1891" s="498"/>
      <c r="AA1891" s="463" t="s">
        <v>1770</v>
      </c>
      <c r="AB1891" s="459" t="s">
        <v>1770</v>
      </c>
    </row>
    <row r="1892" spans="1:28" ht="24" customHeight="1">
      <c r="A1892" s="584"/>
      <c r="B1892" s="460" t="s">
        <v>675</v>
      </c>
      <c r="C1892" s="458" t="s">
        <v>8274</v>
      </c>
      <c r="D1892" s="510" t="s">
        <v>8275</v>
      </c>
      <c r="E1892" s="498">
        <f t="shared" si="150"/>
        <v>45</v>
      </c>
      <c r="F1892" s="653">
        <v>0</v>
      </c>
      <c r="G1892" s="653">
        <v>45</v>
      </c>
      <c r="H1892" s="653">
        <v>0</v>
      </c>
      <c r="I1892" s="655">
        <f t="shared" si="151"/>
        <v>45</v>
      </c>
      <c r="J1892" s="655">
        <v>0</v>
      </c>
      <c r="K1892" s="655">
        <v>45</v>
      </c>
      <c r="L1892" s="710">
        <v>0</v>
      </c>
      <c r="M1892" s="680">
        <f t="shared" si="152"/>
        <v>100</v>
      </c>
      <c r="N1892" s="653">
        <v>0</v>
      </c>
      <c r="O1892" s="725" t="s">
        <v>6980</v>
      </c>
      <c r="P1892" s="498">
        <v>0</v>
      </c>
      <c r="Q1892" s="672">
        <v>0</v>
      </c>
      <c r="R1892" s="672">
        <v>0</v>
      </c>
      <c r="S1892" s="672">
        <v>0</v>
      </c>
      <c r="T1892" s="672">
        <v>0</v>
      </c>
      <c r="U1892" s="498" t="s">
        <v>8228</v>
      </c>
      <c r="V1892" s="498" t="s">
        <v>8276</v>
      </c>
      <c r="W1892" s="498">
        <v>334</v>
      </c>
      <c r="X1892" s="463" t="s">
        <v>1862</v>
      </c>
      <c r="Y1892" s="575">
        <v>0</v>
      </c>
      <c r="Z1892" s="498"/>
      <c r="AA1892" s="463" t="s">
        <v>1770</v>
      </c>
      <c r="AB1892" s="459" t="s">
        <v>1770</v>
      </c>
    </row>
    <row r="1893" spans="1:28" ht="24" customHeight="1">
      <c r="A1893" s="584"/>
      <c r="B1893" s="460" t="s">
        <v>675</v>
      </c>
      <c r="C1893" s="458" t="s">
        <v>8277</v>
      </c>
      <c r="D1893" s="510" t="s">
        <v>8278</v>
      </c>
      <c r="E1893" s="498">
        <f t="shared" si="150"/>
        <v>45</v>
      </c>
      <c r="F1893" s="653">
        <v>0</v>
      </c>
      <c r="G1893" s="653">
        <v>0</v>
      </c>
      <c r="H1893" s="653">
        <v>45</v>
      </c>
      <c r="I1893" s="655">
        <f t="shared" si="151"/>
        <v>45</v>
      </c>
      <c r="J1893" s="655">
        <v>0</v>
      </c>
      <c r="K1893" s="655">
        <v>0</v>
      </c>
      <c r="L1893" s="710">
        <v>45</v>
      </c>
      <c r="M1893" s="680">
        <f t="shared" si="152"/>
        <v>100</v>
      </c>
      <c r="N1893" s="653">
        <v>0</v>
      </c>
      <c r="O1893" s="725" t="s">
        <v>8235</v>
      </c>
      <c r="P1893" s="498">
        <v>0</v>
      </c>
      <c r="Q1893" s="672">
        <v>0</v>
      </c>
      <c r="R1893" s="672">
        <v>0</v>
      </c>
      <c r="S1893" s="672">
        <v>0</v>
      </c>
      <c r="T1893" s="672">
        <v>0</v>
      </c>
      <c r="U1893" s="498" t="s">
        <v>8228</v>
      </c>
      <c r="V1893" s="498" t="s">
        <v>8279</v>
      </c>
      <c r="W1893" s="498">
        <v>374</v>
      </c>
      <c r="X1893" s="463" t="s">
        <v>1862</v>
      </c>
      <c r="Y1893" s="575">
        <v>0</v>
      </c>
      <c r="Z1893" s="498"/>
      <c r="AA1893" s="463" t="s">
        <v>1770</v>
      </c>
      <c r="AB1893" s="459" t="s">
        <v>1770</v>
      </c>
    </row>
    <row r="1894" spans="1:28" ht="24" customHeight="1">
      <c r="A1894" s="584"/>
      <c r="B1894" s="460" t="s">
        <v>675</v>
      </c>
      <c r="C1894" s="458" t="s">
        <v>8280</v>
      </c>
      <c r="D1894" s="510" t="s">
        <v>8281</v>
      </c>
      <c r="E1894" s="498">
        <f t="shared" si="150"/>
        <v>490</v>
      </c>
      <c r="F1894" s="653">
        <v>0</v>
      </c>
      <c r="G1894" s="653">
        <v>0</v>
      </c>
      <c r="H1894" s="653">
        <v>490</v>
      </c>
      <c r="I1894" s="655">
        <f t="shared" si="151"/>
        <v>490</v>
      </c>
      <c r="J1894" s="655">
        <v>0</v>
      </c>
      <c r="K1894" s="655">
        <v>0</v>
      </c>
      <c r="L1894" s="710">
        <v>490</v>
      </c>
      <c r="M1894" s="680">
        <f t="shared" si="152"/>
        <v>100</v>
      </c>
      <c r="N1894" s="653">
        <v>0</v>
      </c>
      <c r="O1894" s="725" t="s">
        <v>8220</v>
      </c>
      <c r="P1894" s="498">
        <v>0</v>
      </c>
      <c r="Q1894" s="672">
        <v>0</v>
      </c>
      <c r="R1894" s="672">
        <v>0</v>
      </c>
      <c r="S1894" s="672">
        <v>0</v>
      </c>
      <c r="T1894" s="672">
        <v>0</v>
      </c>
      <c r="U1894" s="498" t="s">
        <v>8228</v>
      </c>
      <c r="V1894" s="498" t="s">
        <v>8282</v>
      </c>
      <c r="W1894" s="498">
        <v>2483</v>
      </c>
      <c r="X1894" s="463" t="s">
        <v>1862</v>
      </c>
      <c r="Y1894" s="498" t="s">
        <v>3399</v>
      </c>
      <c r="Z1894" s="498"/>
      <c r="AA1894" s="463" t="s">
        <v>1770</v>
      </c>
      <c r="AB1894" s="459" t="s">
        <v>1770</v>
      </c>
    </row>
    <row r="1895" spans="1:28" ht="24" customHeight="1">
      <c r="A1895" s="584"/>
      <c r="B1895" s="460" t="s">
        <v>675</v>
      </c>
      <c r="C1895" s="458" t="s">
        <v>8283</v>
      </c>
      <c r="D1895" s="510" t="s">
        <v>8284</v>
      </c>
      <c r="E1895" s="498">
        <f t="shared" si="150"/>
        <v>250</v>
      </c>
      <c r="F1895" s="653">
        <v>0</v>
      </c>
      <c r="G1895" s="653">
        <v>0</v>
      </c>
      <c r="H1895" s="653">
        <v>250</v>
      </c>
      <c r="I1895" s="655">
        <f t="shared" si="151"/>
        <v>250</v>
      </c>
      <c r="J1895" s="655">
        <v>0</v>
      </c>
      <c r="K1895" s="655">
        <v>0</v>
      </c>
      <c r="L1895" s="710">
        <v>250</v>
      </c>
      <c r="M1895" s="680">
        <f t="shared" si="152"/>
        <v>100</v>
      </c>
      <c r="N1895" s="653">
        <v>0</v>
      </c>
      <c r="O1895" s="725" t="s">
        <v>8235</v>
      </c>
      <c r="P1895" s="498">
        <v>0</v>
      </c>
      <c r="Q1895" s="672">
        <v>0</v>
      </c>
      <c r="R1895" s="672">
        <v>0</v>
      </c>
      <c r="S1895" s="672">
        <v>0</v>
      </c>
      <c r="T1895" s="672">
        <v>0</v>
      </c>
      <c r="U1895" s="498" t="s">
        <v>8228</v>
      </c>
      <c r="V1895" s="498" t="s">
        <v>8285</v>
      </c>
      <c r="W1895" s="498">
        <v>630</v>
      </c>
      <c r="X1895" s="463" t="s">
        <v>1862</v>
      </c>
      <c r="Y1895" s="498" t="s">
        <v>3399</v>
      </c>
      <c r="Z1895" s="498"/>
      <c r="AA1895" s="463" t="s">
        <v>1770</v>
      </c>
      <c r="AB1895" s="459" t="s">
        <v>1770</v>
      </c>
    </row>
    <row r="1896" spans="1:28" ht="24" customHeight="1">
      <c r="A1896" s="584"/>
      <c r="B1896" s="460" t="s">
        <v>675</v>
      </c>
      <c r="C1896" s="458" t="s">
        <v>8286</v>
      </c>
      <c r="D1896" s="510" t="s">
        <v>8287</v>
      </c>
      <c r="E1896" s="498">
        <f t="shared" si="150"/>
        <v>140</v>
      </c>
      <c r="F1896" s="653">
        <v>0</v>
      </c>
      <c r="G1896" s="653">
        <v>0</v>
      </c>
      <c r="H1896" s="653">
        <v>140</v>
      </c>
      <c r="I1896" s="655">
        <f t="shared" si="151"/>
        <v>140</v>
      </c>
      <c r="J1896" s="655">
        <v>0</v>
      </c>
      <c r="K1896" s="655">
        <v>0</v>
      </c>
      <c r="L1896" s="710">
        <v>140</v>
      </c>
      <c r="M1896" s="680">
        <f t="shared" si="152"/>
        <v>100</v>
      </c>
      <c r="N1896" s="653">
        <v>0</v>
      </c>
      <c r="O1896" s="725" t="s">
        <v>8235</v>
      </c>
      <c r="P1896" s="498">
        <v>0</v>
      </c>
      <c r="Q1896" s="672">
        <v>0</v>
      </c>
      <c r="R1896" s="672">
        <v>0</v>
      </c>
      <c r="S1896" s="672">
        <v>0</v>
      </c>
      <c r="T1896" s="672">
        <v>0</v>
      </c>
      <c r="U1896" s="498" t="s">
        <v>8228</v>
      </c>
      <c r="V1896" s="498" t="s">
        <v>8285</v>
      </c>
      <c r="W1896" s="498">
        <v>1015</v>
      </c>
      <c r="X1896" s="463" t="s">
        <v>1862</v>
      </c>
      <c r="Y1896" s="498" t="s">
        <v>3399</v>
      </c>
      <c r="Z1896" s="498"/>
      <c r="AA1896" s="463" t="s">
        <v>1770</v>
      </c>
      <c r="AB1896" s="459" t="s">
        <v>1770</v>
      </c>
    </row>
    <row r="1897" spans="1:28" ht="24" customHeight="1">
      <c r="A1897" s="584"/>
      <c r="B1897" s="460" t="s">
        <v>675</v>
      </c>
      <c r="C1897" s="458" t="s">
        <v>8288</v>
      </c>
      <c r="D1897" s="510" t="s">
        <v>8289</v>
      </c>
      <c r="E1897" s="498">
        <f t="shared" si="150"/>
        <v>60</v>
      </c>
      <c r="F1897" s="653">
        <v>0</v>
      </c>
      <c r="G1897" s="653">
        <v>0</v>
      </c>
      <c r="H1897" s="653">
        <v>60</v>
      </c>
      <c r="I1897" s="655">
        <f t="shared" si="151"/>
        <v>60</v>
      </c>
      <c r="J1897" s="655">
        <v>0</v>
      </c>
      <c r="K1897" s="655">
        <v>0</v>
      </c>
      <c r="L1897" s="710">
        <v>60</v>
      </c>
      <c r="M1897" s="680">
        <f t="shared" si="152"/>
        <v>100</v>
      </c>
      <c r="N1897" s="653">
        <v>0</v>
      </c>
      <c r="O1897" s="725" t="s">
        <v>8232</v>
      </c>
      <c r="P1897" s="498">
        <v>0</v>
      </c>
      <c r="Q1897" s="672">
        <v>0</v>
      </c>
      <c r="R1897" s="672">
        <v>0</v>
      </c>
      <c r="S1897" s="672">
        <v>0</v>
      </c>
      <c r="T1897" s="672">
        <v>0</v>
      </c>
      <c r="U1897" s="498" t="s">
        <v>8228</v>
      </c>
      <c r="V1897" s="498" t="s">
        <v>8290</v>
      </c>
      <c r="W1897" s="498">
        <v>620</v>
      </c>
      <c r="X1897" s="463" t="s">
        <v>1862</v>
      </c>
      <c r="Y1897" s="498" t="s">
        <v>8237</v>
      </c>
      <c r="Z1897" s="498"/>
      <c r="AA1897" s="463" t="s">
        <v>1770</v>
      </c>
      <c r="AB1897" s="459" t="s">
        <v>1770</v>
      </c>
    </row>
    <row r="1898" spans="1:28" ht="24" customHeight="1">
      <c r="A1898" s="584"/>
      <c r="B1898" s="612" t="s">
        <v>675</v>
      </c>
      <c r="C1898" s="453" t="s">
        <v>8291</v>
      </c>
      <c r="D1898" s="510" t="s">
        <v>8292</v>
      </c>
      <c r="E1898" s="498">
        <f t="shared" si="150"/>
        <v>75</v>
      </c>
      <c r="F1898" s="653">
        <v>0</v>
      </c>
      <c r="G1898" s="653">
        <v>0</v>
      </c>
      <c r="H1898" s="653">
        <v>75</v>
      </c>
      <c r="I1898" s="655">
        <f t="shared" si="151"/>
        <v>75</v>
      </c>
      <c r="J1898" s="655">
        <v>0</v>
      </c>
      <c r="K1898" s="655">
        <v>0</v>
      </c>
      <c r="L1898" s="710">
        <v>75</v>
      </c>
      <c r="M1898" s="680">
        <f t="shared" si="152"/>
        <v>100</v>
      </c>
      <c r="N1898" s="653">
        <v>0</v>
      </c>
      <c r="O1898" s="725" t="s">
        <v>8232</v>
      </c>
      <c r="P1898" s="498">
        <v>0</v>
      </c>
      <c r="Q1898" s="672">
        <v>0</v>
      </c>
      <c r="R1898" s="672">
        <v>0</v>
      </c>
      <c r="S1898" s="672">
        <v>0</v>
      </c>
      <c r="T1898" s="672">
        <v>0</v>
      </c>
      <c r="U1898" s="498" t="s">
        <v>8228</v>
      </c>
      <c r="V1898" s="498" t="s">
        <v>8290</v>
      </c>
      <c r="W1898" s="498">
        <v>859</v>
      </c>
      <c r="X1898" s="463" t="s">
        <v>1862</v>
      </c>
      <c r="Y1898" s="498" t="s">
        <v>3399</v>
      </c>
      <c r="Z1898" s="498"/>
      <c r="AA1898" s="463" t="s">
        <v>1770</v>
      </c>
      <c r="AB1898" s="459" t="s">
        <v>1770</v>
      </c>
    </row>
    <row r="1899" spans="1:28" ht="24" customHeight="1">
      <c r="A1899" s="582" t="s">
        <v>1771</v>
      </c>
      <c r="B1899" s="638" t="s">
        <v>2201</v>
      </c>
      <c r="C1899" s="766" t="s">
        <v>2350</v>
      </c>
      <c r="D1899" s="767" t="s">
        <v>8293</v>
      </c>
      <c r="E1899" s="498">
        <f t="shared" si="150"/>
        <v>48000</v>
      </c>
      <c r="F1899" s="498">
        <v>0</v>
      </c>
      <c r="G1899" s="498">
        <v>0</v>
      </c>
      <c r="H1899" s="498">
        <v>48000</v>
      </c>
      <c r="I1899" s="655">
        <f t="shared" si="151"/>
        <v>0</v>
      </c>
      <c r="J1899" s="655">
        <v>0</v>
      </c>
      <c r="K1899" s="655">
        <v>0</v>
      </c>
      <c r="L1899" s="710" t="s">
        <v>3211</v>
      </c>
      <c r="M1899" s="680">
        <f t="shared" si="152"/>
        <v>0</v>
      </c>
      <c r="N1899" s="498">
        <v>0</v>
      </c>
      <c r="O1899" s="669" t="s">
        <v>3268</v>
      </c>
      <c r="P1899" s="463" t="s">
        <v>7427</v>
      </c>
      <c r="Q1899" s="672">
        <v>0</v>
      </c>
      <c r="R1899" s="672">
        <v>0</v>
      </c>
      <c r="S1899" s="672">
        <v>0</v>
      </c>
      <c r="T1899" s="672">
        <v>0</v>
      </c>
      <c r="U1899" s="463" t="s">
        <v>2353</v>
      </c>
      <c r="V1899" s="576">
        <v>36115</v>
      </c>
      <c r="W1899" s="498">
        <v>54796</v>
      </c>
      <c r="X1899" s="463" t="s">
        <v>2276</v>
      </c>
      <c r="Y1899" s="463" t="s">
        <v>3336</v>
      </c>
      <c r="Z1899" s="463" t="s">
        <v>1772</v>
      </c>
      <c r="AA1899" s="463" t="s">
        <v>1589</v>
      </c>
      <c r="AB1899" s="459" t="s">
        <v>1589</v>
      </c>
    </row>
    <row r="1900" spans="1:28" ht="24" customHeight="1">
      <c r="A1900" s="584"/>
      <c r="B1900" s="639" t="s">
        <v>2201</v>
      </c>
      <c r="C1900" s="779"/>
      <c r="D1900" s="767" t="s">
        <v>2351</v>
      </c>
      <c r="E1900" s="498">
        <f t="shared" si="150"/>
        <v>98000</v>
      </c>
      <c r="F1900" s="498">
        <v>0</v>
      </c>
      <c r="G1900" s="498">
        <v>0</v>
      </c>
      <c r="H1900" s="498">
        <v>98000</v>
      </c>
      <c r="I1900" s="655">
        <f t="shared" si="151"/>
        <v>59909</v>
      </c>
      <c r="J1900" s="655">
        <v>0</v>
      </c>
      <c r="K1900" s="655">
        <v>0</v>
      </c>
      <c r="L1900" s="710">
        <v>59909</v>
      </c>
      <c r="M1900" s="680">
        <f t="shared" si="152"/>
        <v>61.131632653061232</v>
      </c>
      <c r="N1900" s="498">
        <v>6483</v>
      </c>
      <c r="O1900" s="669" t="s">
        <v>3268</v>
      </c>
      <c r="P1900" s="463" t="s">
        <v>7427</v>
      </c>
      <c r="Q1900" s="672">
        <v>172</v>
      </c>
      <c r="R1900" s="672">
        <v>0</v>
      </c>
      <c r="S1900" s="672">
        <v>442</v>
      </c>
      <c r="T1900" s="672">
        <v>0</v>
      </c>
      <c r="U1900" s="463" t="s">
        <v>2353</v>
      </c>
      <c r="V1900" s="576">
        <v>38282</v>
      </c>
      <c r="W1900" s="498">
        <v>162206</v>
      </c>
      <c r="X1900" s="463" t="s">
        <v>2276</v>
      </c>
      <c r="Y1900" s="463" t="s">
        <v>3336</v>
      </c>
      <c r="Z1900" s="463" t="s">
        <v>1772</v>
      </c>
      <c r="AA1900" s="463" t="s">
        <v>1589</v>
      </c>
      <c r="AB1900" s="459" t="s">
        <v>1589</v>
      </c>
    </row>
    <row r="1901" spans="1:28" ht="24" customHeight="1">
      <c r="A1901" s="584"/>
      <c r="B1901" s="639" t="s">
        <v>675</v>
      </c>
      <c r="C1901" s="768" t="s">
        <v>2149</v>
      </c>
      <c r="D1901" s="510" t="s">
        <v>8294</v>
      </c>
      <c r="E1901" s="498">
        <f t="shared" si="150"/>
        <v>65</v>
      </c>
      <c r="F1901" s="498">
        <v>0</v>
      </c>
      <c r="G1901" s="498">
        <v>0</v>
      </c>
      <c r="H1901" s="498">
        <v>65</v>
      </c>
      <c r="I1901" s="655">
        <f t="shared" si="151"/>
        <v>84</v>
      </c>
      <c r="J1901" s="655">
        <v>0</v>
      </c>
      <c r="K1901" s="655">
        <v>0</v>
      </c>
      <c r="L1901" s="710">
        <v>84</v>
      </c>
      <c r="M1901" s="680">
        <f t="shared" si="152"/>
        <v>129.23076923076923</v>
      </c>
      <c r="N1901" s="498">
        <v>7.7</v>
      </c>
      <c r="O1901" s="669" t="s">
        <v>3268</v>
      </c>
      <c r="P1901" s="463" t="s">
        <v>7427</v>
      </c>
      <c r="Q1901" s="672">
        <v>0</v>
      </c>
      <c r="R1901" s="672">
        <v>0</v>
      </c>
      <c r="S1901" s="672">
        <v>0</v>
      </c>
      <c r="T1901" s="672">
        <v>0</v>
      </c>
      <c r="U1901" s="463" t="s">
        <v>2353</v>
      </c>
      <c r="V1901" s="576">
        <v>38212</v>
      </c>
      <c r="W1901" s="498">
        <v>7525</v>
      </c>
      <c r="X1901" s="463" t="s">
        <v>2276</v>
      </c>
      <c r="Y1901" s="463" t="s">
        <v>3336</v>
      </c>
      <c r="Z1901" s="463" t="s">
        <v>8295</v>
      </c>
      <c r="AA1901" s="463" t="s">
        <v>1589</v>
      </c>
      <c r="AB1901" s="459" t="s">
        <v>1589</v>
      </c>
    </row>
    <row r="1902" spans="1:28" ht="24" customHeight="1">
      <c r="A1902" s="584"/>
      <c r="B1902" s="640" t="s">
        <v>675</v>
      </c>
      <c r="C1902" s="458" t="s">
        <v>2150</v>
      </c>
      <c r="D1902" s="510" t="s">
        <v>8296</v>
      </c>
      <c r="E1902" s="498">
        <f t="shared" si="150"/>
        <v>20</v>
      </c>
      <c r="F1902" s="498">
        <v>0</v>
      </c>
      <c r="G1902" s="498">
        <v>20</v>
      </c>
      <c r="H1902" s="498">
        <v>0</v>
      </c>
      <c r="I1902" s="498">
        <f t="shared" si="151"/>
        <v>20</v>
      </c>
      <c r="J1902" s="498">
        <v>0</v>
      </c>
      <c r="K1902" s="498">
        <v>20</v>
      </c>
      <c r="L1902" s="498">
        <v>0</v>
      </c>
      <c r="M1902" s="680">
        <f t="shared" si="152"/>
        <v>100</v>
      </c>
      <c r="N1902" s="498">
        <v>0.98</v>
      </c>
      <c r="O1902" s="669" t="s">
        <v>8297</v>
      </c>
      <c r="P1902" s="463" t="s">
        <v>7427</v>
      </c>
      <c r="Q1902" s="672">
        <v>0</v>
      </c>
      <c r="R1902" s="672">
        <v>0</v>
      </c>
      <c r="S1902" s="672">
        <v>0</v>
      </c>
      <c r="T1902" s="672">
        <v>0</v>
      </c>
      <c r="U1902" s="463" t="s">
        <v>2353</v>
      </c>
      <c r="V1902" s="576">
        <v>38212</v>
      </c>
      <c r="W1902" s="498"/>
      <c r="X1902" s="463" t="s">
        <v>2276</v>
      </c>
      <c r="Y1902" s="463"/>
      <c r="Z1902" s="463" t="s">
        <v>8295</v>
      </c>
      <c r="AA1902" s="463" t="s">
        <v>1589</v>
      </c>
      <c r="AB1902" s="459" t="s">
        <v>1589</v>
      </c>
    </row>
    <row r="1903" spans="1:28" ht="24" customHeight="1">
      <c r="A1903" s="584"/>
      <c r="B1903" s="640" t="s">
        <v>675</v>
      </c>
      <c r="C1903" s="458" t="s">
        <v>8298</v>
      </c>
      <c r="D1903" s="510" t="s">
        <v>8299</v>
      </c>
      <c r="E1903" s="498">
        <f t="shared" si="150"/>
        <v>30</v>
      </c>
      <c r="F1903" s="498">
        <v>0</v>
      </c>
      <c r="G1903" s="498">
        <v>30</v>
      </c>
      <c r="H1903" s="498">
        <v>0</v>
      </c>
      <c r="I1903" s="498">
        <f t="shared" si="151"/>
        <v>30</v>
      </c>
      <c r="J1903" s="498">
        <v>0</v>
      </c>
      <c r="K1903" s="498">
        <v>30</v>
      </c>
      <c r="L1903" s="498">
        <v>0</v>
      </c>
      <c r="M1903" s="680">
        <f t="shared" si="152"/>
        <v>100</v>
      </c>
      <c r="N1903" s="498">
        <v>1.59</v>
      </c>
      <c r="O1903" s="669" t="s">
        <v>8297</v>
      </c>
      <c r="P1903" s="463" t="s">
        <v>7427</v>
      </c>
      <c r="Q1903" s="672">
        <v>0</v>
      </c>
      <c r="R1903" s="672">
        <v>0</v>
      </c>
      <c r="S1903" s="672">
        <v>0</v>
      </c>
      <c r="T1903" s="672">
        <v>0</v>
      </c>
      <c r="U1903" s="463" t="s">
        <v>2353</v>
      </c>
      <c r="V1903" s="576">
        <v>38212</v>
      </c>
      <c r="W1903" s="498"/>
      <c r="X1903" s="463" t="s">
        <v>2276</v>
      </c>
      <c r="Y1903" s="463"/>
      <c r="Z1903" s="463" t="s">
        <v>8295</v>
      </c>
      <c r="AA1903" s="463" t="s">
        <v>1589</v>
      </c>
      <c r="AB1903" s="459" t="s">
        <v>1589</v>
      </c>
    </row>
    <row r="1904" spans="1:28" ht="24" customHeight="1">
      <c r="A1904" s="584"/>
      <c r="B1904" s="640" t="s">
        <v>675</v>
      </c>
      <c r="C1904" s="458" t="s">
        <v>8300</v>
      </c>
      <c r="D1904" s="510" t="s">
        <v>8301</v>
      </c>
      <c r="E1904" s="498">
        <f t="shared" si="150"/>
        <v>48</v>
      </c>
      <c r="F1904" s="498">
        <v>0</v>
      </c>
      <c r="G1904" s="498">
        <v>48</v>
      </c>
      <c r="H1904" s="498">
        <v>0</v>
      </c>
      <c r="I1904" s="498">
        <f t="shared" si="151"/>
        <v>48</v>
      </c>
      <c r="J1904" s="498">
        <v>0</v>
      </c>
      <c r="K1904" s="498">
        <v>48</v>
      </c>
      <c r="L1904" s="498">
        <v>0</v>
      </c>
      <c r="M1904" s="680">
        <f t="shared" si="152"/>
        <v>100</v>
      </c>
      <c r="N1904" s="498">
        <v>3.35</v>
      </c>
      <c r="O1904" s="669" t="s">
        <v>8302</v>
      </c>
      <c r="P1904" s="463" t="s">
        <v>7427</v>
      </c>
      <c r="Q1904" s="672">
        <v>0</v>
      </c>
      <c r="R1904" s="672">
        <v>0</v>
      </c>
      <c r="S1904" s="672">
        <v>0</v>
      </c>
      <c r="T1904" s="672">
        <v>0</v>
      </c>
      <c r="U1904" s="463" t="s">
        <v>2353</v>
      </c>
      <c r="V1904" s="576">
        <v>38383</v>
      </c>
      <c r="W1904" s="498"/>
      <c r="X1904" s="463" t="s">
        <v>2276</v>
      </c>
      <c r="Y1904" s="463"/>
      <c r="Z1904" s="463" t="s">
        <v>8295</v>
      </c>
      <c r="AA1904" s="463" t="s">
        <v>1589</v>
      </c>
      <c r="AB1904" s="459" t="s">
        <v>1589</v>
      </c>
    </row>
    <row r="1905" spans="1:28" ht="24" customHeight="1">
      <c r="A1905" s="584"/>
      <c r="B1905" s="640" t="s">
        <v>675</v>
      </c>
      <c r="C1905" s="458" t="s">
        <v>2148</v>
      </c>
      <c r="D1905" s="510" t="s">
        <v>8303</v>
      </c>
      <c r="E1905" s="498">
        <f t="shared" si="150"/>
        <v>20</v>
      </c>
      <c r="F1905" s="498">
        <v>0</v>
      </c>
      <c r="G1905" s="498">
        <v>20</v>
      </c>
      <c r="H1905" s="498">
        <v>0</v>
      </c>
      <c r="I1905" s="498">
        <f t="shared" si="151"/>
        <v>20</v>
      </c>
      <c r="J1905" s="498">
        <v>0</v>
      </c>
      <c r="K1905" s="498">
        <v>20</v>
      </c>
      <c r="L1905" s="498">
        <v>0</v>
      </c>
      <c r="M1905" s="680">
        <f t="shared" si="152"/>
        <v>100</v>
      </c>
      <c r="N1905" s="498">
        <v>1.05</v>
      </c>
      <c r="O1905" s="669" t="s">
        <v>8302</v>
      </c>
      <c r="P1905" s="463" t="s">
        <v>7427</v>
      </c>
      <c r="Q1905" s="672">
        <v>0</v>
      </c>
      <c r="R1905" s="672">
        <v>0</v>
      </c>
      <c r="S1905" s="672">
        <v>0</v>
      </c>
      <c r="T1905" s="672">
        <v>0</v>
      </c>
      <c r="U1905" s="463" t="s">
        <v>2353</v>
      </c>
      <c r="V1905" s="576">
        <v>38383</v>
      </c>
      <c r="W1905" s="498"/>
      <c r="X1905" s="463" t="s">
        <v>2276</v>
      </c>
      <c r="Y1905" s="463"/>
      <c r="Z1905" s="463" t="s">
        <v>8295</v>
      </c>
      <c r="AA1905" s="463" t="s">
        <v>1589</v>
      </c>
      <c r="AB1905" s="459" t="s">
        <v>1589</v>
      </c>
    </row>
    <row r="1906" spans="1:28" ht="24" customHeight="1">
      <c r="A1906" s="584"/>
      <c r="B1906" s="640" t="s">
        <v>675</v>
      </c>
      <c r="C1906" s="458" t="s">
        <v>1662</v>
      </c>
      <c r="D1906" s="510" t="s">
        <v>8304</v>
      </c>
      <c r="E1906" s="498">
        <f t="shared" si="150"/>
        <v>25</v>
      </c>
      <c r="F1906" s="498">
        <v>0</v>
      </c>
      <c r="G1906" s="498">
        <v>25</v>
      </c>
      <c r="H1906" s="498">
        <v>0</v>
      </c>
      <c r="I1906" s="498">
        <f t="shared" si="151"/>
        <v>25</v>
      </c>
      <c r="J1906" s="498">
        <v>0</v>
      </c>
      <c r="K1906" s="498">
        <v>25</v>
      </c>
      <c r="L1906" s="498">
        <v>0</v>
      </c>
      <c r="M1906" s="680">
        <f t="shared" si="152"/>
        <v>100</v>
      </c>
      <c r="N1906" s="498">
        <v>1.69</v>
      </c>
      <c r="O1906" s="669" t="s">
        <v>8302</v>
      </c>
      <c r="P1906" s="463" t="s">
        <v>7427</v>
      </c>
      <c r="Q1906" s="672">
        <v>0</v>
      </c>
      <c r="R1906" s="672">
        <v>0</v>
      </c>
      <c r="S1906" s="672">
        <v>0</v>
      </c>
      <c r="T1906" s="672">
        <v>0</v>
      </c>
      <c r="U1906" s="463" t="s">
        <v>2353</v>
      </c>
      <c r="V1906" s="576">
        <v>38383</v>
      </c>
      <c r="W1906" s="498"/>
      <c r="X1906" s="463" t="s">
        <v>2276</v>
      </c>
      <c r="Y1906" s="463"/>
      <c r="Z1906" s="463" t="s">
        <v>8295</v>
      </c>
      <c r="AA1906" s="463" t="s">
        <v>1589</v>
      </c>
      <c r="AB1906" s="459" t="s">
        <v>1589</v>
      </c>
    </row>
    <row r="1907" spans="1:28" ht="24" customHeight="1">
      <c r="A1907" s="583"/>
      <c r="B1907" s="640" t="s">
        <v>675</v>
      </c>
      <c r="C1907" s="458" t="s">
        <v>8305</v>
      </c>
      <c r="D1907" s="510" t="s">
        <v>8306</v>
      </c>
      <c r="E1907" s="498">
        <f t="shared" si="150"/>
        <v>30</v>
      </c>
      <c r="F1907" s="498">
        <v>0</v>
      </c>
      <c r="G1907" s="498">
        <v>30</v>
      </c>
      <c r="H1907" s="498">
        <v>0</v>
      </c>
      <c r="I1907" s="498">
        <f t="shared" si="151"/>
        <v>30</v>
      </c>
      <c r="J1907" s="498">
        <v>0</v>
      </c>
      <c r="K1907" s="498">
        <v>30</v>
      </c>
      <c r="L1907" s="498">
        <v>0</v>
      </c>
      <c r="M1907" s="680">
        <f t="shared" si="152"/>
        <v>100</v>
      </c>
      <c r="N1907" s="498">
        <v>0.74</v>
      </c>
      <c r="O1907" s="669" t="s">
        <v>6499</v>
      </c>
      <c r="P1907" s="498" t="s">
        <v>7427</v>
      </c>
      <c r="Q1907" s="672">
        <v>0</v>
      </c>
      <c r="R1907" s="672">
        <v>0</v>
      </c>
      <c r="S1907" s="672">
        <v>0</v>
      </c>
      <c r="T1907" s="672">
        <v>0</v>
      </c>
      <c r="U1907" s="463" t="s">
        <v>2353</v>
      </c>
      <c r="V1907" s="576">
        <v>35056</v>
      </c>
      <c r="W1907" s="498">
        <v>95</v>
      </c>
      <c r="X1907" s="463" t="s">
        <v>2276</v>
      </c>
      <c r="Y1907" s="463"/>
      <c r="Z1907" s="463" t="s">
        <v>1773</v>
      </c>
      <c r="AA1907" s="463" t="s">
        <v>1589</v>
      </c>
      <c r="AB1907" s="459" t="s">
        <v>1589</v>
      </c>
    </row>
    <row r="1908" spans="1:28" ht="24" customHeight="1">
      <c r="A1908" s="584" t="s">
        <v>1616</v>
      </c>
      <c r="B1908" s="458" t="s">
        <v>6050</v>
      </c>
      <c r="C1908" s="579"/>
      <c r="D1908" s="579"/>
      <c r="E1908" s="498" t="s">
        <v>6274</v>
      </c>
      <c r="F1908" s="498">
        <v>0</v>
      </c>
      <c r="G1908" s="498" t="s">
        <v>6275</v>
      </c>
      <c r="H1908" s="498" t="s">
        <v>6276</v>
      </c>
      <c r="I1908" s="498" t="s">
        <v>6277</v>
      </c>
      <c r="J1908" s="498">
        <v>0</v>
      </c>
      <c r="K1908" s="498" t="s">
        <v>6278</v>
      </c>
      <c r="L1908" s="668" t="s">
        <v>6280</v>
      </c>
      <c r="M1908" s="672">
        <v>0</v>
      </c>
      <c r="N1908" s="498" t="s">
        <v>6281</v>
      </c>
      <c r="O1908" s="669" t="s">
        <v>7427</v>
      </c>
      <c r="P1908" s="463" t="s">
        <v>7427</v>
      </c>
      <c r="Q1908" s="672" t="s">
        <v>6279</v>
      </c>
      <c r="R1908" s="672" t="s">
        <v>6223</v>
      </c>
      <c r="S1908" s="672" t="s">
        <v>6282</v>
      </c>
      <c r="T1908" s="672">
        <v>0</v>
      </c>
      <c r="U1908" s="463"/>
      <c r="V1908" s="463"/>
      <c r="W1908" s="498">
        <f>SUM(W1909:W2035)</f>
        <v>3680333.35</v>
      </c>
      <c r="X1908" s="463"/>
      <c r="Y1908" s="463"/>
      <c r="Z1908" s="463"/>
      <c r="AA1908" s="463"/>
      <c r="AB1908" s="459"/>
    </row>
    <row r="1909" spans="1:28" ht="24" customHeight="1">
      <c r="A1909" s="582" t="s">
        <v>1774</v>
      </c>
      <c r="B1909" s="460" t="s">
        <v>2201</v>
      </c>
      <c r="C1909" s="458" t="s">
        <v>2354</v>
      </c>
      <c r="D1909" s="510" t="s">
        <v>2355</v>
      </c>
      <c r="E1909" s="653">
        <f t="shared" ref="E1909:E1949" si="153">F1909+G1909+H1909</f>
        <v>4000</v>
      </c>
      <c r="F1909" s="498">
        <v>0</v>
      </c>
      <c r="G1909" s="653">
        <v>4000</v>
      </c>
      <c r="H1909" s="653">
        <v>0</v>
      </c>
      <c r="I1909" s="655">
        <f t="shared" ref="I1909:I1967" si="154">SUM(J1909:L1909)</f>
        <v>3254</v>
      </c>
      <c r="J1909" s="655">
        <v>0</v>
      </c>
      <c r="K1909" s="655">
        <v>3254</v>
      </c>
      <c r="L1909" s="710">
        <v>0</v>
      </c>
      <c r="M1909" s="680">
        <f t="shared" ref="M1909:M1972" si="155">I1909/E1909*100</f>
        <v>81.349999999999994</v>
      </c>
      <c r="N1909" s="498">
        <v>199.3</v>
      </c>
      <c r="O1909" s="725" t="s">
        <v>3714</v>
      </c>
      <c r="P1909" s="498" t="s">
        <v>7427</v>
      </c>
      <c r="Q1909" s="672">
        <v>15</v>
      </c>
      <c r="R1909" s="672">
        <v>55</v>
      </c>
      <c r="S1909" s="672">
        <v>19</v>
      </c>
      <c r="T1909" s="672">
        <v>0</v>
      </c>
      <c r="U1909" s="498" t="s">
        <v>2356</v>
      </c>
      <c r="V1909" s="518" t="s">
        <v>8307</v>
      </c>
      <c r="W1909" s="498">
        <v>19200</v>
      </c>
      <c r="X1909" s="498" t="s">
        <v>2199</v>
      </c>
      <c r="Y1909" s="498" t="s">
        <v>1533</v>
      </c>
      <c r="Z1909" s="498"/>
      <c r="AA1909" s="498" t="s">
        <v>1932</v>
      </c>
      <c r="AB1909" s="577" t="s">
        <v>1589</v>
      </c>
    </row>
    <row r="1910" spans="1:28" ht="24" customHeight="1">
      <c r="A1910" s="584"/>
      <c r="B1910" s="460" t="s">
        <v>2201</v>
      </c>
      <c r="C1910" s="458" t="s">
        <v>8308</v>
      </c>
      <c r="D1910" s="510" t="s">
        <v>8309</v>
      </c>
      <c r="E1910" s="653">
        <f t="shared" si="153"/>
        <v>1000</v>
      </c>
      <c r="F1910" s="498">
        <v>0</v>
      </c>
      <c r="G1910" s="653">
        <v>1000</v>
      </c>
      <c r="H1910" s="653">
        <v>0</v>
      </c>
      <c r="I1910" s="655">
        <f t="shared" si="154"/>
        <v>1137</v>
      </c>
      <c r="J1910" s="655">
        <v>0</v>
      </c>
      <c r="K1910" s="655">
        <v>1137</v>
      </c>
      <c r="L1910" s="710">
        <v>0</v>
      </c>
      <c r="M1910" s="680">
        <f t="shared" si="155"/>
        <v>113.7</v>
      </c>
      <c r="N1910" s="498">
        <v>35</v>
      </c>
      <c r="O1910" s="725" t="s">
        <v>3714</v>
      </c>
      <c r="P1910" s="498" t="s">
        <v>7427</v>
      </c>
      <c r="Q1910" s="672">
        <v>0</v>
      </c>
      <c r="R1910" s="672">
        <v>0</v>
      </c>
      <c r="S1910" s="672">
        <v>0</v>
      </c>
      <c r="T1910" s="672">
        <v>0</v>
      </c>
      <c r="U1910" s="498" t="s">
        <v>2356</v>
      </c>
      <c r="V1910" s="518" t="s">
        <v>8310</v>
      </c>
      <c r="W1910" s="498">
        <v>4466</v>
      </c>
      <c r="X1910" s="498" t="s">
        <v>2199</v>
      </c>
      <c r="Y1910" s="498" t="s">
        <v>3399</v>
      </c>
      <c r="Z1910" s="498"/>
      <c r="AA1910" s="498" t="s">
        <v>1589</v>
      </c>
      <c r="AB1910" s="577" t="s">
        <v>1589</v>
      </c>
    </row>
    <row r="1911" spans="1:28" ht="24" customHeight="1">
      <c r="A1911" s="584"/>
      <c r="B1911" s="460" t="s">
        <v>675</v>
      </c>
      <c r="C1911" s="458" t="s">
        <v>4830</v>
      </c>
      <c r="D1911" s="510" t="s">
        <v>8311</v>
      </c>
      <c r="E1911" s="498">
        <f t="shared" si="153"/>
        <v>110</v>
      </c>
      <c r="F1911" s="498">
        <v>0</v>
      </c>
      <c r="G1911" s="498">
        <v>110</v>
      </c>
      <c r="H1911" s="498">
        <v>0</v>
      </c>
      <c r="I1911" s="655">
        <f t="shared" si="154"/>
        <v>33.6</v>
      </c>
      <c r="J1911" s="655">
        <v>0</v>
      </c>
      <c r="K1911" s="655">
        <v>33.6</v>
      </c>
      <c r="L1911" s="710">
        <v>0</v>
      </c>
      <c r="M1911" s="680">
        <f t="shared" si="155"/>
        <v>30.545454545454547</v>
      </c>
      <c r="N1911" s="498">
        <v>0.83</v>
      </c>
      <c r="O1911" s="725" t="s">
        <v>8312</v>
      </c>
      <c r="P1911" s="498" t="s">
        <v>7427</v>
      </c>
      <c r="Q1911" s="672">
        <v>0</v>
      </c>
      <c r="R1911" s="672">
        <v>0</v>
      </c>
      <c r="S1911" s="672">
        <v>0</v>
      </c>
      <c r="T1911" s="672">
        <v>0</v>
      </c>
      <c r="U1911" s="498" t="s">
        <v>2356</v>
      </c>
      <c r="V1911" s="518" t="s">
        <v>8313</v>
      </c>
      <c r="W1911" s="498">
        <v>473</v>
      </c>
      <c r="X1911" s="498" t="s">
        <v>2199</v>
      </c>
      <c r="Y1911" s="498" t="s">
        <v>3399</v>
      </c>
      <c r="Z1911" s="498"/>
      <c r="AA1911" s="498" t="s">
        <v>1932</v>
      </c>
      <c r="AB1911" s="577" t="s">
        <v>1589</v>
      </c>
    </row>
    <row r="1912" spans="1:28" ht="24" customHeight="1">
      <c r="A1912" s="584"/>
      <c r="B1912" s="460" t="s">
        <v>675</v>
      </c>
      <c r="C1912" s="458" t="s">
        <v>8314</v>
      </c>
      <c r="D1912" s="510" t="s">
        <v>8315</v>
      </c>
      <c r="E1912" s="498">
        <f t="shared" si="153"/>
        <v>60</v>
      </c>
      <c r="F1912" s="498">
        <v>0</v>
      </c>
      <c r="G1912" s="498">
        <v>60</v>
      </c>
      <c r="H1912" s="498">
        <v>0</v>
      </c>
      <c r="I1912" s="655">
        <f t="shared" si="154"/>
        <v>21.3</v>
      </c>
      <c r="J1912" s="655">
        <v>0</v>
      </c>
      <c r="K1912" s="655">
        <v>21.3</v>
      </c>
      <c r="L1912" s="710">
        <v>0</v>
      </c>
      <c r="M1912" s="680">
        <f t="shared" si="155"/>
        <v>35.500000000000007</v>
      </c>
      <c r="N1912" s="498">
        <v>1</v>
      </c>
      <c r="O1912" s="725" t="s">
        <v>5089</v>
      </c>
      <c r="P1912" s="498" t="s">
        <v>7427</v>
      </c>
      <c r="Q1912" s="672">
        <v>0</v>
      </c>
      <c r="R1912" s="672">
        <v>0</v>
      </c>
      <c r="S1912" s="672">
        <v>0</v>
      </c>
      <c r="T1912" s="672">
        <v>0</v>
      </c>
      <c r="U1912" s="498" t="s">
        <v>2356</v>
      </c>
      <c r="V1912" s="518" t="s">
        <v>8316</v>
      </c>
      <c r="W1912" s="498">
        <v>360</v>
      </c>
      <c r="X1912" s="498" t="s">
        <v>2199</v>
      </c>
      <c r="Y1912" s="498" t="s">
        <v>1533</v>
      </c>
      <c r="Z1912" s="498"/>
      <c r="AA1912" s="498" t="s">
        <v>1932</v>
      </c>
      <c r="AB1912" s="577" t="s">
        <v>1589</v>
      </c>
    </row>
    <row r="1913" spans="1:28" ht="24" customHeight="1">
      <c r="A1913" s="584"/>
      <c r="B1913" s="460" t="s">
        <v>675</v>
      </c>
      <c r="C1913" s="458" t="s">
        <v>2133</v>
      </c>
      <c r="D1913" s="510" t="s">
        <v>8317</v>
      </c>
      <c r="E1913" s="498">
        <f t="shared" si="153"/>
        <v>50</v>
      </c>
      <c r="F1913" s="498">
        <v>0</v>
      </c>
      <c r="G1913" s="498">
        <v>50</v>
      </c>
      <c r="H1913" s="498">
        <v>0</v>
      </c>
      <c r="I1913" s="655">
        <f t="shared" si="154"/>
        <v>14.9</v>
      </c>
      <c r="J1913" s="655">
        <v>0</v>
      </c>
      <c r="K1913" s="655">
        <v>14.9</v>
      </c>
      <c r="L1913" s="710">
        <v>0</v>
      </c>
      <c r="M1913" s="680">
        <f t="shared" si="155"/>
        <v>29.799999999999997</v>
      </c>
      <c r="N1913" s="498">
        <v>0.49</v>
      </c>
      <c r="O1913" s="725" t="s">
        <v>8312</v>
      </c>
      <c r="P1913" s="498" t="s">
        <v>7427</v>
      </c>
      <c r="Q1913" s="672">
        <v>0</v>
      </c>
      <c r="R1913" s="672">
        <v>0</v>
      </c>
      <c r="S1913" s="672">
        <v>0</v>
      </c>
      <c r="T1913" s="672">
        <v>0</v>
      </c>
      <c r="U1913" s="498" t="s">
        <v>2356</v>
      </c>
      <c r="V1913" s="518" t="s">
        <v>8318</v>
      </c>
      <c r="W1913" s="498">
        <v>600</v>
      </c>
      <c r="X1913" s="498" t="s">
        <v>2199</v>
      </c>
      <c r="Y1913" s="498" t="s">
        <v>3399</v>
      </c>
      <c r="Z1913" s="498"/>
      <c r="AA1913" s="498" t="s">
        <v>1932</v>
      </c>
      <c r="AB1913" s="577" t="s">
        <v>1589</v>
      </c>
    </row>
    <row r="1914" spans="1:28" ht="24" customHeight="1">
      <c r="A1914" s="584"/>
      <c r="B1914" s="460" t="s">
        <v>675</v>
      </c>
      <c r="C1914" s="458" t="s">
        <v>8319</v>
      </c>
      <c r="D1914" s="510" t="s">
        <v>8320</v>
      </c>
      <c r="E1914" s="498">
        <f t="shared" si="153"/>
        <v>60</v>
      </c>
      <c r="F1914" s="498">
        <v>0</v>
      </c>
      <c r="G1914" s="498">
        <v>60</v>
      </c>
      <c r="H1914" s="498">
        <v>0</v>
      </c>
      <c r="I1914" s="655">
        <f t="shared" si="154"/>
        <v>19.600000000000001</v>
      </c>
      <c r="J1914" s="655">
        <v>0</v>
      </c>
      <c r="K1914" s="655">
        <v>19.600000000000001</v>
      </c>
      <c r="L1914" s="710">
        <v>0</v>
      </c>
      <c r="M1914" s="680">
        <f t="shared" si="155"/>
        <v>32.666666666666671</v>
      </c>
      <c r="N1914" s="498">
        <v>0.53</v>
      </c>
      <c r="O1914" s="725" t="s">
        <v>5089</v>
      </c>
      <c r="P1914" s="498" t="s">
        <v>7427</v>
      </c>
      <c r="Q1914" s="672">
        <v>0</v>
      </c>
      <c r="R1914" s="672">
        <v>0</v>
      </c>
      <c r="S1914" s="672">
        <v>0</v>
      </c>
      <c r="T1914" s="672">
        <v>0</v>
      </c>
      <c r="U1914" s="498" t="s">
        <v>2356</v>
      </c>
      <c r="V1914" s="518" t="s">
        <v>8321</v>
      </c>
      <c r="W1914" s="498">
        <v>273</v>
      </c>
      <c r="X1914" s="498" t="s">
        <v>2199</v>
      </c>
      <c r="Y1914" s="498" t="s">
        <v>1533</v>
      </c>
      <c r="Z1914" s="498"/>
      <c r="AA1914" s="498" t="s">
        <v>1932</v>
      </c>
      <c r="AB1914" s="577" t="s">
        <v>1589</v>
      </c>
    </row>
    <row r="1915" spans="1:28" ht="24" customHeight="1">
      <c r="A1915" s="584"/>
      <c r="B1915" s="460" t="s">
        <v>675</v>
      </c>
      <c r="C1915" s="458" t="s">
        <v>8322</v>
      </c>
      <c r="D1915" s="510" t="s">
        <v>8323</v>
      </c>
      <c r="E1915" s="498">
        <f t="shared" si="153"/>
        <v>50</v>
      </c>
      <c r="F1915" s="498">
        <v>0</v>
      </c>
      <c r="G1915" s="498">
        <v>50</v>
      </c>
      <c r="H1915" s="498">
        <v>0</v>
      </c>
      <c r="I1915" s="655">
        <f t="shared" si="154"/>
        <v>55.3</v>
      </c>
      <c r="J1915" s="655">
        <v>0</v>
      </c>
      <c r="K1915" s="655">
        <v>55.3</v>
      </c>
      <c r="L1915" s="710">
        <v>0</v>
      </c>
      <c r="M1915" s="680">
        <f t="shared" si="155"/>
        <v>110.6</v>
      </c>
      <c r="N1915" s="498">
        <v>1.23</v>
      </c>
      <c r="O1915" s="725" t="s">
        <v>4660</v>
      </c>
      <c r="P1915" s="498" t="s">
        <v>7427</v>
      </c>
      <c r="Q1915" s="672">
        <v>0</v>
      </c>
      <c r="R1915" s="672">
        <v>0</v>
      </c>
      <c r="S1915" s="672">
        <v>0</v>
      </c>
      <c r="T1915" s="672">
        <v>0</v>
      </c>
      <c r="U1915" s="498" t="s">
        <v>2356</v>
      </c>
      <c r="V1915" s="518" t="s">
        <v>2557</v>
      </c>
      <c r="W1915" s="498">
        <v>466</v>
      </c>
      <c r="X1915" s="498" t="s">
        <v>2199</v>
      </c>
      <c r="Y1915" s="498" t="s">
        <v>1533</v>
      </c>
      <c r="Z1915" s="498"/>
      <c r="AA1915" s="498" t="s">
        <v>1932</v>
      </c>
      <c r="AB1915" s="577" t="s">
        <v>1589</v>
      </c>
    </row>
    <row r="1916" spans="1:28" ht="24" customHeight="1">
      <c r="A1916" s="584"/>
      <c r="B1916" s="460" t="s">
        <v>675</v>
      </c>
      <c r="C1916" s="458" t="s">
        <v>6604</v>
      </c>
      <c r="D1916" s="510" t="s">
        <v>8324</v>
      </c>
      <c r="E1916" s="498">
        <f t="shared" si="153"/>
        <v>50</v>
      </c>
      <c r="F1916" s="498">
        <v>0</v>
      </c>
      <c r="G1916" s="498">
        <v>50</v>
      </c>
      <c r="H1916" s="498">
        <v>0</v>
      </c>
      <c r="I1916" s="655">
        <f t="shared" si="154"/>
        <v>16.2</v>
      </c>
      <c r="J1916" s="655">
        <v>0</v>
      </c>
      <c r="K1916" s="655">
        <v>16.2</v>
      </c>
      <c r="L1916" s="710">
        <v>0</v>
      </c>
      <c r="M1916" s="680">
        <f t="shared" si="155"/>
        <v>32.4</v>
      </c>
      <c r="N1916" s="498">
        <v>0.23</v>
      </c>
      <c r="O1916" s="725" t="s">
        <v>8325</v>
      </c>
      <c r="P1916" s="498" t="s">
        <v>7427</v>
      </c>
      <c r="Q1916" s="672">
        <v>0</v>
      </c>
      <c r="R1916" s="672">
        <v>0</v>
      </c>
      <c r="S1916" s="672">
        <v>0</v>
      </c>
      <c r="T1916" s="672">
        <v>0</v>
      </c>
      <c r="U1916" s="498" t="s">
        <v>2356</v>
      </c>
      <c r="V1916" s="518" t="s">
        <v>8279</v>
      </c>
      <c r="W1916" s="498">
        <v>370</v>
      </c>
      <c r="X1916" s="498" t="s">
        <v>2199</v>
      </c>
      <c r="Y1916" s="498" t="s">
        <v>1533</v>
      </c>
      <c r="Z1916" s="498"/>
      <c r="AA1916" s="498" t="s">
        <v>1589</v>
      </c>
      <c r="AB1916" s="577" t="s">
        <v>1589</v>
      </c>
    </row>
    <row r="1917" spans="1:28" ht="24" customHeight="1">
      <c r="A1917" s="584"/>
      <c r="B1917" s="460" t="s">
        <v>675</v>
      </c>
      <c r="C1917" s="458" t="s">
        <v>8326</v>
      </c>
      <c r="D1917" s="510" t="s">
        <v>8327</v>
      </c>
      <c r="E1917" s="498">
        <f t="shared" si="153"/>
        <v>60</v>
      </c>
      <c r="F1917" s="498">
        <v>0</v>
      </c>
      <c r="G1917" s="498">
        <v>60</v>
      </c>
      <c r="H1917" s="498">
        <v>0</v>
      </c>
      <c r="I1917" s="655">
        <f t="shared" si="154"/>
        <v>5.9</v>
      </c>
      <c r="J1917" s="655">
        <v>0</v>
      </c>
      <c r="K1917" s="655">
        <v>5.9</v>
      </c>
      <c r="L1917" s="710">
        <v>0</v>
      </c>
      <c r="M1917" s="680">
        <f t="shared" si="155"/>
        <v>9.8333333333333339</v>
      </c>
      <c r="N1917" s="498">
        <v>0.17</v>
      </c>
      <c r="O1917" s="725" t="s">
        <v>8312</v>
      </c>
      <c r="P1917" s="498" t="s">
        <v>7427</v>
      </c>
      <c r="Q1917" s="672">
        <v>0</v>
      </c>
      <c r="R1917" s="672">
        <v>0</v>
      </c>
      <c r="S1917" s="672">
        <v>0</v>
      </c>
      <c r="T1917" s="672">
        <v>0</v>
      </c>
      <c r="U1917" s="498" t="s">
        <v>2356</v>
      </c>
      <c r="V1917" s="518" t="s">
        <v>8328</v>
      </c>
      <c r="W1917" s="498">
        <v>475</v>
      </c>
      <c r="X1917" s="498" t="s">
        <v>2199</v>
      </c>
      <c r="Y1917" s="498" t="s">
        <v>1533</v>
      </c>
      <c r="Z1917" s="498"/>
      <c r="AA1917" s="498" t="s">
        <v>1589</v>
      </c>
      <c r="AB1917" s="577" t="s">
        <v>1589</v>
      </c>
    </row>
    <row r="1918" spans="1:28" ht="24" customHeight="1">
      <c r="A1918" s="582" t="s">
        <v>1775</v>
      </c>
      <c r="B1918" s="460" t="s">
        <v>2201</v>
      </c>
      <c r="C1918" s="458" t="s">
        <v>3689</v>
      </c>
      <c r="D1918" s="510" t="s">
        <v>8329</v>
      </c>
      <c r="E1918" s="498">
        <f t="shared" si="153"/>
        <v>6800</v>
      </c>
      <c r="F1918" s="498">
        <v>0</v>
      </c>
      <c r="G1918" s="498">
        <v>6800</v>
      </c>
      <c r="H1918" s="498">
        <v>0</v>
      </c>
      <c r="I1918" s="655">
        <f t="shared" si="154"/>
        <v>6317</v>
      </c>
      <c r="J1918" s="655">
        <v>0</v>
      </c>
      <c r="K1918" s="655">
        <v>6317</v>
      </c>
      <c r="L1918" s="710">
        <v>0</v>
      </c>
      <c r="M1918" s="680">
        <f t="shared" si="155"/>
        <v>92.897058823529406</v>
      </c>
      <c r="N1918" s="653">
        <v>60297</v>
      </c>
      <c r="O1918" s="669" t="s">
        <v>3714</v>
      </c>
      <c r="P1918" s="463" t="s">
        <v>3173</v>
      </c>
      <c r="Q1918" s="672">
        <v>26.29</v>
      </c>
      <c r="R1918" s="672">
        <v>142.11000000000001</v>
      </c>
      <c r="S1918" s="672">
        <v>23.02</v>
      </c>
      <c r="T1918" s="672">
        <v>0</v>
      </c>
      <c r="U1918" s="463" t="s">
        <v>8330</v>
      </c>
      <c r="V1918" s="463" t="s">
        <v>8331</v>
      </c>
      <c r="W1918" s="498">
        <v>20481</v>
      </c>
      <c r="X1918" s="463" t="s">
        <v>2199</v>
      </c>
      <c r="Y1918" s="463" t="s">
        <v>3327</v>
      </c>
      <c r="Z1918" s="463" t="s">
        <v>1776</v>
      </c>
      <c r="AA1918" s="463" t="s">
        <v>1589</v>
      </c>
      <c r="AB1918" s="459" t="s">
        <v>1589</v>
      </c>
    </row>
    <row r="1919" spans="1:28" ht="24" customHeight="1">
      <c r="A1919" s="584"/>
      <c r="B1919" s="460" t="s">
        <v>2201</v>
      </c>
      <c r="C1919" s="458" t="s">
        <v>1690</v>
      </c>
      <c r="D1919" s="510" t="s">
        <v>8332</v>
      </c>
      <c r="E1919" s="498">
        <f t="shared" si="153"/>
        <v>600</v>
      </c>
      <c r="F1919" s="498">
        <v>0</v>
      </c>
      <c r="G1919" s="498">
        <v>0</v>
      </c>
      <c r="H1919" s="498">
        <v>600</v>
      </c>
      <c r="I1919" s="655">
        <f t="shared" si="154"/>
        <v>334</v>
      </c>
      <c r="J1919" s="655">
        <v>0</v>
      </c>
      <c r="K1919" s="655">
        <v>0</v>
      </c>
      <c r="L1919" s="710">
        <v>334</v>
      </c>
      <c r="M1919" s="680">
        <f t="shared" si="155"/>
        <v>55.666666666666664</v>
      </c>
      <c r="N1919" s="653">
        <v>1978</v>
      </c>
      <c r="O1919" s="669" t="s">
        <v>1535</v>
      </c>
      <c r="P1919" s="463" t="s">
        <v>5737</v>
      </c>
      <c r="Q1919" s="672">
        <v>0</v>
      </c>
      <c r="R1919" s="672">
        <v>0</v>
      </c>
      <c r="S1919" s="672">
        <v>0</v>
      </c>
      <c r="T1919" s="672">
        <v>0</v>
      </c>
      <c r="U1919" s="463" t="s">
        <v>8333</v>
      </c>
      <c r="V1919" s="463" t="s">
        <v>8334</v>
      </c>
      <c r="W1919" s="498">
        <v>6056</v>
      </c>
      <c r="X1919" s="463" t="s">
        <v>2199</v>
      </c>
      <c r="Y1919" s="463" t="s">
        <v>3327</v>
      </c>
      <c r="Z1919" s="463" t="s">
        <v>8335</v>
      </c>
      <c r="AA1919" s="463" t="s">
        <v>1589</v>
      </c>
      <c r="AB1919" s="459" t="s">
        <v>1589</v>
      </c>
    </row>
    <row r="1920" spans="1:28" ht="24" customHeight="1">
      <c r="A1920" s="584"/>
      <c r="B1920" s="460" t="s">
        <v>675</v>
      </c>
      <c r="C1920" s="458" t="s">
        <v>8336</v>
      </c>
      <c r="D1920" s="510" t="s">
        <v>8337</v>
      </c>
      <c r="E1920" s="498">
        <f t="shared" si="153"/>
        <v>60</v>
      </c>
      <c r="F1920" s="498">
        <v>0</v>
      </c>
      <c r="G1920" s="498">
        <v>60</v>
      </c>
      <c r="H1920" s="498">
        <v>0</v>
      </c>
      <c r="I1920" s="655">
        <f t="shared" si="154"/>
        <v>60</v>
      </c>
      <c r="J1920" s="655">
        <v>0</v>
      </c>
      <c r="K1920" s="655">
        <v>60</v>
      </c>
      <c r="L1920" s="710">
        <v>0</v>
      </c>
      <c r="M1920" s="680">
        <f t="shared" si="155"/>
        <v>100</v>
      </c>
      <c r="N1920" s="653">
        <v>504</v>
      </c>
      <c r="O1920" s="669" t="s">
        <v>1535</v>
      </c>
      <c r="P1920" s="463" t="s">
        <v>8338</v>
      </c>
      <c r="Q1920" s="672">
        <v>0</v>
      </c>
      <c r="R1920" s="672">
        <v>0</v>
      </c>
      <c r="S1920" s="672">
        <v>0</v>
      </c>
      <c r="T1920" s="672">
        <v>0</v>
      </c>
      <c r="U1920" s="463" t="s">
        <v>8333</v>
      </c>
      <c r="V1920" s="463" t="s">
        <v>8339</v>
      </c>
      <c r="W1920" s="498">
        <v>525</v>
      </c>
      <c r="X1920" s="463" t="s">
        <v>2199</v>
      </c>
      <c r="Y1920" s="463" t="s">
        <v>1533</v>
      </c>
      <c r="Z1920" s="463" t="s">
        <v>1776</v>
      </c>
      <c r="AA1920" s="463" t="s">
        <v>1589</v>
      </c>
      <c r="AB1920" s="459" t="s">
        <v>1589</v>
      </c>
    </row>
    <row r="1921" spans="1:28" ht="24" customHeight="1">
      <c r="A1921" s="584"/>
      <c r="B1921" s="460" t="s">
        <v>675</v>
      </c>
      <c r="C1921" s="458" t="s">
        <v>3681</v>
      </c>
      <c r="D1921" s="510" t="s">
        <v>8340</v>
      </c>
      <c r="E1921" s="498">
        <f t="shared" si="153"/>
        <v>20</v>
      </c>
      <c r="F1921" s="498">
        <v>0</v>
      </c>
      <c r="G1921" s="498">
        <v>20</v>
      </c>
      <c r="H1921" s="498">
        <v>0</v>
      </c>
      <c r="I1921" s="655">
        <f t="shared" si="154"/>
        <v>20</v>
      </c>
      <c r="J1921" s="655">
        <v>0</v>
      </c>
      <c r="K1921" s="655">
        <v>20</v>
      </c>
      <c r="L1921" s="710">
        <v>0</v>
      </c>
      <c r="M1921" s="680">
        <f t="shared" si="155"/>
        <v>100</v>
      </c>
      <c r="N1921" s="653">
        <v>160</v>
      </c>
      <c r="O1921" s="669" t="s">
        <v>1535</v>
      </c>
      <c r="P1921" s="463" t="s">
        <v>8338</v>
      </c>
      <c r="Q1921" s="672">
        <v>0</v>
      </c>
      <c r="R1921" s="672">
        <v>0</v>
      </c>
      <c r="S1921" s="672">
        <v>0</v>
      </c>
      <c r="T1921" s="672">
        <v>0</v>
      </c>
      <c r="U1921" s="463" t="s">
        <v>8333</v>
      </c>
      <c r="V1921" s="463" t="s">
        <v>8341</v>
      </c>
      <c r="W1921" s="498">
        <v>250</v>
      </c>
      <c r="X1921" s="463" t="s">
        <v>2199</v>
      </c>
      <c r="Y1921" s="463" t="s">
        <v>1533</v>
      </c>
      <c r="Z1921" s="463" t="s">
        <v>1776</v>
      </c>
      <c r="AA1921" s="463" t="s">
        <v>1589</v>
      </c>
      <c r="AB1921" s="459" t="s">
        <v>1589</v>
      </c>
    </row>
    <row r="1922" spans="1:28" ht="24" customHeight="1">
      <c r="A1922" s="584"/>
      <c r="B1922" s="460" t="s">
        <v>675</v>
      </c>
      <c r="C1922" s="458" t="s">
        <v>2024</v>
      </c>
      <c r="D1922" s="510" t="s">
        <v>8342</v>
      </c>
      <c r="E1922" s="498">
        <f t="shared" si="153"/>
        <v>80</v>
      </c>
      <c r="F1922" s="498">
        <v>0</v>
      </c>
      <c r="G1922" s="498">
        <v>80</v>
      </c>
      <c r="H1922" s="498">
        <v>0</v>
      </c>
      <c r="I1922" s="655">
        <f t="shared" si="154"/>
        <v>80</v>
      </c>
      <c r="J1922" s="655">
        <v>0</v>
      </c>
      <c r="K1922" s="655">
        <v>80</v>
      </c>
      <c r="L1922" s="710">
        <v>0</v>
      </c>
      <c r="M1922" s="680">
        <f t="shared" si="155"/>
        <v>100</v>
      </c>
      <c r="N1922" s="653">
        <v>650</v>
      </c>
      <c r="O1922" s="669" t="s">
        <v>1535</v>
      </c>
      <c r="P1922" s="463" t="s">
        <v>8338</v>
      </c>
      <c r="Q1922" s="672">
        <v>0</v>
      </c>
      <c r="R1922" s="672">
        <v>0</v>
      </c>
      <c r="S1922" s="672">
        <v>0</v>
      </c>
      <c r="T1922" s="672">
        <v>0</v>
      </c>
      <c r="U1922" s="463" t="s">
        <v>8333</v>
      </c>
      <c r="V1922" s="463" t="s">
        <v>8343</v>
      </c>
      <c r="W1922" s="498">
        <v>482</v>
      </c>
      <c r="X1922" s="463" t="s">
        <v>2199</v>
      </c>
      <c r="Y1922" s="463" t="s">
        <v>1533</v>
      </c>
      <c r="Z1922" s="463" t="s">
        <v>1777</v>
      </c>
      <c r="AA1922" s="463" t="s">
        <v>1589</v>
      </c>
      <c r="AB1922" s="459" t="s">
        <v>1589</v>
      </c>
    </row>
    <row r="1923" spans="1:28" ht="24" customHeight="1">
      <c r="A1923" s="584"/>
      <c r="B1923" s="460" t="s">
        <v>675</v>
      </c>
      <c r="C1923" s="458" t="s">
        <v>8344</v>
      </c>
      <c r="D1923" s="510" t="s">
        <v>8345</v>
      </c>
      <c r="E1923" s="498">
        <f t="shared" si="153"/>
        <v>16</v>
      </c>
      <c r="F1923" s="498">
        <v>0</v>
      </c>
      <c r="G1923" s="498">
        <v>16</v>
      </c>
      <c r="H1923" s="498">
        <v>0</v>
      </c>
      <c r="I1923" s="655">
        <f t="shared" si="154"/>
        <v>16</v>
      </c>
      <c r="J1923" s="655">
        <v>0</v>
      </c>
      <c r="K1923" s="655">
        <v>16</v>
      </c>
      <c r="L1923" s="710">
        <v>0</v>
      </c>
      <c r="M1923" s="680">
        <f t="shared" si="155"/>
        <v>100</v>
      </c>
      <c r="N1923" s="653">
        <v>41</v>
      </c>
      <c r="O1923" s="669" t="s">
        <v>1535</v>
      </c>
      <c r="P1923" s="463" t="s">
        <v>8338</v>
      </c>
      <c r="Q1923" s="672">
        <v>0</v>
      </c>
      <c r="R1923" s="672">
        <v>0</v>
      </c>
      <c r="S1923" s="672">
        <v>0</v>
      </c>
      <c r="T1923" s="672">
        <v>0</v>
      </c>
      <c r="U1923" s="463" t="s">
        <v>8333</v>
      </c>
      <c r="V1923" s="463" t="s">
        <v>8346</v>
      </c>
      <c r="W1923" s="498">
        <v>171</v>
      </c>
      <c r="X1923" s="463" t="s">
        <v>2199</v>
      </c>
      <c r="Y1923" s="463" t="s">
        <v>1533</v>
      </c>
      <c r="Z1923" s="463" t="s">
        <v>1776</v>
      </c>
      <c r="AA1923" s="463" t="s">
        <v>1589</v>
      </c>
      <c r="AB1923" s="459" t="s">
        <v>1589</v>
      </c>
    </row>
    <row r="1924" spans="1:28" ht="24" customHeight="1">
      <c r="A1924" s="584"/>
      <c r="B1924" s="460" t="s">
        <v>675</v>
      </c>
      <c r="C1924" s="458" t="s">
        <v>2145</v>
      </c>
      <c r="D1924" s="510" t="s">
        <v>8347</v>
      </c>
      <c r="E1924" s="498">
        <f t="shared" si="153"/>
        <v>100</v>
      </c>
      <c r="F1924" s="498">
        <v>0</v>
      </c>
      <c r="G1924" s="498">
        <v>100</v>
      </c>
      <c r="H1924" s="498">
        <v>0</v>
      </c>
      <c r="I1924" s="655">
        <f t="shared" si="154"/>
        <v>100</v>
      </c>
      <c r="J1924" s="655">
        <v>0</v>
      </c>
      <c r="K1924" s="655">
        <v>100</v>
      </c>
      <c r="L1924" s="710">
        <v>0</v>
      </c>
      <c r="M1924" s="680">
        <f t="shared" si="155"/>
        <v>100</v>
      </c>
      <c r="N1924" s="653">
        <v>255</v>
      </c>
      <c r="O1924" s="669" t="s">
        <v>1535</v>
      </c>
      <c r="P1924" s="463" t="s">
        <v>8338</v>
      </c>
      <c r="Q1924" s="672">
        <v>0</v>
      </c>
      <c r="R1924" s="672">
        <v>0</v>
      </c>
      <c r="S1924" s="672">
        <v>0</v>
      </c>
      <c r="T1924" s="672">
        <v>0</v>
      </c>
      <c r="U1924" s="463" t="s">
        <v>8333</v>
      </c>
      <c r="V1924" s="463" t="s">
        <v>6654</v>
      </c>
      <c r="W1924" s="498">
        <v>334</v>
      </c>
      <c r="X1924" s="463" t="s">
        <v>2199</v>
      </c>
      <c r="Y1924" s="463" t="s">
        <v>1533</v>
      </c>
      <c r="Z1924" s="463" t="s">
        <v>1932</v>
      </c>
      <c r="AA1924" s="463" t="s">
        <v>1589</v>
      </c>
      <c r="AB1924" s="459" t="s">
        <v>1589</v>
      </c>
    </row>
    <row r="1925" spans="1:28" ht="24" customHeight="1">
      <c r="A1925" s="584"/>
      <c r="B1925" s="460" t="s">
        <v>675</v>
      </c>
      <c r="C1925" s="458" t="s">
        <v>8348</v>
      </c>
      <c r="D1925" s="510" t="s">
        <v>8349</v>
      </c>
      <c r="E1925" s="498">
        <f t="shared" si="153"/>
        <v>300</v>
      </c>
      <c r="F1925" s="498">
        <v>0</v>
      </c>
      <c r="G1925" s="498">
        <v>0</v>
      </c>
      <c r="H1925" s="498">
        <v>300</v>
      </c>
      <c r="I1925" s="655">
        <f t="shared" si="154"/>
        <v>71</v>
      </c>
      <c r="J1925" s="655">
        <v>0</v>
      </c>
      <c r="K1925" s="655">
        <v>0</v>
      </c>
      <c r="L1925" s="710">
        <v>71</v>
      </c>
      <c r="M1925" s="680">
        <f t="shared" si="155"/>
        <v>23.666666666666668</v>
      </c>
      <c r="N1925" s="653">
        <v>135</v>
      </c>
      <c r="O1925" s="669" t="s">
        <v>1535</v>
      </c>
      <c r="P1925" s="463" t="s">
        <v>3655</v>
      </c>
      <c r="Q1925" s="672">
        <v>0</v>
      </c>
      <c r="R1925" s="672">
        <v>0</v>
      </c>
      <c r="S1925" s="672">
        <v>0</v>
      </c>
      <c r="T1925" s="672">
        <v>0</v>
      </c>
      <c r="U1925" s="463" t="s">
        <v>8333</v>
      </c>
      <c r="V1925" s="463" t="s">
        <v>8350</v>
      </c>
      <c r="W1925" s="498">
        <v>6656</v>
      </c>
      <c r="X1925" s="463" t="s">
        <v>2199</v>
      </c>
      <c r="Y1925" s="463" t="s">
        <v>3327</v>
      </c>
      <c r="Z1925" s="463" t="s">
        <v>1777</v>
      </c>
      <c r="AA1925" s="463" t="s">
        <v>1589</v>
      </c>
      <c r="AB1925" s="459" t="s">
        <v>1589</v>
      </c>
    </row>
    <row r="1926" spans="1:28" ht="24" customHeight="1">
      <c r="A1926" s="582" t="s">
        <v>1778</v>
      </c>
      <c r="B1926" s="460" t="s">
        <v>2201</v>
      </c>
      <c r="C1926" s="458" t="s">
        <v>8351</v>
      </c>
      <c r="D1926" s="510" t="s">
        <v>8352</v>
      </c>
      <c r="E1926" s="498">
        <f t="shared" si="153"/>
        <v>6000</v>
      </c>
      <c r="F1926" s="498">
        <v>0</v>
      </c>
      <c r="G1926" s="498">
        <v>6000</v>
      </c>
      <c r="H1926" s="498">
        <v>0</v>
      </c>
      <c r="I1926" s="655">
        <f t="shared" si="154"/>
        <v>4733</v>
      </c>
      <c r="J1926" s="655">
        <v>0</v>
      </c>
      <c r="K1926" s="655">
        <v>4733</v>
      </c>
      <c r="L1926" s="710">
        <v>0</v>
      </c>
      <c r="M1926" s="691">
        <f t="shared" si="155"/>
        <v>78.88333333333334</v>
      </c>
      <c r="N1926" s="578">
        <f>50.8*I1926*M1926*1/1000</f>
        <v>18966.424686666669</v>
      </c>
      <c r="O1926" s="725" t="s">
        <v>7271</v>
      </c>
      <c r="P1926" s="463" t="s">
        <v>7427</v>
      </c>
      <c r="Q1926" s="672">
        <v>0</v>
      </c>
      <c r="R1926" s="672">
        <v>0</v>
      </c>
      <c r="S1926" s="672">
        <v>0</v>
      </c>
      <c r="T1926" s="672">
        <v>0</v>
      </c>
      <c r="U1926" s="498" t="s">
        <v>8353</v>
      </c>
      <c r="V1926" s="498" t="s">
        <v>2151</v>
      </c>
      <c r="W1926" s="498">
        <v>11130</v>
      </c>
      <c r="X1926" s="498" t="s">
        <v>2276</v>
      </c>
      <c r="Y1926" s="578" t="s">
        <v>3161</v>
      </c>
      <c r="Z1926" s="578" t="s">
        <v>1779</v>
      </c>
      <c r="AA1926" s="578" t="s">
        <v>1589</v>
      </c>
      <c r="AB1926" s="577" t="s">
        <v>1770</v>
      </c>
    </row>
    <row r="1927" spans="1:28" ht="24" customHeight="1">
      <c r="A1927" s="584"/>
      <c r="B1927" s="460" t="s">
        <v>2201</v>
      </c>
      <c r="C1927" s="458" t="s">
        <v>2442</v>
      </c>
      <c r="D1927" s="510" t="s">
        <v>8354</v>
      </c>
      <c r="E1927" s="498">
        <f t="shared" si="153"/>
        <v>5250</v>
      </c>
      <c r="F1927" s="498">
        <v>0</v>
      </c>
      <c r="G1927" s="653">
        <v>0</v>
      </c>
      <c r="H1927" s="498">
        <v>5250</v>
      </c>
      <c r="I1927" s="655">
        <f t="shared" si="154"/>
        <v>4419</v>
      </c>
      <c r="J1927" s="655">
        <v>0</v>
      </c>
      <c r="K1927" s="655">
        <v>0</v>
      </c>
      <c r="L1927" s="710">
        <v>4419</v>
      </c>
      <c r="M1927" s="691">
        <f t="shared" si="155"/>
        <v>84.171428571428578</v>
      </c>
      <c r="N1927" s="578">
        <f>95.1*I1927*M1927*1/1000</f>
        <v>35372.781925714284</v>
      </c>
      <c r="O1927" s="769" t="s">
        <v>8355</v>
      </c>
      <c r="P1927" s="463" t="s">
        <v>7427</v>
      </c>
      <c r="Q1927" s="673">
        <v>37.200000000000003</v>
      </c>
      <c r="R1927" s="672">
        <v>0</v>
      </c>
      <c r="S1927" s="672">
        <v>0</v>
      </c>
      <c r="T1927" s="672">
        <v>0</v>
      </c>
      <c r="U1927" s="498" t="s">
        <v>2465</v>
      </c>
      <c r="V1927" s="578" t="s">
        <v>8356</v>
      </c>
      <c r="W1927" s="498">
        <v>26290</v>
      </c>
      <c r="X1927" s="498" t="s">
        <v>2276</v>
      </c>
      <c r="Y1927" s="578" t="s">
        <v>3161</v>
      </c>
      <c r="Z1927" s="498" t="s">
        <v>1780</v>
      </c>
      <c r="AA1927" s="498" t="s">
        <v>1589</v>
      </c>
      <c r="AB1927" s="577" t="s">
        <v>1770</v>
      </c>
    </row>
    <row r="1928" spans="1:28" ht="24" customHeight="1">
      <c r="A1928" s="584"/>
      <c r="B1928" s="460" t="s">
        <v>2201</v>
      </c>
      <c r="C1928" s="458" t="s">
        <v>179</v>
      </c>
      <c r="D1928" s="510" t="s">
        <v>8357</v>
      </c>
      <c r="E1928" s="498">
        <f t="shared" si="153"/>
        <v>13000</v>
      </c>
      <c r="F1928" s="498">
        <v>0</v>
      </c>
      <c r="G1928" s="498">
        <v>13000</v>
      </c>
      <c r="H1928" s="498">
        <v>0</v>
      </c>
      <c r="I1928" s="655">
        <f t="shared" si="154"/>
        <v>4719</v>
      </c>
      <c r="J1928" s="655">
        <v>0</v>
      </c>
      <c r="K1928" s="655">
        <v>4719</v>
      </c>
      <c r="L1928" s="710">
        <v>0</v>
      </c>
      <c r="M1928" s="691">
        <f t="shared" si="155"/>
        <v>36.299999999999997</v>
      </c>
      <c r="N1928" s="578">
        <f>33.1*I1928*M1928*1/1000</f>
        <v>5670.0200699999996</v>
      </c>
      <c r="O1928" s="725" t="s">
        <v>7271</v>
      </c>
      <c r="P1928" s="463" t="s">
        <v>7427</v>
      </c>
      <c r="Q1928" s="672">
        <v>0</v>
      </c>
      <c r="R1928" s="672">
        <v>0</v>
      </c>
      <c r="S1928" s="672">
        <v>0</v>
      </c>
      <c r="T1928" s="672">
        <v>0</v>
      </c>
      <c r="U1928" s="498" t="s">
        <v>8358</v>
      </c>
      <c r="V1928" s="498" t="s">
        <v>2182</v>
      </c>
      <c r="W1928" s="498">
        <v>9797</v>
      </c>
      <c r="X1928" s="498" t="s">
        <v>2276</v>
      </c>
      <c r="Y1928" s="578" t="s">
        <v>8359</v>
      </c>
      <c r="Z1928" s="498" t="s">
        <v>1781</v>
      </c>
      <c r="AA1928" s="498" t="s">
        <v>1589</v>
      </c>
      <c r="AB1928" s="577" t="s">
        <v>1770</v>
      </c>
    </row>
    <row r="1929" spans="1:28" ht="24" customHeight="1">
      <c r="A1929" s="584"/>
      <c r="B1929" s="460" t="s">
        <v>675</v>
      </c>
      <c r="C1929" s="458" t="s">
        <v>6638</v>
      </c>
      <c r="D1929" s="510" t="s">
        <v>8360</v>
      </c>
      <c r="E1929" s="498">
        <f t="shared" si="153"/>
        <v>99</v>
      </c>
      <c r="F1929" s="498">
        <v>0</v>
      </c>
      <c r="G1929" s="498">
        <v>99</v>
      </c>
      <c r="H1929" s="498">
        <v>0</v>
      </c>
      <c r="I1929" s="655">
        <f t="shared" si="154"/>
        <v>99</v>
      </c>
      <c r="J1929" s="655">
        <v>0</v>
      </c>
      <c r="K1929" s="655">
        <v>99</v>
      </c>
      <c r="L1929" s="710">
        <v>0</v>
      </c>
      <c r="M1929" s="680">
        <f t="shared" si="155"/>
        <v>100</v>
      </c>
      <c r="N1929" s="578">
        <v>0</v>
      </c>
      <c r="O1929" s="725" t="s">
        <v>3757</v>
      </c>
      <c r="P1929" s="463" t="s">
        <v>7427</v>
      </c>
      <c r="Q1929" s="672">
        <v>0</v>
      </c>
      <c r="R1929" s="672">
        <v>0</v>
      </c>
      <c r="S1929" s="672">
        <v>0</v>
      </c>
      <c r="T1929" s="672">
        <v>0</v>
      </c>
      <c r="U1929" s="498" t="s">
        <v>8353</v>
      </c>
      <c r="V1929" s="498" t="s">
        <v>8361</v>
      </c>
      <c r="W1929" s="498">
        <v>432</v>
      </c>
      <c r="X1929" s="498" t="s">
        <v>2276</v>
      </c>
      <c r="Y1929" s="578" t="s">
        <v>8359</v>
      </c>
      <c r="Z1929" s="498" t="s">
        <v>8362</v>
      </c>
      <c r="AA1929" s="498" t="s">
        <v>1589</v>
      </c>
      <c r="AB1929" s="577" t="s">
        <v>1770</v>
      </c>
    </row>
    <row r="1930" spans="1:28" ht="24" customHeight="1">
      <c r="A1930" s="584"/>
      <c r="B1930" s="460" t="s">
        <v>675</v>
      </c>
      <c r="C1930" s="458" t="s">
        <v>8200</v>
      </c>
      <c r="D1930" s="510" t="s">
        <v>8363</v>
      </c>
      <c r="E1930" s="498">
        <f t="shared" si="153"/>
        <v>135</v>
      </c>
      <c r="F1930" s="498">
        <v>0</v>
      </c>
      <c r="G1930" s="498">
        <v>135</v>
      </c>
      <c r="H1930" s="498">
        <v>0</v>
      </c>
      <c r="I1930" s="655">
        <f t="shared" si="154"/>
        <v>135</v>
      </c>
      <c r="J1930" s="655">
        <v>0</v>
      </c>
      <c r="K1930" s="655">
        <v>135</v>
      </c>
      <c r="L1930" s="710">
        <v>0</v>
      </c>
      <c r="M1930" s="680">
        <f t="shared" si="155"/>
        <v>100</v>
      </c>
      <c r="N1930" s="578">
        <v>0</v>
      </c>
      <c r="O1930" s="725" t="s">
        <v>3757</v>
      </c>
      <c r="P1930" s="463" t="s">
        <v>7427</v>
      </c>
      <c r="Q1930" s="672">
        <v>0</v>
      </c>
      <c r="R1930" s="672">
        <v>0</v>
      </c>
      <c r="S1930" s="672">
        <v>0</v>
      </c>
      <c r="T1930" s="672">
        <v>0</v>
      </c>
      <c r="U1930" s="498" t="s">
        <v>8353</v>
      </c>
      <c r="V1930" s="498" t="s">
        <v>5137</v>
      </c>
      <c r="W1930" s="498">
        <v>400</v>
      </c>
      <c r="X1930" s="498" t="s">
        <v>2276</v>
      </c>
      <c r="Y1930" s="578" t="s">
        <v>8359</v>
      </c>
      <c r="Z1930" s="498" t="s">
        <v>8364</v>
      </c>
      <c r="AA1930" s="498" t="s">
        <v>1589</v>
      </c>
      <c r="AB1930" s="577" t="s">
        <v>1770</v>
      </c>
    </row>
    <row r="1931" spans="1:28" ht="24" customHeight="1">
      <c r="A1931" s="584"/>
      <c r="B1931" s="460" t="s">
        <v>675</v>
      </c>
      <c r="C1931" s="458" t="s">
        <v>8365</v>
      </c>
      <c r="D1931" s="510" t="s">
        <v>8366</v>
      </c>
      <c r="E1931" s="498">
        <f t="shared" si="153"/>
        <v>60</v>
      </c>
      <c r="F1931" s="498">
        <v>0</v>
      </c>
      <c r="G1931" s="498">
        <v>60</v>
      </c>
      <c r="H1931" s="498">
        <v>0</v>
      </c>
      <c r="I1931" s="655">
        <f t="shared" si="154"/>
        <v>60</v>
      </c>
      <c r="J1931" s="655">
        <v>0</v>
      </c>
      <c r="K1931" s="655">
        <v>60</v>
      </c>
      <c r="L1931" s="710">
        <v>0</v>
      </c>
      <c r="M1931" s="680">
        <f t="shared" si="155"/>
        <v>100</v>
      </c>
      <c r="N1931" s="578">
        <v>0</v>
      </c>
      <c r="O1931" s="725" t="s">
        <v>3757</v>
      </c>
      <c r="P1931" s="463" t="s">
        <v>7427</v>
      </c>
      <c r="Q1931" s="672">
        <v>0</v>
      </c>
      <c r="R1931" s="672">
        <v>0</v>
      </c>
      <c r="S1931" s="672">
        <v>0</v>
      </c>
      <c r="T1931" s="672">
        <v>0</v>
      </c>
      <c r="U1931" s="498" t="s">
        <v>8367</v>
      </c>
      <c r="V1931" s="498" t="s">
        <v>8368</v>
      </c>
      <c r="W1931" s="498">
        <v>373</v>
      </c>
      <c r="X1931" s="498" t="s">
        <v>2276</v>
      </c>
      <c r="Y1931" s="578" t="s">
        <v>8359</v>
      </c>
      <c r="Z1931" s="498" t="s">
        <v>8369</v>
      </c>
      <c r="AA1931" s="498" t="s">
        <v>1589</v>
      </c>
      <c r="AB1931" s="577" t="s">
        <v>1770</v>
      </c>
    </row>
    <row r="1932" spans="1:28" ht="24" customHeight="1">
      <c r="A1932" s="584"/>
      <c r="B1932" s="460" t="s">
        <v>675</v>
      </c>
      <c r="C1932" s="458" t="s">
        <v>8370</v>
      </c>
      <c r="D1932" s="510" t="s">
        <v>8371</v>
      </c>
      <c r="E1932" s="498">
        <f t="shared" si="153"/>
        <v>65</v>
      </c>
      <c r="F1932" s="498">
        <v>0</v>
      </c>
      <c r="G1932" s="498">
        <v>65</v>
      </c>
      <c r="H1932" s="498">
        <v>0</v>
      </c>
      <c r="I1932" s="655">
        <f t="shared" si="154"/>
        <v>65</v>
      </c>
      <c r="J1932" s="655">
        <v>0</v>
      </c>
      <c r="K1932" s="655">
        <v>65</v>
      </c>
      <c r="L1932" s="710">
        <v>0</v>
      </c>
      <c r="M1932" s="680">
        <f t="shared" si="155"/>
        <v>100</v>
      </c>
      <c r="N1932" s="578">
        <v>0</v>
      </c>
      <c r="O1932" s="725" t="s">
        <v>3757</v>
      </c>
      <c r="P1932" s="463" t="s">
        <v>7427</v>
      </c>
      <c r="Q1932" s="672">
        <v>0</v>
      </c>
      <c r="R1932" s="672">
        <v>0</v>
      </c>
      <c r="S1932" s="672">
        <v>0</v>
      </c>
      <c r="T1932" s="672">
        <v>0</v>
      </c>
      <c r="U1932" s="498" t="s">
        <v>8367</v>
      </c>
      <c r="V1932" s="498" t="s">
        <v>8368</v>
      </c>
      <c r="W1932" s="498">
        <v>352</v>
      </c>
      <c r="X1932" s="498" t="s">
        <v>2276</v>
      </c>
      <c r="Y1932" s="578" t="s">
        <v>8359</v>
      </c>
      <c r="Z1932" s="498" t="s">
        <v>8369</v>
      </c>
      <c r="AA1932" s="498" t="s">
        <v>1589</v>
      </c>
      <c r="AB1932" s="577" t="s">
        <v>1770</v>
      </c>
    </row>
    <row r="1933" spans="1:28" ht="24" customHeight="1">
      <c r="A1933" s="584"/>
      <c r="B1933" s="460" t="s">
        <v>675</v>
      </c>
      <c r="C1933" s="458" t="s">
        <v>6536</v>
      </c>
      <c r="D1933" s="510" t="s">
        <v>8372</v>
      </c>
      <c r="E1933" s="498">
        <f t="shared" si="153"/>
        <v>60</v>
      </c>
      <c r="F1933" s="498">
        <v>0</v>
      </c>
      <c r="G1933" s="498">
        <v>60</v>
      </c>
      <c r="H1933" s="498">
        <v>0</v>
      </c>
      <c r="I1933" s="655">
        <f t="shared" si="154"/>
        <v>60</v>
      </c>
      <c r="J1933" s="655">
        <v>0</v>
      </c>
      <c r="K1933" s="655">
        <v>60</v>
      </c>
      <c r="L1933" s="710">
        <v>0</v>
      </c>
      <c r="M1933" s="680">
        <f t="shared" si="155"/>
        <v>100</v>
      </c>
      <c r="N1933" s="578">
        <v>0</v>
      </c>
      <c r="O1933" s="725" t="s">
        <v>8373</v>
      </c>
      <c r="P1933" s="463" t="s">
        <v>7427</v>
      </c>
      <c r="Q1933" s="672">
        <v>0</v>
      </c>
      <c r="R1933" s="672">
        <v>0</v>
      </c>
      <c r="S1933" s="672">
        <v>0</v>
      </c>
      <c r="T1933" s="672">
        <v>0</v>
      </c>
      <c r="U1933" s="498" t="s">
        <v>8367</v>
      </c>
      <c r="V1933" s="498" t="s">
        <v>8361</v>
      </c>
      <c r="W1933" s="498">
        <v>285</v>
      </c>
      <c r="X1933" s="498" t="s">
        <v>2276</v>
      </c>
      <c r="Y1933" s="578" t="s">
        <v>8359</v>
      </c>
      <c r="Z1933" s="498" t="s">
        <v>8374</v>
      </c>
      <c r="AA1933" s="498" t="s">
        <v>1589</v>
      </c>
      <c r="AB1933" s="577" t="s">
        <v>1770</v>
      </c>
    </row>
    <row r="1934" spans="1:28" ht="24" customHeight="1">
      <c r="A1934" s="584"/>
      <c r="B1934" s="460" t="s">
        <v>675</v>
      </c>
      <c r="C1934" s="458" t="s">
        <v>8375</v>
      </c>
      <c r="D1934" s="510" t="s">
        <v>8376</v>
      </c>
      <c r="E1934" s="498">
        <f t="shared" si="153"/>
        <v>100</v>
      </c>
      <c r="F1934" s="498">
        <v>0</v>
      </c>
      <c r="G1934" s="498">
        <v>100</v>
      </c>
      <c r="H1934" s="498">
        <v>0</v>
      </c>
      <c r="I1934" s="655">
        <f t="shared" si="154"/>
        <v>100</v>
      </c>
      <c r="J1934" s="655">
        <v>0</v>
      </c>
      <c r="K1934" s="655">
        <v>100</v>
      </c>
      <c r="L1934" s="710">
        <v>0</v>
      </c>
      <c r="M1934" s="680">
        <f t="shared" si="155"/>
        <v>100</v>
      </c>
      <c r="N1934" s="578">
        <v>0</v>
      </c>
      <c r="O1934" s="725" t="s">
        <v>8377</v>
      </c>
      <c r="P1934" s="463" t="s">
        <v>7427</v>
      </c>
      <c r="Q1934" s="672">
        <v>0</v>
      </c>
      <c r="R1934" s="672">
        <v>0</v>
      </c>
      <c r="S1934" s="672">
        <v>0</v>
      </c>
      <c r="T1934" s="672">
        <v>0</v>
      </c>
      <c r="U1934" s="498" t="s">
        <v>8367</v>
      </c>
      <c r="V1934" s="498" t="s">
        <v>8378</v>
      </c>
      <c r="W1934" s="498">
        <v>207</v>
      </c>
      <c r="X1934" s="498" t="s">
        <v>2276</v>
      </c>
      <c r="Y1934" s="578" t="s">
        <v>8359</v>
      </c>
      <c r="Z1934" s="498" t="s">
        <v>8362</v>
      </c>
      <c r="AA1934" s="498" t="s">
        <v>1589</v>
      </c>
      <c r="AB1934" s="577" t="s">
        <v>1770</v>
      </c>
    </row>
    <row r="1935" spans="1:28" ht="24" customHeight="1">
      <c r="A1935" s="584"/>
      <c r="B1935" s="460" t="s">
        <v>675</v>
      </c>
      <c r="C1935" s="458" t="s">
        <v>2985</v>
      </c>
      <c r="D1935" s="510" t="s">
        <v>8379</v>
      </c>
      <c r="E1935" s="498">
        <f t="shared" si="153"/>
        <v>30</v>
      </c>
      <c r="F1935" s="498">
        <v>0</v>
      </c>
      <c r="G1935" s="498">
        <v>30</v>
      </c>
      <c r="H1935" s="498">
        <v>0</v>
      </c>
      <c r="I1935" s="655">
        <f t="shared" si="154"/>
        <v>30</v>
      </c>
      <c r="J1935" s="655">
        <v>0</v>
      </c>
      <c r="K1935" s="655">
        <v>30</v>
      </c>
      <c r="L1935" s="710">
        <v>0</v>
      </c>
      <c r="M1935" s="680">
        <f t="shared" si="155"/>
        <v>100</v>
      </c>
      <c r="N1935" s="578">
        <v>0</v>
      </c>
      <c r="O1935" s="725" t="s">
        <v>8373</v>
      </c>
      <c r="P1935" s="463" t="s">
        <v>7427</v>
      </c>
      <c r="Q1935" s="672">
        <v>0</v>
      </c>
      <c r="R1935" s="672">
        <v>0</v>
      </c>
      <c r="S1935" s="672">
        <v>0</v>
      </c>
      <c r="T1935" s="672">
        <v>0</v>
      </c>
      <c r="U1935" s="498" t="s">
        <v>8367</v>
      </c>
      <c r="V1935" s="498" t="s">
        <v>8361</v>
      </c>
      <c r="W1935" s="498">
        <v>213</v>
      </c>
      <c r="X1935" s="498" t="s">
        <v>2276</v>
      </c>
      <c r="Y1935" s="578" t="s">
        <v>8359</v>
      </c>
      <c r="Z1935" s="498" t="s">
        <v>8335</v>
      </c>
      <c r="AA1935" s="498" t="s">
        <v>1589</v>
      </c>
      <c r="AB1935" s="577" t="s">
        <v>1770</v>
      </c>
    </row>
    <row r="1936" spans="1:28" ht="24" customHeight="1">
      <c r="A1936" s="584"/>
      <c r="B1936" s="460" t="s">
        <v>675</v>
      </c>
      <c r="C1936" s="458" t="s">
        <v>8380</v>
      </c>
      <c r="D1936" s="510" t="s">
        <v>8381</v>
      </c>
      <c r="E1936" s="498">
        <f t="shared" si="153"/>
        <v>102</v>
      </c>
      <c r="F1936" s="498">
        <v>0</v>
      </c>
      <c r="G1936" s="498">
        <v>102</v>
      </c>
      <c r="H1936" s="498">
        <v>0</v>
      </c>
      <c r="I1936" s="655">
        <f t="shared" si="154"/>
        <v>102</v>
      </c>
      <c r="J1936" s="655">
        <v>0</v>
      </c>
      <c r="K1936" s="655">
        <v>102</v>
      </c>
      <c r="L1936" s="710">
        <v>0</v>
      </c>
      <c r="M1936" s="680">
        <f t="shared" si="155"/>
        <v>100</v>
      </c>
      <c r="N1936" s="578">
        <v>0</v>
      </c>
      <c r="O1936" s="669" t="s">
        <v>3757</v>
      </c>
      <c r="P1936" s="463" t="s">
        <v>7427</v>
      </c>
      <c r="Q1936" s="672">
        <v>0</v>
      </c>
      <c r="R1936" s="672">
        <v>0</v>
      </c>
      <c r="S1936" s="672">
        <v>0</v>
      </c>
      <c r="T1936" s="672">
        <v>0</v>
      </c>
      <c r="U1936" s="498" t="s">
        <v>8367</v>
      </c>
      <c r="V1936" s="463" t="s">
        <v>8382</v>
      </c>
      <c r="W1936" s="498">
        <v>351</v>
      </c>
      <c r="X1936" s="463" t="s">
        <v>2276</v>
      </c>
      <c r="Y1936" s="463" t="s">
        <v>8359</v>
      </c>
      <c r="Z1936" s="463" t="s">
        <v>8383</v>
      </c>
      <c r="AA1936" s="498" t="s">
        <v>1589</v>
      </c>
      <c r="AB1936" s="577" t="s">
        <v>1770</v>
      </c>
    </row>
    <row r="1937" spans="1:28" ht="24" customHeight="1">
      <c r="A1937" s="584"/>
      <c r="B1937" s="460" t="s">
        <v>675</v>
      </c>
      <c r="C1937" s="458" t="s">
        <v>8384</v>
      </c>
      <c r="D1937" s="510" t="s">
        <v>8385</v>
      </c>
      <c r="E1937" s="498">
        <f t="shared" si="153"/>
        <v>70</v>
      </c>
      <c r="F1937" s="498">
        <v>0</v>
      </c>
      <c r="G1937" s="498">
        <v>70</v>
      </c>
      <c r="H1937" s="498">
        <v>0</v>
      </c>
      <c r="I1937" s="655">
        <f t="shared" si="154"/>
        <v>70</v>
      </c>
      <c r="J1937" s="655">
        <v>0</v>
      </c>
      <c r="K1937" s="655">
        <v>70</v>
      </c>
      <c r="L1937" s="710">
        <v>0</v>
      </c>
      <c r="M1937" s="680">
        <f t="shared" si="155"/>
        <v>100</v>
      </c>
      <c r="N1937" s="578">
        <v>0</v>
      </c>
      <c r="O1937" s="669" t="s">
        <v>8386</v>
      </c>
      <c r="P1937" s="463" t="s">
        <v>7427</v>
      </c>
      <c r="Q1937" s="672">
        <v>0</v>
      </c>
      <c r="R1937" s="672">
        <v>0</v>
      </c>
      <c r="S1937" s="672">
        <v>0</v>
      </c>
      <c r="T1937" s="672">
        <v>0</v>
      </c>
      <c r="U1937" s="498" t="s">
        <v>2465</v>
      </c>
      <c r="V1937" s="463" t="s">
        <v>8368</v>
      </c>
      <c r="W1937" s="498">
        <v>360</v>
      </c>
      <c r="X1937" s="463" t="s">
        <v>2276</v>
      </c>
      <c r="Y1937" s="463" t="s">
        <v>8359</v>
      </c>
      <c r="Z1937" s="463" t="s">
        <v>3023</v>
      </c>
      <c r="AA1937" s="498" t="s">
        <v>1589</v>
      </c>
      <c r="AB1937" s="577" t="s">
        <v>1770</v>
      </c>
    </row>
    <row r="1938" spans="1:28" ht="24" customHeight="1">
      <c r="A1938" s="584"/>
      <c r="B1938" s="460" t="s">
        <v>675</v>
      </c>
      <c r="C1938" s="458" t="s">
        <v>8387</v>
      </c>
      <c r="D1938" s="510" t="s">
        <v>8388</v>
      </c>
      <c r="E1938" s="498">
        <f t="shared" si="153"/>
        <v>150</v>
      </c>
      <c r="F1938" s="498">
        <v>0</v>
      </c>
      <c r="G1938" s="498">
        <v>150</v>
      </c>
      <c r="H1938" s="498">
        <v>0</v>
      </c>
      <c r="I1938" s="655">
        <f t="shared" si="154"/>
        <v>150</v>
      </c>
      <c r="J1938" s="655">
        <v>0</v>
      </c>
      <c r="K1938" s="655">
        <v>150</v>
      </c>
      <c r="L1938" s="710">
        <v>0</v>
      </c>
      <c r="M1938" s="680">
        <f t="shared" si="155"/>
        <v>100</v>
      </c>
      <c r="N1938" s="578">
        <v>0</v>
      </c>
      <c r="O1938" s="669" t="s">
        <v>8389</v>
      </c>
      <c r="P1938" s="463" t="s">
        <v>7427</v>
      </c>
      <c r="Q1938" s="672">
        <v>0</v>
      </c>
      <c r="R1938" s="672">
        <v>0</v>
      </c>
      <c r="S1938" s="672">
        <v>0</v>
      </c>
      <c r="T1938" s="672">
        <v>0</v>
      </c>
      <c r="U1938" s="498" t="s">
        <v>2465</v>
      </c>
      <c r="V1938" s="463" t="s">
        <v>8390</v>
      </c>
      <c r="W1938" s="498">
        <v>618</v>
      </c>
      <c r="X1938" s="463" t="s">
        <v>2276</v>
      </c>
      <c r="Y1938" s="463" t="s">
        <v>8359</v>
      </c>
      <c r="Z1938" s="463" t="s">
        <v>1780</v>
      </c>
      <c r="AA1938" s="498" t="s">
        <v>1589</v>
      </c>
      <c r="AB1938" s="577" t="s">
        <v>1770</v>
      </c>
    </row>
    <row r="1939" spans="1:28" ht="24" customHeight="1">
      <c r="A1939" s="582" t="s">
        <v>1609</v>
      </c>
      <c r="B1939" s="460" t="s">
        <v>2201</v>
      </c>
      <c r="C1939" s="458" t="s">
        <v>1609</v>
      </c>
      <c r="D1939" s="510" t="s">
        <v>8391</v>
      </c>
      <c r="E1939" s="498">
        <f t="shared" si="153"/>
        <v>10500</v>
      </c>
      <c r="F1939" s="498">
        <v>0</v>
      </c>
      <c r="G1939" s="498">
        <v>10500</v>
      </c>
      <c r="H1939" s="498">
        <v>0</v>
      </c>
      <c r="I1939" s="655">
        <f t="shared" si="154"/>
        <v>8520</v>
      </c>
      <c r="J1939" s="655">
        <v>0</v>
      </c>
      <c r="K1939" s="655">
        <v>8520</v>
      </c>
      <c r="L1939" s="710">
        <v>0</v>
      </c>
      <c r="M1939" s="680">
        <f t="shared" si="155"/>
        <v>81.142857142857139</v>
      </c>
      <c r="N1939" s="498">
        <v>860</v>
      </c>
      <c r="O1939" s="669" t="s">
        <v>3714</v>
      </c>
      <c r="P1939" s="463" t="s">
        <v>7427</v>
      </c>
      <c r="Q1939" s="672">
        <v>18</v>
      </c>
      <c r="R1939" s="672">
        <v>0</v>
      </c>
      <c r="S1939" s="672">
        <v>0</v>
      </c>
      <c r="T1939" s="672">
        <v>0</v>
      </c>
      <c r="U1939" s="463" t="s">
        <v>2466</v>
      </c>
      <c r="V1939" s="463" t="s">
        <v>6722</v>
      </c>
      <c r="W1939" s="498">
        <v>26270</v>
      </c>
      <c r="X1939" s="463" t="s">
        <v>1532</v>
      </c>
      <c r="Y1939" s="463" t="s">
        <v>8392</v>
      </c>
      <c r="Z1939" s="463" t="s">
        <v>8393</v>
      </c>
      <c r="AA1939" s="463" t="s">
        <v>1770</v>
      </c>
      <c r="AB1939" s="459" t="s">
        <v>1587</v>
      </c>
    </row>
    <row r="1940" spans="1:28" ht="24" customHeight="1">
      <c r="A1940" s="584"/>
      <c r="B1940" s="460" t="s">
        <v>675</v>
      </c>
      <c r="C1940" s="458" t="s">
        <v>2844</v>
      </c>
      <c r="D1940" s="510" t="s">
        <v>8394</v>
      </c>
      <c r="E1940" s="498">
        <f t="shared" si="153"/>
        <v>30</v>
      </c>
      <c r="F1940" s="498">
        <v>0</v>
      </c>
      <c r="G1940" s="498">
        <v>30</v>
      </c>
      <c r="H1940" s="498">
        <v>0</v>
      </c>
      <c r="I1940" s="498">
        <f t="shared" si="154"/>
        <v>18</v>
      </c>
      <c r="J1940" s="498">
        <v>0</v>
      </c>
      <c r="K1940" s="498">
        <v>18</v>
      </c>
      <c r="L1940" s="668" t="s">
        <v>3211</v>
      </c>
      <c r="M1940" s="672">
        <f t="shared" si="155"/>
        <v>60</v>
      </c>
      <c r="N1940" s="498">
        <v>0</v>
      </c>
      <c r="O1940" s="669" t="s">
        <v>6590</v>
      </c>
      <c r="P1940" s="463" t="s">
        <v>7427</v>
      </c>
      <c r="Q1940" s="672">
        <v>0</v>
      </c>
      <c r="R1940" s="672">
        <v>0</v>
      </c>
      <c r="S1940" s="672">
        <v>0</v>
      </c>
      <c r="T1940" s="672">
        <v>0</v>
      </c>
      <c r="U1940" s="463" t="s">
        <v>7520</v>
      </c>
      <c r="V1940" s="463" t="s">
        <v>8395</v>
      </c>
      <c r="W1940" s="498">
        <v>385</v>
      </c>
      <c r="X1940" s="463" t="s">
        <v>1532</v>
      </c>
      <c r="Y1940" s="463" t="s">
        <v>1533</v>
      </c>
      <c r="Z1940" s="463" t="s">
        <v>8393</v>
      </c>
      <c r="AA1940" s="463"/>
      <c r="AB1940" s="459" t="s">
        <v>1587</v>
      </c>
    </row>
    <row r="1941" spans="1:28" ht="24" customHeight="1">
      <c r="A1941" s="584"/>
      <c r="B1941" s="460" t="s">
        <v>675</v>
      </c>
      <c r="C1941" s="458" t="s">
        <v>8396</v>
      </c>
      <c r="D1941" s="510" t="s">
        <v>8397</v>
      </c>
      <c r="E1941" s="498">
        <f t="shared" si="153"/>
        <v>50</v>
      </c>
      <c r="F1941" s="498">
        <v>0</v>
      </c>
      <c r="G1941" s="498">
        <v>50</v>
      </c>
      <c r="H1941" s="498">
        <v>0</v>
      </c>
      <c r="I1941" s="498">
        <f t="shared" si="154"/>
        <v>20</v>
      </c>
      <c r="J1941" s="498">
        <v>0</v>
      </c>
      <c r="K1941" s="498">
        <v>20</v>
      </c>
      <c r="L1941" s="668">
        <v>0</v>
      </c>
      <c r="M1941" s="672">
        <f t="shared" si="155"/>
        <v>40</v>
      </c>
      <c r="N1941" s="498">
        <v>0</v>
      </c>
      <c r="O1941" s="669" t="s">
        <v>3439</v>
      </c>
      <c r="P1941" s="463" t="s">
        <v>7427</v>
      </c>
      <c r="Q1941" s="672">
        <v>0</v>
      </c>
      <c r="R1941" s="672">
        <v>0</v>
      </c>
      <c r="S1941" s="672">
        <v>0</v>
      </c>
      <c r="T1941" s="672">
        <v>0</v>
      </c>
      <c r="U1941" s="463" t="s">
        <v>7520</v>
      </c>
      <c r="V1941" s="463" t="s">
        <v>8398</v>
      </c>
      <c r="W1941" s="498">
        <v>187</v>
      </c>
      <c r="X1941" s="463" t="s">
        <v>1532</v>
      </c>
      <c r="Y1941" s="463" t="s">
        <v>1533</v>
      </c>
      <c r="Z1941" s="463" t="s">
        <v>8399</v>
      </c>
      <c r="AA1941" s="463"/>
      <c r="AB1941" s="459" t="s">
        <v>1587</v>
      </c>
    </row>
    <row r="1942" spans="1:28" ht="24" customHeight="1">
      <c r="A1942" s="584"/>
      <c r="B1942" s="460" t="s">
        <v>675</v>
      </c>
      <c r="C1942" s="458" t="s">
        <v>8400</v>
      </c>
      <c r="D1942" s="510" t="s">
        <v>8401</v>
      </c>
      <c r="E1942" s="498">
        <f t="shared" si="153"/>
        <v>70</v>
      </c>
      <c r="F1942" s="498">
        <v>0</v>
      </c>
      <c r="G1942" s="498">
        <v>70</v>
      </c>
      <c r="H1942" s="498">
        <v>0</v>
      </c>
      <c r="I1942" s="498">
        <f t="shared" si="154"/>
        <v>35</v>
      </c>
      <c r="J1942" s="498">
        <v>0</v>
      </c>
      <c r="K1942" s="498">
        <v>35</v>
      </c>
      <c r="L1942" s="668">
        <v>0</v>
      </c>
      <c r="M1942" s="672">
        <f t="shared" si="155"/>
        <v>50</v>
      </c>
      <c r="N1942" s="498">
        <v>0</v>
      </c>
      <c r="O1942" s="669" t="s">
        <v>6590</v>
      </c>
      <c r="P1942" s="463" t="s">
        <v>7427</v>
      </c>
      <c r="Q1942" s="672">
        <v>0</v>
      </c>
      <c r="R1942" s="672">
        <v>0</v>
      </c>
      <c r="S1942" s="672">
        <v>0</v>
      </c>
      <c r="T1942" s="672">
        <v>0</v>
      </c>
      <c r="U1942" s="463" t="s">
        <v>7520</v>
      </c>
      <c r="V1942" s="463" t="s">
        <v>4230</v>
      </c>
      <c r="W1942" s="498">
        <v>373</v>
      </c>
      <c r="X1942" s="463" t="s">
        <v>1532</v>
      </c>
      <c r="Y1942" s="463" t="s">
        <v>1533</v>
      </c>
      <c r="Z1942" s="463" t="s">
        <v>8402</v>
      </c>
      <c r="AA1942" s="463"/>
      <c r="AB1942" s="459" t="s">
        <v>1587</v>
      </c>
    </row>
    <row r="1943" spans="1:28" ht="24" customHeight="1">
      <c r="A1943" s="584"/>
      <c r="B1943" s="460" t="s">
        <v>675</v>
      </c>
      <c r="C1943" s="458" t="s">
        <v>8403</v>
      </c>
      <c r="D1943" s="510" t="s">
        <v>8404</v>
      </c>
      <c r="E1943" s="498">
        <f t="shared" si="153"/>
        <v>49</v>
      </c>
      <c r="F1943" s="498">
        <v>0</v>
      </c>
      <c r="G1943" s="498">
        <v>49</v>
      </c>
      <c r="H1943" s="498">
        <v>0</v>
      </c>
      <c r="I1943" s="498">
        <f t="shared" si="154"/>
        <v>26</v>
      </c>
      <c r="J1943" s="498">
        <v>0</v>
      </c>
      <c r="K1943" s="498">
        <v>26</v>
      </c>
      <c r="L1943" s="668">
        <v>0</v>
      </c>
      <c r="M1943" s="672">
        <f t="shared" si="155"/>
        <v>53.061224489795919</v>
      </c>
      <c r="N1943" s="498">
        <v>0</v>
      </c>
      <c r="O1943" s="669" t="s">
        <v>8405</v>
      </c>
      <c r="P1943" s="463" t="s">
        <v>7427</v>
      </c>
      <c r="Q1943" s="672">
        <v>0</v>
      </c>
      <c r="R1943" s="672">
        <v>0</v>
      </c>
      <c r="S1943" s="672">
        <v>0</v>
      </c>
      <c r="T1943" s="672">
        <v>0</v>
      </c>
      <c r="U1943" s="463" t="s">
        <v>7520</v>
      </c>
      <c r="V1943" s="463" t="s">
        <v>8406</v>
      </c>
      <c r="W1943" s="498">
        <v>200</v>
      </c>
      <c r="X1943" s="463" t="s">
        <v>1532</v>
      </c>
      <c r="Y1943" s="463" t="s">
        <v>1533</v>
      </c>
      <c r="Z1943" s="463" t="s">
        <v>8407</v>
      </c>
      <c r="AA1943" s="463"/>
      <c r="AB1943" s="459" t="s">
        <v>1589</v>
      </c>
    </row>
    <row r="1944" spans="1:28" ht="24" customHeight="1">
      <c r="A1944" s="584"/>
      <c r="B1944" s="460" t="s">
        <v>675</v>
      </c>
      <c r="C1944" s="458" t="s">
        <v>8408</v>
      </c>
      <c r="D1944" s="510" t="s">
        <v>8409</v>
      </c>
      <c r="E1944" s="498">
        <f t="shared" si="153"/>
        <v>54</v>
      </c>
      <c r="F1944" s="498">
        <v>0</v>
      </c>
      <c r="G1944" s="498">
        <v>54</v>
      </c>
      <c r="H1944" s="498">
        <v>0</v>
      </c>
      <c r="I1944" s="498">
        <f t="shared" si="154"/>
        <v>50</v>
      </c>
      <c r="J1944" s="498">
        <v>0</v>
      </c>
      <c r="K1944" s="498">
        <v>50</v>
      </c>
      <c r="L1944" s="668">
        <v>0</v>
      </c>
      <c r="M1944" s="672">
        <f t="shared" si="155"/>
        <v>92.592592592592595</v>
      </c>
      <c r="N1944" s="498">
        <v>0</v>
      </c>
      <c r="O1944" s="669" t="s">
        <v>8410</v>
      </c>
      <c r="P1944" s="463" t="s">
        <v>7427</v>
      </c>
      <c r="Q1944" s="672">
        <v>0</v>
      </c>
      <c r="R1944" s="672">
        <v>0</v>
      </c>
      <c r="S1944" s="672">
        <v>0</v>
      </c>
      <c r="T1944" s="672">
        <v>0</v>
      </c>
      <c r="U1944" s="463" t="s">
        <v>7520</v>
      </c>
      <c r="V1944" s="463" t="s">
        <v>8411</v>
      </c>
      <c r="W1944" s="498">
        <v>246</v>
      </c>
      <c r="X1944" s="463" t="s">
        <v>1532</v>
      </c>
      <c r="Y1944" s="463" t="s">
        <v>1533</v>
      </c>
      <c r="Z1944" s="463" t="s">
        <v>8412</v>
      </c>
      <c r="AA1944" s="463"/>
      <c r="AB1944" s="459" t="s">
        <v>1587</v>
      </c>
    </row>
    <row r="1945" spans="1:28" ht="24" customHeight="1">
      <c r="A1945" s="584"/>
      <c r="B1945" s="460" t="s">
        <v>675</v>
      </c>
      <c r="C1945" s="458" t="s">
        <v>8413</v>
      </c>
      <c r="D1945" s="510" t="s">
        <v>8414</v>
      </c>
      <c r="E1945" s="498">
        <f t="shared" si="153"/>
        <v>40</v>
      </c>
      <c r="F1945" s="498">
        <v>0</v>
      </c>
      <c r="G1945" s="498">
        <v>40</v>
      </c>
      <c r="H1945" s="498">
        <v>0</v>
      </c>
      <c r="I1945" s="498">
        <f t="shared" si="154"/>
        <v>33</v>
      </c>
      <c r="J1945" s="498">
        <v>0</v>
      </c>
      <c r="K1945" s="498">
        <v>33</v>
      </c>
      <c r="L1945" s="668">
        <v>0</v>
      </c>
      <c r="M1945" s="672">
        <f t="shared" si="155"/>
        <v>82.5</v>
      </c>
      <c r="N1945" s="498">
        <v>0</v>
      </c>
      <c r="O1945" s="669" t="s">
        <v>8415</v>
      </c>
      <c r="P1945" s="463" t="s">
        <v>7427</v>
      </c>
      <c r="Q1945" s="672">
        <v>0</v>
      </c>
      <c r="R1945" s="672">
        <v>0</v>
      </c>
      <c r="S1945" s="672">
        <v>0</v>
      </c>
      <c r="T1945" s="672">
        <v>0</v>
      </c>
      <c r="U1945" s="463" t="s">
        <v>7520</v>
      </c>
      <c r="V1945" s="463" t="s">
        <v>8416</v>
      </c>
      <c r="W1945" s="498">
        <v>246.3</v>
      </c>
      <c r="X1945" s="463" t="s">
        <v>1532</v>
      </c>
      <c r="Y1945" s="463" t="s">
        <v>1533</v>
      </c>
      <c r="Z1945" s="463" t="s">
        <v>8417</v>
      </c>
      <c r="AA1945" s="463"/>
      <c r="AB1945" s="459" t="s">
        <v>1587</v>
      </c>
    </row>
    <row r="1946" spans="1:28" ht="24" customHeight="1">
      <c r="A1946" s="584"/>
      <c r="B1946" s="460" t="s">
        <v>675</v>
      </c>
      <c r="C1946" s="458" t="s">
        <v>1970</v>
      </c>
      <c r="D1946" s="510" t="s">
        <v>8418</v>
      </c>
      <c r="E1946" s="498">
        <f t="shared" si="153"/>
        <v>50</v>
      </c>
      <c r="F1946" s="498">
        <v>0</v>
      </c>
      <c r="G1946" s="498">
        <v>50</v>
      </c>
      <c r="H1946" s="498">
        <v>0</v>
      </c>
      <c r="I1946" s="498">
        <f t="shared" si="154"/>
        <v>25</v>
      </c>
      <c r="J1946" s="498">
        <v>0</v>
      </c>
      <c r="K1946" s="498">
        <v>25</v>
      </c>
      <c r="L1946" s="668">
        <v>0</v>
      </c>
      <c r="M1946" s="672">
        <f t="shared" si="155"/>
        <v>50</v>
      </c>
      <c r="N1946" s="498">
        <v>0</v>
      </c>
      <c r="O1946" s="669" t="s">
        <v>2262</v>
      </c>
      <c r="P1946" s="463" t="s">
        <v>7427</v>
      </c>
      <c r="Q1946" s="672">
        <v>0</v>
      </c>
      <c r="R1946" s="672">
        <v>0</v>
      </c>
      <c r="S1946" s="672">
        <v>0</v>
      </c>
      <c r="T1946" s="672">
        <v>0</v>
      </c>
      <c r="U1946" s="463" t="s">
        <v>7520</v>
      </c>
      <c r="V1946" s="463" t="s">
        <v>8419</v>
      </c>
      <c r="W1946" s="498">
        <v>290</v>
      </c>
      <c r="X1946" s="463" t="s">
        <v>1532</v>
      </c>
      <c r="Y1946" s="463" t="s">
        <v>8237</v>
      </c>
      <c r="Z1946" s="463" t="s">
        <v>1590</v>
      </c>
      <c r="AA1946" s="463"/>
      <c r="AB1946" s="459" t="s">
        <v>1587</v>
      </c>
    </row>
    <row r="1947" spans="1:28" ht="24" customHeight="1">
      <c r="A1947" s="584"/>
      <c r="B1947" s="460" t="s">
        <v>675</v>
      </c>
      <c r="C1947" s="458" t="s">
        <v>8420</v>
      </c>
      <c r="D1947" s="510" t="s">
        <v>8421</v>
      </c>
      <c r="E1947" s="498">
        <f t="shared" si="153"/>
        <v>150</v>
      </c>
      <c r="F1947" s="498">
        <v>0</v>
      </c>
      <c r="G1947" s="498">
        <v>150</v>
      </c>
      <c r="H1947" s="498">
        <v>0</v>
      </c>
      <c r="I1947" s="498">
        <f t="shared" si="154"/>
        <v>85</v>
      </c>
      <c r="J1947" s="498">
        <v>0</v>
      </c>
      <c r="K1947" s="498">
        <v>85</v>
      </c>
      <c r="L1947" s="668">
        <v>0</v>
      </c>
      <c r="M1947" s="672">
        <f t="shared" si="155"/>
        <v>56.666666666666664</v>
      </c>
      <c r="N1947" s="498">
        <v>0</v>
      </c>
      <c r="O1947" s="770" t="s">
        <v>8422</v>
      </c>
      <c r="P1947" s="463" t="s">
        <v>7427</v>
      </c>
      <c r="Q1947" s="672">
        <v>0</v>
      </c>
      <c r="R1947" s="672">
        <v>0</v>
      </c>
      <c r="S1947" s="672">
        <v>0</v>
      </c>
      <c r="T1947" s="672">
        <v>0</v>
      </c>
      <c r="U1947" s="463" t="s">
        <v>7520</v>
      </c>
      <c r="V1947" s="458" t="s">
        <v>8423</v>
      </c>
      <c r="W1947" s="498">
        <v>400</v>
      </c>
      <c r="X1947" s="463" t="s">
        <v>1532</v>
      </c>
      <c r="Y1947" s="463" t="s">
        <v>1533</v>
      </c>
      <c r="Z1947" s="463" t="s">
        <v>8424</v>
      </c>
      <c r="AA1947" s="463"/>
      <c r="AB1947" s="459" t="s">
        <v>1587</v>
      </c>
    </row>
    <row r="1948" spans="1:28" ht="24" customHeight="1">
      <c r="A1948" s="584"/>
      <c r="B1948" s="460" t="s">
        <v>675</v>
      </c>
      <c r="C1948" s="458" t="s">
        <v>8425</v>
      </c>
      <c r="D1948" s="510" t="s">
        <v>8426</v>
      </c>
      <c r="E1948" s="498">
        <f t="shared" si="153"/>
        <v>49</v>
      </c>
      <c r="F1948" s="498">
        <v>0</v>
      </c>
      <c r="G1948" s="498">
        <v>49</v>
      </c>
      <c r="H1948" s="498">
        <v>0</v>
      </c>
      <c r="I1948" s="498">
        <f t="shared" si="154"/>
        <v>45</v>
      </c>
      <c r="J1948" s="498">
        <v>0</v>
      </c>
      <c r="K1948" s="498">
        <v>45</v>
      </c>
      <c r="L1948" s="668">
        <v>0</v>
      </c>
      <c r="M1948" s="672">
        <f t="shared" si="155"/>
        <v>91.83673469387756</v>
      </c>
      <c r="N1948" s="498">
        <v>0</v>
      </c>
      <c r="O1948" s="669" t="s">
        <v>8405</v>
      </c>
      <c r="P1948" s="463" t="s">
        <v>7427</v>
      </c>
      <c r="Q1948" s="672">
        <v>0</v>
      </c>
      <c r="R1948" s="672">
        <v>0</v>
      </c>
      <c r="S1948" s="672">
        <v>0</v>
      </c>
      <c r="T1948" s="672">
        <v>0</v>
      </c>
      <c r="U1948" s="463" t="s">
        <v>7520</v>
      </c>
      <c r="V1948" s="463" t="s">
        <v>8427</v>
      </c>
      <c r="W1948" s="498">
        <v>555</v>
      </c>
      <c r="X1948" s="463" t="s">
        <v>1532</v>
      </c>
      <c r="Y1948" s="463" t="s">
        <v>1533</v>
      </c>
      <c r="Z1948" s="463" t="s">
        <v>8393</v>
      </c>
      <c r="AA1948" s="463"/>
      <c r="AB1948" s="459" t="s">
        <v>1587</v>
      </c>
    </row>
    <row r="1949" spans="1:28" ht="24" customHeight="1">
      <c r="A1949" s="584"/>
      <c r="B1949" s="460" t="s">
        <v>675</v>
      </c>
      <c r="C1949" s="458" t="s">
        <v>8428</v>
      </c>
      <c r="D1949" s="510" t="s">
        <v>8429</v>
      </c>
      <c r="E1949" s="498">
        <f t="shared" si="153"/>
        <v>40</v>
      </c>
      <c r="F1949" s="498">
        <v>0</v>
      </c>
      <c r="G1949" s="498">
        <v>40</v>
      </c>
      <c r="H1949" s="498">
        <v>0</v>
      </c>
      <c r="I1949" s="498">
        <f t="shared" si="154"/>
        <v>35</v>
      </c>
      <c r="J1949" s="498">
        <v>0</v>
      </c>
      <c r="K1949" s="498">
        <v>35</v>
      </c>
      <c r="L1949" s="668">
        <v>0</v>
      </c>
      <c r="M1949" s="672">
        <f t="shared" si="155"/>
        <v>87.5</v>
      </c>
      <c r="N1949" s="498">
        <v>0</v>
      </c>
      <c r="O1949" s="669" t="s">
        <v>2262</v>
      </c>
      <c r="P1949" s="463" t="s">
        <v>7427</v>
      </c>
      <c r="Q1949" s="672">
        <v>0</v>
      </c>
      <c r="R1949" s="672">
        <v>0</v>
      </c>
      <c r="S1949" s="672">
        <v>0</v>
      </c>
      <c r="T1949" s="672">
        <v>0</v>
      </c>
      <c r="U1949" s="463" t="s">
        <v>7520</v>
      </c>
      <c r="V1949" s="463" t="s">
        <v>8430</v>
      </c>
      <c r="W1949" s="498">
        <v>407.5</v>
      </c>
      <c r="X1949" s="463" t="s">
        <v>1532</v>
      </c>
      <c r="Y1949" s="463" t="s">
        <v>1533</v>
      </c>
      <c r="Z1949" s="463" t="s">
        <v>8431</v>
      </c>
      <c r="AA1949" s="463"/>
      <c r="AB1949" s="459" t="s">
        <v>1587</v>
      </c>
    </row>
    <row r="1950" spans="1:28" ht="24" customHeight="1">
      <c r="A1950" s="584"/>
      <c r="B1950" s="460" t="s">
        <v>675</v>
      </c>
      <c r="C1950" s="458" t="s">
        <v>8432</v>
      </c>
      <c r="D1950" s="510" t="s">
        <v>8433</v>
      </c>
      <c r="E1950" s="498">
        <f>F1950+G1950+H1950</f>
        <v>45</v>
      </c>
      <c r="F1950" s="498">
        <v>0</v>
      </c>
      <c r="G1950" s="498">
        <v>45</v>
      </c>
      <c r="H1950" s="498">
        <v>0</v>
      </c>
      <c r="I1950" s="498">
        <f t="shared" si="154"/>
        <v>40</v>
      </c>
      <c r="J1950" s="498">
        <v>0</v>
      </c>
      <c r="K1950" s="498">
        <v>40</v>
      </c>
      <c r="L1950" s="668">
        <v>0</v>
      </c>
      <c r="M1950" s="672">
        <f t="shared" si="155"/>
        <v>88.888888888888886</v>
      </c>
      <c r="N1950" s="498">
        <v>0</v>
      </c>
      <c r="O1950" s="669" t="s">
        <v>2262</v>
      </c>
      <c r="P1950" s="463" t="s">
        <v>7427</v>
      </c>
      <c r="Q1950" s="672">
        <v>0</v>
      </c>
      <c r="R1950" s="672">
        <v>0</v>
      </c>
      <c r="S1950" s="672">
        <v>0</v>
      </c>
      <c r="T1950" s="672">
        <v>0</v>
      </c>
      <c r="U1950" s="463" t="s">
        <v>7520</v>
      </c>
      <c r="V1950" s="463" t="s">
        <v>8430</v>
      </c>
      <c r="W1950" s="498">
        <v>467.55</v>
      </c>
      <c r="X1950" s="463" t="s">
        <v>1532</v>
      </c>
      <c r="Y1950" s="463" t="s">
        <v>1533</v>
      </c>
      <c r="Z1950" s="463" t="s">
        <v>8434</v>
      </c>
      <c r="AA1950" s="463"/>
      <c r="AB1950" s="459" t="s">
        <v>1587</v>
      </c>
    </row>
    <row r="1951" spans="1:28" ht="24" customHeight="1">
      <c r="A1951" s="582" t="s">
        <v>1945</v>
      </c>
      <c r="B1951" s="460" t="s">
        <v>2201</v>
      </c>
      <c r="C1951" s="718" t="s">
        <v>1946</v>
      </c>
      <c r="D1951" s="510" t="s">
        <v>8435</v>
      </c>
      <c r="E1951" s="653">
        <f>SUM(F1951:H1951)</f>
        <v>5600</v>
      </c>
      <c r="F1951" s="498">
        <v>0</v>
      </c>
      <c r="G1951" s="653">
        <v>5600</v>
      </c>
      <c r="H1951" s="498">
        <v>0</v>
      </c>
      <c r="I1951" s="655">
        <f t="shared" si="154"/>
        <v>6191</v>
      </c>
      <c r="J1951" s="655">
        <v>0</v>
      </c>
      <c r="K1951" s="655">
        <v>6191</v>
      </c>
      <c r="L1951" s="710">
        <v>0</v>
      </c>
      <c r="M1951" s="680">
        <f t="shared" si="155"/>
        <v>110.55357142857143</v>
      </c>
      <c r="N1951" s="498">
        <v>397</v>
      </c>
      <c r="O1951" s="669" t="s">
        <v>3173</v>
      </c>
      <c r="P1951" s="463" t="s">
        <v>7427</v>
      </c>
      <c r="Q1951" s="672">
        <v>46.31</v>
      </c>
      <c r="R1951" s="672" t="s">
        <v>1704</v>
      </c>
      <c r="S1951" s="672">
        <v>82</v>
      </c>
      <c r="T1951" s="672">
        <v>0</v>
      </c>
      <c r="U1951" s="463" t="s">
        <v>2467</v>
      </c>
      <c r="V1951" s="463" t="s">
        <v>8436</v>
      </c>
      <c r="W1951" s="498">
        <v>16365</v>
      </c>
      <c r="X1951" s="463" t="s">
        <v>2199</v>
      </c>
      <c r="Y1951" s="463" t="s">
        <v>3399</v>
      </c>
      <c r="Z1951" s="463" t="s">
        <v>2184</v>
      </c>
      <c r="AA1951" s="463" t="s">
        <v>1770</v>
      </c>
      <c r="AB1951" s="459" t="s">
        <v>1587</v>
      </c>
    </row>
    <row r="1952" spans="1:28" ht="24" customHeight="1">
      <c r="A1952" s="584"/>
      <c r="B1952" s="460" t="s">
        <v>2201</v>
      </c>
      <c r="C1952" s="458" t="s">
        <v>1947</v>
      </c>
      <c r="D1952" s="510" t="s">
        <v>8437</v>
      </c>
      <c r="E1952" s="653">
        <f>SUM(F1952:H1952)</f>
        <v>600</v>
      </c>
      <c r="F1952" s="498">
        <v>0</v>
      </c>
      <c r="G1952" s="498">
        <v>0</v>
      </c>
      <c r="H1952" s="498">
        <v>600</v>
      </c>
      <c r="I1952" s="655">
        <f t="shared" si="154"/>
        <v>418</v>
      </c>
      <c r="J1952" s="655">
        <v>0</v>
      </c>
      <c r="K1952" s="655">
        <v>0</v>
      </c>
      <c r="L1952" s="710">
        <v>418</v>
      </c>
      <c r="M1952" s="680">
        <f t="shared" si="155"/>
        <v>69.666666666666671</v>
      </c>
      <c r="N1952" s="498">
        <v>0</v>
      </c>
      <c r="O1952" s="669" t="s">
        <v>8438</v>
      </c>
      <c r="P1952" s="463" t="s">
        <v>3208</v>
      </c>
      <c r="Q1952" s="672">
        <v>0</v>
      </c>
      <c r="R1952" s="672">
        <v>0</v>
      </c>
      <c r="S1952" s="672">
        <v>0</v>
      </c>
      <c r="T1952" s="672">
        <v>0</v>
      </c>
      <c r="U1952" s="463" t="s">
        <v>8439</v>
      </c>
      <c r="V1952" s="463" t="s">
        <v>8440</v>
      </c>
      <c r="W1952" s="498">
        <v>11021</v>
      </c>
      <c r="X1952" s="463" t="s">
        <v>2199</v>
      </c>
      <c r="Y1952" s="463" t="s">
        <v>3566</v>
      </c>
      <c r="Z1952" s="463" t="s">
        <v>8441</v>
      </c>
      <c r="AA1952" s="463" t="s">
        <v>1770</v>
      </c>
      <c r="AB1952" s="459" t="s">
        <v>1587</v>
      </c>
    </row>
    <row r="1953" spans="1:28" ht="24" customHeight="1">
      <c r="A1953" s="584"/>
      <c r="B1953" s="460" t="s">
        <v>675</v>
      </c>
      <c r="C1953" s="458" t="s">
        <v>8442</v>
      </c>
      <c r="D1953" s="510" t="s">
        <v>8443</v>
      </c>
      <c r="E1953" s="653">
        <f t="shared" ref="E1953:E2014" si="156">SUM(F1953:H1953)</f>
        <v>80</v>
      </c>
      <c r="F1953" s="498">
        <v>0</v>
      </c>
      <c r="G1953" s="498">
        <v>0</v>
      </c>
      <c r="H1953" s="498">
        <v>80</v>
      </c>
      <c r="I1953" s="655">
        <f t="shared" si="154"/>
        <v>64</v>
      </c>
      <c r="J1953" s="655">
        <v>0</v>
      </c>
      <c r="K1953" s="655">
        <v>64</v>
      </c>
      <c r="L1953" s="710">
        <v>0</v>
      </c>
      <c r="M1953" s="680">
        <f t="shared" si="155"/>
        <v>80</v>
      </c>
      <c r="N1953" s="498">
        <v>0</v>
      </c>
      <c r="O1953" s="699" t="s">
        <v>4410</v>
      </c>
      <c r="P1953" s="771" t="s">
        <v>7427</v>
      </c>
      <c r="Q1953" s="672">
        <v>0</v>
      </c>
      <c r="R1953" s="672">
        <v>0</v>
      </c>
      <c r="S1953" s="672">
        <v>0</v>
      </c>
      <c r="T1953" s="672">
        <v>0</v>
      </c>
      <c r="U1953" s="463" t="s">
        <v>7521</v>
      </c>
      <c r="V1953" s="498" t="s">
        <v>8444</v>
      </c>
      <c r="W1953" s="498">
        <v>200</v>
      </c>
      <c r="X1953" s="463" t="s">
        <v>2199</v>
      </c>
      <c r="Y1953" s="462" t="s">
        <v>3566</v>
      </c>
      <c r="Z1953" s="463"/>
      <c r="AA1953" s="463" t="s">
        <v>1770</v>
      </c>
      <c r="AB1953" s="459" t="s">
        <v>1587</v>
      </c>
    </row>
    <row r="1954" spans="1:28" ht="24" customHeight="1">
      <c r="A1954" s="584"/>
      <c r="B1954" s="460" t="s">
        <v>675</v>
      </c>
      <c r="C1954" s="458" t="s">
        <v>8445</v>
      </c>
      <c r="D1954" s="510" t="s">
        <v>8446</v>
      </c>
      <c r="E1954" s="653">
        <f t="shared" si="156"/>
        <v>110</v>
      </c>
      <c r="F1954" s="498">
        <v>0</v>
      </c>
      <c r="G1954" s="498">
        <v>0</v>
      </c>
      <c r="H1954" s="498">
        <v>110</v>
      </c>
      <c r="I1954" s="655">
        <f t="shared" si="154"/>
        <v>88</v>
      </c>
      <c r="J1954" s="655">
        <v>0</v>
      </c>
      <c r="K1954" s="655">
        <v>88</v>
      </c>
      <c r="L1954" s="710">
        <v>0</v>
      </c>
      <c r="M1954" s="680">
        <f t="shared" si="155"/>
        <v>80</v>
      </c>
      <c r="N1954" s="498">
        <v>0</v>
      </c>
      <c r="O1954" s="699" t="s">
        <v>8447</v>
      </c>
      <c r="P1954" s="771" t="s">
        <v>7427</v>
      </c>
      <c r="Q1954" s="672">
        <v>0</v>
      </c>
      <c r="R1954" s="672">
        <v>0</v>
      </c>
      <c r="S1954" s="672">
        <v>0</v>
      </c>
      <c r="T1954" s="672">
        <v>0</v>
      </c>
      <c r="U1954" s="463" t="s">
        <v>7521</v>
      </c>
      <c r="V1954" s="498" t="s">
        <v>2112</v>
      </c>
      <c r="W1954" s="498">
        <v>385</v>
      </c>
      <c r="X1954" s="463" t="s">
        <v>2199</v>
      </c>
      <c r="Y1954" s="462" t="s">
        <v>8448</v>
      </c>
      <c r="Z1954" s="463"/>
      <c r="AA1954" s="463" t="s">
        <v>1770</v>
      </c>
      <c r="AB1954" s="459" t="s">
        <v>1587</v>
      </c>
    </row>
    <row r="1955" spans="1:28" ht="24" customHeight="1">
      <c r="A1955" s="584"/>
      <c r="B1955" s="460" t="s">
        <v>675</v>
      </c>
      <c r="C1955" s="458" t="s">
        <v>1720</v>
      </c>
      <c r="D1955" s="510" t="s">
        <v>8449</v>
      </c>
      <c r="E1955" s="653">
        <f t="shared" si="156"/>
        <v>50</v>
      </c>
      <c r="F1955" s="498">
        <v>0</v>
      </c>
      <c r="G1955" s="498">
        <v>0</v>
      </c>
      <c r="H1955" s="498">
        <v>50</v>
      </c>
      <c r="I1955" s="655">
        <f t="shared" si="154"/>
        <v>40</v>
      </c>
      <c r="J1955" s="655">
        <v>0</v>
      </c>
      <c r="K1955" s="655">
        <v>40</v>
      </c>
      <c r="L1955" s="710">
        <v>0</v>
      </c>
      <c r="M1955" s="680">
        <f t="shared" si="155"/>
        <v>80</v>
      </c>
      <c r="N1955" s="498">
        <v>0</v>
      </c>
      <c r="O1955" s="699" t="s">
        <v>8450</v>
      </c>
      <c r="P1955" s="771" t="s">
        <v>7427</v>
      </c>
      <c r="Q1955" s="672">
        <v>0</v>
      </c>
      <c r="R1955" s="672">
        <v>0</v>
      </c>
      <c r="S1955" s="672">
        <v>0</v>
      </c>
      <c r="T1955" s="672">
        <v>0</v>
      </c>
      <c r="U1955" s="463" t="s">
        <v>7521</v>
      </c>
      <c r="V1955" s="498" t="s">
        <v>8451</v>
      </c>
      <c r="W1955" s="498">
        <v>235</v>
      </c>
      <c r="X1955" s="463" t="s">
        <v>2199</v>
      </c>
      <c r="Y1955" s="462" t="s">
        <v>8448</v>
      </c>
      <c r="Z1955" s="463"/>
      <c r="AA1955" s="463" t="s">
        <v>1770</v>
      </c>
      <c r="AB1955" s="459" t="s">
        <v>1587</v>
      </c>
    </row>
    <row r="1956" spans="1:28" ht="24" customHeight="1">
      <c r="A1956" s="584"/>
      <c r="B1956" s="460" t="s">
        <v>675</v>
      </c>
      <c r="C1956" s="458" t="s">
        <v>8452</v>
      </c>
      <c r="D1956" s="510" t="s">
        <v>8453</v>
      </c>
      <c r="E1956" s="653">
        <f t="shared" si="156"/>
        <v>100</v>
      </c>
      <c r="F1956" s="498">
        <v>0</v>
      </c>
      <c r="G1956" s="498">
        <v>0</v>
      </c>
      <c r="H1956" s="498">
        <v>100</v>
      </c>
      <c r="I1956" s="655">
        <f t="shared" si="154"/>
        <v>80</v>
      </c>
      <c r="J1956" s="655">
        <v>0</v>
      </c>
      <c r="K1956" s="655">
        <v>0</v>
      </c>
      <c r="L1956" s="710">
        <v>80</v>
      </c>
      <c r="M1956" s="680">
        <f t="shared" si="155"/>
        <v>80</v>
      </c>
      <c r="N1956" s="498">
        <v>0</v>
      </c>
      <c r="O1956" s="699" t="s">
        <v>8454</v>
      </c>
      <c r="P1956" s="771" t="s">
        <v>7427</v>
      </c>
      <c r="Q1956" s="672">
        <v>0</v>
      </c>
      <c r="R1956" s="672">
        <v>0</v>
      </c>
      <c r="S1956" s="672">
        <v>0</v>
      </c>
      <c r="T1956" s="672">
        <v>0</v>
      </c>
      <c r="U1956" s="463" t="s">
        <v>7521</v>
      </c>
      <c r="V1956" s="498" t="s">
        <v>8455</v>
      </c>
      <c r="W1956" s="498">
        <v>483</v>
      </c>
      <c r="X1956" s="463" t="s">
        <v>2199</v>
      </c>
      <c r="Y1956" s="462" t="s">
        <v>8456</v>
      </c>
      <c r="Z1956" s="463"/>
      <c r="AA1956" s="463" t="s">
        <v>1770</v>
      </c>
      <c r="AB1956" s="459" t="s">
        <v>1587</v>
      </c>
    </row>
    <row r="1957" spans="1:28" ht="24" customHeight="1">
      <c r="A1957" s="584"/>
      <c r="B1957" s="460" t="s">
        <v>675</v>
      </c>
      <c r="C1957" s="458" t="s">
        <v>8457</v>
      </c>
      <c r="D1957" s="510" t="s">
        <v>8458</v>
      </c>
      <c r="E1957" s="653">
        <f t="shared" si="156"/>
        <v>100</v>
      </c>
      <c r="F1957" s="498">
        <v>0</v>
      </c>
      <c r="G1957" s="498">
        <v>0</v>
      </c>
      <c r="H1957" s="498">
        <v>100</v>
      </c>
      <c r="I1957" s="655">
        <f t="shared" si="154"/>
        <v>80</v>
      </c>
      <c r="J1957" s="655">
        <v>0</v>
      </c>
      <c r="K1957" s="655">
        <v>80</v>
      </c>
      <c r="L1957" s="710">
        <v>0</v>
      </c>
      <c r="M1957" s="680">
        <f t="shared" si="155"/>
        <v>80</v>
      </c>
      <c r="N1957" s="498">
        <v>0</v>
      </c>
      <c r="O1957" s="699" t="s">
        <v>8459</v>
      </c>
      <c r="P1957" s="771" t="s">
        <v>7427</v>
      </c>
      <c r="Q1957" s="672">
        <v>0</v>
      </c>
      <c r="R1957" s="672">
        <v>0</v>
      </c>
      <c r="S1957" s="672">
        <v>0</v>
      </c>
      <c r="T1957" s="672">
        <v>0</v>
      </c>
      <c r="U1957" s="463" t="s">
        <v>7521</v>
      </c>
      <c r="V1957" s="498" t="s">
        <v>8460</v>
      </c>
      <c r="W1957" s="498">
        <v>395</v>
      </c>
      <c r="X1957" s="463" t="s">
        <v>2199</v>
      </c>
      <c r="Y1957" s="462" t="s">
        <v>8448</v>
      </c>
      <c r="Z1957" s="463"/>
      <c r="AA1957" s="463" t="s">
        <v>1770</v>
      </c>
      <c r="AB1957" s="459" t="s">
        <v>1587</v>
      </c>
    </row>
    <row r="1958" spans="1:28" ht="24" customHeight="1">
      <c r="A1958" s="584"/>
      <c r="B1958" s="460" t="s">
        <v>675</v>
      </c>
      <c r="C1958" s="458" t="s">
        <v>8461</v>
      </c>
      <c r="D1958" s="510" t="s">
        <v>8462</v>
      </c>
      <c r="E1958" s="653">
        <f t="shared" si="156"/>
        <v>60</v>
      </c>
      <c r="F1958" s="498">
        <v>0</v>
      </c>
      <c r="G1958" s="498">
        <v>0</v>
      </c>
      <c r="H1958" s="498">
        <v>60</v>
      </c>
      <c r="I1958" s="655">
        <f t="shared" si="154"/>
        <v>48</v>
      </c>
      <c r="J1958" s="655">
        <v>0</v>
      </c>
      <c r="K1958" s="655">
        <v>48</v>
      </c>
      <c r="L1958" s="710">
        <v>0</v>
      </c>
      <c r="M1958" s="680">
        <f t="shared" si="155"/>
        <v>80</v>
      </c>
      <c r="N1958" s="498">
        <v>0</v>
      </c>
      <c r="O1958" s="699" t="s">
        <v>8463</v>
      </c>
      <c r="P1958" s="771" t="s">
        <v>7427</v>
      </c>
      <c r="Q1958" s="672">
        <v>0</v>
      </c>
      <c r="R1958" s="672">
        <v>0</v>
      </c>
      <c r="S1958" s="672">
        <v>0</v>
      </c>
      <c r="T1958" s="672">
        <v>0</v>
      </c>
      <c r="U1958" s="463" t="s">
        <v>7521</v>
      </c>
      <c r="V1958" s="498" t="s">
        <v>8464</v>
      </c>
      <c r="W1958" s="498">
        <v>221</v>
      </c>
      <c r="X1958" s="463" t="s">
        <v>2199</v>
      </c>
      <c r="Y1958" s="462" t="s">
        <v>8448</v>
      </c>
      <c r="Z1958" s="463"/>
      <c r="AA1958" s="463" t="s">
        <v>1770</v>
      </c>
      <c r="AB1958" s="459" t="s">
        <v>1587</v>
      </c>
    </row>
    <row r="1959" spans="1:28" ht="24" customHeight="1">
      <c r="A1959" s="584"/>
      <c r="B1959" s="460" t="s">
        <v>675</v>
      </c>
      <c r="C1959" s="458" t="s">
        <v>4412</v>
      </c>
      <c r="D1959" s="510" t="s">
        <v>8465</v>
      </c>
      <c r="E1959" s="653">
        <f t="shared" si="156"/>
        <v>65</v>
      </c>
      <c r="F1959" s="498">
        <v>0</v>
      </c>
      <c r="G1959" s="498">
        <v>0</v>
      </c>
      <c r="H1959" s="498">
        <v>65</v>
      </c>
      <c r="I1959" s="655">
        <f t="shared" si="154"/>
        <v>52</v>
      </c>
      <c r="J1959" s="655">
        <v>0</v>
      </c>
      <c r="K1959" s="655">
        <v>52</v>
      </c>
      <c r="L1959" s="710">
        <v>0</v>
      </c>
      <c r="M1959" s="680">
        <f t="shared" si="155"/>
        <v>80</v>
      </c>
      <c r="N1959" s="498">
        <v>0</v>
      </c>
      <c r="O1959" s="699" t="s">
        <v>8466</v>
      </c>
      <c r="P1959" s="771" t="s">
        <v>7427</v>
      </c>
      <c r="Q1959" s="672">
        <v>0</v>
      </c>
      <c r="R1959" s="672">
        <v>0</v>
      </c>
      <c r="S1959" s="672">
        <v>0</v>
      </c>
      <c r="T1959" s="672">
        <v>0</v>
      </c>
      <c r="U1959" s="463" t="s">
        <v>7521</v>
      </c>
      <c r="V1959" s="498" t="s">
        <v>8467</v>
      </c>
      <c r="W1959" s="498">
        <v>270</v>
      </c>
      <c r="X1959" s="463" t="s">
        <v>2199</v>
      </c>
      <c r="Y1959" s="462" t="s">
        <v>3566</v>
      </c>
      <c r="Z1959" s="463"/>
      <c r="AA1959" s="463" t="s">
        <v>1770</v>
      </c>
      <c r="AB1959" s="459" t="s">
        <v>1587</v>
      </c>
    </row>
    <row r="1960" spans="1:28" ht="24" customHeight="1">
      <c r="A1960" s="584"/>
      <c r="B1960" s="460" t="s">
        <v>675</v>
      </c>
      <c r="C1960" s="458" t="s">
        <v>5317</v>
      </c>
      <c r="D1960" s="510" t="s">
        <v>8468</v>
      </c>
      <c r="E1960" s="653">
        <f t="shared" si="156"/>
        <v>80</v>
      </c>
      <c r="F1960" s="498">
        <v>0</v>
      </c>
      <c r="G1960" s="498">
        <v>0</v>
      </c>
      <c r="H1960" s="498">
        <v>80</v>
      </c>
      <c r="I1960" s="655">
        <f t="shared" si="154"/>
        <v>64</v>
      </c>
      <c r="J1960" s="655">
        <v>0</v>
      </c>
      <c r="K1960" s="655">
        <v>64</v>
      </c>
      <c r="L1960" s="710">
        <v>0</v>
      </c>
      <c r="M1960" s="680">
        <f t="shared" si="155"/>
        <v>80</v>
      </c>
      <c r="N1960" s="498">
        <v>0</v>
      </c>
      <c r="O1960" s="699" t="s">
        <v>8469</v>
      </c>
      <c r="P1960" s="771" t="s">
        <v>7427</v>
      </c>
      <c r="Q1960" s="672">
        <v>0</v>
      </c>
      <c r="R1960" s="672">
        <v>0</v>
      </c>
      <c r="S1960" s="672">
        <v>0</v>
      </c>
      <c r="T1960" s="672">
        <v>0</v>
      </c>
      <c r="U1960" s="463" t="s">
        <v>7521</v>
      </c>
      <c r="V1960" s="498" t="s">
        <v>8470</v>
      </c>
      <c r="W1960" s="498">
        <v>341</v>
      </c>
      <c r="X1960" s="463" t="s">
        <v>2199</v>
      </c>
      <c r="Y1960" s="462" t="s">
        <v>3566</v>
      </c>
      <c r="Z1960" s="463"/>
      <c r="AA1960" s="463" t="s">
        <v>1770</v>
      </c>
      <c r="AB1960" s="459" t="s">
        <v>1587</v>
      </c>
    </row>
    <row r="1961" spans="1:28" ht="24" customHeight="1">
      <c r="A1961" s="584"/>
      <c r="B1961" s="460" t="s">
        <v>675</v>
      </c>
      <c r="C1961" s="458" t="s">
        <v>8471</v>
      </c>
      <c r="D1961" s="510" t="s">
        <v>8472</v>
      </c>
      <c r="E1961" s="653">
        <f t="shared" si="156"/>
        <v>60</v>
      </c>
      <c r="F1961" s="498">
        <v>0</v>
      </c>
      <c r="G1961" s="498">
        <v>0</v>
      </c>
      <c r="H1961" s="498">
        <v>60</v>
      </c>
      <c r="I1961" s="655">
        <f t="shared" si="154"/>
        <v>48</v>
      </c>
      <c r="J1961" s="655">
        <v>0</v>
      </c>
      <c r="K1961" s="655">
        <v>48</v>
      </c>
      <c r="L1961" s="710">
        <v>0</v>
      </c>
      <c r="M1961" s="680">
        <f t="shared" si="155"/>
        <v>80</v>
      </c>
      <c r="N1961" s="498">
        <v>0</v>
      </c>
      <c r="O1961" s="699" t="s">
        <v>8473</v>
      </c>
      <c r="P1961" s="771" t="s">
        <v>7427</v>
      </c>
      <c r="Q1961" s="672">
        <v>0</v>
      </c>
      <c r="R1961" s="672">
        <v>0</v>
      </c>
      <c r="S1961" s="672">
        <v>0</v>
      </c>
      <c r="T1961" s="672">
        <v>0</v>
      </c>
      <c r="U1961" s="463" t="s">
        <v>7521</v>
      </c>
      <c r="V1961" s="498" t="s">
        <v>8474</v>
      </c>
      <c r="W1961" s="498">
        <v>228</v>
      </c>
      <c r="X1961" s="463" t="s">
        <v>2199</v>
      </c>
      <c r="Y1961" s="462" t="s">
        <v>8448</v>
      </c>
      <c r="Z1961" s="463"/>
      <c r="AA1961" s="463" t="s">
        <v>1770</v>
      </c>
      <c r="AB1961" s="459" t="s">
        <v>1587</v>
      </c>
    </row>
    <row r="1962" spans="1:28" ht="24" customHeight="1">
      <c r="A1962" s="584"/>
      <c r="B1962" s="460" t="s">
        <v>675</v>
      </c>
      <c r="C1962" s="458" t="s">
        <v>8475</v>
      </c>
      <c r="D1962" s="510" t="s">
        <v>8476</v>
      </c>
      <c r="E1962" s="653">
        <f t="shared" si="156"/>
        <v>80</v>
      </c>
      <c r="F1962" s="498">
        <v>0</v>
      </c>
      <c r="G1962" s="498">
        <v>0</v>
      </c>
      <c r="H1962" s="498">
        <v>80</v>
      </c>
      <c r="I1962" s="655">
        <f t="shared" si="154"/>
        <v>64</v>
      </c>
      <c r="J1962" s="655">
        <v>0</v>
      </c>
      <c r="K1962" s="655">
        <v>0</v>
      </c>
      <c r="L1962" s="710">
        <v>64</v>
      </c>
      <c r="M1962" s="680">
        <f t="shared" si="155"/>
        <v>80</v>
      </c>
      <c r="N1962" s="498">
        <v>0</v>
      </c>
      <c r="O1962" s="699" t="s">
        <v>8477</v>
      </c>
      <c r="P1962" s="771" t="s">
        <v>7427</v>
      </c>
      <c r="Q1962" s="672">
        <v>0</v>
      </c>
      <c r="R1962" s="672">
        <v>0</v>
      </c>
      <c r="S1962" s="672">
        <v>0</v>
      </c>
      <c r="T1962" s="672">
        <v>0</v>
      </c>
      <c r="U1962" s="463" t="s">
        <v>7521</v>
      </c>
      <c r="V1962" s="498" t="s">
        <v>8478</v>
      </c>
      <c r="W1962" s="498">
        <v>230</v>
      </c>
      <c r="X1962" s="463" t="s">
        <v>2199</v>
      </c>
      <c r="Y1962" s="462" t="s">
        <v>8448</v>
      </c>
      <c r="Z1962" s="463"/>
      <c r="AA1962" s="463" t="s">
        <v>1770</v>
      </c>
      <c r="AB1962" s="459" t="s">
        <v>1587</v>
      </c>
    </row>
    <row r="1963" spans="1:28" ht="24" customHeight="1">
      <c r="A1963" s="584"/>
      <c r="B1963" s="460" t="s">
        <v>675</v>
      </c>
      <c r="C1963" s="458" t="s">
        <v>8479</v>
      </c>
      <c r="D1963" s="510" t="s">
        <v>8480</v>
      </c>
      <c r="E1963" s="653">
        <f t="shared" si="156"/>
        <v>50</v>
      </c>
      <c r="F1963" s="498">
        <v>0</v>
      </c>
      <c r="G1963" s="498">
        <v>0</v>
      </c>
      <c r="H1963" s="498">
        <v>50</v>
      </c>
      <c r="I1963" s="655">
        <f t="shared" si="154"/>
        <v>40</v>
      </c>
      <c r="J1963" s="655">
        <v>0</v>
      </c>
      <c r="K1963" s="655">
        <v>40</v>
      </c>
      <c r="L1963" s="710">
        <v>0</v>
      </c>
      <c r="M1963" s="680">
        <f t="shared" si="155"/>
        <v>80</v>
      </c>
      <c r="N1963" s="498">
        <v>0</v>
      </c>
      <c r="O1963" s="699" t="s">
        <v>6980</v>
      </c>
      <c r="P1963" s="771" t="s">
        <v>7427</v>
      </c>
      <c r="Q1963" s="672">
        <v>0</v>
      </c>
      <c r="R1963" s="672">
        <v>0</v>
      </c>
      <c r="S1963" s="672">
        <v>0</v>
      </c>
      <c r="T1963" s="672">
        <v>0</v>
      </c>
      <c r="U1963" s="463" t="s">
        <v>7521</v>
      </c>
      <c r="V1963" s="498" t="s">
        <v>8481</v>
      </c>
      <c r="W1963" s="498">
        <v>207</v>
      </c>
      <c r="X1963" s="463" t="s">
        <v>2199</v>
      </c>
      <c r="Y1963" s="462" t="s">
        <v>3566</v>
      </c>
      <c r="Z1963" s="463"/>
      <c r="AA1963" s="463" t="s">
        <v>1770</v>
      </c>
      <c r="AB1963" s="459" t="s">
        <v>1587</v>
      </c>
    </row>
    <row r="1964" spans="1:28" ht="24" customHeight="1">
      <c r="A1964" s="584"/>
      <c r="B1964" s="460" t="s">
        <v>675</v>
      </c>
      <c r="C1964" s="458" t="s">
        <v>8482</v>
      </c>
      <c r="D1964" s="510" t="s">
        <v>8483</v>
      </c>
      <c r="E1964" s="653">
        <f t="shared" si="156"/>
        <v>60</v>
      </c>
      <c r="F1964" s="498">
        <v>0</v>
      </c>
      <c r="G1964" s="498">
        <v>0</v>
      </c>
      <c r="H1964" s="498">
        <v>60</v>
      </c>
      <c r="I1964" s="655">
        <f t="shared" si="154"/>
        <v>48</v>
      </c>
      <c r="J1964" s="655">
        <v>0</v>
      </c>
      <c r="K1964" s="655">
        <v>48</v>
      </c>
      <c r="L1964" s="710">
        <v>0</v>
      </c>
      <c r="M1964" s="680">
        <f t="shared" si="155"/>
        <v>80</v>
      </c>
      <c r="N1964" s="498">
        <v>0</v>
      </c>
      <c r="O1964" s="699" t="s">
        <v>8484</v>
      </c>
      <c r="P1964" s="771" t="s">
        <v>7427</v>
      </c>
      <c r="Q1964" s="672">
        <v>0</v>
      </c>
      <c r="R1964" s="672">
        <v>0</v>
      </c>
      <c r="S1964" s="672">
        <v>0</v>
      </c>
      <c r="T1964" s="672">
        <v>0</v>
      </c>
      <c r="U1964" s="463" t="s">
        <v>7521</v>
      </c>
      <c r="V1964" s="498" t="s">
        <v>5724</v>
      </c>
      <c r="W1964" s="498">
        <v>191</v>
      </c>
      <c r="X1964" s="463" t="s">
        <v>2199</v>
      </c>
      <c r="Y1964" s="462" t="s">
        <v>3566</v>
      </c>
      <c r="Z1964" s="463"/>
      <c r="AA1964" s="463" t="s">
        <v>1770</v>
      </c>
      <c r="AB1964" s="459" t="s">
        <v>1587</v>
      </c>
    </row>
    <row r="1965" spans="1:28" ht="24" customHeight="1">
      <c r="A1965" s="584"/>
      <c r="B1965" s="460" t="s">
        <v>675</v>
      </c>
      <c r="C1965" s="458" t="s">
        <v>8485</v>
      </c>
      <c r="D1965" s="510" t="s">
        <v>8486</v>
      </c>
      <c r="E1965" s="653">
        <f t="shared" si="156"/>
        <v>50</v>
      </c>
      <c r="F1965" s="498">
        <v>0</v>
      </c>
      <c r="G1965" s="498">
        <v>0</v>
      </c>
      <c r="H1965" s="498">
        <v>50</v>
      </c>
      <c r="I1965" s="655">
        <f t="shared" si="154"/>
        <v>40</v>
      </c>
      <c r="J1965" s="655">
        <v>0</v>
      </c>
      <c r="K1965" s="655">
        <v>40</v>
      </c>
      <c r="L1965" s="710">
        <v>0</v>
      </c>
      <c r="M1965" s="680">
        <f t="shared" si="155"/>
        <v>80</v>
      </c>
      <c r="N1965" s="498">
        <v>0</v>
      </c>
      <c r="O1965" s="699" t="s">
        <v>6980</v>
      </c>
      <c r="P1965" s="771" t="s">
        <v>7427</v>
      </c>
      <c r="Q1965" s="672">
        <v>0</v>
      </c>
      <c r="R1965" s="672">
        <v>0</v>
      </c>
      <c r="S1965" s="672">
        <v>0</v>
      </c>
      <c r="T1965" s="672">
        <v>0</v>
      </c>
      <c r="U1965" s="463" t="s">
        <v>7521</v>
      </c>
      <c r="V1965" s="498" t="s">
        <v>8487</v>
      </c>
      <c r="W1965" s="498">
        <v>227</v>
      </c>
      <c r="X1965" s="463" t="s">
        <v>2199</v>
      </c>
      <c r="Y1965" s="462" t="s">
        <v>3566</v>
      </c>
      <c r="Z1965" s="463"/>
      <c r="AA1965" s="463" t="s">
        <v>1770</v>
      </c>
      <c r="AB1965" s="459" t="s">
        <v>1587</v>
      </c>
    </row>
    <row r="1966" spans="1:28" ht="24" customHeight="1">
      <c r="A1966" s="584"/>
      <c r="B1966" s="460" t="s">
        <v>675</v>
      </c>
      <c r="C1966" s="458" t="s">
        <v>5732</v>
      </c>
      <c r="D1966" s="510" t="s">
        <v>8488</v>
      </c>
      <c r="E1966" s="653">
        <f t="shared" si="156"/>
        <v>110</v>
      </c>
      <c r="F1966" s="498">
        <v>0</v>
      </c>
      <c r="G1966" s="498">
        <v>0</v>
      </c>
      <c r="H1966" s="498">
        <v>110</v>
      </c>
      <c r="I1966" s="655">
        <f t="shared" si="154"/>
        <v>88</v>
      </c>
      <c r="J1966" s="655">
        <v>0</v>
      </c>
      <c r="K1966" s="655">
        <v>88</v>
      </c>
      <c r="L1966" s="710">
        <v>0</v>
      </c>
      <c r="M1966" s="680">
        <f t="shared" si="155"/>
        <v>80</v>
      </c>
      <c r="N1966" s="498">
        <v>0</v>
      </c>
      <c r="O1966" s="699" t="s">
        <v>8469</v>
      </c>
      <c r="P1966" s="771" t="s">
        <v>7427</v>
      </c>
      <c r="Q1966" s="672">
        <v>0</v>
      </c>
      <c r="R1966" s="672">
        <v>0</v>
      </c>
      <c r="S1966" s="672">
        <v>0</v>
      </c>
      <c r="T1966" s="672">
        <v>0</v>
      </c>
      <c r="U1966" s="463" t="s">
        <v>7521</v>
      </c>
      <c r="V1966" s="498" t="s">
        <v>3375</v>
      </c>
      <c r="W1966" s="498">
        <v>604</v>
      </c>
      <c r="X1966" s="463" t="s">
        <v>2199</v>
      </c>
      <c r="Y1966" s="462" t="s">
        <v>3566</v>
      </c>
      <c r="Z1966" s="463"/>
      <c r="AA1966" s="463" t="s">
        <v>1770</v>
      </c>
      <c r="AB1966" s="459" t="s">
        <v>1587</v>
      </c>
    </row>
    <row r="1967" spans="1:28" ht="24" customHeight="1">
      <c r="A1967" s="584"/>
      <c r="B1967" s="460" t="s">
        <v>675</v>
      </c>
      <c r="C1967" s="458" t="s">
        <v>8489</v>
      </c>
      <c r="D1967" s="510" t="s">
        <v>8490</v>
      </c>
      <c r="E1967" s="653">
        <f t="shared" si="156"/>
        <v>100</v>
      </c>
      <c r="F1967" s="498">
        <v>0</v>
      </c>
      <c r="G1967" s="498">
        <v>0</v>
      </c>
      <c r="H1967" s="498">
        <v>100</v>
      </c>
      <c r="I1967" s="655">
        <f t="shared" si="154"/>
        <v>80</v>
      </c>
      <c r="J1967" s="655">
        <v>0</v>
      </c>
      <c r="K1967" s="655">
        <v>80</v>
      </c>
      <c r="L1967" s="710">
        <v>0</v>
      </c>
      <c r="M1967" s="680">
        <f t="shared" si="155"/>
        <v>80</v>
      </c>
      <c r="N1967" s="498">
        <v>0</v>
      </c>
      <c r="O1967" s="699" t="s">
        <v>8491</v>
      </c>
      <c r="P1967" s="771" t="s">
        <v>7427</v>
      </c>
      <c r="Q1967" s="672">
        <v>0</v>
      </c>
      <c r="R1967" s="672">
        <v>0</v>
      </c>
      <c r="S1967" s="672">
        <v>0</v>
      </c>
      <c r="T1967" s="672">
        <v>0</v>
      </c>
      <c r="U1967" s="463" t="s">
        <v>7521</v>
      </c>
      <c r="V1967" s="498" t="s">
        <v>8492</v>
      </c>
      <c r="W1967" s="498">
        <v>324</v>
      </c>
      <c r="X1967" s="463" t="s">
        <v>2199</v>
      </c>
      <c r="Y1967" s="462" t="s">
        <v>8448</v>
      </c>
      <c r="Z1967" s="463"/>
      <c r="AA1967" s="498" t="s">
        <v>1770</v>
      </c>
      <c r="AB1967" s="459" t="s">
        <v>1587</v>
      </c>
    </row>
    <row r="1968" spans="1:28" ht="24" customHeight="1">
      <c r="A1968" s="584"/>
      <c r="B1968" s="460" t="s">
        <v>675</v>
      </c>
      <c r="C1968" s="458" t="s">
        <v>8493</v>
      </c>
      <c r="D1968" s="510" t="s">
        <v>8494</v>
      </c>
      <c r="E1968" s="653">
        <f t="shared" si="156"/>
        <v>100</v>
      </c>
      <c r="F1968" s="498">
        <v>0</v>
      </c>
      <c r="G1968" s="498">
        <v>0</v>
      </c>
      <c r="H1968" s="498">
        <v>100</v>
      </c>
      <c r="I1968" s="655">
        <f t="shared" ref="I1968:I2027" si="157">SUM(J1968:L1968)</f>
        <v>80</v>
      </c>
      <c r="J1968" s="655">
        <v>0</v>
      </c>
      <c r="K1968" s="655">
        <v>80</v>
      </c>
      <c r="L1968" s="710">
        <v>0</v>
      </c>
      <c r="M1968" s="680">
        <f t="shared" si="155"/>
        <v>80</v>
      </c>
      <c r="N1968" s="498">
        <v>0</v>
      </c>
      <c r="O1968" s="699" t="s">
        <v>8495</v>
      </c>
      <c r="P1968" s="771" t="s">
        <v>7427</v>
      </c>
      <c r="Q1968" s="672">
        <v>0</v>
      </c>
      <c r="R1968" s="672">
        <v>0</v>
      </c>
      <c r="S1968" s="672">
        <v>0</v>
      </c>
      <c r="T1968" s="672">
        <v>0</v>
      </c>
      <c r="U1968" s="463" t="s">
        <v>7521</v>
      </c>
      <c r="V1968" s="498" t="s">
        <v>8496</v>
      </c>
      <c r="W1968" s="498">
        <v>346</v>
      </c>
      <c r="X1968" s="463" t="s">
        <v>2199</v>
      </c>
      <c r="Y1968" s="462" t="s">
        <v>8448</v>
      </c>
      <c r="Z1968" s="463"/>
      <c r="AA1968" s="498" t="s">
        <v>1770</v>
      </c>
      <c r="AB1968" s="459" t="s">
        <v>1587</v>
      </c>
    </row>
    <row r="1969" spans="1:28" ht="24" customHeight="1">
      <c r="A1969" s="584"/>
      <c r="B1969" s="460" t="s">
        <v>675</v>
      </c>
      <c r="C1969" s="458" t="s">
        <v>8497</v>
      </c>
      <c r="D1969" s="510" t="s">
        <v>8498</v>
      </c>
      <c r="E1969" s="653">
        <f t="shared" si="156"/>
        <v>100</v>
      </c>
      <c r="F1969" s="498">
        <v>0</v>
      </c>
      <c r="G1969" s="498">
        <v>0</v>
      </c>
      <c r="H1969" s="498">
        <v>100</v>
      </c>
      <c r="I1969" s="655">
        <f t="shared" si="157"/>
        <v>80</v>
      </c>
      <c r="J1969" s="655">
        <v>0</v>
      </c>
      <c r="K1969" s="655">
        <v>80</v>
      </c>
      <c r="L1969" s="710">
        <v>0</v>
      </c>
      <c r="M1969" s="680">
        <f t="shared" si="155"/>
        <v>80</v>
      </c>
      <c r="N1969" s="498">
        <v>0</v>
      </c>
      <c r="O1969" s="699" t="s">
        <v>8499</v>
      </c>
      <c r="P1969" s="771" t="s">
        <v>7427</v>
      </c>
      <c r="Q1969" s="672">
        <v>0</v>
      </c>
      <c r="R1969" s="672">
        <v>0</v>
      </c>
      <c r="S1969" s="672">
        <v>0</v>
      </c>
      <c r="T1969" s="672">
        <v>0</v>
      </c>
      <c r="U1969" s="463" t="s">
        <v>7521</v>
      </c>
      <c r="V1969" s="498" t="s">
        <v>8500</v>
      </c>
      <c r="W1969" s="498">
        <v>271</v>
      </c>
      <c r="X1969" s="463" t="s">
        <v>2199</v>
      </c>
      <c r="Y1969" s="462" t="s">
        <v>8448</v>
      </c>
      <c r="Z1969" s="463"/>
      <c r="AA1969" s="498" t="s">
        <v>1770</v>
      </c>
      <c r="AB1969" s="459" t="s">
        <v>1587</v>
      </c>
    </row>
    <row r="1970" spans="1:28" ht="24" customHeight="1">
      <c r="A1970" s="584"/>
      <c r="B1970" s="460" t="s">
        <v>675</v>
      </c>
      <c r="C1970" s="458" t="s">
        <v>8501</v>
      </c>
      <c r="D1970" s="510" t="s">
        <v>8502</v>
      </c>
      <c r="E1970" s="653">
        <f t="shared" si="156"/>
        <v>58</v>
      </c>
      <c r="F1970" s="498">
        <v>0</v>
      </c>
      <c r="G1970" s="498">
        <v>0</v>
      </c>
      <c r="H1970" s="498">
        <v>58</v>
      </c>
      <c r="I1970" s="655">
        <f t="shared" si="157"/>
        <v>46</v>
      </c>
      <c r="J1970" s="655">
        <v>0</v>
      </c>
      <c r="K1970" s="655">
        <v>0</v>
      </c>
      <c r="L1970" s="710">
        <v>46</v>
      </c>
      <c r="M1970" s="680">
        <f t="shared" si="155"/>
        <v>79.310344827586206</v>
      </c>
      <c r="N1970" s="498">
        <v>0</v>
      </c>
      <c r="O1970" s="699" t="s">
        <v>8503</v>
      </c>
      <c r="P1970" s="771" t="s">
        <v>7427</v>
      </c>
      <c r="Q1970" s="672">
        <v>0</v>
      </c>
      <c r="R1970" s="672">
        <v>0</v>
      </c>
      <c r="S1970" s="672">
        <v>0</v>
      </c>
      <c r="T1970" s="672">
        <v>0</v>
      </c>
      <c r="U1970" s="463" t="s">
        <v>7521</v>
      </c>
      <c r="V1970" s="498" t="s">
        <v>8504</v>
      </c>
      <c r="W1970" s="498">
        <v>172</v>
      </c>
      <c r="X1970" s="463" t="s">
        <v>2199</v>
      </c>
      <c r="Y1970" s="462" t="s">
        <v>8448</v>
      </c>
      <c r="Z1970" s="463"/>
      <c r="AA1970" s="498" t="s">
        <v>1770</v>
      </c>
      <c r="AB1970" s="459" t="s">
        <v>1587</v>
      </c>
    </row>
    <row r="1971" spans="1:28" ht="24" customHeight="1">
      <c r="A1971" s="584"/>
      <c r="B1971" s="460" t="s">
        <v>675</v>
      </c>
      <c r="C1971" s="458" t="s">
        <v>8505</v>
      </c>
      <c r="D1971" s="510" t="s">
        <v>8506</v>
      </c>
      <c r="E1971" s="653">
        <f t="shared" si="156"/>
        <v>110</v>
      </c>
      <c r="F1971" s="498">
        <v>0</v>
      </c>
      <c r="G1971" s="498">
        <v>0</v>
      </c>
      <c r="H1971" s="498">
        <v>110</v>
      </c>
      <c r="I1971" s="655">
        <f t="shared" si="157"/>
        <v>88</v>
      </c>
      <c r="J1971" s="655">
        <v>0</v>
      </c>
      <c r="K1971" s="655">
        <v>88</v>
      </c>
      <c r="L1971" s="710">
        <v>0</v>
      </c>
      <c r="M1971" s="680">
        <f t="shared" si="155"/>
        <v>80</v>
      </c>
      <c r="N1971" s="498">
        <v>0</v>
      </c>
      <c r="O1971" s="699" t="s">
        <v>6980</v>
      </c>
      <c r="P1971" s="771" t="s">
        <v>7427</v>
      </c>
      <c r="Q1971" s="672">
        <v>0</v>
      </c>
      <c r="R1971" s="672">
        <v>0</v>
      </c>
      <c r="S1971" s="672">
        <v>0</v>
      </c>
      <c r="T1971" s="672">
        <v>0</v>
      </c>
      <c r="U1971" s="463" t="s">
        <v>7521</v>
      </c>
      <c r="V1971" s="498" t="s">
        <v>8507</v>
      </c>
      <c r="W1971" s="498">
        <v>375</v>
      </c>
      <c r="X1971" s="463" t="s">
        <v>2199</v>
      </c>
      <c r="Y1971" s="462" t="s">
        <v>8448</v>
      </c>
      <c r="Z1971" s="463"/>
      <c r="AA1971" s="498" t="s">
        <v>1770</v>
      </c>
      <c r="AB1971" s="459" t="s">
        <v>1587</v>
      </c>
    </row>
    <row r="1972" spans="1:28" ht="24" customHeight="1">
      <c r="A1972" s="584"/>
      <c r="B1972" s="460" t="s">
        <v>675</v>
      </c>
      <c r="C1972" s="458" t="s">
        <v>8508</v>
      </c>
      <c r="D1972" s="510" t="s">
        <v>8509</v>
      </c>
      <c r="E1972" s="653">
        <f t="shared" si="156"/>
        <v>300</v>
      </c>
      <c r="F1972" s="498">
        <v>0</v>
      </c>
      <c r="G1972" s="498">
        <v>0</v>
      </c>
      <c r="H1972" s="498">
        <v>300</v>
      </c>
      <c r="I1972" s="655">
        <f t="shared" si="157"/>
        <v>240</v>
      </c>
      <c r="J1972" s="655">
        <v>0</v>
      </c>
      <c r="K1972" s="655">
        <v>0</v>
      </c>
      <c r="L1972" s="710">
        <v>240</v>
      </c>
      <c r="M1972" s="680">
        <f t="shared" si="155"/>
        <v>80</v>
      </c>
      <c r="N1972" s="498">
        <v>0</v>
      </c>
      <c r="O1972" s="699" t="s">
        <v>8454</v>
      </c>
      <c r="P1972" s="771" t="s">
        <v>7427</v>
      </c>
      <c r="Q1972" s="672">
        <v>0</v>
      </c>
      <c r="R1972" s="672">
        <v>0</v>
      </c>
      <c r="S1972" s="672">
        <v>0</v>
      </c>
      <c r="T1972" s="672">
        <v>0</v>
      </c>
      <c r="U1972" s="463" t="s">
        <v>7521</v>
      </c>
      <c r="V1972" s="498" t="s">
        <v>4465</v>
      </c>
      <c r="W1972" s="498">
        <v>689</v>
      </c>
      <c r="X1972" s="463" t="s">
        <v>2199</v>
      </c>
      <c r="Y1972" s="462" t="s">
        <v>8456</v>
      </c>
      <c r="Z1972" s="463"/>
      <c r="AA1972" s="498" t="s">
        <v>1770</v>
      </c>
      <c r="AB1972" s="459" t="s">
        <v>1587</v>
      </c>
    </row>
    <row r="1973" spans="1:28" ht="24" customHeight="1">
      <c r="A1973" s="584"/>
      <c r="B1973" s="460" t="s">
        <v>675</v>
      </c>
      <c r="C1973" s="458" t="s">
        <v>8501</v>
      </c>
      <c r="D1973" s="510" t="s">
        <v>8510</v>
      </c>
      <c r="E1973" s="653">
        <f t="shared" si="156"/>
        <v>58</v>
      </c>
      <c r="F1973" s="498">
        <v>0</v>
      </c>
      <c r="G1973" s="498">
        <v>0</v>
      </c>
      <c r="H1973" s="498">
        <v>58</v>
      </c>
      <c r="I1973" s="655">
        <f t="shared" si="157"/>
        <v>40</v>
      </c>
      <c r="J1973" s="655">
        <v>0</v>
      </c>
      <c r="K1973" s="655">
        <v>0</v>
      </c>
      <c r="L1973" s="710">
        <v>40</v>
      </c>
      <c r="M1973" s="680">
        <f t="shared" ref="M1973:M2035" si="158">I1973/E1973*100</f>
        <v>68.965517241379317</v>
      </c>
      <c r="N1973" s="498">
        <v>0</v>
      </c>
      <c r="O1973" s="699" t="s">
        <v>8503</v>
      </c>
      <c r="P1973" s="462" t="s">
        <v>7427</v>
      </c>
      <c r="Q1973" s="672">
        <v>0</v>
      </c>
      <c r="R1973" s="672">
        <v>0</v>
      </c>
      <c r="S1973" s="672">
        <v>0</v>
      </c>
      <c r="T1973" s="672">
        <v>0</v>
      </c>
      <c r="U1973" s="463" t="s">
        <v>7521</v>
      </c>
      <c r="V1973" s="498" t="s">
        <v>8504</v>
      </c>
      <c r="W1973" s="498">
        <v>172000</v>
      </c>
      <c r="X1973" s="463" t="s">
        <v>2199</v>
      </c>
      <c r="Y1973" s="462" t="s">
        <v>8448</v>
      </c>
      <c r="Z1973" s="463"/>
      <c r="AA1973" s="498" t="s">
        <v>1770</v>
      </c>
      <c r="AB1973" s="459" t="s">
        <v>1770</v>
      </c>
    </row>
    <row r="1974" spans="1:28" ht="24" customHeight="1">
      <c r="A1974" s="584"/>
      <c r="B1974" s="460" t="s">
        <v>675</v>
      </c>
      <c r="C1974" s="458" t="s">
        <v>8505</v>
      </c>
      <c r="D1974" s="510" t="s">
        <v>8511</v>
      </c>
      <c r="E1974" s="653">
        <f t="shared" si="156"/>
        <v>110</v>
      </c>
      <c r="F1974" s="498">
        <v>0</v>
      </c>
      <c r="G1974" s="498">
        <v>0</v>
      </c>
      <c r="H1974" s="498">
        <v>110</v>
      </c>
      <c r="I1974" s="655">
        <f t="shared" si="157"/>
        <v>77</v>
      </c>
      <c r="J1974" s="655">
        <v>0</v>
      </c>
      <c r="K1974" s="655">
        <v>77</v>
      </c>
      <c r="L1974" s="710">
        <v>0</v>
      </c>
      <c r="M1974" s="680">
        <f t="shared" si="158"/>
        <v>70</v>
      </c>
      <c r="N1974" s="498">
        <v>0</v>
      </c>
      <c r="O1974" s="699" t="s">
        <v>6980</v>
      </c>
      <c r="P1974" s="462" t="s">
        <v>7427</v>
      </c>
      <c r="Q1974" s="672">
        <v>0</v>
      </c>
      <c r="R1974" s="672">
        <v>0</v>
      </c>
      <c r="S1974" s="672">
        <v>0</v>
      </c>
      <c r="T1974" s="672">
        <v>0</v>
      </c>
      <c r="U1974" s="463" t="s">
        <v>7521</v>
      </c>
      <c r="V1974" s="498" t="s">
        <v>8507</v>
      </c>
      <c r="W1974" s="498">
        <v>375000</v>
      </c>
      <c r="X1974" s="463" t="s">
        <v>2199</v>
      </c>
      <c r="Y1974" s="462" t="s">
        <v>3566</v>
      </c>
      <c r="Z1974" s="463"/>
      <c r="AA1974" s="498" t="s">
        <v>1770</v>
      </c>
      <c r="AB1974" s="459" t="s">
        <v>1770</v>
      </c>
    </row>
    <row r="1975" spans="1:28" ht="24" customHeight="1">
      <c r="A1975" s="584"/>
      <c r="B1975" s="460" t="s">
        <v>675</v>
      </c>
      <c r="C1975" s="458" t="s">
        <v>8508</v>
      </c>
      <c r="D1975" s="510" t="s">
        <v>8512</v>
      </c>
      <c r="E1975" s="653">
        <f t="shared" si="156"/>
        <v>300</v>
      </c>
      <c r="F1975" s="498">
        <v>0</v>
      </c>
      <c r="G1975" s="498">
        <v>0</v>
      </c>
      <c r="H1975" s="498">
        <v>300</v>
      </c>
      <c r="I1975" s="655">
        <f t="shared" si="157"/>
        <v>210</v>
      </c>
      <c r="J1975" s="655">
        <v>0</v>
      </c>
      <c r="K1975" s="655">
        <v>0</v>
      </c>
      <c r="L1975" s="710">
        <v>210</v>
      </c>
      <c r="M1975" s="680">
        <f t="shared" si="158"/>
        <v>70</v>
      </c>
      <c r="N1975" s="498">
        <v>0</v>
      </c>
      <c r="O1975" s="699" t="s">
        <v>8454</v>
      </c>
      <c r="P1975" s="462" t="s">
        <v>7427</v>
      </c>
      <c r="Q1975" s="672">
        <v>0</v>
      </c>
      <c r="R1975" s="672">
        <v>0</v>
      </c>
      <c r="S1975" s="672">
        <v>0</v>
      </c>
      <c r="T1975" s="672">
        <v>0</v>
      </c>
      <c r="U1975" s="463" t="s">
        <v>7521</v>
      </c>
      <c r="V1975" s="498" t="s">
        <v>4465</v>
      </c>
      <c r="W1975" s="498">
        <v>689000</v>
      </c>
      <c r="X1975" s="463" t="s">
        <v>2199</v>
      </c>
      <c r="Y1975" s="462" t="s">
        <v>8456</v>
      </c>
      <c r="Z1975" s="463"/>
      <c r="AA1975" s="498" t="s">
        <v>1770</v>
      </c>
      <c r="AB1975" s="459" t="s">
        <v>1770</v>
      </c>
    </row>
    <row r="1976" spans="1:28" ht="24" customHeight="1">
      <c r="A1976" s="584"/>
      <c r="B1976" s="460" t="s">
        <v>675</v>
      </c>
      <c r="C1976" s="458" t="s">
        <v>8452</v>
      </c>
      <c r="D1976" s="510" t="s">
        <v>8513</v>
      </c>
      <c r="E1976" s="653">
        <f t="shared" si="156"/>
        <v>100</v>
      </c>
      <c r="F1976" s="498">
        <v>0</v>
      </c>
      <c r="G1976" s="498">
        <v>0</v>
      </c>
      <c r="H1976" s="498">
        <v>100</v>
      </c>
      <c r="I1976" s="655">
        <f t="shared" si="157"/>
        <v>70</v>
      </c>
      <c r="J1976" s="655">
        <v>0</v>
      </c>
      <c r="K1976" s="655">
        <v>0</v>
      </c>
      <c r="L1976" s="710">
        <v>70</v>
      </c>
      <c r="M1976" s="680">
        <f t="shared" si="158"/>
        <v>70</v>
      </c>
      <c r="N1976" s="498">
        <v>0</v>
      </c>
      <c r="O1976" s="699" t="s">
        <v>8454</v>
      </c>
      <c r="P1976" s="462" t="s">
        <v>7427</v>
      </c>
      <c r="Q1976" s="672">
        <v>0</v>
      </c>
      <c r="R1976" s="672">
        <v>0</v>
      </c>
      <c r="S1976" s="672">
        <v>0</v>
      </c>
      <c r="T1976" s="672">
        <v>0</v>
      </c>
      <c r="U1976" s="463" t="s">
        <v>7521</v>
      </c>
      <c r="V1976" s="498" t="s">
        <v>8455</v>
      </c>
      <c r="W1976" s="498">
        <v>483000</v>
      </c>
      <c r="X1976" s="463" t="s">
        <v>2199</v>
      </c>
      <c r="Y1976" s="462" t="s">
        <v>8456</v>
      </c>
      <c r="Z1976" s="463"/>
      <c r="AA1976" s="498" t="s">
        <v>8514</v>
      </c>
      <c r="AB1976" s="459" t="s">
        <v>1770</v>
      </c>
    </row>
    <row r="1977" spans="1:28" ht="24" customHeight="1">
      <c r="A1977" s="584"/>
      <c r="B1977" s="460" t="s">
        <v>675</v>
      </c>
      <c r="C1977" s="458" t="s">
        <v>8515</v>
      </c>
      <c r="D1977" s="510" t="s">
        <v>8516</v>
      </c>
      <c r="E1977" s="653">
        <f t="shared" si="156"/>
        <v>48</v>
      </c>
      <c r="F1977" s="498">
        <v>0</v>
      </c>
      <c r="G1977" s="498">
        <v>0</v>
      </c>
      <c r="H1977" s="498">
        <v>48</v>
      </c>
      <c r="I1977" s="655">
        <f t="shared" si="157"/>
        <v>33</v>
      </c>
      <c r="J1977" s="655">
        <v>0</v>
      </c>
      <c r="K1977" s="655">
        <v>0</v>
      </c>
      <c r="L1977" s="710">
        <v>33</v>
      </c>
      <c r="M1977" s="680">
        <f t="shared" si="158"/>
        <v>68.75</v>
      </c>
      <c r="N1977" s="498">
        <v>0</v>
      </c>
      <c r="O1977" s="699" t="s">
        <v>8517</v>
      </c>
      <c r="P1977" s="462" t="s">
        <v>7427</v>
      </c>
      <c r="Q1977" s="672">
        <v>0</v>
      </c>
      <c r="R1977" s="672">
        <v>0</v>
      </c>
      <c r="S1977" s="672">
        <v>0</v>
      </c>
      <c r="T1977" s="672">
        <v>0</v>
      </c>
      <c r="U1977" s="463" t="s">
        <v>7521</v>
      </c>
      <c r="V1977" s="498" t="s">
        <v>8518</v>
      </c>
      <c r="W1977" s="498">
        <v>492000</v>
      </c>
      <c r="X1977" s="463" t="s">
        <v>2199</v>
      </c>
      <c r="Y1977" s="462" t="s">
        <v>3566</v>
      </c>
      <c r="Z1977" s="463"/>
      <c r="AA1977" s="498" t="s">
        <v>8514</v>
      </c>
      <c r="AB1977" s="459" t="s">
        <v>1770</v>
      </c>
    </row>
    <row r="1978" spans="1:28" ht="24" customHeight="1">
      <c r="A1978" s="584"/>
      <c r="B1978" s="460" t="s">
        <v>675</v>
      </c>
      <c r="C1978" s="458" t="s">
        <v>2985</v>
      </c>
      <c r="D1978" s="510" t="s">
        <v>8519</v>
      </c>
      <c r="E1978" s="653">
        <f t="shared" si="156"/>
        <v>40</v>
      </c>
      <c r="F1978" s="498">
        <v>0</v>
      </c>
      <c r="G1978" s="498">
        <v>0</v>
      </c>
      <c r="H1978" s="498">
        <v>40</v>
      </c>
      <c r="I1978" s="655">
        <f t="shared" si="157"/>
        <v>28</v>
      </c>
      <c r="J1978" s="655">
        <v>0</v>
      </c>
      <c r="K1978" s="655">
        <v>0</v>
      </c>
      <c r="L1978" s="710">
        <v>28</v>
      </c>
      <c r="M1978" s="680">
        <f t="shared" si="158"/>
        <v>70</v>
      </c>
      <c r="N1978" s="498">
        <v>0</v>
      </c>
      <c r="O1978" s="699" t="s">
        <v>1061</v>
      </c>
      <c r="P1978" s="462" t="s">
        <v>7427</v>
      </c>
      <c r="Q1978" s="672">
        <v>0</v>
      </c>
      <c r="R1978" s="672">
        <v>0</v>
      </c>
      <c r="S1978" s="672">
        <v>0</v>
      </c>
      <c r="T1978" s="672">
        <v>0</v>
      </c>
      <c r="U1978" s="463" t="s">
        <v>7521</v>
      </c>
      <c r="V1978" s="498" t="s">
        <v>8520</v>
      </c>
      <c r="W1978" s="498">
        <v>221353</v>
      </c>
      <c r="X1978" s="463" t="s">
        <v>2199</v>
      </c>
      <c r="Y1978" s="462" t="s">
        <v>8448</v>
      </c>
      <c r="Z1978" s="463"/>
      <c r="AA1978" s="498" t="s">
        <v>8521</v>
      </c>
      <c r="AB1978" s="459" t="s">
        <v>1770</v>
      </c>
    </row>
    <row r="1979" spans="1:28" ht="24" customHeight="1">
      <c r="A1979" s="584"/>
      <c r="B1979" s="460" t="s">
        <v>675</v>
      </c>
      <c r="C1979" s="458" t="s">
        <v>6612</v>
      </c>
      <c r="D1979" s="510" t="s">
        <v>8522</v>
      </c>
      <c r="E1979" s="653">
        <f t="shared" si="156"/>
        <v>30</v>
      </c>
      <c r="F1979" s="498">
        <v>0</v>
      </c>
      <c r="G1979" s="498">
        <v>0</v>
      </c>
      <c r="H1979" s="498">
        <v>30</v>
      </c>
      <c r="I1979" s="655">
        <f t="shared" si="157"/>
        <v>21</v>
      </c>
      <c r="J1979" s="655">
        <v>0</v>
      </c>
      <c r="K1979" s="655">
        <v>0</v>
      </c>
      <c r="L1979" s="710">
        <v>21</v>
      </c>
      <c r="M1979" s="680">
        <f t="shared" si="158"/>
        <v>70</v>
      </c>
      <c r="N1979" s="498">
        <v>0</v>
      </c>
      <c r="O1979" s="699" t="s">
        <v>2967</v>
      </c>
      <c r="P1979" s="462" t="s">
        <v>7427</v>
      </c>
      <c r="Q1979" s="672">
        <v>0</v>
      </c>
      <c r="R1979" s="672">
        <v>0</v>
      </c>
      <c r="S1979" s="672">
        <v>0</v>
      </c>
      <c r="T1979" s="672">
        <v>0</v>
      </c>
      <c r="U1979" s="463" t="s">
        <v>7521</v>
      </c>
      <c r="V1979" s="498" t="s">
        <v>8523</v>
      </c>
      <c r="W1979" s="498">
        <v>151410</v>
      </c>
      <c r="X1979" s="463" t="s">
        <v>2199</v>
      </c>
      <c r="Y1979" s="462" t="s">
        <v>3566</v>
      </c>
      <c r="Z1979" s="463"/>
      <c r="AA1979" s="498" t="s">
        <v>8514</v>
      </c>
      <c r="AB1979" s="459" t="s">
        <v>1770</v>
      </c>
    </row>
    <row r="1980" spans="1:28" ht="24" customHeight="1">
      <c r="A1980" s="584"/>
      <c r="B1980" s="460" t="s">
        <v>675</v>
      </c>
      <c r="C1980" s="458" t="s">
        <v>8524</v>
      </c>
      <c r="D1980" s="510" t="s">
        <v>8525</v>
      </c>
      <c r="E1980" s="653">
        <f t="shared" si="156"/>
        <v>30</v>
      </c>
      <c r="F1980" s="498">
        <v>0</v>
      </c>
      <c r="G1980" s="498">
        <v>0</v>
      </c>
      <c r="H1980" s="498">
        <v>30</v>
      </c>
      <c r="I1980" s="655">
        <f t="shared" si="157"/>
        <v>21</v>
      </c>
      <c r="J1980" s="655">
        <v>0</v>
      </c>
      <c r="K1980" s="655">
        <v>21</v>
      </c>
      <c r="L1980" s="710">
        <v>0</v>
      </c>
      <c r="M1980" s="680">
        <f t="shared" si="158"/>
        <v>70</v>
      </c>
      <c r="N1980" s="498">
        <v>0</v>
      </c>
      <c r="O1980" s="699" t="s">
        <v>8526</v>
      </c>
      <c r="P1980" s="462" t="s">
        <v>7427</v>
      </c>
      <c r="Q1980" s="672">
        <v>0</v>
      </c>
      <c r="R1980" s="672">
        <v>0</v>
      </c>
      <c r="S1980" s="672">
        <v>0</v>
      </c>
      <c r="T1980" s="672">
        <v>0</v>
      </c>
      <c r="U1980" s="463" t="s">
        <v>7521</v>
      </c>
      <c r="V1980" s="498" t="s">
        <v>8527</v>
      </c>
      <c r="W1980" s="498">
        <v>197000</v>
      </c>
      <c r="X1980" s="463" t="s">
        <v>2199</v>
      </c>
      <c r="Y1980" s="462" t="s">
        <v>3566</v>
      </c>
      <c r="Z1980" s="463"/>
      <c r="AA1980" s="463" t="s">
        <v>1770</v>
      </c>
      <c r="AB1980" s="459" t="s">
        <v>1770</v>
      </c>
    </row>
    <row r="1981" spans="1:28" ht="24" customHeight="1">
      <c r="A1981" s="584"/>
      <c r="B1981" s="460" t="s">
        <v>675</v>
      </c>
      <c r="C1981" s="458" t="s">
        <v>8528</v>
      </c>
      <c r="D1981" s="510" t="s">
        <v>8529</v>
      </c>
      <c r="E1981" s="653">
        <f t="shared" si="156"/>
        <v>30</v>
      </c>
      <c r="F1981" s="498">
        <v>0</v>
      </c>
      <c r="G1981" s="498">
        <v>0</v>
      </c>
      <c r="H1981" s="498">
        <v>30</v>
      </c>
      <c r="I1981" s="655">
        <f t="shared" si="157"/>
        <v>21</v>
      </c>
      <c r="J1981" s="655">
        <v>0</v>
      </c>
      <c r="K1981" s="655">
        <v>0</v>
      </c>
      <c r="L1981" s="710">
        <v>21</v>
      </c>
      <c r="M1981" s="680">
        <f t="shared" si="158"/>
        <v>70</v>
      </c>
      <c r="N1981" s="498">
        <v>0</v>
      </c>
      <c r="O1981" s="699" t="s">
        <v>8530</v>
      </c>
      <c r="P1981" s="462" t="s">
        <v>7427</v>
      </c>
      <c r="Q1981" s="672">
        <v>0</v>
      </c>
      <c r="R1981" s="672">
        <v>0</v>
      </c>
      <c r="S1981" s="672">
        <v>0</v>
      </c>
      <c r="T1981" s="672">
        <v>0</v>
      </c>
      <c r="U1981" s="463" t="s">
        <v>7521</v>
      </c>
      <c r="V1981" s="498" t="s">
        <v>8531</v>
      </c>
      <c r="W1981" s="498">
        <v>395364</v>
      </c>
      <c r="X1981" s="463" t="s">
        <v>2199</v>
      </c>
      <c r="Y1981" s="462" t="s">
        <v>8448</v>
      </c>
      <c r="Z1981" s="463"/>
      <c r="AA1981" s="498" t="s">
        <v>1770</v>
      </c>
      <c r="AB1981" s="459" t="s">
        <v>1770</v>
      </c>
    </row>
    <row r="1982" spans="1:28" ht="24" customHeight="1">
      <c r="A1982" s="584"/>
      <c r="B1982" s="460" t="s">
        <v>675</v>
      </c>
      <c r="C1982" s="458" t="s">
        <v>8532</v>
      </c>
      <c r="D1982" s="510" t="s">
        <v>8533</v>
      </c>
      <c r="E1982" s="653">
        <f t="shared" si="156"/>
        <v>30</v>
      </c>
      <c r="F1982" s="498">
        <v>0</v>
      </c>
      <c r="G1982" s="498">
        <v>0</v>
      </c>
      <c r="H1982" s="498">
        <v>30</v>
      </c>
      <c r="I1982" s="655">
        <f t="shared" si="157"/>
        <v>21</v>
      </c>
      <c r="J1982" s="655">
        <v>0</v>
      </c>
      <c r="K1982" s="655">
        <v>0</v>
      </c>
      <c r="L1982" s="710">
        <v>21</v>
      </c>
      <c r="M1982" s="680">
        <f t="shared" si="158"/>
        <v>70</v>
      </c>
      <c r="N1982" s="498">
        <v>0</v>
      </c>
      <c r="O1982" s="699" t="s">
        <v>8534</v>
      </c>
      <c r="P1982" s="462" t="s">
        <v>7427</v>
      </c>
      <c r="Q1982" s="672">
        <v>0</v>
      </c>
      <c r="R1982" s="672">
        <v>0</v>
      </c>
      <c r="S1982" s="672">
        <v>0</v>
      </c>
      <c r="T1982" s="672">
        <v>0</v>
      </c>
      <c r="U1982" s="463" t="s">
        <v>7521</v>
      </c>
      <c r="V1982" s="498" t="s">
        <v>4319</v>
      </c>
      <c r="W1982" s="498">
        <v>197000</v>
      </c>
      <c r="X1982" s="463" t="s">
        <v>2199</v>
      </c>
      <c r="Y1982" s="462" t="s">
        <v>8448</v>
      </c>
      <c r="Z1982" s="463"/>
      <c r="AA1982" s="463" t="s">
        <v>8521</v>
      </c>
      <c r="AB1982" s="459" t="s">
        <v>1770</v>
      </c>
    </row>
    <row r="1983" spans="1:28" ht="24" customHeight="1">
      <c r="A1983" s="582" t="s">
        <v>1948</v>
      </c>
      <c r="B1983" s="460" t="s">
        <v>2201</v>
      </c>
      <c r="C1983" s="458" t="s">
        <v>2096</v>
      </c>
      <c r="D1983" s="510" t="s">
        <v>2358</v>
      </c>
      <c r="E1983" s="653">
        <f t="shared" si="156"/>
        <v>7500</v>
      </c>
      <c r="F1983" s="498">
        <v>0</v>
      </c>
      <c r="G1983" s="498">
        <v>7500</v>
      </c>
      <c r="H1983" s="498">
        <v>0</v>
      </c>
      <c r="I1983" s="655">
        <f t="shared" si="157"/>
        <v>7238</v>
      </c>
      <c r="J1983" s="655">
        <v>0</v>
      </c>
      <c r="K1983" s="655">
        <v>7238</v>
      </c>
      <c r="L1983" s="710">
        <v>0</v>
      </c>
      <c r="M1983" s="680">
        <f t="shared" si="158"/>
        <v>96.506666666666661</v>
      </c>
      <c r="N1983" s="498">
        <v>308</v>
      </c>
      <c r="O1983" s="715" t="s">
        <v>1535</v>
      </c>
      <c r="P1983" s="501" t="s">
        <v>7427</v>
      </c>
      <c r="Q1983" s="672">
        <v>0</v>
      </c>
      <c r="R1983" s="672">
        <v>0</v>
      </c>
      <c r="S1983" s="672">
        <v>0</v>
      </c>
      <c r="T1983" s="672">
        <v>0</v>
      </c>
      <c r="U1983" s="501" t="s">
        <v>8535</v>
      </c>
      <c r="V1983" s="501" t="s">
        <v>8536</v>
      </c>
      <c r="W1983" s="498">
        <v>21203</v>
      </c>
      <c r="X1983" s="501" t="s">
        <v>2200</v>
      </c>
      <c r="Y1983" s="501" t="s">
        <v>3161</v>
      </c>
      <c r="Z1983" s="501" t="s">
        <v>1686</v>
      </c>
      <c r="AA1983" s="501" t="s">
        <v>1686</v>
      </c>
      <c r="AB1983" s="502" t="s">
        <v>1686</v>
      </c>
    </row>
    <row r="1984" spans="1:28" ht="24" customHeight="1">
      <c r="A1984" s="584"/>
      <c r="B1984" s="460" t="s">
        <v>675</v>
      </c>
      <c r="C1984" s="458" t="s">
        <v>8537</v>
      </c>
      <c r="D1984" s="510" t="s">
        <v>8538</v>
      </c>
      <c r="E1984" s="653">
        <f t="shared" si="156"/>
        <v>40</v>
      </c>
      <c r="F1984" s="498">
        <v>0</v>
      </c>
      <c r="G1984" s="498">
        <v>0</v>
      </c>
      <c r="H1984" s="498">
        <v>40</v>
      </c>
      <c r="I1984" s="655">
        <f t="shared" si="157"/>
        <v>34</v>
      </c>
      <c r="J1984" s="655">
        <v>0</v>
      </c>
      <c r="K1984" s="655">
        <v>0</v>
      </c>
      <c r="L1984" s="710">
        <v>34</v>
      </c>
      <c r="M1984" s="680">
        <f t="shared" si="158"/>
        <v>85</v>
      </c>
      <c r="N1984" s="498">
        <v>1.6</v>
      </c>
      <c r="O1984" s="715" t="s">
        <v>8539</v>
      </c>
      <c r="P1984" s="501" t="s">
        <v>7427</v>
      </c>
      <c r="Q1984" s="672">
        <v>0</v>
      </c>
      <c r="R1984" s="672">
        <v>0</v>
      </c>
      <c r="S1984" s="672">
        <v>0</v>
      </c>
      <c r="T1984" s="672">
        <v>0</v>
      </c>
      <c r="U1984" s="501" t="s">
        <v>8540</v>
      </c>
      <c r="V1984" s="501" t="s">
        <v>8541</v>
      </c>
      <c r="W1984" s="498">
        <v>342</v>
      </c>
      <c r="X1984" s="501" t="s">
        <v>1862</v>
      </c>
      <c r="Y1984" s="501" t="s">
        <v>1862</v>
      </c>
      <c r="Z1984" s="501" t="s">
        <v>1949</v>
      </c>
      <c r="AA1984" s="501" t="s">
        <v>1686</v>
      </c>
      <c r="AB1984" s="502" t="s">
        <v>1686</v>
      </c>
    </row>
    <row r="1985" spans="1:28" ht="24" customHeight="1">
      <c r="A1985" s="584"/>
      <c r="B1985" s="460" t="s">
        <v>675</v>
      </c>
      <c r="C1985" s="458" t="s">
        <v>8542</v>
      </c>
      <c r="D1985" s="510" t="s">
        <v>8543</v>
      </c>
      <c r="E1985" s="653">
        <f t="shared" si="156"/>
        <v>40</v>
      </c>
      <c r="F1985" s="498">
        <v>0</v>
      </c>
      <c r="G1985" s="498">
        <v>0</v>
      </c>
      <c r="H1985" s="498">
        <v>40</v>
      </c>
      <c r="I1985" s="655">
        <f t="shared" si="157"/>
        <v>35</v>
      </c>
      <c r="J1985" s="655">
        <v>0</v>
      </c>
      <c r="K1985" s="655">
        <v>0</v>
      </c>
      <c r="L1985" s="710">
        <v>35</v>
      </c>
      <c r="M1985" s="680">
        <f t="shared" si="158"/>
        <v>87.5</v>
      </c>
      <c r="N1985" s="498">
        <v>2.6</v>
      </c>
      <c r="O1985" s="715" t="s">
        <v>4781</v>
      </c>
      <c r="P1985" s="501" t="s">
        <v>4781</v>
      </c>
      <c r="Q1985" s="672">
        <v>0</v>
      </c>
      <c r="R1985" s="672">
        <v>0</v>
      </c>
      <c r="S1985" s="672">
        <v>0</v>
      </c>
      <c r="T1985" s="672">
        <v>0</v>
      </c>
      <c r="U1985" s="501" t="s">
        <v>8540</v>
      </c>
      <c r="V1985" s="501" t="s">
        <v>8544</v>
      </c>
      <c r="W1985" s="498">
        <v>367</v>
      </c>
      <c r="X1985" s="501" t="s">
        <v>1862</v>
      </c>
      <c r="Y1985" s="501" t="s">
        <v>1862</v>
      </c>
      <c r="Z1985" s="501" t="s">
        <v>1862</v>
      </c>
      <c r="AA1985" s="501" t="s">
        <v>1862</v>
      </c>
      <c r="AB1985" s="502" t="s">
        <v>1862</v>
      </c>
    </row>
    <row r="1986" spans="1:28" ht="24" customHeight="1">
      <c r="A1986" s="584"/>
      <c r="B1986" s="460" t="s">
        <v>675</v>
      </c>
      <c r="C1986" s="458" t="s">
        <v>2135</v>
      </c>
      <c r="D1986" s="510" t="s">
        <v>8545</v>
      </c>
      <c r="E1986" s="653">
        <f t="shared" si="156"/>
        <v>70</v>
      </c>
      <c r="F1986" s="498">
        <v>0</v>
      </c>
      <c r="G1986" s="498">
        <v>70</v>
      </c>
      <c r="H1986" s="498">
        <v>0</v>
      </c>
      <c r="I1986" s="655">
        <f t="shared" si="157"/>
        <v>68</v>
      </c>
      <c r="J1986" s="655">
        <v>0</v>
      </c>
      <c r="K1986" s="655">
        <v>68</v>
      </c>
      <c r="L1986" s="710">
        <v>0</v>
      </c>
      <c r="M1986" s="680">
        <f t="shared" si="158"/>
        <v>97.142857142857139</v>
      </c>
      <c r="N1986" s="498">
        <v>4.7</v>
      </c>
      <c r="O1986" s="715" t="s">
        <v>8546</v>
      </c>
      <c r="P1986" s="501" t="s">
        <v>7427</v>
      </c>
      <c r="Q1986" s="672">
        <v>0</v>
      </c>
      <c r="R1986" s="672">
        <v>0</v>
      </c>
      <c r="S1986" s="672">
        <v>0</v>
      </c>
      <c r="T1986" s="672">
        <v>0</v>
      </c>
      <c r="U1986" s="501" t="s">
        <v>8540</v>
      </c>
      <c r="V1986" s="501" t="s">
        <v>8547</v>
      </c>
      <c r="W1986" s="498">
        <v>200</v>
      </c>
      <c r="X1986" s="501" t="s">
        <v>1862</v>
      </c>
      <c r="Y1986" s="501" t="s">
        <v>3232</v>
      </c>
      <c r="Z1986" s="501" t="s">
        <v>1862</v>
      </c>
      <c r="AA1986" s="501" t="s">
        <v>1862</v>
      </c>
      <c r="AB1986" s="502" t="s">
        <v>1862</v>
      </c>
    </row>
    <row r="1987" spans="1:28" ht="24" customHeight="1">
      <c r="A1987" s="584"/>
      <c r="B1987" s="460" t="s">
        <v>675</v>
      </c>
      <c r="C1987" s="458" t="s">
        <v>8548</v>
      </c>
      <c r="D1987" s="510" t="s">
        <v>8549</v>
      </c>
      <c r="E1987" s="653">
        <f t="shared" si="156"/>
        <v>60</v>
      </c>
      <c r="F1987" s="498">
        <v>0</v>
      </c>
      <c r="G1987" s="498">
        <v>60</v>
      </c>
      <c r="H1987" s="498">
        <v>0</v>
      </c>
      <c r="I1987" s="655">
        <f t="shared" si="157"/>
        <v>52</v>
      </c>
      <c r="J1987" s="655">
        <v>0</v>
      </c>
      <c r="K1987" s="655">
        <v>52</v>
      </c>
      <c r="L1987" s="710">
        <v>0</v>
      </c>
      <c r="M1987" s="680">
        <f t="shared" si="158"/>
        <v>86.666666666666671</v>
      </c>
      <c r="N1987" s="498">
        <v>2.6</v>
      </c>
      <c r="O1987" s="715" t="s">
        <v>8546</v>
      </c>
      <c r="P1987" s="501" t="s">
        <v>7427</v>
      </c>
      <c r="Q1987" s="672">
        <v>0</v>
      </c>
      <c r="R1987" s="672">
        <v>0</v>
      </c>
      <c r="S1987" s="672">
        <v>0</v>
      </c>
      <c r="T1987" s="672">
        <v>0</v>
      </c>
      <c r="U1987" s="501" t="s">
        <v>8540</v>
      </c>
      <c r="V1987" s="501" t="s">
        <v>8547</v>
      </c>
      <c r="W1987" s="498">
        <v>200</v>
      </c>
      <c r="X1987" s="501" t="s">
        <v>1862</v>
      </c>
      <c r="Y1987" s="501" t="s">
        <v>3232</v>
      </c>
      <c r="Z1987" s="501" t="s">
        <v>1862</v>
      </c>
      <c r="AA1987" s="501" t="s">
        <v>1862</v>
      </c>
      <c r="AB1987" s="502" t="s">
        <v>1862</v>
      </c>
    </row>
    <row r="1988" spans="1:28" ht="24" customHeight="1">
      <c r="A1988" s="584"/>
      <c r="B1988" s="460" t="s">
        <v>675</v>
      </c>
      <c r="C1988" s="458" t="s">
        <v>2045</v>
      </c>
      <c r="D1988" s="510" t="s">
        <v>8550</v>
      </c>
      <c r="E1988" s="653">
        <f t="shared" si="156"/>
        <v>60</v>
      </c>
      <c r="F1988" s="498">
        <v>0</v>
      </c>
      <c r="G1988" s="498">
        <v>60</v>
      </c>
      <c r="H1988" s="498">
        <v>0</v>
      </c>
      <c r="I1988" s="655">
        <f t="shared" si="157"/>
        <v>58</v>
      </c>
      <c r="J1988" s="655">
        <v>0</v>
      </c>
      <c r="K1988" s="655">
        <v>58</v>
      </c>
      <c r="L1988" s="710">
        <v>0</v>
      </c>
      <c r="M1988" s="680">
        <f t="shared" si="158"/>
        <v>96.666666666666671</v>
      </c>
      <c r="N1988" s="498">
        <v>3.7</v>
      </c>
      <c r="O1988" s="715" t="s">
        <v>8551</v>
      </c>
      <c r="P1988" s="501" t="s">
        <v>7427</v>
      </c>
      <c r="Q1988" s="672">
        <v>0</v>
      </c>
      <c r="R1988" s="672">
        <v>0</v>
      </c>
      <c r="S1988" s="672">
        <v>0</v>
      </c>
      <c r="T1988" s="672">
        <v>0</v>
      </c>
      <c r="U1988" s="501" t="s">
        <v>8540</v>
      </c>
      <c r="V1988" s="501" t="s">
        <v>8552</v>
      </c>
      <c r="W1988" s="498">
        <v>276</v>
      </c>
      <c r="X1988" s="501" t="s">
        <v>1862</v>
      </c>
      <c r="Y1988" s="501" t="s">
        <v>3161</v>
      </c>
      <c r="Z1988" s="501" t="s">
        <v>1862</v>
      </c>
      <c r="AA1988" s="501" t="s">
        <v>1862</v>
      </c>
      <c r="AB1988" s="502" t="s">
        <v>1862</v>
      </c>
    </row>
    <row r="1989" spans="1:28" ht="24" customHeight="1">
      <c r="A1989" s="584"/>
      <c r="B1989" s="460" t="s">
        <v>675</v>
      </c>
      <c r="C1989" s="458" t="s">
        <v>8553</v>
      </c>
      <c r="D1989" s="510" t="s">
        <v>8543</v>
      </c>
      <c r="E1989" s="653">
        <f t="shared" si="156"/>
        <v>80</v>
      </c>
      <c r="F1989" s="498">
        <v>0</v>
      </c>
      <c r="G1989" s="498">
        <v>80</v>
      </c>
      <c r="H1989" s="498">
        <v>0</v>
      </c>
      <c r="I1989" s="655">
        <f t="shared" si="157"/>
        <v>76</v>
      </c>
      <c r="J1989" s="655">
        <v>0</v>
      </c>
      <c r="K1989" s="655">
        <v>76</v>
      </c>
      <c r="L1989" s="710">
        <v>0</v>
      </c>
      <c r="M1989" s="680">
        <f t="shared" si="158"/>
        <v>95</v>
      </c>
      <c r="N1989" s="498">
        <v>0</v>
      </c>
      <c r="O1989" s="715" t="s">
        <v>5177</v>
      </c>
      <c r="P1989" s="501" t="s">
        <v>7427</v>
      </c>
      <c r="Q1989" s="672">
        <v>0</v>
      </c>
      <c r="R1989" s="672">
        <v>0</v>
      </c>
      <c r="S1989" s="672">
        <v>0</v>
      </c>
      <c r="T1989" s="672">
        <v>0</v>
      </c>
      <c r="U1989" s="501" t="s">
        <v>8540</v>
      </c>
      <c r="V1989" s="501" t="s">
        <v>8554</v>
      </c>
      <c r="W1989" s="498">
        <v>320</v>
      </c>
      <c r="X1989" s="501" t="s">
        <v>1862</v>
      </c>
      <c r="Y1989" s="501" t="s">
        <v>1862</v>
      </c>
      <c r="Z1989" s="501" t="s">
        <v>1862</v>
      </c>
      <c r="AA1989" s="501" t="s">
        <v>1862</v>
      </c>
      <c r="AB1989" s="502" t="s">
        <v>1862</v>
      </c>
    </row>
    <row r="1990" spans="1:28" ht="24" customHeight="1">
      <c r="A1990" s="584"/>
      <c r="B1990" s="460" t="s">
        <v>675</v>
      </c>
      <c r="C1990" s="458" t="s">
        <v>8555</v>
      </c>
      <c r="D1990" s="510" t="s">
        <v>8556</v>
      </c>
      <c r="E1990" s="653">
        <f t="shared" si="156"/>
        <v>100</v>
      </c>
      <c r="F1990" s="498">
        <v>0</v>
      </c>
      <c r="G1990" s="498">
        <v>100</v>
      </c>
      <c r="H1990" s="498">
        <v>0</v>
      </c>
      <c r="I1990" s="655">
        <f t="shared" si="157"/>
        <v>90</v>
      </c>
      <c r="J1990" s="655">
        <v>0</v>
      </c>
      <c r="K1990" s="655">
        <v>90</v>
      </c>
      <c r="L1990" s="710">
        <v>0</v>
      </c>
      <c r="M1990" s="680">
        <f t="shared" si="158"/>
        <v>90</v>
      </c>
      <c r="N1990" s="498">
        <v>0</v>
      </c>
      <c r="O1990" s="715" t="s">
        <v>5177</v>
      </c>
      <c r="P1990" s="501" t="s">
        <v>7427</v>
      </c>
      <c r="Q1990" s="672">
        <v>0</v>
      </c>
      <c r="R1990" s="672">
        <v>0</v>
      </c>
      <c r="S1990" s="672">
        <v>0</v>
      </c>
      <c r="T1990" s="672">
        <v>0</v>
      </c>
      <c r="U1990" s="501" t="s">
        <v>8540</v>
      </c>
      <c r="V1990" s="501" t="s">
        <v>2138</v>
      </c>
      <c r="W1990" s="498">
        <v>387</v>
      </c>
      <c r="X1990" s="501" t="s">
        <v>1862</v>
      </c>
      <c r="Y1990" s="501" t="s">
        <v>1862</v>
      </c>
      <c r="Z1990" s="501" t="s">
        <v>1862</v>
      </c>
      <c r="AA1990" s="501" t="s">
        <v>1862</v>
      </c>
      <c r="AB1990" s="502" t="s">
        <v>1862</v>
      </c>
    </row>
    <row r="1991" spans="1:28" ht="24" customHeight="1">
      <c r="A1991" s="584"/>
      <c r="B1991" s="460" t="s">
        <v>675</v>
      </c>
      <c r="C1991" s="458" t="s">
        <v>8557</v>
      </c>
      <c r="D1991" s="510" t="s">
        <v>8558</v>
      </c>
      <c r="E1991" s="653">
        <f t="shared" si="156"/>
        <v>70</v>
      </c>
      <c r="F1991" s="498">
        <v>0</v>
      </c>
      <c r="G1991" s="498">
        <v>70</v>
      </c>
      <c r="H1991" s="498">
        <v>0</v>
      </c>
      <c r="I1991" s="655">
        <f t="shared" si="157"/>
        <v>64</v>
      </c>
      <c r="J1991" s="655">
        <v>0</v>
      </c>
      <c r="K1991" s="655">
        <v>64</v>
      </c>
      <c r="L1991" s="710">
        <v>0</v>
      </c>
      <c r="M1991" s="680">
        <f t="shared" si="158"/>
        <v>91.428571428571431</v>
      </c>
      <c r="N1991" s="498">
        <v>2.2999999999999998</v>
      </c>
      <c r="O1991" s="715" t="s">
        <v>8551</v>
      </c>
      <c r="P1991" s="501" t="s">
        <v>7427</v>
      </c>
      <c r="Q1991" s="672">
        <v>0</v>
      </c>
      <c r="R1991" s="672">
        <v>0</v>
      </c>
      <c r="S1991" s="672">
        <v>0</v>
      </c>
      <c r="T1991" s="672">
        <v>0</v>
      </c>
      <c r="U1991" s="501" t="s">
        <v>8540</v>
      </c>
      <c r="V1991" s="501" t="s">
        <v>8559</v>
      </c>
      <c r="W1991" s="498">
        <v>307</v>
      </c>
      <c r="X1991" s="501" t="s">
        <v>1862</v>
      </c>
      <c r="Y1991" s="501" t="s">
        <v>1862</v>
      </c>
      <c r="Z1991" s="501" t="s">
        <v>1862</v>
      </c>
      <c r="AA1991" s="501" t="s">
        <v>1862</v>
      </c>
      <c r="AB1991" s="502" t="s">
        <v>1862</v>
      </c>
    </row>
    <row r="1992" spans="1:28" ht="24" customHeight="1">
      <c r="A1992" s="584"/>
      <c r="B1992" s="460" t="s">
        <v>675</v>
      </c>
      <c r="C1992" s="458" t="s">
        <v>8560</v>
      </c>
      <c r="D1992" s="510" t="s">
        <v>8561</v>
      </c>
      <c r="E1992" s="653">
        <f t="shared" si="156"/>
        <v>50</v>
      </c>
      <c r="F1992" s="498">
        <v>0</v>
      </c>
      <c r="G1992" s="498">
        <v>0</v>
      </c>
      <c r="H1992" s="498">
        <v>50</v>
      </c>
      <c r="I1992" s="655">
        <f t="shared" si="157"/>
        <v>45</v>
      </c>
      <c r="J1992" s="655">
        <v>0</v>
      </c>
      <c r="K1992" s="655">
        <v>0</v>
      </c>
      <c r="L1992" s="710">
        <v>45</v>
      </c>
      <c r="M1992" s="680">
        <f t="shared" si="158"/>
        <v>90</v>
      </c>
      <c r="N1992" s="498">
        <v>2.1</v>
      </c>
      <c r="O1992" s="715" t="s">
        <v>8562</v>
      </c>
      <c r="P1992" s="501" t="s">
        <v>7427</v>
      </c>
      <c r="Q1992" s="672">
        <v>0</v>
      </c>
      <c r="R1992" s="672">
        <v>0</v>
      </c>
      <c r="S1992" s="672">
        <v>0</v>
      </c>
      <c r="T1992" s="672">
        <v>0</v>
      </c>
      <c r="U1992" s="501" t="s">
        <v>8540</v>
      </c>
      <c r="V1992" s="501" t="s">
        <v>8563</v>
      </c>
      <c r="W1992" s="498">
        <v>257</v>
      </c>
      <c r="X1992" s="501" t="s">
        <v>1862</v>
      </c>
      <c r="Y1992" s="501" t="s">
        <v>1862</v>
      </c>
      <c r="Z1992" s="501" t="s">
        <v>1862</v>
      </c>
      <c r="AA1992" s="501" t="s">
        <v>1862</v>
      </c>
      <c r="AB1992" s="502" t="s">
        <v>1862</v>
      </c>
    </row>
    <row r="1993" spans="1:28" ht="24" customHeight="1">
      <c r="A1993" s="584"/>
      <c r="B1993" s="460" t="s">
        <v>675</v>
      </c>
      <c r="C1993" s="458" t="s">
        <v>8564</v>
      </c>
      <c r="D1993" s="510" t="s">
        <v>8550</v>
      </c>
      <c r="E1993" s="653">
        <f t="shared" si="156"/>
        <v>50</v>
      </c>
      <c r="F1993" s="498">
        <v>0</v>
      </c>
      <c r="G1993" s="498">
        <v>50</v>
      </c>
      <c r="H1993" s="498">
        <v>0</v>
      </c>
      <c r="I1993" s="655">
        <f t="shared" si="157"/>
        <v>40</v>
      </c>
      <c r="J1993" s="655">
        <v>0</v>
      </c>
      <c r="K1993" s="655">
        <v>40</v>
      </c>
      <c r="L1993" s="710">
        <v>0</v>
      </c>
      <c r="M1993" s="680">
        <f t="shared" si="158"/>
        <v>80</v>
      </c>
      <c r="N1993" s="498">
        <v>2.1</v>
      </c>
      <c r="O1993" s="715" t="s">
        <v>4660</v>
      </c>
      <c r="P1993" s="501" t="s">
        <v>7427</v>
      </c>
      <c r="Q1993" s="672">
        <v>0</v>
      </c>
      <c r="R1993" s="672">
        <v>0</v>
      </c>
      <c r="S1993" s="672">
        <v>0</v>
      </c>
      <c r="T1993" s="672">
        <v>0</v>
      </c>
      <c r="U1993" s="501" t="s">
        <v>8540</v>
      </c>
      <c r="V1993" s="501" t="s">
        <v>8565</v>
      </c>
      <c r="W1993" s="498">
        <v>257</v>
      </c>
      <c r="X1993" s="501" t="s">
        <v>1862</v>
      </c>
      <c r="Y1993" s="501" t="s">
        <v>1862</v>
      </c>
      <c r="Z1993" s="501" t="s">
        <v>1862</v>
      </c>
      <c r="AA1993" s="501" t="s">
        <v>1862</v>
      </c>
      <c r="AB1993" s="502" t="s">
        <v>1862</v>
      </c>
    </row>
    <row r="1994" spans="1:28" ht="24" customHeight="1">
      <c r="A1994" s="584"/>
      <c r="B1994" s="460" t="s">
        <v>675</v>
      </c>
      <c r="C1994" s="458" t="s">
        <v>8566</v>
      </c>
      <c r="D1994" s="510" t="s">
        <v>8545</v>
      </c>
      <c r="E1994" s="653">
        <f t="shared" si="156"/>
        <v>49</v>
      </c>
      <c r="F1994" s="498">
        <v>0</v>
      </c>
      <c r="G1994" s="498">
        <v>0</v>
      </c>
      <c r="H1994" s="498">
        <v>49</v>
      </c>
      <c r="I1994" s="655">
        <f t="shared" si="157"/>
        <v>43</v>
      </c>
      <c r="J1994" s="655">
        <v>0</v>
      </c>
      <c r="K1994" s="655">
        <v>0</v>
      </c>
      <c r="L1994" s="710">
        <v>43</v>
      </c>
      <c r="M1994" s="680">
        <f t="shared" si="158"/>
        <v>87.755102040816325</v>
      </c>
      <c r="N1994" s="498">
        <v>0</v>
      </c>
      <c r="O1994" s="715" t="s">
        <v>3447</v>
      </c>
      <c r="P1994" s="501" t="s">
        <v>3447</v>
      </c>
      <c r="Q1994" s="672">
        <v>0</v>
      </c>
      <c r="R1994" s="672">
        <v>0</v>
      </c>
      <c r="S1994" s="672">
        <v>0</v>
      </c>
      <c r="T1994" s="672">
        <v>0</v>
      </c>
      <c r="U1994" s="501" t="s">
        <v>8540</v>
      </c>
      <c r="V1994" s="501" t="s">
        <v>8567</v>
      </c>
      <c r="W1994" s="498">
        <v>395</v>
      </c>
      <c r="X1994" s="501" t="s">
        <v>1862</v>
      </c>
      <c r="Y1994" s="501" t="s">
        <v>1862</v>
      </c>
      <c r="Z1994" s="501" t="s">
        <v>1862</v>
      </c>
      <c r="AA1994" s="501" t="s">
        <v>1862</v>
      </c>
      <c r="AB1994" s="502" t="s">
        <v>1862</v>
      </c>
    </row>
    <row r="1995" spans="1:28" ht="24" customHeight="1">
      <c r="A1995" s="584"/>
      <c r="B1995" s="460" t="s">
        <v>675</v>
      </c>
      <c r="C1995" s="458" t="s">
        <v>8568</v>
      </c>
      <c r="D1995" s="510" t="s">
        <v>8569</v>
      </c>
      <c r="E1995" s="653">
        <f t="shared" si="156"/>
        <v>49</v>
      </c>
      <c r="F1995" s="498">
        <v>0</v>
      </c>
      <c r="G1995" s="498">
        <v>0</v>
      </c>
      <c r="H1995" s="498">
        <v>49</v>
      </c>
      <c r="I1995" s="655">
        <f t="shared" si="157"/>
        <v>44</v>
      </c>
      <c r="J1995" s="655">
        <v>0</v>
      </c>
      <c r="K1995" s="655">
        <v>0</v>
      </c>
      <c r="L1995" s="710">
        <v>44</v>
      </c>
      <c r="M1995" s="680">
        <f t="shared" si="158"/>
        <v>89.795918367346943</v>
      </c>
      <c r="N1995" s="498">
        <v>0</v>
      </c>
      <c r="O1995" s="715" t="s">
        <v>4660</v>
      </c>
      <c r="P1995" s="501" t="s">
        <v>7427</v>
      </c>
      <c r="Q1995" s="672">
        <v>0</v>
      </c>
      <c r="R1995" s="672">
        <v>0</v>
      </c>
      <c r="S1995" s="672">
        <v>0</v>
      </c>
      <c r="T1995" s="672">
        <v>0</v>
      </c>
      <c r="U1995" s="501" t="s">
        <v>8540</v>
      </c>
      <c r="V1995" s="501" t="s">
        <v>8570</v>
      </c>
      <c r="W1995" s="498">
        <v>345</v>
      </c>
      <c r="X1995" s="501" t="s">
        <v>1862</v>
      </c>
      <c r="Y1995" s="501" t="s">
        <v>1862</v>
      </c>
      <c r="Z1995" s="501" t="s">
        <v>1862</v>
      </c>
      <c r="AA1995" s="501" t="s">
        <v>1862</v>
      </c>
      <c r="AB1995" s="502" t="s">
        <v>1862</v>
      </c>
    </row>
    <row r="1996" spans="1:28" ht="24" customHeight="1">
      <c r="A1996" s="584"/>
      <c r="B1996" s="460" t="s">
        <v>675</v>
      </c>
      <c r="C1996" s="458" t="s">
        <v>8571</v>
      </c>
      <c r="D1996" s="510" t="s">
        <v>8572</v>
      </c>
      <c r="E1996" s="653">
        <f t="shared" si="156"/>
        <v>100</v>
      </c>
      <c r="F1996" s="498">
        <v>0</v>
      </c>
      <c r="G1996" s="498">
        <v>100</v>
      </c>
      <c r="H1996" s="498">
        <v>0</v>
      </c>
      <c r="I1996" s="655">
        <f t="shared" si="157"/>
        <v>80</v>
      </c>
      <c r="J1996" s="655">
        <v>0</v>
      </c>
      <c r="K1996" s="655">
        <v>80</v>
      </c>
      <c r="L1996" s="710">
        <v>0</v>
      </c>
      <c r="M1996" s="680">
        <f t="shared" si="158"/>
        <v>80</v>
      </c>
      <c r="N1996" s="498">
        <v>6.8</v>
      </c>
      <c r="O1996" s="715" t="s">
        <v>8573</v>
      </c>
      <c r="P1996" s="501" t="s">
        <v>7427</v>
      </c>
      <c r="Q1996" s="672">
        <v>0</v>
      </c>
      <c r="R1996" s="672">
        <v>0</v>
      </c>
      <c r="S1996" s="672">
        <v>0</v>
      </c>
      <c r="T1996" s="672">
        <v>0</v>
      </c>
      <c r="U1996" s="501" t="s">
        <v>8540</v>
      </c>
      <c r="V1996" s="501" t="s">
        <v>8574</v>
      </c>
      <c r="W1996" s="498">
        <v>393</v>
      </c>
      <c r="X1996" s="501" t="s">
        <v>1862</v>
      </c>
      <c r="Y1996" s="501" t="s">
        <v>1862</v>
      </c>
      <c r="Z1996" s="501" t="s">
        <v>1950</v>
      </c>
      <c r="AA1996" s="501" t="s">
        <v>1862</v>
      </c>
      <c r="AB1996" s="502" t="s">
        <v>1770</v>
      </c>
    </row>
    <row r="1997" spans="1:28" ht="24" customHeight="1">
      <c r="A1997" s="584"/>
      <c r="B1997" s="460" t="s">
        <v>675</v>
      </c>
      <c r="C1997" s="458" t="s">
        <v>8575</v>
      </c>
      <c r="D1997" s="510" t="s">
        <v>8576</v>
      </c>
      <c r="E1997" s="653">
        <f t="shared" si="156"/>
        <v>100</v>
      </c>
      <c r="F1997" s="498">
        <v>0</v>
      </c>
      <c r="G1997" s="498">
        <v>100</v>
      </c>
      <c r="H1997" s="498">
        <v>0</v>
      </c>
      <c r="I1997" s="655">
        <f t="shared" si="157"/>
        <v>88</v>
      </c>
      <c r="J1997" s="655">
        <v>0</v>
      </c>
      <c r="K1997" s="655">
        <v>88</v>
      </c>
      <c r="L1997" s="710">
        <v>0</v>
      </c>
      <c r="M1997" s="680">
        <f t="shared" si="158"/>
        <v>88</v>
      </c>
      <c r="N1997" s="498">
        <v>5.5</v>
      </c>
      <c r="O1997" s="715" t="s">
        <v>8577</v>
      </c>
      <c r="P1997" s="501" t="s">
        <v>7427</v>
      </c>
      <c r="Q1997" s="672">
        <v>0</v>
      </c>
      <c r="R1997" s="672">
        <v>0</v>
      </c>
      <c r="S1997" s="672">
        <v>0</v>
      </c>
      <c r="T1997" s="672">
        <v>0</v>
      </c>
      <c r="U1997" s="501" t="s">
        <v>8540</v>
      </c>
      <c r="V1997" s="501" t="s">
        <v>8578</v>
      </c>
      <c r="W1997" s="498">
        <v>415</v>
      </c>
      <c r="X1997" s="501" t="s">
        <v>1862</v>
      </c>
      <c r="Y1997" s="501" t="s">
        <v>1862</v>
      </c>
      <c r="Z1997" s="501" t="s">
        <v>1862</v>
      </c>
      <c r="AA1997" s="501" t="s">
        <v>1862</v>
      </c>
      <c r="AB1997" s="502" t="s">
        <v>1862</v>
      </c>
    </row>
    <row r="1998" spans="1:28" ht="24" customHeight="1">
      <c r="A1998" s="584"/>
      <c r="B1998" s="460" t="s">
        <v>675</v>
      </c>
      <c r="C1998" s="458" t="s">
        <v>8579</v>
      </c>
      <c r="D1998" s="510" t="s">
        <v>8580</v>
      </c>
      <c r="E1998" s="653">
        <f t="shared" si="156"/>
        <v>100</v>
      </c>
      <c r="F1998" s="498">
        <v>0</v>
      </c>
      <c r="G1998" s="498">
        <v>0</v>
      </c>
      <c r="H1998" s="498">
        <v>100</v>
      </c>
      <c r="I1998" s="655">
        <f t="shared" si="157"/>
        <v>94</v>
      </c>
      <c r="J1998" s="655">
        <v>0</v>
      </c>
      <c r="K1998" s="655">
        <v>0</v>
      </c>
      <c r="L1998" s="710">
        <v>94</v>
      </c>
      <c r="M1998" s="680">
        <f t="shared" si="158"/>
        <v>94</v>
      </c>
      <c r="N1998" s="498">
        <v>3.1</v>
      </c>
      <c r="O1998" s="715" t="s">
        <v>8581</v>
      </c>
      <c r="P1998" s="501" t="s">
        <v>8581</v>
      </c>
      <c r="Q1998" s="672">
        <v>0</v>
      </c>
      <c r="R1998" s="672">
        <v>0</v>
      </c>
      <c r="S1998" s="672">
        <v>0</v>
      </c>
      <c r="T1998" s="672">
        <v>0</v>
      </c>
      <c r="U1998" s="501" t="s">
        <v>8540</v>
      </c>
      <c r="V1998" s="501" t="s">
        <v>8582</v>
      </c>
      <c r="W1998" s="498">
        <v>1143</v>
      </c>
      <c r="X1998" s="501" t="s">
        <v>1862</v>
      </c>
      <c r="Y1998" s="501" t="s">
        <v>1862</v>
      </c>
      <c r="Z1998" s="501" t="s">
        <v>1862</v>
      </c>
      <c r="AA1998" s="501" t="s">
        <v>1862</v>
      </c>
      <c r="AB1998" s="502" t="s">
        <v>1862</v>
      </c>
    </row>
    <row r="1999" spans="1:28" ht="24" customHeight="1">
      <c r="A1999" s="584"/>
      <c r="B1999" s="460" t="s">
        <v>675</v>
      </c>
      <c r="C1999" s="458" t="s">
        <v>5580</v>
      </c>
      <c r="D1999" s="510" t="s">
        <v>8583</v>
      </c>
      <c r="E1999" s="653">
        <f t="shared" si="156"/>
        <v>85</v>
      </c>
      <c r="F1999" s="498">
        <v>0</v>
      </c>
      <c r="G1999" s="498">
        <v>0</v>
      </c>
      <c r="H1999" s="498">
        <v>85</v>
      </c>
      <c r="I1999" s="655">
        <f t="shared" si="157"/>
        <v>76</v>
      </c>
      <c r="J1999" s="655">
        <v>0</v>
      </c>
      <c r="K1999" s="655">
        <v>0</v>
      </c>
      <c r="L1999" s="710">
        <v>76</v>
      </c>
      <c r="M1999" s="680">
        <f t="shared" si="158"/>
        <v>89.411764705882362</v>
      </c>
      <c r="N1999" s="498">
        <v>0</v>
      </c>
      <c r="O1999" s="715" t="s">
        <v>3176</v>
      </c>
      <c r="P1999" s="501" t="s">
        <v>3176</v>
      </c>
      <c r="Q1999" s="672">
        <v>0</v>
      </c>
      <c r="R1999" s="672">
        <v>0</v>
      </c>
      <c r="S1999" s="672">
        <v>0</v>
      </c>
      <c r="T1999" s="672">
        <v>0</v>
      </c>
      <c r="U1999" s="501" t="s">
        <v>8540</v>
      </c>
      <c r="V1999" s="501" t="s">
        <v>8584</v>
      </c>
      <c r="W1999" s="498">
        <v>960</v>
      </c>
      <c r="X1999" s="501" t="s">
        <v>1862</v>
      </c>
      <c r="Y1999" s="501" t="s">
        <v>1862</v>
      </c>
      <c r="Z1999" s="501" t="s">
        <v>1862</v>
      </c>
      <c r="AA1999" s="501" t="s">
        <v>1862</v>
      </c>
      <c r="AB1999" s="502" t="s">
        <v>1862</v>
      </c>
    </row>
    <row r="2000" spans="1:28" ht="24" customHeight="1">
      <c r="A2000" s="584"/>
      <c r="B2000" s="460" t="s">
        <v>675</v>
      </c>
      <c r="C2000" s="458" t="s">
        <v>8585</v>
      </c>
      <c r="D2000" s="510" t="s">
        <v>8586</v>
      </c>
      <c r="E2000" s="653">
        <f t="shared" si="156"/>
        <v>20</v>
      </c>
      <c r="F2000" s="498">
        <v>0</v>
      </c>
      <c r="G2000" s="498">
        <v>20</v>
      </c>
      <c r="H2000" s="498">
        <v>0</v>
      </c>
      <c r="I2000" s="655">
        <f t="shared" si="157"/>
        <v>16</v>
      </c>
      <c r="J2000" s="655">
        <v>0</v>
      </c>
      <c r="K2000" s="655">
        <v>16</v>
      </c>
      <c r="L2000" s="710">
        <v>0</v>
      </c>
      <c r="M2000" s="680">
        <f t="shared" si="158"/>
        <v>80</v>
      </c>
      <c r="N2000" s="498">
        <v>1</v>
      </c>
      <c r="O2000" s="715" t="s">
        <v>6463</v>
      </c>
      <c r="P2000" s="501" t="s">
        <v>7427</v>
      </c>
      <c r="Q2000" s="672">
        <v>0</v>
      </c>
      <c r="R2000" s="672">
        <v>0</v>
      </c>
      <c r="S2000" s="672">
        <v>0</v>
      </c>
      <c r="T2000" s="672">
        <v>0</v>
      </c>
      <c r="U2000" s="501" t="s">
        <v>8540</v>
      </c>
      <c r="V2000" s="501" t="s">
        <v>2527</v>
      </c>
      <c r="W2000" s="498">
        <v>215</v>
      </c>
      <c r="X2000" s="501" t="s">
        <v>1862</v>
      </c>
      <c r="Y2000" s="501" t="s">
        <v>1862</v>
      </c>
      <c r="Z2000" s="501" t="s">
        <v>1951</v>
      </c>
      <c r="AA2000" s="501" t="s">
        <v>1862</v>
      </c>
      <c r="AB2000" s="502" t="s">
        <v>1862</v>
      </c>
    </row>
    <row r="2001" spans="1:28" ht="24" customHeight="1">
      <c r="A2001" s="584"/>
      <c r="B2001" s="460" t="s">
        <v>675</v>
      </c>
      <c r="C2001" s="458" t="s">
        <v>8587</v>
      </c>
      <c r="D2001" s="510" t="s">
        <v>8588</v>
      </c>
      <c r="E2001" s="653">
        <f t="shared" si="156"/>
        <v>200</v>
      </c>
      <c r="F2001" s="498">
        <v>0</v>
      </c>
      <c r="G2001" s="498">
        <v>200</v>
      </c>
      <c r="H2001" s="498">
        <v>0</v>
      </c>
      <c r="I2001" s="655">
        <f t="shared" si="157"/>
        <v>150</v>
      </c>
      <c r="J2001" s="655">
        <v>0</v>
      </c>
      <c r="K2001" s="655">
        <v>150</v>
      </c>
      <c r="L2001" s="710">
        <v>0</v>
      </c>
      <c r="M2001" s="680">
        <f t="shared" si="158"/>
        <v>75</v>
      </c>
      <c r="N2001" s="498">
        <v>6.9</v>
      </c>
      <c r="O2001" s="715" t="s">
        <v>5177</v>
      </c>
      <c r="P2001" s="501" t="s">
        <v>7427</v>
      </c>
      <c r="Q2001" s="672">
        <v>0</v>
      </c>
      <c r="R2001" s="672">
        <v>0</v>
      </c>
      <c r="S2001" s="672">
        <v>0</v>
      </c>
      <c r="T2001" s="672">
        <v>0</v>
      </c>
      <c r="U2001" s="501" t="s">
        <v>8540</v>
      </c>
      <c r="V2001" s="501" t="s">
        <v>8589</v>
      </c>
      <c r="W2001" s="498">
        <v>400</v>
      </c>
      <c r="X2001" s="501" t="s">
        <v>1862</v>
      </c>
      <c r="Y2001" s="501" t="s">
        <v>1862</v>
      </c>
      <c r="Z2001" s="501" t="s">
        <v>1862</v>
      </c>
      <c r="AA2001" s="501" t="s">
        <v>1862</v>
      </c>
      <c r="AB2001" s="502" t="s">
        <v>1862</v>
      </c>
    </row>
    <row r="2002" spans="1:28" ht="24" customHeight="1">
      <c r="A2002" s="584"/>
      <c r="B2002" s="460" t="s">
        <v>675</v>
      </c>
      <c r="C2002" s="458" t="s">
        <v>8590</v>
      </c>
      <c r="D2002" s="510" t="s">
        <v>8591</v>
      </c>
      <c r="E2002" s="653">
        <f t="shared" si="156"/>
        <v>60</v>
      </c>
      <c r="F2002" s="498">
        <v>0</v>
      </c>
      <c r="G2002" s="498">
        <v>60</v>
      </c>
      <c r="H2002" s="498">
        <v>0</v>
      </c>
      <c r="I2002" s="655">
        <f t="shared" si="157"/>
        <v>57</v>
      </c>
      <c r="J2002" s="655">
        <v>0</v>
      </c>
      <c r="K2002" s="655">
        <v>57</v>
      </c>
      <c r="L2002" s="710">
        <v>0</v>
      </c>
      <c r="M2002" s="680">
        <f t="shared" si="158"/>
        <v>95</v>
      </c>
      <c r="N2002" s="498">
        <v>4.8</v>
      </c>
      <c r="O2002" s="715" t="s">
        <v>8577</v>
      </c>
      <c r="P2002" s="501" t="s">
        <v>7427</v>
      </c>
      <c r="Q2002" s="672">
        <v>0</v>
      </c>
      <c r="R2002" s="672">
        <v>0</v>
      </c>
      <c r="S2002" s="672">
        <v>0</v>
      </c>
      <c r="T2002" s="672">
        <v>0</v>
      </c>
      <c r="U2002" s="501" t="s">
        <v>8540</v>
      </c>
      <c r="V2002" s="501" t="s">
        <v>8592</v>
      </c>
      <c r="W2002" s="498">
        <v>257</v>
      </c>
      <c r="X2002" s="501" t="s">
        <v>1862</v>
      </c>
      <c r="Y2002" s="501" t="s">
        <v>1862</v>
      </c>
      <c r="Z2002" s="501"/>
      <c r="AA2002" s="501" t="s">
        <v>1770</v>
      </c>
      <c r="AB2002" s="502" t="s">
        <v>1862</v>
      </c>
    </row>
    <row r="2003" spans="1:28" ht="24" customHeight="1">
      <c r="A2003" s="584"/>
      <c r="B2003" s="460" t="s">
        <v>675</v>
      </c>
      <c r="C2003" s="458" t="s">
        <v>8593</v>
      </c>
      <c r="D2003" s="510" t="s">
        <v>8594</v>
      </c>
      <c r="E2003" s="653">
        <f t="shared" si="156"/>
        <v>60</v>
      </c>
      <c r="F2003" s="498">
        <v>0</v>
      </c>
      <c r="G2003" s="498">
        <v>60</v>
      </c>
      <c r="H2003" s="498">
        <v>0</v>
      </c>
      <c r="I2003" s="655">
        <f t="shared" si="157"/>
        <v>52</v>
      </c>
      <c r="J2003" s="655">
        <v>0</v>
      </c>
      <c r="K2003" s="655">
        <v>52</v>
      </c>
      <c r="L2003" s="710">
        <v>0</v>
      </c>
      <c r="M2003" s="680">
        <f t="shared" si="158"/>
        <v>86.666666666666671</v>
      </c>
      <c r="N2003" s="498">
        <v>0</v>
      </c>
      <c r="O2003" s="715" t="s">
        <v>8573</v>
      </c>
      <c r="P2003" s="501" t="s">
        <v>7427</v>
      </c>
      <c r="Q2003" s="672">
        <v>0</v>
      </c>
      <c r="R2003" s="672">
        <v>0</v>
      </c>
      <c r="S2003" s="672">
        <v>0</v>
      </c>
      <c r="T2003" s="672">
        <v>0</v>
      </c>
      <c r="U2003" s="501" t="s">
        <v>8540</v>
      </c>
      <c r="V2003" s="501" t="s">
        <v>6781</v>
      </c>
      <c r="W2003" s="498">
        <v>448</v>
      </c>
      <c r="X2003" s="501" t="s">
        <v>1862</v>
      </c>
      <c r="Y2003" s="501" t="s">
        <v>1862</v>
      </c>
      <c r="Z2003" s="501" t="s">
        <v>8595</v>
      </c>
      <c r="AA2003" s="501" t="s">
        <v>1862</v>
      </c>
      <c r="AB2003" s="502" t="s">
        <v>1862</v>
      </c>
    </row>
    <row r="2004" spans="1:28" ht="24" customHeight="1">
      <c r="A2004" s="584"/>
      <c r="B2004" s="460" t="s">
        <v>675</v>
      </c>
      <c r="C2004" s="458" t="s">
        <v>8596</v>
      </c>
      <c r="D2004" s="510" t="s">
        <v>8597</v>
      </c>
      <c r="E2004" s="653">
        <f t="shared" si="156"/>
        <v>49</v>
      </c>
      <c r="F2004" s="498">
        <v>0</v>
      </c>
      <c r="G2004" s="498">
        <v>0</v>
      </c>
      <c r="H2004" s="498">
        <v>49</v>
      </c>
      <c r="I2004" s="655">
        <f t="shared" si="157"/>
        <v>41</v>
      </c>
      <c r="J2004" s="655">
        <v>0</v>
      </c>
      <c r="K2004" s="655">
        <v>0</v>
      </c>
      <c r="L2004" s="710">
        <v>41</v>
      </c>
      <c r="M2004" s="680">
        <f t="shared" si="158"/>
        <v>83.673469387755105</v>
      </c>
      <c r="N2004" s="498">
        <v>0</v>
      </c>
      <c r="O2004" s="715" t="s">
        <v>3447</v>
      </c>
      <c r="P2004" s="501" t="s">
        <v>3447</v>
      </c>
      <c r="Q2004" s="672">
        <v>0</v>
      </c>
      <c r="R2004" s="672">
        <v>0</v>
      </c>
      <c r="S2004" s="672">
        <v>0</v>
      </c>
      <c r="T2004" s="672">
        <v>0</v>
      </c>
      <c r="U2004" s="501" t="s">
        <v>8540</v>
      </c>
      <c r="V2004" s="501" t="s">
        <v>8570</v>
      </c>
      <c r="W2004" s="498">
        <v>491</v>
      </c>
      <c r="X2004" s="501" t="s">
        <v>1862</v>
      </c>
      <c r="Y2004" s="501" t="s">
        <v>1862</v>
      </c>
      <c r="Z2004" s="501" t="s">
        <v>1952</v>
      </c>
      <c r="AA2004" s="501" t="s">
        <v>1862</v>
      </c>
      <c r="AB2004" s="502" t="s">
        <v>1862</v>
      </c>
    </row>
    <row r="2005" spans="1:28" ht="24" customHeight="1">
      <c r="A2005" s="584"/>
      <c r="B2005" s="460" t="s">
        <v>675</v>
      </c>
      <c r="C2005" s="458" t="s">
        <v>8598</v>
      </c>
      <c r="D2005" s="510" t="s">
        <v>8599</v>
      </c>
      <c r="E2005" s="653">
        <f t="shared" si="156"/>
        <v>70</v>
      </c>
      <c r="F2005" s="498">
        <v>0</v>
      </c>
      <c r="G2005" s="498">
        <v>70</v>
      </c>
      <c r="H2005" s="498">
        <v>0</v>
      </c>
      <c r="I2005" s="655">
        <f t="shared" si="157"/>
        <v>62</v>
      </c>
      <c r="J2005" s="655">
        <v>0</v>
      </c>
      <c r="K2005" s="655">
        <v>62</v>
      </c>
      <c r="L2005" s="710">
        <v>0</v>
      </c>
      <c r="M2005" s="680">
        <f t="shared" si="158"/>
        <v>88.571428571428569</v>
      </c>
      <c r="N2005" s="498">
        <v>4.7</v>
      </c>
      <c r="O2005" s="715" t="s">
        <v>8551</v>
      </c>
      <c r="P2005" s="501" t="s">
        <v>7427</v>
      </c>
      <c r="Q2005" s="672">
        <v>0</v>
      </c>
      <c r="R2005" s="672">
        <v>0</v>
      </c>
      <c r="S2005" s="672">
        <v>0</v>
      </c>
      <c r="T2005" s="672">
        <v>0</v>
      </c>
      <c r="U2005" s="501" t="s">
        <v>8540</v>
      </c>
      <c r="V2005" s="501" t="s">
        <v>8600</v>
      </c>
      <c r="W2005" s="498">
        <v>408</v>
      </c>
      <c r="X2005" s="501" t="s">
        <v>1862</v>
      </c>
      <c r="Y2005" s="501" t="s">
        <v>1862</v>
      </c>
      <c r="Z2005" s="501" t="s">
        <v>1953</v>
      </c>
      <c r="AA2005" s="501" t="s">
        <v>1686</v>
      </c>
      <c r="AB2005" s="502" t="s">
        <v>1862</v>
      </c>
    </row>
    <row r="2006" spans="1:28" ht="24" customHeight="1">
      <c r="A2006" s="584"/>
      <c r="B2006" s="460" t="s">
        <v>675</v>
      </c>
      <c r="C2006" s="458" t="s">
        <v>8601</v>
      </c>
      <c r="D2006" s="510" t="s">
        <v>8602</v>
      </c>
      <c r="E2006" s="653">
        <f t="shared" si="156"/>
        <v>80</v>
      </c>
      <c r="F2006" s="498">
        <v>0</v>
      </c>
      <c r="G2006" s="498">
        <v>80</v>
      </c>
      <c r="H2006" s="498">
        <v>0</v>
      </c>
      <c r="I2006" s="655">
        <f t="shared" si="157"/>
        <v>75</v>
      </c>
      <c r="J2006" s="655">
        <v>0</v>
      </c>
      <c r="K2006" s="655">
        <v>75</v>
      </c>
      <c r="L2006" s="710">
        <v>0</v>
      </c>
      <c r="M2006" s="680">
        <f t="shared" si="158"/>
        <v>93.75</v>
      </c>
      <c r="N2006" s="498">
        <v>5.5</v>
      </c>
      <c r="O2006" s="715" t="s">
        <v>8551</v>
      </c>
      <c r="P2006" s="501" t="s">
        <v>7427</v>
      </c>
      <c r="Q2006" s="672">
        <v>0</v>
      </c>
      <c r="R2006" s="672">
        <v>0</v>
      </c>
      <c r="S2006" s="672">
        <v>0</v>
      </c>
      <c r="T2006" s="672">
        <v>0</v>
      </c>
      <c r="U2006" s="501" t="s">
        <v>8540</v>
      </c>
      <c r="V2006" s="501" t="s">
        <v>2102</v>
      </c>
      <c r="W2006" s="498">
        <v>325</v>
      </c>
      <c r="X2006" s="501" t="s">
        <v>1862</v>
      </c>
      <c r="Y2006" s="501" t="s">
        <v>1862</v>
      </c>
      <c r="Z2006" s="501" t="s">
        <v>1954</v>
      </c>
      <c r="AA2006" s="501" t="s">
        <v>1770</v>
      </c>
      <c r="AB2006" s="502" t="s">
        <v>1862</v>
      </c>
    </row>
    <row r="2007" spans="1:28" ht="24" customHeight="1">
      <c r="A2007" s="584"/>
      <c r="B2007" s="460" t="s">
        <v>675</v>
      </c>
      <c r="C2007" s="458" t="s">
        <v>2116</v>
      </c>
      <c r="D2007" s="510" t="s">
        <v>8603</v>
      </c>
      <c r="E2007" s="653">
        <f t="shared" si="156"/>
        <v>70</v>
      </c>
      <c r="F2007" s="498">
        <v>0</v>
      </c>
      <c r="G2007" s="498">
        <v>70</v>
      </c>
      <c r="H2007" s="498">
        <v>0</v>
      </c>
      <c r="I2007" s="655">
        <f t="shared" si="157"/>
        <v>65</v>
      </c>
      <c r="J2007" s="655">
        <v>0</v>
      </c>
      <c r="K2007" s="655">
        <v>65</v>
      </c>
      <c r="L2007" s="710">
        <v>0</v>
      </c>
      <c r="M2007" s="680">
        <f t="shared" si="158"/>
        <v>92.857142857142861</v>
      </c>
      <c r="N2007" s="498">
        <v>2.5</v>
      </c>
      <c r="O2007" s="715" t="s">
        <v>8577</v>
      </c>
      <c r="P2007" s="501" t="s">
        <v>7427</v>
      </c>
      <c r="Q2007" s="672">
        <v>0</v>
      </c>
      <c r="R2007" s="672">
        <v>0</v>
      </c>
      <c r="S2007" s="672">
        <v>0</v>
      </c>
      <c r="T2007" s="672">
        <v>0</v>
      </c>
      <c r="U2007" s="501" t="s">
        <v>8540</v>
      </c>
      <c r="V2007" s="501" t="s">
        <v>8604</v>
      </c>
      <c r="W2007" s="498">
        <v>401</v>
      </c>
      <c r="X2007" s="501" t="s">
        <v>1862</v>
      </c>
      <c r="Y2007" s="501" t="s">
        <v>1862</v>
      </c>
      <c r="Z2007" s="501" t="s">
        <v>1862</v>
      </c>
      <c r="AA2007" s="501" t="s">
        <v>1862</v>
      </c>
      <c r="AB2007" s="502" t="s">
        <v>1862</v>
      </c>
    </row>
    <row r="2008" spans="1:28" ht="24" customHeight="1">
      <c r="A2008" s="584"/>
      <c r="B2008" s="460" t="s">
        <v>675</v>
      </c>
      <c r="C2008" s="458" t="s">
        <v>8605</v>
      </c>
      <c r="D2008" s="510" t="s">
        <v>8606</v>
      </c>
      <c r="E2008" s="653">
        <f t="shared" si="156"/>
        <v>40</v>
      </c>
      <c r="F2008" s="498">
        <v>0</v>
      </c>
      <c r="G2008" s="498">
        <v>0</v>
      </c>
      <c r="H2008" s="498">
        <v>40</v>
      </c>
      <c r="I2008" s="655">
        <f t="shared" si="157"/>
        <v>34</v>
      </c>
      <c r="J2008" s="655">
        <v>0</v>
      </c>
      <c r="K2008" s="655">
        <v>0</v>
      </c>
      <c r="L2008" s="710">
        <v>34</v>
      </c>
      <c r="M2008" s="680">
        <f t="shared" si="158"/>
        <v>85</v>
      </c>
      <c r="N2008" s="498">
        <v>0</v>
      </c>
      <c r="O2008" s="715" t="s">
        <v>3447</v>
      </c>
      <c r="P2008" s="501" t="s">
        <v>3447</v>
      </c>
      <c r="Q2008" s="672">
        <v>0</v>
      </c>
      <c r="R2008" s="672">
        <v>0</v>
      </c>
      <c r="S2008" s="672">
        <v>0</v>
      </c>
      <c r="T2008" s="672">
        <v>0</v>
      </c>
      <c r="U2008" s="501" t="s">
        <v>8540</v>
      </c>
      <c r="V2008" s="501" t="s">
        <v>8607</v>
      </c>
      <c r="W2008" s="498">
        <v>430</v>
      </c>
      <c r="X2008" s="501" t="s">
        <v>1862</v>
      </c>
      <c r="Y2008" s="501" t="s">
        <v>1862</v>
      </c>
      <c r="Z2008" s="501" t="s">
        <v>1862</v>
      </c>
      <c r="AA2008" s="501" t="s">
        <v>1862</v>
      </c>
      <c r="AB2008" s="502" t="s">
        <v>1862</v>
      </c>
    </row>
    <row r="2009" spans="1:28" ht="24" customHeight="1">
      <c r="A2009" s="584"/>
      <c r="B2009" s="460" t="s">
        <v>675</v>
      </c>
      <c r="C2009" s="458" t="s">
        <v>8608</v>
      </c>
      <c r="D2009" s="510" t="s">
        <v>8603</v>
      </c>
      <c r="E2009" s="653">
        <f t="shared" si="156"/>
        <v>50</v>
      </c>
      <c r="F2009" s="498">
        <v>0</v>
      </c>
      <c r="G2009" s="498">
        <v>0</v>
      </c>
      <c r="H2009" s="498">
        <v>50</v>
      </c>
      <c r="I2009" s="655">
        <f t="shared" si="157"/>
        <v>46</v>
      </c>
      <c r="J2009" s="655">
        <v>0</v>
      </c>
      <c r="K2009" s="655">
        <v>0</v>
      </c>
      <c r="L2009" s="710">
        <v>46</v>
      </c>
      <c r="M2009" s="680">
        <f t="shared" si="158"/>
        <v>92</v>
      </c>
      <c r="N2009" s="498">
        <v>2.1</v>
      </c>
      <c r="O2009" s="715" t="s">
        <v>8609</v>
      </c>
      <c r="P2009" s="501" t="s">
        <v>7427</v>
      </c>
      <c r="Q2009" s="672">
        <v>0</v>
      </c>
      <c r="R2009" s="672">
        <v>0</v>
      </c>
      <c r="S2009" s="672">
        <v>0</v>
      </c>
      <c r="T2009" s="672">
        <v>0</v>
      </c>
      <c r="U2009" s="501" t="s">
        <v>8540</v>
      </c>
      <c r="V2009" s="501" t="s">
        <v>8610</v>
      </c>
      <c r="W2009" s="498">
        <v>549</v>
      </c>
      <c r="X2009" s="501" t="s">
        <v>1862</v>
      </c>
      <c r="Y2009" s="501" t="s">
        <v>1862</v>
      </c>
      <c r="Z2009" s="501" t="s">
        <v>8611</v>
      </c>
      <c r="AA2009" s="501" t="s">
        <v>1954</v>
      </c>
      <c r="AB2009" s="502" t="s">
        <v>1862</v>
      </c>
    </row>
    <row r="2010" spans="1:28" ht="24" customHeight="1">
      <c r="A2010" s="584"/>
      <c r="B2010" s="460" t="s">
        <v>675</v>
      </c>
      <c r="C2010" s="458" t="s">
        <v>6772</v>
      </c>
      <c r="D2010" s="510" t="s">
        <v>8602</v>
      </c>
      <c r="E2010" s="653">
        <f t="shared" si="156"/>
        <v>45</v>
      </c>
      <c r="F2010" s="498">
        <v>0</v>
      </c>
      <c r="G2010" s="498">
        <v>0</v>
      </c>
      <c r="H2010" s="498">
        <v>45</v>
      </c>
      <c r="I2010" s="655">
        <f t="shared" si="157"/>
        <v>40</v>
      </c>
      <c r="J2010" s="655">
        <v>0</v>
      </c>
      <c r="K2010" s="655">
        <v>0</v>
      </c>
      <c r="L2010" s="710">
        <v>40</v>
      </c>
      <c r="M2010" s="680">
        <f t="shared" si="158"/>
        <v>88.888888888888886</v>
      </c>
      <c r="N2010" s="498">
        <v>0</v>
      </c>
      <c r="O2010" s="715" t="s">
        <v>8609</v>
      </c>
      <c r="P2010" s="501" t="s">
        <v>7427</v>
      </c>
      <c r="Q2010" s="672">
        <v>0</v>
      </c>
      <c r="R2010" s="672">
        <v>0</v>
      </c>
      <c r="S2010" s="672">
        <v>0</v>
      </c>
      <c r="T2010" s="672">
        <v>0</v>
      </c>
      <c r="U2010" s="501" t="s">
        <v>8540</v>
      </c>
      <c r="V2010" s="501" t="s">
        <v>8612</v>
      </c>
      <c r="W2010" s="498">
        <v>1093</v>
      </c>
      <c r="X2010" s="501" t="s">
        <v>1862</v>
      </c>
      <c r="Y2010" s="501" t="s">
        <v>1862</v>
      </c>
      <c r="Z2010" s="501" t="s">
        <v>1954</v>
      </c>
      <c r="AA2010" s="501" t="s">
        <v>1954</v>
      </c>
      <c r="AB2010" s="502" t="s">
        <v>1862</v>
      </c>
    </row>
    <row r="2011" spans="1:28" ht="24" customHeight="1">
      <c r="A2011" s="584"/>
      <c r="B2011" s="460" t="s">
        <v>675</v>
      </c>
      <c r="C2011" s="458" t="s">
        <v>4832</v>
      </c>
      <c r="D2011" s="510" t="s">
        <v>8613</v>
      </c>
      <c r="E2011" s="653">
        <f t="shared" si="156"/>
        <v>80</v>
      </c>
      <c r="F2011" s="498">
        <v>0</v>
      </c>
      <c r="G2011" s="498">
        <v>80</v>
      </c>
      <c r="H2011" s="498">
        <v>0</v>
      </c>
      <c r="I2011" s="655">
        <f t="shared" si="157"/>
        <v>73</v>
      </c>
      <c r="J2011" s="655">
        <v>0</v>
      </c>
      <c r="K2011" s="655">
        <v>73</v>
      </c>
      <c r="L2011" s="710">
        <v>0</v>
      </c>
      <c r="M2011" s="680">
        <f t="shared" si="158"/>
        <v>91.25</v>
      </c>
      <c r="N2011" s="498">
        <v>7</v>
      </c>
      <c r="O2011" s="715" t="s">
        <v>8551</v>
      </c>
      <c r="P2011" s="501" t="s">
        <v>7427</v>
      </c>
      <c r="Q2011" s="672">
        <v>0</v>
      </c>
      <c r="R2011" s="672">
        <v>0</v>
      </c>
      <c r="S2011" s="672">
        <v>0</v>
      </c>
      <c r="T2011" s="672">
        <v>0</v>
      </c>
      <c r="U2011" s="501" t="s">
        <v>8540</v>
      </c>
      <c r="V2011" s="501" t="s">
        <v>8552</v>
      </c>
      <c r="W2011" s="498">
        <v>343</v>
      </c>
      <c r="X2011" s="501" t="s">
        <v>1862</v>
      </c>
      <c r="Y2011" s="501" t="s">
        <v>1862</v>
      </c>
      <c r="Z2011" s="501"/>
      <c r="AA2011" s="501" t="s">
        <v>8614</v>
      </c>
      <c r="AB2011" s="502" t="s">
        <v>1862</v>
      </c>
    </row>
    <row r="2012" spans="1:28" ht="24" customHeight="1">
      <c r="A2012" s="584"/>
      <c r="B2012" s="460" t="s">
        <v>675</v>
      </c>
      <c r="C2012" s="458" t="s">
        <v>8615</v>
      </c>
      <c r="D2012" s="510" t="s">
        <v>8616</v>
      </c>
      <c r="E2012" s="653">
        <f t="shared" si="156"/>
        <v>50</v>
      </c>
      <c r="F2012" s="498">
        <v>0</v>
      </c>
      <c r="G2012" s="498">
        <v>0</v>
      </c>
      <c r="H2012" s="498">
        <v>50</v>
      </c>
      <c r="I2012" s="655">
        <f t="shared" si="157"/>
        <v>43</v>
      </c>
      <c r="J2012" s="655">
        <v>0</v>
      </c>
      <c r="K2012" s="655">
        <v>0</v>
      </c>
      <c r="L2012" s="710">
        <v>43</v>
      </c>
      <c r="M2012" s="680">
        <f t="shared" si="158"/>
        <v>86</v>
      </c>
      <c r="N2012" s="498">
        <v>1.7</v>
      </c>
      <c r="O2012" s="715" t="s">
        <v>8617</v>
      </c>
      <c r="P2012" s="501" t="s">
        <v>7427</v>
      </c>
      <c r="Q2012" s="672">
        <v>0</v>
      </c>
      <c r="R2012" s="672">
        <v>0</v>
      </c>
      <c r="S2012" s="672">
        <v>0</v>
      </c>
      <c r="T2012" s="672">
        <v>0</v>
      </c>
      <c r="U2012" s="501" t="s">
        <v>8540</v>
      </c>
      <c r="V2012" s="501" t="s">
        <v>8618</v>
      </c>
      <c r="W2012" s="498">
        <v>350</v>
      </c>
      <c r="X2012" s="501" t="s">
        <v>1862</v>
      </c>
      <c r="Y2012" s="501" t="s">
        <v>1862</v>
      </c>
      <c r="Z2012" s="501"/>
      <c r="AA2012" s="501" t="s">
        <v>1862</v>
      </c>
      <c r="AB2012" s="502" t="s">
        <v>1862</v>
      </c>
    </row>
    <row r="2013" spans="1:28" ht="24" customHeight="1">
      <c r="A2013" s="584"/>
      <c r="B2013" s="460" t="s">
        <v>675</v>
      </c>
      <c r="C2013" s="458" t="s">
        <v>8619</v>
      </c>
      <c r="D2013" s="510" t="s">
        <v>8620</v>
      </c>
      <c r="E2013" s="653">
        <f t="shared" si="156"/>
        <v>30</v>
      </c>
      <c r="F2013" s="498">
        <v>0</v>
      </c>
      <c r="G2013" s="498">
        <v>0</v>
      </c>
      <c r="H2013" s="498">
        <v>30</v>
      </c>
      <c r="I2013" s="655">
        <f t="shared" si="157"/>
        <v>27</v>
      </c>
      <c r="J2013" s="655">
        <v>0</v>
      </c>
      <c r="K2013" s="655">
        <v>0</v>
      </c>
      <c r="L2013" s="710">
        <v>27</v>
      </c>
      <c r="M2013" s="680">
        <f t="shared" si="158"/>
        <v>90</v>
      </c>
      <c r="N2013" s="498">
        <v>0</v>
      </c>
      <c r="O2013" s="715" t="s">
        <v>8621</v>
      </c>
      <c r="P2013" s="501" t="s">
        <v>7427</v>
      </c>
      <c r="Q2013" s="672">
        <v>0</v>
      </c>
      <c r="R2013" s="672">
        <v>0</v>
      </c>
      <c r="S2013" s="672">
        <v>0</v>
      </c>
      <c r="T2013" s="672">
        <v>0</v>
      </c>
      <c r="U2013" s="501" t="s">
        <v>8540</v>
      </c>
      <c r="V2013" s="501" t="s">
        <v>8622</v>
      </c>
      <c r="W2013" s="498">
        <v>257</v>
      </c>
      <c r="X2013" s="501" t="s">
        <v>1862</v>
      </c>
      <c r="Y2013" s="501" t="s">
        <v>1862</v>
      </c>
      <c r="Z2013" s="501" t="s">
        <v>1955</v>
      </c>
      <c r="AA2013" s="501" t="s">
        <v>1862</v>
      </c>
      <c r="AB2013" s="502" t="s">
        <v>1862</v>
      </c>
    </row>
    <row r="2014" spans="1:28" ht="24" customHeight="1">
      <c r="A2014" s="584"/>
      <c r="B2014" s="460" t="s">
        <v>675</v>
      </c>
      <c r="C2014" s="458" t="s">
        <v>8623</v>
      </c>
      <c r="D2014" s="510" t="s">
        <v>8624</v>
      </c>
      <c r="E2014" s="653">
        <f t="shared" si="156"/>
        <v>49</v>
      </c>
      <c r="F2014" s="498">
        <v>0</v>
      </c>
      <c r="G2014" s="498">
        <v>0</v>
      </c>
      <c r="H2014" s="498">
        <v>49</v>
      </c>
      <c r="I2014" s="655">
        <f t="shared" si="157"/>
        <v>42</v>
      </c>
      <c r="J2014" s="655">
        <v>0</v>
      </c>
      <c r="K2014" s="655">
        <v>0</v>
      </c>
      <c r="L2014" s="710">
        <v>42</v>
      </c>
      <c r="M2014" s="680">
        <f t="shared" si="158"/>
        <v>85.714285714285708</v>
      </c>
      <c r="N2014" s="498">
        <v>0</v>
      </c>
      <c r="O2014" s="715" t="s">
        <v>3447</v>
      </c>
      <c r="P2014" s="501" t="s">
        <v>3447</v>
      </c>
      <c r="Q2014" s="672">
        <v>0</v>
      </c>
      <c r="R2014" s="672">
        <v>0</v>
      </c>
      <c r="S2014" s="672">
        <v>0</v>
      </c>
      <c r="T2014" s="672">
        <v>0</v>
      </c>
      <c r="U2014" s="501" t="s">
        <v>8540</v>
      </c>
      <c r="V2014" s="501" t="s">
        <v>8625</v>
      </c>
      <c r="W2014" s="498">
        <v>446</v>
      </c>
      <c r="X2014" s="501" t="s">
        <v>1862</v>
      </c>
      <c r="Y2014" s="501" t="s">
        <v>1862</v>
      </c>
      <c r="Z2014" s="501" t="s">
        <v>8626</v>
      </c>
      <c r="AA2014" s="501" t="s">
        <v>1862</v>
      </c>
      <c r="AB2014" s="502" t="s">
        <v>1862</v>
      </c>
    </row>
    <row r="2015" spans="1:28" ht="24" customHeight="1">
      <c r="A2015" s="582" t="s">
        <v>1956</v>
      </c>
      <c r="B2015" s="460" t="s">
        <v>2201</v>
      </c>
      <c r="C2015" s="458" t="s">
        <v>2443</v>
      </c>
      <c r="D2015" s="510" t="s">
        <v>8627</v>
      </c>
      <c r="E2015" s="498">
        <f t="shared" ref="E2015:E2035" si="159">SUM(F2015:H2015)</f>
        <v>2800</v>
      </c>
      <c r="F2015" s="498">
        <v>0</v>
      </c>
      <c r="G2015" s="498">
        <v>0</v>
      </c>
      <c r="H2015" s="498">
        <v>2800</v>
      </c>
      <c r="I2015" s="655">
        <f t="shared" si="157"/>
        <v>2701</v>
      </c>
      <c r="J2015" s="655">
        <v>0</v>
      </c>
      <c r="K2015" s="655">
        <v>0</v>
      </c>
      <c r="L2015" s="710">
        <v>2701</v>
      </c>
      <c r="M2015" s="680">
        <f t="shared" si="158"/>
        <v>96.464285714285708</v>
      </c>
      <c r="N2015" s="498">
        <v>139.36000000000001</v>
      </c>
      <c r="O2015" s="669" t="s">
        <v>3173</v>
      </c>
      <c r="P2015" s="463" t="s">
        <v>3173</v>
      </c>
      <c r="Q2015" s="672">
        <v>0</v>
      </c>
      <c r="R2015" s="672">
        <v>0</v>
      </c>
      <c r="S2015" s="672">
        <v>0</v>
      </c>
      <c r="T2015" s="672">
        <v>0</v>
      </c>
      <c r="U2015" s="463" t="s">
        <v>8628</v>
      </c>
      <c r="V2015" s="458" t="s">
        <v>8629</v>
      </c>
      <c r="W2015" s="498">
        <v>18900</v>
      </c>
      <c r="X2015" s="463" t="s">
        <v>2244</v>
      </c>
      <c r="Y2015" s="463" t="s">
        <v>673</v>
      </c>
      <c r="Z2015" s="463" t="s">
        <v>8630</v>
      </c>
      <c r="AA2015" s="463" t="s">
        <v>8631</v>
      </c>
      <c r="AB2015" s="459" t="s">
        <v>1767</v>
      </c>
    </row>
    <row r="2016" spans="1:28" ht="24" customHeight="1">
      <c r="A2016" s="584"/>
      <c r="B2016" s="460" t="s">
        <v>675</v>
      </c>
      <c r="C2016" s="458" t="s">
        <v>8632</v>
      </c>
      <c r="D2016" s="510" t="s">
        <v>8633</v>
      </c>
      <c r="E2016" s="498">
        <f t="shared" si="159"/>
        <v>40</v>
      </c>
      <c r="F2016" s="498">
        <v>0</v>
      </c>
      <c r="G2016" s="498">
        <v>0</v>
      </c>
      <c r="H2016" s="498">
        <v>40</v>
      </c>
      <c r="I2016" s="655">
        <f t="shared" si="157"/>
        <v>40</v>
      </c>
      <c r="J2016" s="655">
        <v>0</v>
      </c>
      <c r="K2016" s="655">
        <v>0</v>
      </c>
      <c r="L2016" s="710">
        <v>40</v>
      </c>
      <c r="M2016" s="680">
        <f t="shared" si="158"/>
        <v>100</v>
      </c>
      <c r="N2016" s="498">
        <v>20.45</v>
      </c>
      <c r="O2016" s="669" t="s">
        <v>4545</v>
      </c>
      <c r="P2016" s="463" t="s">
        <v>2967</v>
      </c>
      <c r="Q2016" s="672">
        <v>0</v>
      </c>
      <c r="R2016" s="672">
        <v>0</v>
      </c>
      <c r="S2016" s="672">
        <v>0</v>
      </c>
      <c r="T2016" s="672">
        <v>0</v>
      </c>
      <c r="U2016" s="463" t="s">
        <v>8628</v>
      </c>
      <c r="V2016" s="458" t="s">
        <v>8634</v>
      </c>
      <c r="W2016" s="498">
        <v>232</v>
      </c>
      <c r="X2016" s="463" t="s">
        <v>2244</v>
      </c>
      <c r="Y2016" s="463" t="s">
        <v>720</v>
      </c>
      <c r="Z2016" s="463" t="s">
        <v>8635</v>
      </c>
      <c r="AA2016" s="463" t="s">
        <v>1932</v>
      </c>
      <c r="AB2016" s="459" t="s">
        <v>1589</v>
      </c>
    </row>
    <row r="2017" spans="1:28" ht="24" customHeight="1">
      <c r="A2017" s="584"/>
      <c r="B2017" s="460" t="s">
        <v>675</v>
      </c>
      <c r="C2017" s="458" t="s">
        <v>7084</v>
      </c>
      <c r="D2017" s="510" t="s">
        <v>8636</v>
      </c>
      <c r="E2017" s="498">
        <f t="shared" si="159"/>
        <v>60</v>
      </c>
      <c r="F2017" s="498">
        <v>0</v>
      </c>
      <c r="G2017" s="498">
        <v>60</v>
      </c>
      <c r="H2017" s="498">
        <v>0</v>
      </c>
      <c r="I2017" s="655">
        <f t="shared" si="157"/>
        <v>60</v>
      </c>
      <c r="J2017" s="655">
        <v>0</v>
      </c>
      <c r="K2017" s="655">
        <v>60</v>
      </c>
      <c r="L2017" s="710">
        <v>0</v>
      </c>
      <c r="M2017" s="680">
        <f t="shared" si="158"/>
        <v>100</v>
      </c>
      <c r="N2017" s="498">
        <v>2.4300000000000002</v>
      </c>
      <c r="O2017" s="669" t="s">
        <v>5089</v>
      </c>
      <c r="P2017" s="463" t="s">
        <v>7427</v>
      </c>
      <c r="Q2017" s="672">
        <v>0</v>
      </c>
      <c r="R2017" s="672">
        <v>0</v>
      </c>
      <c r="S2017" s="672">
        <v>0</v>
      </c>
      <c r="T2017" s="672">
        <v>0</v>
      </c>
      <c r="U2017" s="463" t="s">
        <v>8637</v>
      </c>
      <c r="V2017" s="458" t="s">
        <v>8638</v>
      </c>
      <c r="W2017" s="498">
        <v>279</v>
      </c>
      <c r="X2017" s="463" t="s">
        <v>2244</v>
      </c>
      <c r="Y2017" s="463" t="s">
        <v>6967</v>
      </c>
      <c r="Z2017" s="463" t="s">
        <v>8614</v>
      </c>
      <c r="AA2017" s="463" t="s">
        <v>1932</v>
      </c>
      <c r="AB2017" s="459" t="s">
        <v>1589</v>
      </c>
    </row>
    <row r="2018" spans="1:28" ht="24" customHeight="1">
      <c r="A2018" s="584"/>
      <c r="B2018" s="460" t="s">
        <v>675</v>
      </c>
      <c r="C2018" s="458" t="s">
        <v>6331</v>
      </c>
      <c r="D2018" s="510" t="s">
        <v>8639</v>
      </c>
      <c r="E2018" s="498">
        <f t="shared" si="159"/>
        <v>40</v>
      </c>
      <c r="F2018" s="498">
        <v>0</v>
      </c>
      <c r="G2018" s="498">
        <v>40</v>
      </c>
      <c r="H2018" s="498">
        <v>0</v>
      </c>
      <c r="I2018" s="655">
        <f t="shared" si="157"/>
        <v>40</v>
      </c>
      <c r="J2018" s="655">
        <v>0</v>
      </c>
      <c r="K2018" s="655">
        <v>40</v>
      </c>
      <c r="L2018" s="710">
        <v>0</v>
      </c>
      <c r="M2018" s="680">
        <f t="shared" si="158"/>
        <v>100</v>
      </c>
      <c r="N2018" s="498">
        <v>15.08</v>
      </c>
      <c r="O2018" s="669" t="s">
        <v>4660</v>
      </c>
      <c r="P2018" s="463" t="s">
        <v>4660</v>
      </c>
      <c r="Q2018" s="672">
        <v>0</v>
      </c>
      <c r="R2018" s="672">
        <v>0</v>
      </c>
      <c r="S2018" s="672">
        <v>0</v>
      </c>
      <c r="T2018" s="672">
        <v>0</v>
      </c>
      <c r="U2018" s="463" t="s">
        <v>8637</v>
      </c>
      <c r="V2018" s="458" t="s">
        <v>8640</v>
      </c>
      <c r="W2018" s="498">
        <v>234</v>
      </c>
      <c r="X2018" s="463" t="s">
        <v>2244</v>
      </c>
      <c r="Y2018" s="463" t="s">
        <v>6967</v>
      </c>
      <c r="Z2018" s="463" t="s">
        <v>8614</v>
      </c>
      <c r="AA2018" s="463" t="s">
        <v>1932</v>
      </c>
      <c r="AB2018" s="459" t="s">
        <v>1589</v>
      </c>
    </row>
    <row r="2019" spans="1:28" ht="24" customHeight="1">
      <c r="A2019" s="584"/>
      <c r="B2019" s="460" t="s">
        <v>675</v>
      </c>
      <c r="C2019" s="458" t="s">
        <v>8641</v>
      </c>
      <c r="D2019" s="510" t="s">
        <v>8642</v>
      </c>
      <c r="E2019" s="498">
        <f t="shared" si="159"/>
        <v>69</v>
      </c>
      <c r="F2019" s="498">
        <v>0</v>
      </c>
      <c r="G2019" s="498">
        <v>69</v>
      </c>
      <c r="H2019" s="498">
        <v>0</v>
      </c>
      <c r="I2019" s="655">
        <f t="shared" si="157"/>
        <v>69</v>
      </c>
      <c r="J2019" s="655">
        <v>0</v>
      </c>
      <c r="K2019" s="655">
        <v>69</v>
      </c>
      <c r="L2019" s="710">
        <v>0</v>
      </c>
      <c r="M2019" s="680">
        <f t="shared" si="158"/>
        <v>100</v>
      </c>
      <c r="N2019" s="498">
        <v>10.8</v>
      </c>
      <c r="O2019" s="669" t="s">
        <v>1153</v>
      </c>
      <c r="P2019" s="463" t="s">
        <v>7427</v>
      </c>
      <c r="Q2019" s="672">
        <v>0</v>
      </c>
      <c r="R2019" s="672">
        <v>0</v>
      </c>
      <c r="S2019" s="672">
        <v>0</v>
      </c>
      <c r="T2019" s="672">
        <v>0</v>
      </c>
      <c r="U2019" s="463" t="s">
        <v>8637</v>
      </c>
      <c r="V2019" s="458" t="s">
        <v>8643</v>
      </c>
      <c r="W2019" s="498">
        <v>390</v>
      </c>
      <c r="X2019" s="463" t="s">
        <v>2244</v>
      </c>
      <c r="Y2019" s="463" t="s">
        <v>3161</v>
      </c>
      <c r="Z2019" s="463" t="s">
        <v>8614</v>
      </c>
      <c r="AA2019" s="463" t="s">
        <v>1932</v>
      </c>
      <c r="AB2019" s="459" t="s">
        <v>1589</v>
      </c>
    </row>
    <row r="2020" spans="1:28" ht="24" customHeight="1">
      <c r="A2020" s="582" t="s">
        <v>1957</v>
      </c>
      <c r="B2020" s="460" t="s">
        <v>2201</v>
      </c>
      <c r="C2020" s="458" t="s">
        <v>2444</v>
      </c>
      <c r="D2020" s="510" t="s">
        <v>2011</v>
      </c>
      <c r="E2020" s="498">
        <f t="shared" si="159"/>
        <v>7000</v>
      </c>
      <c r="F2020" s="498">
        <v>0</v>
      </c>
      <c r="G2020" s="498">
        <v>7000</v>
      </c>
      <c r="H2020" s="498">
        <v>0</v>
      </c>
      <c r="I2020" s="655">
        <f t="shared" si="157"/>
        <v>6214</v>
      </c>
      <c r="J2020" s="655">
        <v>0</v>
      </c>
      <c r="K2020" s="655">
        <v>6214</v>
      </c>
      <c r="L2020" s="710">
        <v>0</v>
      </c>
      <c r="M2020" s="680">
        <f t="shared" si="158"/>
        <v>88.771428571428572</v>
      </c>
      <c r="N2020" s="498">
        <v>473.07</v>
      </c>
      <c r="O2020" s="669" t="s">
        <v>3434</v>
      </c>
      <c r="P2020" s="463" t="s">
        <v>7427</v>
      </c>
      <c r="Q2020" s="672">
        <v>0</v>
      </c>
      <c r="R2020" s="672">
        <v>0</v>
      </c>
      <c r="S2020" s="672">
        <v>0</v>
      </c>
      <c r="T2020" s="672">
        <v>0</v>
      </c>
      <c r="U2020" s="463" t="s">
        <v>8644</v>
      </c>
      <c r="V2020" s="520" t="s">
        <v>8645</v>
      </c>
      <c r="W2020" s="498">
        <v>17213</v>
      </c>
      <c r="X2020" s="463" t="s">
        <v>2199</v>
      </c>
      <c r="Y2020" s="463" t="s">
        <v>1533</v>
      </c>
      <c r="Z2020" s="463" t="s">
        <v>8646</v>
      </c>
      <c r="AA2020" s="463" t="s">
        <v>1932</v>
      </c>
      <c r="AB2020" s="459" t="s">
        <v>1589</v>
      </c>
    </row>
    <row r="2021" spans="1:28" ht="24" customHeight="1">
      <c r="A2021" s="584"/>
      <c r="B2021" s="460" t="s">
        <v>675</v>
      </c>
      <c r="C2021" s="458" t="s">
        <v>907</v>
      </c>
      <c r="D2021" s="510" t="s">
        <v>1650</v>
      </c>
      <c r="E2021" s="498">
        <f t="shared" si="159"/>
        <v>120</v>
      </c>
      <c r="F2021" s="498">
        <v>0</v>
      </c>
      <c r="G2021" s="498">
        <v>120</v>
      </c>
      <c r="H2021" s="498">
        <v>0</v>
      </c>
      <c r="I2021" s="655">
        <f t="shared" si="157"/>
        <v>120</v>
      </c>
      <c r="J2021" s="655">
        <v>0</v>
      </c>
      <c r="K2021" s="655">
        <v>120</v>
      </c>
      <c r="L2021" s="710">
        <v>0</v>
      </c>
      <c r="M2021" s="680">
        <f t="shared" si="158"/>
        <v>100</v>
      </c>
      <c r="N2021" s="498">
        <v>0</v>
      </c>
      <c r="O2021" s="669" t="s">
        <v>8096</v>
      </c>
      <c r="P2021" s="463" t="s">
        <v>5301</v>
      </c>
      <c r="Q2021" s="672">
        <v>0</v>
      </c>
      <c r="R2021" s="672">
        <v>0</v>
      </c>
      <c r="S2021" s="672">
        <v>0</v>
      </c>
      <c r="T2021" s="672">
        <v>0</v>
      </c>
      <c r="U2021" s="463" t="s">
        <v>8644</v>
      </c>
      <c r="V2021" s="520" t="s">
        <v>8647</v>
      </c>
      <c r="W2021" s="498">
        <v>3595</v>
      </c>
      <c r="X2021" s="463" t="s">
        <v>2199</v>
      </c>
      <c r="Y2021" s="463" t="s">
        <v>1533</v>
      </c>
      <c r="Z2021" s="463" t="s">
        <v>8648</v>
      </c>
      <c r="AA2021" s="463" t="s">
        <v>1932</v>
      </c>
      <c r="AB2021" s="459" t="s">
        <v>1589</v>
      </c>
    </row>
    <row r="2022" spans="1:28" ht="24" customHeight="1">
      <c r="A2022" s="584"/>
      <c r="B2022" s="460" t="s">
        <v>675</v>
      </c>
      <c r="C2022" s="458" t="s">
        <v>8649</v>
      </c>
      <c r="D2022" s="510" t="s">
        <v>8650</v>
      </c>
      <c r="E2022" s="498">
        <f t="shared" si="159"/>
        <v>32</v>
      </c>
      <c r="F2022" s="498">
        <v>0</v>
      </c>
      <c r="G2022" s="498">
        <v>32</v>
      </c>
      <c r="H2022" s="498">
        <v>0</v>
      </c>
      <c r="I2022" s="655">
        <f t="shared" si="157"/>
        <v>26.75</v>
      </c>
      <c r="J2022" s="655">
        <v>0</v>
      </c>
      <c r="K2022" s="655">
        <v>26.75</v>
      </c>
      <c r="L2022" s="710">
        <v>0</v>
      </c>
      <c r="M2022" s="680">
        <f t="shared" si="158"/>
        <v>83.59375</v>
      </c>
      <c r="N2022" s="498">
        <v>0</v>
      </c>
      <c r="O2022" s="669" t="s">
        <v>8096</v>
      </c>
      <c r="P2022" s="463" t="s">
        <v>5301</v>
      </c>
      <c r="Q2022" s="672">
        <v>0</v>
      </c>
      <c r="R2022" s="672">
        <v>0</v>
      </c>
      <c r="S2022" s="672">
        <v>0</v>
      </c>
      <c r="T2022" s="672">
        <v>0</v>
      </c>
      <c r="U2022" s="463" t="s">
        <v>8644</v>
      </c>
      <c r="V2022" s="520" t="s">
        <v>8651</v>
      </c>
      <c r="W2022" s="498">
        <v>182</v>
      </c>
      <c r="X2022" s="463" t="s">
        <v>2199</v>
      </c>
      <c r="Y2022" s="463" t="s">
        <v>1533</v>
      </c>
      <c r="Z2022" s="463" t="s">
        <v>8652</v>
      </c>
      <c r="AA2022" s="463" t="s">
        <v>1932</v>
      </c>
      <c r="AB2022" s="459" t="s">
        <v>1589</v>
      </c>
    </row>
    <row r="2023" spans="1:28" ht="24" customHeight="1">
      <c r="A2023" s="584"/>
      <c r="B2023" s="460" t="s">
        <v>675</v>
      </c>
      <c r="C2023" s="458" t="s">
        <v>2045</v>
      </c>
      <c r="D2023" s="510" t="s">
        <v>2011</v>
      </c>
      <c r="E2023" s="498">
        <f t="shared" si="159"/>
        <v>50</v>
      </c>
      <c r="F2023" s="498">
        <v>0</v>
      </c>
      <c r="G2023" s="498">
        <v>50</v>
      </c>
      <c r="H2023" s="498">
        <v>0</v>
      </c>
      <c r="I2023" s="655">
        <f t="shared" si="157"/>
        <v>45.37</v>
      </c>
      <c r="J2023" s="655">
        <v>0</v>
      </c>
      <c r="K2023" s="655">
        <v>45.37</v>
      </c>
      <c r="L2023" s="710">
        <v>0</v>
      </c>
      <c r="M2023" s="680">
        <f t="shared" si="158"/>
        <v>90.74</v>
      </c>
      <c r="N2023" s="498">
        <v>0</v>
      </c>
      <c r="O2023" s="669" t="s">
        <v>8096</v>
      </c>
      <c r="P2023" s="463" t="s">
        <v>5301</v>
      </c>
      <c r="Q2023" s="672">
        <v>0</v>
      </c>
      <c r="R2023" s="672">
        <v>0</v>
      </c>
      <c r="S2023" s="672">
        <v>0</v>
      </c>
      <c r="T2023" s="672">
        <v>0</v>
      </c>
      <c r="U2023" s="463" t="s">
        <v>8644</v>
      </c>
      <c r="V2023" s="520" t="s">
        <v>8653</v>
      </c>
      <c r="W2023" s="498">
        <v>322</v>
      </c>
      <c r="X2023" s="463" t="s">
        <v>2199</v>
      </c>
      <c r="Y2023" s="463" t="s">
        <v>1533</v>
      </c>
      <c r="Z2023" s="463" t="s">
        <v>8646</v>
      </c>
      <c r="AA2023" s="463" t="s">
        <v>1932</v>
      </c>
      <c r="AB2023" s="459" t="s">
        <v>1589</v>
      </c>
    </row>
    <row r="2024" spans="1:28" ht="24" customHeight="1">
      <c r="A2024" s="584"/>
      <c r="B2024" s="460" t="s">
        <v>675</v>
      </c>
      <c r="C2024" s="458" t="s">
        <v>8654</v>
      </c>
      <c r="D2024" s="510" t="s">
        <v>8655</v>
      </c>
      <c r="E2024" s="498">
        <f t="shared" si="159"/>
        <v>230</v>
      </c>
      <c r="F2024" s="498">
        <v>0</v>
      </c>
      <c r="G2024" s="498">
        <v>230</v>
      </c>
      <c r="H2024" s="498">
        <v>0</v>
      </c>
      <c r="I2024" s="655">
        <f t="shared" si="157"/>
        <v>226</v>
      </c>
      <c r="J2024" s="655">
        <v>0</v>
      </c>
      <c r="K2024" s="655">
        <v>226</v>
      </c>
      <c r="L2024" s="710">
        <v>0</v>
      </c>
      <c r="M2024" s="680">
        <f t="shared" si="158"/>
        <v>98.260869565217391</v>
      </c>
      <c r="N2024" s="498">
        <v>0</v>
      </c>
      <c r="O2024" s="669" t="s">
        <v>3592</v>
      </c>
      <c r="P2024" s="463" t="s">
        <v>3592</v>
      </c>
      <c r="Q2024" s="672">
        <v>0</v>
      </c>
      <c r="R2024" s="672">
        <v>0</v>
      </c>
      <c r="S2024" s="672">
        <v>0</v>
      </c>
      <c r="T2024" s="672">
        <v>0</v>
      </c>
      <c r="U2024" s="463" t="s">
        <v>8644</v>
      </c>
      <c r="V2024" s="520" t="s">
        <v>8656</v>
      </c>
      <c r="W2024" s="498">
        <v>919</v>
      </c>
      <c r="X2024" s="463" t="s">
        <v>2199</v>
      </c>
      <c r="Y2024" s="463" t="s">
        <v>8237</v>
      </c>
      <c r="Z2024" s="463" t="s">
        <v>8652</v>
      </c>
      <c r="AA2024" s="463" t="s">
        <v>1932</v>
      </c>
      <c r="AB2024" s="459" t="s">
        <v>1589</v>
      </c>
    </row>
    <row r="2025" spans="1:28" ht="24" customHeight="1">
      <c r="A2025" s="582" t="s">
        <v>1958</v>
      </c>
      <c r="B2025" s="460" t="s">
        <v>2201</v>
      </c>
      <c r="C2025" s="458" t="s">
        <v>2445</v>
      </c>
      <c r="D2025" s="510" t="s">
        <v>8657</v>
      </c>
      <c r="E2025" s="498">
        <f t="shared" si="159"/>
        <v>14000</v>
      </c>
      <c r="F2025" s="498">
        <v>0</v>
      </c>
      <c r="G2025" s="498">
        <v>14000</v>
      </c>
      <c r="H2025" s="498">
        <v>0</v>
      </c>
      <c r="I2025" s="655">
        <f t="shared" si="157"/>
        <v>21107</v>
      </c>
      <c r="J2025" s="655">
        <v>0</v>
      </c>
      <c r="K2025" s="655">
        <v>21107</v>
      </c>
      <c r="L2025" s="710">
        <v>0</v>
      </c>
      <c r="M2025" s="680">
        <f t="shared" si="158"/>
        <v>150.76428571428571</v>
      </c>
      <c r="N2025" s="498">
        <v>1686.6</v>
      </c>
      <c r="O2025" s="669" t="s">
        <v>3173</v>
      </c>
      <c r="P2025" s="463" t="s">
        <v>7427</v>
      </c>
      <c r="Q2025" s="672">
        <v>56</v>
      </c>
      <c r="R2025" s="672">
        <v>0</v>
      </c>
      <c r="S2025" s="672">
        <v>13</v>
      </c>
      <c r="T2025" s="672">
        <v>0</v>
      </c>
      <c r="U2025" s="463" t="s">
        <v>2365</v>
      </c>
      <c r="V2025" s="466" t="s">
        <v>8658</v>
      </c>
      <c r="W2025" s="498">
        <v>20951</v>
      </c>
      <c r="X2025" s="463" t="s">
        <v>3205</v>
      </c>
      <c r="Y2025" s="463" t="s">
        <v>3161</v>
      </c>
      <c r="Z2025" s="463" t="s">
        <v>1959</v>
      </c>
      <c r="AA2025" s="463" t="s">
        <v>1589</v>
      </c>
      <c r="AB2025" s="459" t="s">
        <v>2007</v>
      </c>
    </row>
    <row r="2026" spans="1:28" ht="24" customHeight="1">
      <c r="A2026" s="584"/>
      <c r="B2026" s="460" t="s">
        <v>2201</v>
      </c>
      <c r="C2026" s="458" t="s">
        <v>8659</v>
      </c>
      <c r="D2026" s="510" t="s">
        <v>2171</v>
      </c>
      <c r="E2026" s="498">
        <f t="shared" si="159"/>
        <v>5500</v>
      </c>
      <c r="F2026" s="498">
        <v>0</v>
      </c>
      <c r="G2026" s="498">
        <v>5500</v>
      </c>
      <c r="H2026" s="498">
        <v>0</v>
      </c>
      <c r="I2026" s="655">
        <f t="shared" si="157"/>
        <v>3507</v>
      </c>
      <c r="J2026" s="655">
        <v>0</v>
      </c>
      <c r="K2026" s="655">
        <v>3507</v>
      </c>
      <c r="L2026" s="710">
        <v>0</v>
      </c>
      <c r="M2026" s="680">
        <f t="shared" si="158"/>
        <v>63.763636363636365</v>
      </c>
      <c r="N2026" s="498">
        <v>81.400000000000006</v>
      </c>
      <c r="O2026" s="669" t="s">
        <v>8660</v>
      </c>
      <c r="P2026" s="463" t="s">
        <v>7427</v>
      </c>
      <c r="Q2026" s="672">
        <v>0</v>
      </c>
      <c r="R2026" s="672">
        <v>0</v>
      </c>
      <c r="S2026" s="672">
        <v>0</v>
      </c>
      <c r="T2026" s="672">
        <v>0</v>
      </c>
      <c r="U2026" s="463" t="s">
        <v>2365</v>
      </c>
      <c r="V2026" s="463" t="s">
        <v>2165</v>
      </c>
      <c r="W2026" s="498">
        <v>7951</v>
      </c>
      <c r="X2026" s="463" t="s">
        <v>3205</v>
      </c>
      <c r="Y2026" s="463" t="s">
        <v>3161</v>
      </c>
      <c r="Z2026" s="463" t="s">
        <v>1959</v>
      </c>
      <c r="AA2026" s="463" t="s">
        <v>1589</v>
      </c>
      <c r="AB2026" s="459" t="s">
        <v>2007</v>
      </c>
    </row>
    <row r="2027" spans="1:28" ht="24" customHeight="1">
      <c r="A2027" s="584"/>
      <c r="B2027" s="460" t="s">
        <v>675</v>
      </c>
      <c r="C2027" s="458" t="s">
        <v>8661</v>
      </c>
      <c r="D2027" s="510" t="s">
        <v>8662</v>
      </c>
      <c r="E2027" s="498">
        <f t="shared" si="159"/>
        <v>100</v>
      </c>
      <c r="F2027" s="498">
        <v>0</v>
      </c>
      <c r="G2027" s="498">
        <v>100</v>
      </c>
      <c r="H2027" s="498">
        <v>0</v>
      </c>
      <c r="I2027" s="655">
        <f t="shared" si="157"/>
        <v>40</v>
      </c>
      <c r="J2027" s="655">
        <v>0</v>
      </c>
      <c r="K2027" s="655">
        <v>40</v>
      </c>
      <c r="L2027" s="710">
        <v>0</v>
      </c>
      <c r="M2027" s="680">
        <f t="shared" si="158"/>
        <v>40</v>
      </c>
      <c r="N2027" s="498">
        <v>3.3</v>
      </c>
      <c r="O2027" s="669" t="s">
        <v>8663</v>
      </c>
      <c r="P2027" s="463" t="s">
        <v>7427</v>
      </c>
      <c r="Q2027" s="672">
        <v>0</v>
      </c>
      <c r="R2027" s="672">
        <v>0</v>
      </c>
      <c r="S2027" s="672">
        <v>0</v>
      </c>
      <c r="T2027" s="672">
        <v>0</v>
      </c>
      <c r="U2027" s="463" t="s">
        <v>2365</v>
      </c>
      <c r="V2027" s="463" t="s">
        <v>8427</v>
      </c>
      <c r="W2027" s="498">
        <v>770</v>
      </c>
      <c r="X2027" s="463" t="s">
        <v>3205</v>
      </c>
      <c r="Y2027" s="463" t="s">
        <v>3232</v>
      </c>
      <c r="Z2027" s="463" t="s">
        <v>1959</v>
      </c>
      <c r="AA2027" s="463" t="s">
        <v>1589</v>
      </c>
      <c r="AB2027" s="459" t="s">
        <v>2007</v>
      </c>
    </row>
    <row r="2028" spans="1:28" ht="24" customHeight="1">
      <c r="A2028" s="584"/>
      <c r="B2028" s="460" t="s">
        <v>675</v>
      </c>
      <c r="C2028" s="458" t="s">
        <v>8664</v>
      </c>
      <c r="D2028" s="510" t="s">
        <v>8665</v>
      </c>
      <c r="E2028" s="498">
        <f t="shared" si="159"/>
        <v>60</v>
      </c>
      <c r="F2028" s="498">
        <v>0</v>
      </c>
      <c r="G2028" s="498">
        <v>60</v>
      </c>
      <c r="H2028" s="498">
        <v>0</v>
      </c>
      <c r="I2028" s="655">
        <f t="shared" ref="I2028:I2035" si="160">SUM(J2028:L2028)</f>
        <v>26</v>
      </c>
      <c r="J2028" s="655">
        <v>0</v>
      </c>
      <c r="K2028" s="655">
        <v>26</v>
      </c>
      <c r="L2028" s="710">
        <v>0</v>
      </c>
      <c r="M2028" s="680">
        <f t="shared" si="158"/>
        <v>43.333333333333336</v>
      </c>
      <c r="N2028" s="498">
        <v>2</v>
      </c>
      <c r="O2028" s="669" t="s">
        <v>8666</v>
      </c>
      <c r="P2028" s="463" t="s">
        <v>7427</v>
      </c>
      <c r="Q2028" s="672">
        <v>0</v>
      </c>
      <c r="R2028" s="672">
        <v>0</v>
      </c>
      <c r="S2028" s="672">
        <v>0</v>
      </c>
      <c r="T2028" s="672">
        <v>0</v>
      </c>
      <c r="U2028" s="463" t="s">
        <v>2365</v>
      </c>
      <c r="V2028" s="463" t="s">
        <v>8667</v>
      </c>
      <c r="W2028" s="498">
        <v>300</v>
      </c>
      <c r="X2028" s="463" t="s">
        <v>3205</v>
      </c>
      <c r="Y2028" s="463" t="s">
        <v>3232</v>
      </c>
      <c r="Z2028" s="463" t="s">
        <v>1959</v>
      </c>
      <c r="AA2028" s="463" t="s">
        <v>1589</v>
      </c>
      <c r="AB2028" s="459" t="s">
        <v>2007</v>
      </c>
    </row>
    <row r="2029" spans="1:28" ht="24" customHeight="1">
      <c r="A2029" s="584"/>
      <c r="B2029" s="460" t="s">
        <v>675</v>
      </c>
      <c r="C2029" s="458" t="s">
        <v>8668</v>
      </c>
      <c r="D2029" s="510" t="s">
        <v>8669</v>
      </c>
      <c r="E2029" s="498">
        <f t="shared" si="159"/>
        <v>50</v>
      </c>
      <c r="F2029" s="498">
        <v>0</v>
      </c>
      <c r="G2029" s="498">
        <v>50</v>
      </c>
      <c r="H2029" s="498">
        <v>0</v>
      </c>
      <c r="I2029" s="655">
        <f t="shared" si="160"/>
        <v>20</v>
      </c>
      <c r="J2029" s="655">
        <v>0</v>
      </c>
      <c r="K2029" s="655">
        <v>20</v>
      </c>
      <c r="L2029" s="710">
        <v>0</v>
      </c>
      <c r="M2029" s="680">
        <f t="shared" si="158"/>
        <v>40</v>
      </c>
      <c r="N2029" s="498">
        <v>1</v>
      </c>
      <c r="O2029" s="669" t="s">
        <v>8670</v>
      </c>
      <c r="P2029" s="463" t="s">
        <v>7427</v>
      </c>
      <c r="Q2029" s="672">
        <v>0</v>
      </c>
      <c r="R2029" s="672">
        <v>0</v>
      </c>
      <c r="S2029" s="672">
        <v>0</v>
      </c>
      <c r="T2029" s="672">
        <v>0</v>
      </c>
      <c r="U2029" s="463" t="s">
        <v>2365</v>
      </c>
      <c r="V2029" s="463" t="s">
        <v>8671</v>
      </c>
      <c r="W2029" s="498">
        <v>325</v>
      </c>
      <c r="X2029" s="463" t="s">
        <v>3205</v>
      </c>
      <c r="Y2029" s="463" t="s">
        <v>3232</v>
      </c>
      <c r="Z2029" s="463" t="s">
        <v>1959</v>
      </c>
      <c r="AA2029" s="463" t="s">
        <v>1589</v>
      </c>
      <c r="AB2029" s="459" t="s">
        <v>2007</v>
      </c>
    </row>
    <row r="2030" spans="1:28" ht="24" customHeight="1">
      <c r="A2030" s="582" t="s">
        <v>1960</v>
      </c>
      <c r="B2030" s="460" t="s">
        <v>2201</v>
      </c>
      <c r="C2030" s="458" t="s">
        <v>2052</v>
      </c>
      <c r="D2030" s="510" t="s">
        <v>8672</v>
      </c>
      <c r="E2030" s="498">
        <f t="shared" si="159"/>
        <v>5000</v>
      </c>
      <c r="F2030" s="498">
        <v>0</v>
      </c>
      <c r="G2030" s="498">
        <v>0</v>
      </c>
      <c r="H2030" s="498">
        <v>5000</v>
      </c>
      <c r="I2030" s="655">
        <f t="shared" si="160"/>
        <v>5000</v>
      </c>
      <c r="J2030" s="655">
        <v>0</v>
      </c>
      <c r="K2030" s="655">
        <v>0</v>
      </c>
      <c r="L2030" s="710">
        <v>5000</v>
      </c>
      <c r="M2030" s="680">
        <f t="shared" si="158"/>
        <v>100</v>
      </c>
      <c r="N2030" s="498">
        <v>507</v>
      </c>
      <c r="O2030" s="669" t="s">
        <v>8673</v>
      </c>
      <c r="P2030" s="463" t="s">
        <v>8673</v>
      </c>
      <c r="Q2030" s="672">
        <v>0</v>
      </c>
      <c r="R2030" s="672">
        <v>0</v>
      </c>
      <c r="S2030" s="672">
        <v>0</v>
      </c>
      <c r="T2030" s="672">
        <v>0</v>
      </c>
      <c r="U2030" s="463" t="s">
        <v>5804</v>
      </c>
      <c r="V2030" s="463" t="s">
        <v>4242</v>
      </c>
      <c r="W2030" s="498">
        <v>22045</v>
      </c>
      <c r="X2030" s="463" t="s">
        <v>2276</v>
      </c>
      <c r="Y2030" s="463" t="s">
        <v>4034</v>
      </c>
      <c r="Z2030" s="463" t="s">
        <v>1959</v>
      </c>
      <c r="AA2030" s="463" t="s">
        <v>1589</v>
      </c>
      <c r="AB2030" s="459" t="s">
        <v>1589</v>
      </c>
    </row>
    <row r="2031" spans="1:28" ht="24" customHeight="1">
      <c r="A2031" s="584"/>
      <c r="B2031" s="460" t="s">
        <v>675</v>
      </c>
      <c r="C2031" s="458" t="s">
        <v>5805</v>
      </c>
      <c r="D2031" s="510" t="s">
        <v>5806</v>
      </c>
      <c r="E2031" s="498">
        <f t="shared" si="159"/>
        <v>68</v>
      </c>
      <c r="F2031" s="498">
        <v>0</v>
      </c>
      <c r="G2031" s="498">
        <v>68</v>
      </c>
      <c r="H2031" s="498">
        <v>0</v>
      </c>
      <c r="I2031" s="655">
        <f t="shared" si="160"/>
        <v>44</v>
      </c>
      <c r="J2031" s="655">
        <v>0</v>
      </c>
      <c r="K2031" s="655">
        <v>44</v>
      </c>
      <c r="L2031" s="710">
        <v>0</v>
      </c>
      <c r="M2031" s="680">
        <f t="shared" si="158"/>
        <v>64.705882352941174</v>
      </c>
      <c r="N2031" s="498">
        <v>5</v>
      </c>
      <c r="O2031" s="669" t="s">
        <v>1153</v>
      </c>
      <c r="P2031" s="463" t="s">
        <v>5301</v>
      </c>
      <c r="Q2031" s="672">
        <v>0</v>
      </c>
      <c r="R2031" s="672">
        <v>0</v>
      </c>
      <c r="S2031" s="672">
        <v>0</v>
      </c>
      <c r="T2031" s="672">
        <v>0</v>
      </c>
      <c r="U2031" s="463" t="s">
        <v>5804</v>
      </c>
      <c r="V2031" s="463" t="s">
        <v>5807</v>
      </c>
      <c r="W2031" s="498">
        <v>312</v>
      </c>
      <c r="X2031" s="463" t="s">
        <v>2276</v>
      </c>
      <c r="Y2031" s="463" t="s">
        <v>4034</v>
      </c>
      <c r="Z2031" s="463" t="s">
        <v>1588</v>
      </c>
      <c r="AA2031" s="463" t="s">
        <v>1589</v>
      </c>
      <c r="AB2031" s="459" t="s">
        <v>1589</v>
      </c>
    </row>
    <row r="2032" spans="1:28" ht="24" customHeight="1">
      <c r="A2032" s="584"/>
      <c r="B2032" s="460" t="s">
        <v>675</v>
      </c>
      <c r="C2032" s="458" t="s">
        <v>5808</v>
      </c>
      <c r="D2032" s="510" t="s">
        <v>5809</v>
      </c>
      <c r="E2032" s="498">
        <f t="shared" si="159"/>
        <v>30</v>
      </c>
      <c r="F2032" s="498">
        <v>0</v>
      </c>
      <c r="G2032" s="498">
        <v>30</v>
      </c>
      <c r="H2032" s="498">
        <v>0</v>
      </c>
      <c r="I2032" s="655">
        <f t="shared" si="160"/>
        <v>28</v>
      </c>
      <c r="J2032" s="655">
        <v>0</v>
      </c>
      <c r="K2032" s="655">
        <v>28</v>
      </c>
      <c r="L2032" s="710">
        <v>0</v>
      </c>
      <c r="M2032" s="680">
        <f t="shared" si="158"/>
        <v>93.333333333333329</v>
      </c>
      <c r="N2032" s="498">
        <v>1</v>
      </c>
      <c r="O2032" s="669" t="s">
        <v>1153</v>
      </c>
      <c r="P2032" s="463" t="s">
        <v>5301</v>
      </c>
      <c r="Q2032" s="672">
        <v>0</v>
      </c>
      <c r="R2032" s="672">
        <v>0</v>
      </c>
      <c r="S2032" s="672">
        <v>0</v>
      </c>
      <c r="T2032" s="672">
        <v>0</v>
      </c>
      <c r="U2032" s="463" t="s">
        <v>5810</v>
      </c>
      <c r="V2032" s="463" t="s">
        <v>4209</v>
      </c>
      <c r="W2032" s="498">
        <v>165</v>
      </c>
      <c r="X2032" s="463" t="s">
        <v>2276</v>
      </c>
      <c r="Y2032" s="463" t="s">
        <v>4034</v>
      </c>
      <c r="Z2032" s="463" t="s">
        <v>1588</v>
      </c>
      <c r="AA2032" s="463" t="s">
        <v>1589</v>
      </c>
      <c r="AB2032" s="459" t="s">
        <v>1589</v>
      </c>
    </row>
    <row r="2033" spans="1:28" ht="24" customHeight="1">
      <c r="A2033" s="584"/>
      <c r="B2033" s="460" t="s">
        <v>675</v>
      </c>
      <c r="C2033" s="458" t="s">
        <v>5811</v>
      </c>
      <c r="D2033" s="510" t="s">
        <v>5812</v>
      </c>
      <c r="E2033" s="498">
        <f t="shared" si="159"/>
        <v>70</v>
      </c>
      <c r="F2033" s="498">
        <v>0</v>
      </c>
      <c r="G2033" s="498">
        <v>70</v>
      </c>
      <c r="H2033" s="498">
        <v>0</v>
      </c>
      <c r="I2033" s="655">
        <f t="shared" si="160"/>
        <v>48</v>
      </c>
      <c r="J2033" s="655">
        <v>0</v>
      </c>
      <c r="K2033" s="655">
        <v>48</v>
      </c>
      <c r="L2033" s="710">
        <v>0</v>
      </c>
      <c r="M2033" s="680">
        <f t="shared" si="158"/>
        <v>68.571428571428569</v>
      </c>
      <c r="N2033" s="498">
        <v>3</v>
      </c>
      <c r="O2033" s="669" t="s">
        <v>5635</v>
      </c>
      <c r="P2033" s="463" t="s">
        <v>5813</v>
      </c>
      <c r="Q2033" s="672">
        <v>0</v>
      </c>
      <c r="R2033" s="672">
        <v>0</v>
      </c>
      <c r="S2033" s="672">
        <v>0</v>
      </c>
      <c r="T2033" s="672">
        <v>0</v>
      </c>
      <c r="U2033" s="463" t="s">
        <v>5810</v>
      </c>
      <c r="V2033" s="463" t="s">
        <v>5807</v>
      </c>
      <c r="W2033" s="498">
        <v>410</v>
      </c>
      <c r="X2033" s="463" t="s">
        <v>2276</v>
      </c>
      <c r="Y2033" s="463" t="s">
        <v>4034</v>
      </c>
      <c r="Z2033" s="463" t="s">
        <v>1588</v>
      </c>
      <c r="AA2033" s="463" t="s">
        <v>1589</v>
      </c>
      <c r="AB2033" s="459" t="s">
        <v>1589</v>
      </c>
    </row>
    <row r="2034" spans="1:28" ht="24" customHeight="1">
      <c r="A2034" s="584"/>
      <c r="B2034" s="460" t="s">
        <v>675</v>
      </c>
      <c r="C2034" s="458" t="s">
        <v>5814</v>
      </c>
      <c r="D2034" s="510" t="s">
        <v>5815</v>
      </c>
      <c r="E2034" s="498">
        <f t="shared" si="159"/>
        <v>50</v>
      </c>
      <c r="F2034" s="498">
        <v>0</v>
      </c>
      <c r="G2034" s="498">
        <v>50</v>
      </c>
      <c r="H2034" s="498">
        <v>0</v>
      </c>
      <c r="I2034" s="655">
        <f t="shared" si="160"/>
        <v>46</v>
      </c>
      <c r="J2034" s="655">
        <v>0</v>
      </c>
      <c r="K2034" s="655">
        <v>46</v>
      </c>
      <c r="L2034" s="710">
        <v>0</v>
      </c>
      <c r="M2034" s="680">
        <f t="shared" si="158"/>
        <v>92</v>
      </c>
      <c r="N2034" s="498">
        <v>3</v>
      </c>
      <c r="O2034" s="669" t="s">
        <v>6980</v>
      </c>
      <c r="P2034" s="463" t="s">
        <v>6980</v>
      </c>
      <c r="Q2034" s="672">
        <v>0</v>
      </c>
      <c r="R2034" s="672">
        <v>0</v>
      </c>
      <c r="S2034" s="672">
        <v>0</v>
      </c>
      <c r="T2034" s="672">
        <v>0</v>
      </c>
      <c r="U2034" s="463" t="s">
        <v>5810</v>
      </c>
      <c r="V2034" s="463" t="s">
        <v>5816</v>
      </c>
      <c r="W2034" s="498">
        <v>137</v>
      </c>
      <c r="X2034" s="463" t="s">
        <v>2276</v>
      </c>
      <c r="Y2034" s="463" t="s">
        <v>4034</v>
      </c>
      <c r="Z2034" s="463" t="s">
        <v>1588</v>
      </c>
      <c r="AA2034" s="463" t="s">
        <v>1589</v>
      </c>
      <c r="AB2034" s="459" t="s">
        <v>1589</v>
      </c>
    </row>
    <row r="2035" spans="1:28" ht="24" customHeight="1">
      <c r="A2035" s="583"/>
      <c r="B2035" s="460" t="s">
        <v>675</v>
      </c>
      <c r="C2035" s="458" t="s">
        <v>5817</v>
      </c>
      <c r="D2035" s="510" t="s">
        <v>5818</v>
      </c>
      <c r="E2035" s="498">
        <f t="shared" si="159"/>
        <v>150</v>
      </c>
      <c r="F2035" s="498">
        <v>0</v>
      </c>
      <c r="G2035" s="498">
        <v>0</v>
      </c>
      <c r="H2035" s="498">
        <v>150</v>
      </c>
      <c r="I2035" s="655">
        <f t="shared" si="160"/>
        <v>105</v>
      </c>
      <c r="J2035" s="655">
        <v>0</v>
      </c>
      <c r="K2035" s="655">
        <v>0</v>
      </c>
      <c r="L2035" s="710">
        <v>105</v>
      </c>
      <c r="M2035" s="680">
        <f t="shared" si="158"/>
        <v>70</v>
      </c>
      <c r="N2035" s="498">
        <v>16</v>
      </c>
      <c r="O2035" s="669" t="s">
        <v>1024</v>
      </c>
      <c r="P2035" s="463" t="s">
        <v>1214</v>
      </c>
      <c r="Q2035" s="672">
        <v>0</v>
      </c>
      <c r="R2035" s="672">
        <v>0</v>
      </c>
      <c r="S2035" s="672">
        <v>0</v>
      </c>
      <c r="T2035" s="672">
        <v>0</v>
      </c>
      <c r="U2035" s="463" t="s">
        <v>5810</v>
      </c>
      <c r="V2035" s="463" t="s">
        <v>8328</v>
      </c>
      <c r="W2035" s="498">
        <v>1141</v>
      </c>
      <c r="X2035" s="463" t="s">
        <v>2276</v>
      </c>
      <c r="Y2035" s="463" t="s">
        <v>1588</v>
      </c>
      <c r="Z2035" s="463" t="s">
        <v>1588</v>
      </c>
      <c r="AA2035" s="463" t="s">
        <v>1589</v>
      </c>
      <c r="AB2035" s="459" t="s">
        <v>1589</v>
      </c>
    </row>
    <row r="2036" spans="1:28" ht="24" customHeight="1">
      <c r="A2036" s="584" t="s">
        <v>1989</v>
      </c>
      <c r="B2036" s="579" t="s">
        <v>6051</v>
      </c>
      <c r="C2036" s="579"/>
      <c r="D2036" s="579"/>
      <c r="E2036" s="498" t="s">
        <v>6283</v>
      </c>
      <c r="F2036" s="498" t="s">
        <v>6284</v>
      </c>
      <c r="G2036" s="498" t="s">
        <v>6285</v>
      </c>
      <c r="H2036" s="498" t="s">
        <v>6286</v>
      </c>
      <c r="I2036" s="498" t="s">
        <v>6287</v>
      </c>
      <c r="J2036" s="498" t="s">
        <v>6288</v>
      </c>
      <c r="K2036" s="498" t="s">
        <v>6289</v>
      </c>
      <c r="L2036" s="668" t="s">
        <v>6290</v>
      </c>
      <c r="M2036" s="672">
        <v>0</v>
      </c>
      <c r="N2036" s="498" t="s">
        <v>6291</v>
      </c>
      <c r="O2036" s="669" t="s">
        <v>7427</v>
      </c>
      <c r="P2036" s="463" t="s">
        <v>7427</v>
      </c>
      <c r="Q2036" s="672" t="s">
        <v>6292</v>
      </c>
      <c r="R2036" s="672">
        <v>0</v>
      </c>
      <c r="S2036" s="672" t="s">
        <v>6293</v>
      </c>
      <c r="T2036" s="672" t="s">
        <v>6294</v>
      </c>
      <c r="U2036" s="463"/>
      <c r="V2036" s="463"/>
      <c r="W2036" s="498">
        <f>SUM(W2037:W2073)</f>
        <v>214128</v>
      </c>
      <c r="X2036" s="463"/>
      <c r="Y2036" s="463"/>
      <c r="Z2036" s="463"/>
      <c r="AA2036" s="463"/>
      <c r="AB2036" s="459"/>
    </row>
    <row r="2037" spans="1:28" ht="24" customHeight="1">
      <c r="A2037" s="582" t="s">
        <v>1992</v>
      </c>
      <c r="B2037" s="460" t="s">
        <v>2201</v>
      </c>
      <c r="C2037" s="458" t="s">
        <v>2366</v>
      </c>
      <c r="D2037" s="510" t="s">
        <v>5819</v>
      </c>
      <c r="E2037" s="498">
        <f>F2037+G2037+H2037</f>
        <v>130000</v>
      </c>
      <c r="F2037" s="498">
        <v>0</v>
      </c>
      <c r="G2037" s="498">
        <v>130000</v>
      </c>
      <c r="H2037" s="498">
        <v>0</v>
      </c>
      <c r="I2037" s="498">
        <f>J2037+K2037+L2037</f>
        <v>95838</v>
      </c>
      <c r="J2037" s="498">
        <v>0</v>
      </c>
      <c r="K2037" s="498">
        <v>95838</v>
      </c>
      <c r="L2037" s="668">
        <v>0</v>
      </c>
      <c r="M2037" s="672">
        <v>90</v>
      </c>
      <c r="N2037" s="498">
        <v>16472.7</v>
      </c>
      <c r="O2037" s="669" t="s">
        <v>1535</v>
      </c>
      <c r="P2037" s="463" t="s">
        <v>7427</v>
      </c>
      <c r="Q2037" s="672">
        <v>0</v>
      </c>
      <c r="R2037" s="672">
        <v>0</v>
      </c>
      <c r="S2037" s="672">
        <v>551.70000000000005</v>
      </c>
      <c r="T2037" s="672">
        <v>559.1</v>
      </c>
      <c r="U2037" s="463" t="s">
        <v>5820</v>
      </c>
      <c r="V2037" s="466" t="s">
        <v>2175</v>
      </c>
      <c r="W2037" s="498">
        <v>64916</v>
      </c>
      <c r="X2037" s="463" t="s">
        <v>1532</v>
      </c>
      <c r="Y2037" s="463" t="s">
        <v>4034</v>
      </c>
      <c r="Z2037" s="463"/>
      <c r="AA2037" s="463"/>
      <c r="AB2037" s="459" t="s">
        <v>5821</v>
      </c>
    </row>
    <row r="2038" spans="1:28" ht="24" customHeight="1">
      <c r="A2038" s="584"/>
      <c r="B2038" s="460" t="s">
        <v>675</v>
      </c>
      <c r="C2038" s="458" t="s">
        <v>5822</v>
      </c>
      <c r="D2038" s="510" t="s">
        <v>5823</v>
      </c>
      <c r="E2038" s="498">
        <v>20</v>
      </c>
      <c r="F2038" s="498">
        <v>20</v>
      </c>
      <c r="G2038" s="498">
        <v>0</v>
      </c>
      <c r="H2038" s="498">
        <v>0</v>
      </c>
      <c r="I2038" s="498">
        <v>20</v>
      </c>
      <c r="J2038" s="498">
        <v>20</v>
      </c>
      <c r="K2038" s="498">
        <v>0</v>
      </c>
      <c r="L2038" s="668">
        <v>0</v>
      </c>
      <c r="M2038" s="672">
        <v>0.9</v>
      </c>
      <c r="N2038" s="498">
        <v>3</v>
      </c>
      <c r="O2038" s="669" t="s">
        <v>5824</v>
      </c>
      <c r="P2038" s="463" t="s">
        <v>7427</v>
      </c>
      <c r="Q2038" s="672">
        <v>0</v>
      </c>
      <c r="R2038" s="672">
        <v>0</v>
      </c>
      <c r="S2038" s="672">
        <v>0</v>
      </c>
      <c r="T2038" s="672">
        <v>0</v>
      </c>
      <c r="U2038" s="463" t="s">
        <v>7522</v>
      </c>
      <c r="V2038" s="466" t="s">
        <v>5825</v>
      </c>
      <c r="W2038" s="498">
        <v>110</v>
      </c>
      <c r="X2038" s="463" t="s">
        <v>2276</v>
      </c>
      <c r="Y2038" s="463" t="s">
        <v>605</v>
      </c>
      <c r="Z2038" s="463"/>
      <c r="AA2038" s="463"/>
      <c r="AB2038" s="459" t="s">
        <v>2318</v>
      </c>
    </row>
    <row r="2039" spans="1:28" ht="24" customHeight="1">
      <c r="A2039" s="584"/>
      <c r="B2039" s="460" t="s">
        <v>675</v>
      </c>
      <c r="C2039" s="458" t="s">
        <v>2190</v>
      </c>
      <c r="D2039" s="510" t="s">
        <v>5826</v>
      </c>
      <c r="E2039" s="498">
        <v>20</v>
      </c>
      <c r="F2039" s="498">
        <v>20</v>
      </c>
      <c r="G2039" s="498">
        <v>0</v>
      </c>
      <c r="H2039" s="498">
        <v>0</v>
      </c>
      <c r="I2039" s="498">
        <v>20</v>
      </c>
      <c r="J2039" s="498">
        <v>20</v>
      </c>
      <c r="K2039" s="498">
        <v>0</v>
      </c>
      <c r="L2039" s="668">
        <v>0</v>
      </c>
      <c r="M2039" s="672">
        <v>0.9</v>
      </c>
      <c r="N2039" s="498">
        <v>2</v>
      </c>
      <c r="O2039" s="669" t="s">
        <v>5824</v>
      </c>
      <c r="P2039" s="463" t="s">
        <v>7427</v>
      </c>
      <c r="Q2039" s="672">
        <v>0</v>
      </c>
      <c r="R2039" s="672">
        <v>0</v>
      </c>
      <c r="S2039" s="672">
        <v>0</v>
      </c>
      <c r="T2039" s="672">
        <v>0</v>
      </c>
      <c r="U2039" s="463" t="s">
        <v>7522</v>
      </c>
      <c r="V2039" s="466" t="s">
        <v>5825</v>
      </c>
      <c r="W2039" s="498">
        <v>106</v>
      </c>
      <c r="X2039" s="463" t="s">
        <v>2276</v>
      </c>
      <c r="Y2039" s="463" t="s">
        <v>605</v>
      </c>
      <c r="Z2039" s="463"/>
      <c r="AA2039" s="463"/>
      <c r="AB2039" s="459" t="s">
        <v>2318</v>
      </c>
    </row>
    <row r="2040" spans="1:28" ht="24" customHeight="1">
      <c r="A2040" s="584"/>
      <c r="B2040" s="460" t="s">
        <v>675</v>
      </c>
      <c r="C2040" s="458" t="s">
        <v>5827</v>
      </c>
      <c r="D2040" s="510" t="s">
        <v>5828</v>
      </c>
      <c r="E2040" s="498">
        <v>12</v>
      </c>
      <c r="F2040" s="498">
        <v>12</v>
      </c>
      <c r="G2040" s="498">
        <v>0</v>
      </c>
      <c r="H2040" s="498">
        <v>0</v>
      </c>
      <c r="I2040" s="498">
        <v>12</v>
      </c>
      <c r="J2040" s="498">
        <v>12</v>
      </c>
      <c r="K2040" s="498">
        <v>0</v>
      </c>
      <c r="L2040" s="668">
        <v>0</v>
      </c>
      <c r="M2040" s="672">
        <v>0.9</v>
      </c>
      <c r="N2040" s="498">
        <v>2</v>
      </c>
      <c r="O2040" s="669" t="s">
        <v>3579</v>
      </c>
      <c r="P2040" s="463" t="s">
        <v>7427</v>
      </c>
      <c r="Q2040" s="672">
        <v>0</v>
      </c>
      <c r="R2040" s="672">
        <v>0</v>
      </c>
      <c r="S2040" s="672">
        <v>0</v>
      </c>
      <c r="T2040" s="672">
        <v>0</v>
      </c>
      <c r="U2040" s="463" t="s">
        <v>7522</v>
      </c>
      <c r="V2040" s="466" t="s">
        <v>5829</v>
      </c>
      <c r="W2040" s="498">
        <v>70</v>
      </c>
      <c r="X2040" s="463" t="s">
        <v>2276</v>
      </c>
      <c r="Y2040" s="463" t="s">
        <v>605</v>
      </c>
      <c r="Z2040" s="463"/>
      <c r="AA2040" s="463"/>
      <c r="AB2040" s="459" t="s">
        <v>2318</v>
      </c>
    </row>
    <row r="2041" spans="1:28" ht="24" customHeight="1">
      <c r="A2041" s="584"/>
      <c r="B2041" s="460" t="s">
        <v>675</v>
      </c>
      <c r="C2041" s="458" t="s">
        <v>5830</v>
      </c>
      <c r="D2041" s="510" t="s">
        <v>5831</v>
      </c>
      <c r="E2041" s="498">
        <v>16</v>
      </c>
      <c r="F2041" s="498">
        <v>16</v>
      </c>
      <c r="G2041" s="498">
        <v>0</v>
      </c>
      <c r="H2041" s="498">
        <v>0</v>
      </c>
      <c r="I2041" s="498">
        <v>16</v>
      </c>
      <c r="J2041" s="498">
        <v>16</v>
      </c>
      <c r="K2041" s="498">
        <v>0</v>
      </c>
      <c r="L2041" s="668">
        <v>0</v>
      </c>
      <c r="M2041" s="672">
        <v>0.9</v>
      </c>
      <c r="N2041" s="498">
        <v>2</v>
      </c>
      <c r="O2041" s="669" t="s">
        <v>3579</v>
      </c>
      <c r="P2041" s="463" t="s">
        <v>7427</v>
      </c>
      <c r="Q2041" s="672">
        <v>0</v>
      </c>
      <c r="R2041" s="672">
        <v>0</v>
      </c>
      <c r="S2041" s="672">
        <v>0</v>
      </c>
      <c r="T2041" s="672">
        <v>0</v>
      </c>
      <c r="U2041" s="463" t="s">
        <v>7522</v>
      </c>
      <c r="V2041" s="466" t="s">
        <v>5832</v>
      </c>
      <c r="W2041" s="498">
        <v>83</v>
      </c>
      <c r="X2041" s="463" t="s">
        <v>2276</v>
      </c>
      <c r="Y2041" s="463" t="s">
        <v>605</v>
      </c>
      <c r="Z2041" s="463"/>
      <c r="AA2041" s="463"/>
      <c r="AB2041" s="459" t="s">
        <v>2318</v>
      </c>
    </row>
    <row r="2042" spans="1:28" ht="24" customHeight="1">
      <c r="A2042" s="584"/>
      <c r="B2042" s="460" t="s">
        <v>675</v>
      </c>
      <c r="C2042" s="458" t="s">
        <v>5833</v>
      </c>
      <c r="D2042" s="510" t="s">
        <v>5834</v>
      </c>
      <c r="E2042" s="498">
        <v>20</v>
      </c>
      <c r="F2042" s="498">
        <v>20</v>
      </c>
      <c r="G2042" s="498">
        <v>0</v>
      </c>
      <c r="H2042" s="498">
        <v>0</v>
      </c>
      <c r="I2042" s="498">
        <v>20</v>
      </c>
      <c r="J2042" s="498">
        <v>20</v>
      </c>
      <c r="K2042" s="498">
        <v>0</v>
      </c>
      <c r="L2042" s="668">
        <v>0</v>
      </c>
      <c r="M2042" s="672">
        <v>0.9</v>
      </c>
      <c r="N2042" s="498">
        <v>2</v>
      </c>
      <c r="O2042" s="669" t="s">
        <v>5824</v>
      </c>
      <c r="P2042" s="463" t="s">
        <v>7427</v>
      </c>
      <c r="Q2042" s="672">
        <v>0</v>
      </c>
      <c r="R2042" s="672">
        <v>0</v>
      </c>
      <c r="S2042" s="672">
        <v>0</v>
      </c>
      <c r="T2042" s="672">
        <v>0</v>
      </c>
      <c r="U2042" s="463" t="s">
        <v>7522</v>
      </c>
      <c r="V2042" s="466" t="s">
        <v>2174</v>
      </c>
      <c r="W2042" s="498">
        <v>84</v>
      </c>
      <c r="X2042" s="463" t="s">
        <v>2276</v>
      </c>
      <c r="Y2042" s="463" t="s">
        <v>605</v>
      </c>
      <c r="Z2042" s="463"/>
      <c r="AA2042" s="463"/>
      <c r="AB2042" s="459" t="s">
        <v>2318</v>
      </c>
    </row>
    <row r="2043" spans="1:28" ht="24" customHeight="1">
      <c r="A2043" s="584"/>
      <c r="B2043" s="460" t="s">
        <v>675</v>
      </c>
      <c r="C2043" s="458" t="s">
        <v>5835</v>
      </c>
      <c r="D2043" s="510" t="s">
        <v>5836</v>
      </c>
      <c r="E2043" s="498">
        <v>23</v>
      </c>
      <c r="F2043" s="498">
        <v>23</v>
      </c>
      <c r="G2043" s="498">
        <v>0</v>
      </c>
      <c r="H2043" s="498">
        <v>0</v>
      </c>
      <c r="I2043" s="498">
        <v>23</v>
      </c>
      <c r="J2043" s="498">
        <v>23</v>
      </c>
      <c r="K2043" s="498">
        <v>0</v>
      </c>
      <c r="L2043" s="668">
        <v>0</v>
      </c>
      <c r="M2043" s="672">
        <v>0.9</v>
      </c>
      <c r="N2043" s="498">
        <v>3</v>
      </c>
      <c r="O2043" s="669" t="s">
        <v>3579</v>
      </c>
      <c r="P2043" s="463" t="s">
        <v>7427</v>
      </c>
      <c r="Q2043" s="672">
        <v>0</v>
      </c>
      <c r="R2043" s="672">
        <v>0</v>
      </c>
      <c r="S2043" s="672">
        <v>0</v>
      </c>
      <c r="T2043" s="672">
        <v>0</v>
      </c>
      <c r="U2043" s="463" t="s">
        <v>7522</v>
      </c>
      <c r="V2043" s="466" t="s">
        <v>5837</v>
      </c>
      <c r="W2043" s="498">
        <v>76</v>
      </c>
      <c r="X2043" s="463" t="s">
        <v>2276</v>
      </c>
      <c r="Y2043" s="463" t="s">
        <v>605</v>
      </c>
      <c r="Z2043" s="463"/>
      <c r="AA2043" s="463"/>
      <c r="AB2043" s="459" t="s">
        <v>2318</v>
      </c>
    </row>
    <row r="2044" spans="1:28" ht="24" customHeight="1">
      <c r="A2044" s="584"/>
      <c r="B2044" s="460" t="s">
        <v>675</v>
      </c>
      <c r="C2044" s="458" t="s">
        <v>7165</v>
      </c>
      <c r="D2044" s="510" t="s">
        <v>5838</v>
      </c>
      <c r="E2044" s="498">
        <v>14</v>
      </c>
      <c r="F2044" s="498">
        <v>14</v>
      </c>
      <c r="G2044" s="498">
        <v>0</v>
      </c>
      <c r="H2044" s="498">
        <v>0</v>
      </c>
      <c r="I2044" s="498">
        <v>14</v>
      </c>
      <c r="J2044" s="498">
        <v>14</v>
      </c>
      <c r="K2044" s="498">
        <v>0</v>
      </c>
      <c r="L2044" s="668">
        <v>0</v>
      </c>
      <c r="M2044" s="672">
        <v>0.9</v>
      </c>
      <c r="N2044" s="498">
        <v>2</v>
      </c>
      <c r="O2044" s="669" t="s">
        <v>5824</v>
      </c>
      <c r="P2044" s="463" t="s">
        <v>7427</v>
      </c>
      <c r="Q2044" s="672">
        <v>0</v>
      </c>
      <c r="R2044" s="672">
        <v>0</v>
      </c>
      <c r="S2044" s="672">
        <v>0</v>
      </c>
      <c r="T2044" s="672">
        <v>0</v>
      </c>
      <c r="U2044" s="463" t="s">
        <v>7522</v>
      </c>
      <c r="V2044" s="466" t="s">
        <v>5839</v>
      </c>
      <c r="W2044" s="498">
        <v>83</v>
      </c>
      <c r="X2044" s="463" t="s">
        <v>2276</v>
      </c>
      <c r="Y2044" s="463" t="s">
        <v>605</v>
      </c>
      <c r="Z2044" s="463"/>
      <c r="AA2044" s="463"/>
      <c r="AB2044" s="459" t="s">
        <v>2318</v>
      </c>
    </row>
    <row r="2045" spans="1:28" ht="24" customHeight="1">
      <c r="A2045" s="584"/>
      <c r="B2045" s="460" t="s">
        <v>675</v>
      </c>
      <c r="C2045" s="458" t="s">
        <v>5840</v>
      </c>
      <c r="D2045" s="510" t="s">
        <v>5841</v>
      </c>
      <c r="E2045" s="498">
        <v>40</v>
      </c>
      <c r="F2045" s="498">
        <v>40</v>
      </c>
      <c r="G2045" s="498">
        <v>0</v>
      </c>
      <c r="H2045" s="498">
        <v>0</v>
      </c>
      <c r="I2045" s="498">
        <v>40</v>
      </c>
      <c r="J2045" s="498">
        <v>40</v>
      </c>
      <c r="K2045" s="498">
        <v>0</v>
      </c>
      <c r="L2045" s="668">
        <v>0</v>
      </c>
      <c r="M2045" s="672">
        <v>0.9</v>
      </c>
      <c r="N2045" s="498">
        <v>4</v>
      </c>
      <c r="O2045" s="669" t="s">
        <v>5824</v>
      </c>
      <c r="P2045" s="463" t="s">
        <v>7427</v>
      </c>
      <c r="Q2045" s="672">
        <v>0</v>
      </c>
      <c r="R2045" s="672">
        <v>0</v>
      </c>
      <c r="S2045" s="672">
        <v>0</v>
      </c>
      <c r="T2045" s="672">
        <v>0</v>
      </c>
      <c r="U2045" s="463" t="s">
        <v>7522</v>
      </c>
      <c r="V2045" s="466" t="s">
        <v>5839</v>
      </c>
      <c r="W2045" s="498">
        <v>96</v>
      </c>
      <c r="X2045" s="463" t="s">
        <v>2276</v>
      </c>
      <c r="Y2045" s="463" t="s">
        <v>605</v>
      </c>
      <c r="Z2045" s="463"/>
      <c r="AA2045" s="463"/>
      <c r="AB2045" s="459" t="s">
        <v>2318</v>
      </c>
    </row>
    <row r="2046" spans="1:28" ht="24" customHeight="1">
      <c r="A2046" s="584"/>
      <c r="B2046" s="460" t="s">
        <v>675</v>
      </c>
      <c r="C2046" s="458" t="s">
        <v>2185</v>
      </c>
      <c r="D2046" s="510" t="s">
        <v>5842</v>
      </c>
      <c r="E2046" s="498">
        <v>15</v>
      </c>
      <c r="F2046" s="498">
        <v>15</v>
      </c>
      <c r="G2046" s="498">
        <v>0</v>
      </c>
      <c r="H2046" s="498">
        <v>0</v>
      </c>
      <c r="I2046" s="498">
        <v>5</v>
      </c>
      <c r="J2046" s="498">
        <v>5</v>
      </c>
      <c r="K2046" s="498">
        <v>0</v>
      </c>
      <c r="L2046" s="668">
        <v>0</v>
      </c>
      <c r="M2046" s="672">
        <v>0.9</v>
      </c>
      <c r="N2046" s="498">
        <v>1</v>
      </c>
      <c r="O2046" s="669" t="s">
        <v>5824</v>
      </c>
      <c r="P2046" s="463" t="s">
        <v>7427</v>
      </c>
      <c r="Q2046" s="672">
        <v>0</v>
      </c>
      <c r="R2046" s="672">
        <v>0</v>
      </c>
      <c r="S2046" s="672">
        <v>0</v>
      </c>
      <c r="T2046" s="672">
        <v>0</v>
      </c>
      <c r="U2046" s="463" t="s">
        <v>7522</v>
      </c>
      <c r="V2046" s="466" t="s">
        <v>5843</v>
      </c>
      <c r="W2046" s="498">
        <v>101</v>
      </c>
      <c r="X2046" s="463" t="s">
        <v>2276</v>
      </c>
      <c r="Y2046" s="463" t="s">
        <v>605</v>
      </c>
      <c r="Z2046" s="463"/>
      <c r="AA2046" s="463"/>
      <c r="AB2046" s="459" t="s">
        <v>2318</v>
      </c>
    </row>
    <row r="2047" spans="1:28" ht="24" customHeight="1">
      <c r="A2047" s="584"/>
      <c r="B2047" s="460" t="s">
        <v>675</v>
      </c>
      <c r="C2047" s="458" t="s">
        <v>5844</v>
      </c>
      <c r="D2047" s="510" t="s">
        <v>5845</v>
      </c>
      <c r="E2047" s="498">
        <v>16</v>
      </c>
      <c r="F2047" s="498">
        <v>16</v>
      </c>
      <c r="G2047" s="498">
        <v>0</v>
      </c>
      <c r="H2047" s="498">
        <v>0</v>
      </c>
      <c r="I2047" s="498">
        <v>16</v>
      </c>
      <c r="J2047" s="498">
        <v>16</v>
      </c>
      <c r="K2047" s="498">
        <v>0</v>
      </c>
      <c r="L2047" s="668">
        <v>0</v>
      </c>
      <c r="M2047" s="672">
        <v>0.9</v>
      </c>
      <c r="N2047" s="498">
        <v>2</v>
      </c>
      <c r="O2047" s="669" t="s">
        <v>3579</v>
      </c>
      <c r="P2047" s="463" t="s">
        <v>7427</v>
      </c>
      <c r="Q2047" s="672">
        <v>0</v>
      </c>
      <c r="R2047" s="672">
        <v>0</v>
      </c>
      <c r="S2047" s="672">
        <v>0</v>
      </c>
      <c r="T2047" s="672">
        <v>0</v>
      </c>
      <c r="U2047" s="463" t="s">
        <v>7522</v>
      </c>
      <c r="V2047" s="466" t="s">
        <v>5846</v>
      </c>
      <c r="W2047" s="498">
        <v>100</v>
      </c>
      <c r="X2047" s="463" t="s">
        <v>2276</v>
      </c>
      <c r="Y2047" s="463" t="s">
        <v>605</v>
      </c>
      <c r="Z2047" s="463"/>
      <c r="AA2047" s="463"/>
      <c r="AB2047" s="459" t="s">
        <v>2318</v>
      </c>
    </row>
    <row r="2048" spans="1:28" ht="24" customHeight="1">
      <c r="A2048" s="584"/>
      <c r="B2048" s="460" t="s">
        <v>675</v>
      </c>
      <c r="C2048" s="458" t="s">
        <v>5847</v>
      </c>
      <c r="D2048" s="510" t="s">
        <v>5848</v>
      </c>
      <c r="E2048" s="498">
        <v>35</v>
      </c>
      <c r="F2048" s="498">
        <v>35</v>
      </c>
      <c r="G2048" s="498">
        <v>0</v>
      </c>
      <c r="H2048" s="498">
        <v>0</v>
      </c>
      <c r="I2048" s="498">
        <v>35</v>
      </c>
      <c r="J2048" s="498">
        <v>35</v>
      </c>
      <c r="K2048" s="498">
        <v>0</v>
      </c>
      <c r="L2048" s="668">
        <v>0</v>
      </c>
      <c r="M2048" s="672">
        <v>0.9</v>
      </c>
      <c r="N2048" s="498">
        <v>3</v>
      </c>
      <c r="O2048" s="669" t="s">
        <v>5824</v>
      </c>
      <c r="P2048" s="463" t="s">
        <v>7427</v>
      </c>
      <c r="Q2048" s="672">
        <v>0</v>
      </c>
      <c r="R2048" s="672">
        <v>0</v>
      </c>
      <c r="S2048" s="672">
        <v>0</v>
      </c>
      <c r="T2048" s="672">
        <v>0</v>
      </c>
      <c r="U2048" s="463" t="s">
        <v>7522</v>
      </c>
      <c r="V2048" s="466" t="s">
        <v>5849</v>
      </c>
      <c r="W2048" s="498">
        <v>60</v>
      </c>
      <c r="X2048" s="463" t="s">
        <v>2276</v>
      </c>
      <c r="Y2048" s="463" t="s">
        <v>605</v>
      </c>
      <c r="Z2048" s="463"/>
      <c r="AA2048" s="463"/>
      <c r="AB2048" s="459" t="s">
        <v>2318</v>
      </c>
    </row>
    <row r="2049" spans="1:28" ht="24" customHeight="1">
      <c r="A2049" s="584"/>
      <c r="B2049" s="460" t="s">
        <v>675</v>
      </c>
      <c r="C2049" s="458" t="s">
        <v>2140</v>
      </c>
      <c r="D2049" s="510" t="s">
        <v>5850</v>
      </c>
      <c r="E2049" s="498">
        <v>16</v>
      </c>
      <c r="F2049" s="498">
        <v>16</v>
      </c>
      <c r="G2049" s="498">
        <v>0</v>
      </c>
      <c r="H2049" s="498">
        <v>0</v>
      </c>
      <c r="I2049" s="498">
        <v>16</v>
      </c>
      <c r="J2049" s="498">
        <v>16</v>
      </c>
      <c r="K2049" s="498">
        <v>0</v>
      </c>
      <c r="L2049" s="668">
        <v>0</v>
      </c>
      <c r="M2049" s="672">
        <v>0.9</v>
      </c>
      <c r="N2049" s="498">
        <v>3</v>
      </c>
      <c r="O2049" s="669" t="s">
        <v>3579</v>
      </c>
      <c r="P2049" s="463" t="s">
        <v>7427</v>
      </c>
      <c r="Q2049" s="672">
        <v>0</v>
      </c>
      <c r="R2049" s="672">
        <v>0</v>
      </c>
      <c r="S2049" s="672">
        <v>0</v>
      </c>
      <c r="T2049" s="672">
        <v>0</v>
      </c>
      <c r="U2049" s="463" t="s">
        <v>7522</v>
      </c>
      <c r="V2049" s="466" t="s">
        <v>4299</v>
      </c>
      <c r="W2049" s="498">
        <v>110</v>
      </c>
      <c r="X2049" s="463" t="s">
        <v>2276</v>
      </c>
      <c r="Y2049" s="463" t="s">
        <v>605</v>
      </c>
      <c r="Z2049" s="463"/>
      <c r="AA2049" s="463"/>
      <c r="AB2049" s="459" t="s">
        <v>2318</v>
      </c>
    </row>
    <row r="2050" spans="1:28" ht="24" customHeight="1">
      <c r="A2050" s="584"/>
      <c r="B2050" s="460" t="s">
        <v>675</v>
      </c>
      <c r="C2050" s="458" t="s">
        <v>5851</v>
      </c>
      <c r="D2050" s="510" t="s">
        <v>5852</v>
      </c>
      <c r="E2050" s="498">
        <v>35</v>
      </c>
      <c r="F2050" s="498">
        <v>35</v>
      </c>
      <c r="G2050" s="498">
        <v>0</v>
      </c>
      <c r="H2050" s="498">
        <v>0</v>
      </c>
      <c r="I2050" s="498">
        <v>35</v>
      </c>
      <c r="J2050" s="498">
        <v>35</v>
      </c>
      <c r="K2050" s="498">
        <v>0</v>
      </c>
      <c r="L2050" s="668">
        <v>0</v>
      </c>
      <c r="M2050" s="672">
        <v>0.9</v>
      </c>
      <c r="N2050" s="498">
        <v>3</v>
      </c>
      <c r="O2050" s="669" t="s">
        <v>5824</v>
      </c>
      <c r="P2050" s="463" t="s">
        <v>7427</v>
      </c>
      <c r="Q2050" s="672">
        <v>0</v>
      </c>
      <c r="R2050" s="672">
        <v>0</v>
      </c>
      <c r="S2050" s="672">
        <v>0</v>
      </c>
      <c r="T2050" s="672">
        <v>0</v>
      </c>
      <c r="U2050" s="463" t="s">
        <v>7522</v>
      </c>
      <c r="V2050" s="466" t="s">
        <v>5853</v>
      </c>
      <c r="W2050" s="498">
        <v>112</v>
      </c>
      <c r="X2050" s="463" t="s">
        <v>2276</v>
      </c>
      <c r="Y2050" s="463" t="s">
        <v>605</v>
      </c>
      <c r="Z2050" s="463"/>
      <c r="AA2050" s="463"/>
      <c r="AB2050" s="459" t="s">
        <v>2318</v>
      </c>
    </row>
    <row r="2051" spans="1:28" ht="24" customHeight="1">
      <c r="A2051" s="584"/>
      <c r="B2051" s="460" t="s">
        <v>675</v>
      </c>
      <c r="C2051" s="458" t="s">
        <v>5854</v>
      </c>
      <c r="D2051" s="510" t="s">
        <v>5855</v>
      </c>
      <c r="E2051" s="498">
        <v>84</v>
      </c>
      <c r="F2051" s="498">
        <v>84</v>
      </c>
      <c r="G2051" s="498">
        <v>0</v>
      </c>
      <c r="H2051" s="498">
        <v>0</v>
      </c>
      <c r="I2051" s="498">
        <v>5</v>
      </c>
      <c r="J2051" s="498">
        <v>5</v>
      </c>
      <c r="K2051" s="498">
        <v>0</v>
      </c>
      <c r="L2051" s="668">
        <v>0</v>
      </c>
      <c r="M2051" s="672">
        <v>0.9</v>
      </c>
      <c r="N2051" s="498">
        <v>1</v>
      </c>
      <c r="O2051" s="669" t="s">
        <v>5856</v>
      </c>
      <c r="P2051" s="463" t="s">
        <v>7427</v>
      </c>
      <c r="Q2051" s="672">
        <v>0</v>
      </c>
      <c r="R2051" s="672">
        <v>0</v>
      </c>
      <c r="S2051" s="672">
        <v>0</v>
      </c>
      <c r="T2051" s="672">
        <v>0</v>
      </c>
      <c r="U2051" s="463" t="s">
        <v>7522</v>
      </c>
      <c r="V2051" s="466" t="s">
        <v>5857</v>
      </c>
      <c r="W2051" s="498">
        <v>400</v>
      </c>
      <c r="X2051" s="463" t="s">
        <v>2276</v>
      </c>
      <c r="Y2051" s="463" t="s">
        <v>605</v>
      </c>
      <c r="Z2051" s="463"/>
      <c r="AA2051" s="463"/>
      <c r="AB2051" s="459" t="s">
        <v>2318</v>
      </c>
    </row>
    <row r="2052" spans="1:28" ht="24" customHeight="1">
      <c r="A2052" s="584"/>
      <c r="B2052" s="460" t="s">
        <v>675</v>
      </c>
      <c r="C2052" s="458" t="s">
        <v>5858</v>
      </c>
      <c r="D2052" s="510" t="s">
        <v>5859</v>
      </c>
      <c r="E2052" s="498">
        <v>40</v>
      </c>
      <c r="F2052" s="498">
        <v>40</v>
      </c>
      <c r="G2052" s="498">
        <v>0</v>
      </c>
      <c r="H2052" s="498">
        <v>0</v>
      </c>
      <c r="I2052" s="498">
        <v>40</v>
      </c>
      <c r="J2052" s="498">
        <v>40</v>
      </c>
      <c r="K2052" s="498">
        <v>0</v>
      </c>
      <c r="L2052" s="668">
        <v>0</v>
      </c>
      <c r="M2052" s="672">
        <v>0.9</v>
      </c>
      <c r="N2052" s="498">
        <v>4</v>
      </c>
      <c r="O2052" s="669" t="s">
        <v>5824</v>
      </c>
      <c r="P2052" s="463" t="s">
        <v>7427</v>
      </c>
      <c r="Q2052" s="672">
        <v>0</v>
      </c>
      <c r="R2052" s="672">
        <v>0</v>
      </c>
      <c r="S2052" s="672">
        <v>0</v>
      </c>
      <c r="T2052" s="672">
        <v>0</v>
      </c>
      <c r="U2052" s="463" t="s">
        <v>7522</v>
      </c>
      <c r="V2052" s="466" t="s">
        <v>5860</v>
      </c>
      <c r="W2052" s="498">
        <v>112</v>
      </c>
      <c r="X2052" s="463" t="s">
        <v>2276</v>
      </c>
      <c r="Y2052" s="463" t="s">
        <v>605</v>
      </c>
      <c r="Z2052" s="463"/>
      <c r="AA2052" s="463"/>
      <c r="AB2052" s="459" t="s">
        <v>2318</v>
      </c>
    </row>
    <row r="2053" spans="1:28" ht="24" customHeight="1">
      <c r="A2053" s="584"/>
      <c r="B2053" s="460" t="s">
        <v>675</v>
      </c>
      <c r="C2053" s="458" t="s">
        <v>5861</v>
      </c>
      <c r="D2053" s="510" t="s">
        <v>5862</v>
      </c>
      <c r="E2053" s="498">
        <v>100</v>
      </c>
      <c r="F2053" s="498">
        <v>100</v>
      </c>
      <c r="G2053" s="498">
        <v>0</v>
      </c>
      <c r="H2053" s="498">
        <v>0</v>
      </c>
      <c r="I2053" s="498">
        <v>60</v>
      </c>
      <c r="J2053" s="498">
        <v>60</v>
      </c>
      <c r="K2053" s="498">
        <v>0</v>
      </c>
      <c r="L2053" s="668">
        <v>0</v>
      </c>
      <c r="M2053" s="672">
        <v>0.9</v>
      </c>
      <c r="N2053" s="498">
        <v>6</v>
      </c>
      <c r="O2053" s="669" t="s">
        <v>5863</v>
      </c>
      <c r="P2053" s="463" t="s">
        <v>7427</v>
      </c>
      <c r="Q2053" s="672">
        <v>0</v>
      </c>
      <c r="R2053" s="672">
        <v>0</v>
      </c>
      <c r="S2053" s="672">
        <v>0</v>
      </c>
      <c r="T2053" s="672">
        <v>0</v>
      </c>
      <c r="U2053" s="463" t="s">
        <v>7522</v>
      </c>
      <c r="V2053" s="466" t="s">
        <v>5864</v>
      </c>
      <c r="W2053" s="498">
        <v>669</v>
      </c>
      <c r="X2053" s="463" t="s">
        <v>2276</v>
      </c>
      <c r="Y2053" s="463" t="s">
        <v>605</v>
      </c>
      <c r="Z2053" s="463"/>
      <c r="AA2053" s="463"/>
      <c r="AB2053" s="459" t="s">
        <v>2318</v>
      </c>
    </row>
    <row r="2054" spans="1:28" ht="24" customHeight="1">
      <c r="A2054" s="586" t="s">
        <v>1990</v>
      </c>
      <c r="B2054" s="473" t="s">
        <v>2201</v>
      </c>
      <c r="C2054" s="500" t="s">
        <v>317</v>
      </c>
      <c r="D2054" s="705" t="s">
        <v>5865</v>
      </c>
      <c r="E2054" s="664">
        <v>20000</v>
      </c>
      <c r="F2054" s="664">
        <v>0</v>
      </c>
      <c r="G2054" s="664">
        <v>20000</v>
      </c>
      <c r="H2054" s="664">
        <v>0</v>
      </c>
      <c r="I2054" s="664">
        <v>12750</v>
      </c>
      <c r="J2054" s="664">
        <v>0</v>
      </c>
      <c r="K2054" s="664">
        <v>12750</v>
      </c>
      <c r="L2054" s="772">
        <v>0</v>
      </c>
      <c r="M2054" s="672">
        <v>91.6</v>
      </c>
      <c r="N2054" s="653">
        <v>1306</v>
      </c>
      <c r="O2054" s="669" t="s">
        <v>1260</v>
      </c>
      <c r="P2054" s="463" t="s">
        <v>7427</v>
      </c>
      <c r="Q2054" s="690">
        <v>0</v>
      </c>
      <c r="R2054" s="690">
        <v>0</v>
      </c>
      <c r="S2054" s="690">
        <v>0</v>
      </c>
      <c r="T2054" s="690">
        <v>0</v>
      </c>
      <c r="U2054" s="132" t="s">
        <v>5866</v>
      </c>
      <c r="V2054" s="132" t="s">
        <v>5867</v>
      </c>
      <c r="W2054" s="664">
        <v>18317</v>
      </c>
      <c r="X2054" s="132" t="s">
        <v>2193</v>
      </c>
      <c r="Y2054" s="132" t="s">
        <v>3161</v>
      </c>
      <c r="Z2054" s="132"/>
      <c r="AA2054" s="132"/>
      <c r="AB2054" s="133" t="s">
        <v>1587</v>
      </c>
    </row>
    <row r="2055" spans="1:28" ht="24" customHeight="1">
      <c r="A2055" s="587"/>
      <c r="B2055" s="473" t="s">
        <v>2201</v>
      </c>
      <c r="C2055" s="500" t="s">
        <v>318</v>
      </c>
      <c r="D2055" s="510" t="s">
        <v>5868</v>
      </c>
      <c r="E2055" s="498">
        <v>15000</v>
      </c>
      <c r="F2055" s="498">
        <v>0</v>
      </c>
      <c r="G2055" s="498">
        <v>15000</v>
      </c>
      <c r="H2055" s="498">
        <v>0</v>
      </c>
      <c r="I2055" s="498">
        <v>6580</v>
      </c>
      <c r="J2055" s="498">
        <v>0</v>
      </c>
      <c r="K2055" s="498">
        <v>6580</v>
      </c>
      <c r="L2055" s="668">
        <v>0</v>
      </c>
      <c r="M2055" s="672">
        <v>92.7</v>
      </c>
      <c r="N2055" s="498">
        <v>628.9</v>
      </c>
      <c r="O2055" s="669" t="s">
        <v>1260</v>
      </c>
      <c r="P2055" s="463" t="s">
        <v>7427</v>
      </c>
      <c r="Q2055" s="672">
        <v>90</v>
      </c>
      <c r="R2055" s="672">
        <v>0</v>
      </c>
      <c r="S2055" s="672">
        <v>80</v>
      </c>
      <c r="T2055" s="672">
        <v>0</v>
      </c>
      <c r="U2055" s="463" t="s">
        <v>7523</v>
      </c>
      <c r="V2055" s="466" t="s">
        <v>5869</v>
      </c>
      <c r="W2055" s="664">
        <v>25634</v>
      </c>
      <c r="X2055" s="463" t="s">
        <v>1532</v>
      </c>
      <c r="Y2055" s="463" t="s">
        <v>4034</v>
      </c>
      <c r="Z2055" s="463"/>
      <c r="AA2055" s="463"/>
      <c r="AB2055" s="459" t="s">
        <v>2012</v>
      </c>
    </row>
    <row r="2056" spans="1:28" ht="24" customHeight="1">
      <c r="A2056" s="584"/>
      <c r="B2056" s="460" t="s">
        <v>2201</v>
      </c>
      <c r="C2056" s="458" t="s">
        <v>2250</v>
      </c>
      <c r="D2056" s="510" t="s">
        <v>5870</v>
      </c>
      <c r="E2056" s="498">
        <v>8000</v>
      </c>
      <c r="F2056" s="498">
        <v>0</v>
      </c>
      <c r="G2056" s="498">
        <v>0</v>
      </c>
      <c r="H2056" s="498">
        <v>8000</v>
      </c>
      <c r="I2056" s="498">
        <v>2944</v>
      </c>
      <c r="J2056" s="498">
        <v>0</v>
      </c>
      <c r="K2056" s="498">
        <v>0</v>
      </c>
      <c r="L2056" s="668">
        <v>2944</v>
      </c>
      <c r="M2056" s="672">
        <v>95</v>
      </c>
      <c r="N2056" s="498">
        <f>83.9*I2056*M2056/100*1/1000</f>
        <v>234.65151999999998</v>
      </c>
      <c r="O2056" s="669" t="s">
        <v>3347</v>
      </c>
      <c r="P2056" s="463" t="s">
        <v>7427</v>
      </c>
      <c r="Q2056" s="672">
        <v>7.5</v>
      </c>
      <c r="R2056" s="672">
        <v>0</v>
      </c>
      <c r="S2056" s="672">
        <v>0</v>
      </c>
      <c r="T2056" s="672">
        <v>0</v>
      </c>
      <c r="U2056" s="463" t="s">
        <v>5871</v>
      </c>
      <c r="V2056" s="463" t="s">
        <v>5872</v>
      </c>
      <c r="W2056" s="664">
        <v>46335</v>
      </c>
      <c r="X2056" s="463" t="s">
        <v>2193</v>
      </c>
      <c r="Y2056" s="463" t="s">
        <v>3399</v>
      </c>
      <c r="Z2056" s="463"/>
      <c r="AA2056" s="463"/>
      <c r="AB2056" s="459" t="s">
        <v>1783</v>
      </c>
    </row>
    <row r="2057" spans="1:28" ht="24" customHeight="1">
      <c r="A2057" s="584"/>
      <c r="B2057" s="460" t="s">
        <v>2201</v>
      </c>
      <c r="C2057" s="458" t="s">
        <v>319</v>
      </c>
      <c r="D2057" s="510" t="s">
        <v>5873</v>
      </c>
      <c r="E2057" s="498">
        <f>SUM(F2057:H2057)</f>
        <v>4000</v>
      </c>
      <c r="F2057" s="498">
        <v>0</v>
      </c>
      <c r="G2057" s="498">
        <v>0</v>
      </c>
      <c r="H2057" s="498">
        <v>4000</v>
      </c>
      <c r="I2057" s="498">
        <f>SUM(J2057:L2057)</f>
        <v>1280</v>
      </c>
      <c r="J2057" s="498">
        <v>0</v>
      </c>
      <c r="K2057" s="498">
        <v>0</v>
      </c>
      <c r="L2057" s="668">
        <v>1280</v>
      </c>
      <c r="M2057" s="672">
        <v>97.4</v>
      </c>
      <c r="N2057" s="498">
        <f>79.5*I2057*M2057/100*1/1000</f>
        <v>99.114240000000009</v>
      </c>
      <c r="O2057" s="669" t="s">
        <v>3347</v>
      </c>
      <c r="P2057" s="463" t="s">
        <v>7427</v>
      </c>
      <c r="Q2057" s="672">
        <v>20</v>
      </c>
      <c r="R2057" s="672">
        <v>0</v>
      </c>
      <c r="S2057" s="672">
        <v>0</v>
      </c>
      <c r="T2057" s="672">
        <v>0</v>
      </c>
      <c r="U2057" s="463" t="s">
        <v>5874</v>
      </c>
      <c r="V2057" s="463" t="s">
        <v>5872</v>
      </c>
      <c r="W2057" s="664">
        <v>51318</v>
      </c>
      <c r="X2057" s="463" t="s">
        <v>2193</v>
      </c>
      <c r="Y2057" s="463" t="s">
        <v>3399</v>
      </c>
      <c r="Z2057" s="463"/>
      <c r="AA2057" s="463"/>
      <c r="AB2057" s="459" t="s">
        <v>1783</v>
      </c>
    </row>
    <row r="2058" spans="1:28" ht="24" customHeight="1">
      <c r="A2058" s="584"/>
      <c r="B2058" s="460" t="s">
        <v>675</v>
      </c>
      <c r="C2058" s="458" t="s">
        <v>5875</v>
      </c>
      <c r="D2058" s="510" t="s">
        <v>5876</v>
      </c>
      <c r="E2058" s="498">
        <f>F2058+G2058+H2058</f>
        <v>60</v>
      </c>
      <c r="F2058" s="498">
        <v>60</v>
      </c>
      <c r="G2058" s="498">
        <v>0</v>
      </c>
      <c r="H2058" s="498">
        <v>0</v>
      </c>
      <c r="I2058" s="498">
        <f>SUM(J2058:L2058)</f>
        <v>36</v>
      </c>
      <c r="J2058" s="498">
        <v>36</v>
      </c>
      <c r="K2058" s="498">
        <v>0</v>
      </c>
      <c r="L2058" s="668">
        <v>0</v>
      </c>
      <c r="M2058" s="672">
        <v>90</v>
      </c>
      <c r="N2058" s="498">
        <f>140*I2058*M2058/1000</f>
        <v>453.6</v>
      </c>
      <c r="O2058" s="669" t="s">
        <v>5338</v>
      </c>
      <c r="P2058" s="463" t="s">
        <v>7427</v>
      </c>
      <c r="Q2058" s="672">
        <v>0</v>
      </c>
      <c r="R2058" s="672">
        <v>0</v>
      </c>
      <c r="S2058" s="672">
        <v>0</v>
      </c>
      <c r="T2058" s="672">
        <v>0</v>
      </c>
      <c r="U2058" s="463" t="s">
        <v>5877</v>
      </c>
      <c r="V2058" s="463" t="s">
        <v>5878</v>
      </c>
      <c r="W2058" s="664">
        <v>159</v>
      </c>
      <c r="X2058" s="463" t="s">
        <v>3205</v>
      </c>
      <c r="Y2058" s="463" t="s">
        <v>1533</v>
      </c>
      <c r="Z2058" s="463"/>
      <c r="AA2058" s="463" t="s">
        <v>5879</v>
      </c>
      <c r="AB2058" s="459" t="s">
        <v>1783</v>
      </c>
    </row>
    <row r="2059" spans="1:28" ht="24" customHeight="1">
      <c r="A2059" s="584"/>
      <c r="B2059" s="460" t="s">
        <v>675</v>
      </c>
      <c r="C2059" s="458" t="s">
        <v>5880</v>
      </c>
      <c r="D2059" s="510" t="s">
        <v>5881</v>
      </c>
      <c r="E2059" s="498">
        <f>F2059+G2059+H2059</f>
        <v>30</v>
      </c>
      <c r="F2059" s="498">
        <v>30</v>
      </c>
      <c r="G2059" s="498">
        <v>0</v>
      </c>
      <c r="H2059" s="498">
        <v>0</v>
      </c>
      <c r="I2059" s="498">
        <f t="shared" ref="I2059:I2073" si="161">SUM(J2059:L2059)</f>
        <v>20</v>
      </c>
      <c r="J2059" s="498">
        <v>20</v>
      </c>
      <c r="K2059" s="498">
        <v>0</v>
      </c>
      <c r="L2059" s="668">
        <v>0</v>
      </c>
      <c r="M2059" s="672">
        <v>85</v>
      </c>
      <c r="N2059" s="498">
        <f>140*I2059*M2059/1000</f>
        <v>238</v>
      </c>
      <c r="O2059" s="669" t="s">
        <v>5882</v>
      </c>
      <c r="P2059" s="463" t="s">
        <v>7427</v>
      </c>
      <c r="Q2059" s="672">
        <v>0</v>
      </c>
      <c r="R2059" s="672">
        <v>0</v>
      </c>
      <c r="S2059" s="672">
        <v>0</v>
      </c>
      <c r="T2059" s="672">
        <v>0</v>
      </c>
      <c r="U2059" s="463" t="s">
        <v>5877</v>
      </c>
      <c r="V2059" s="463" t="s">
        <v>5883</v>
      </c>
      <c r="W2059" s="664">
        <v>106</v>
      </c>
      <c r="X2059" s="463" t="s">
        <v>3205</v>
      </c>
      <c r="Y2059" s="463" t="s">
        <v>1533</v>
      </c>
      <c r="Z2059" s="463"/>
      <c r="AA2059" s="463" t="s">
        <v>2366</v>
      </c>
      <c r="AB2059" s="459" t="s">
        <v>1783</v>
      </c>
    </row>
    <row r="2060" spans="1:28" ht="24" customHeight="1">
      <c r="A2060" s="584"/>
      <c r="B2060" s="460" t="s">
        <v>675</v>
      </c>
      <c r="C2060" s="458" t="s">
        <v>5884</v>
      </c>
      <c r="D2060" s="510" t="s">
        <v>5885</v>
      </c>
      <c r="E2060" s="498">
        <f t="shared" ref="E2060:E2073" si="162">F2060+G2060+H2060</f>
        <v>120</v>
      </c>
      <c r="F2060" s="498">
        <v>120</v>
      </c>
      <c r="G2060" s="498">
        <v>0</v>
      </c>
      <c r="H2060" s="498">
        <v>0</v>
      </c>
      <c r="I2060" s="498">
        <f t="shared" si="161"/>
        <v>98</v>
      </c>
      <c r="J2060" s="498">
        <v>98</v>
      </c>
      <c r="K2060" s="498">
        <v>0</v>
      </c>
      <c r="L2060" s="668">
        <v>0</v>
      </c>
      <c r="M2060" s="672">
        <v>96</v>
      </c>
      <c r="N2060" s="498">
        <f t="shared" ref="N2060:N2073" si="163">140*I2060*M2060/1000</f>
        <v>1317.12</v>
      </c>
      <c r="O2060" s="669" t="s">
        <v>5882</v>
      </c>
      <c r="P2060" s="463" t="s">
        <v>7427</v>
      </c>
      <c r="Q2060" s="672">
        <v>0</v>
      </c>
      <c r="R2060" s="672">
        <v>0</v>
      </c>
      <c r="S2060" s="672">
        <v>0</v>
      </c>
      <c r="T2060" s="672">
        <v>0</v>
      </c>
      <c r="U2060" s="463" t="s">
        <v>5886</v>
      </c>
      <c r="V2060" s="463" t="s">
        <v>5887</v>
      </c>
      <c r="W2060" s="664">
        <v>590</v>
      </c>
      <c r="X2060" s="463" t="s">
        <v>3205</v>
      </c>
      <c r="Y2060" s="463" t="s">
        <v>1533</v>
      </c>
      <c r="Z2060" s="463"/>
      <c r="AA2060" s="463" t="s">
        <v>2366</v>
      </c>
      <c r="AB2060" s="459" t="s">
        <v>1783</v>
      </c>
    </row>
    <row r="2061" spans="1:28" ht="24" customHeight="1">
      <c r="A2061" s="584"/>
      <c r="B2061" s="460" t="s">
        <v>675</v>
      </c>
      <c r="C2061" s="458" t="s">
        <v>5888</v>
      </c>
      <c r="D2061" s="510" t="s">
        <v>5889</v>
      </c>
      <c r="E2061" s="498">
        <f t="shared" si="162"/>
        <v>80</v>
      </c>
      <c r="F2061" s="498">
        <v>80</v>
      </c>
      <c r="G2061" s="498">
        <v>0</v>
      </c>
      <c r="H2061" s="498">
        <v>0</v>
      </c>
      <c r="I2061" s="498">
        <f t="shared" si="161"/>
        <v>47</v>
      </c>
      <c r="J2061" s="498">
        <v>47</v>
      </c>
      <c r="K2061" s="498">
        <v>0</v>
      </c>
      <c r="L2061" s="668">
        <v>0</v>
      </c>
      <c r="M2061" s="672">
        <v>88</v>
      </c>
      <c r="N2061" s="498">
        <f t="shared" si="163"/>
        <v>579.04</v>
      </c>
      <c r="O2061" s="669" t="s">
        <v>5882</v>
      </c>
      <c r="P2061" s="463" t="s">
        <v>7427</v>
      </c>
      <c r="Q2061" s="672">
        <v>0</v>
      </c>
      <c r="R2061" s="672">
        <v>0</v>
      </c>
      <c r="S2061" s="672">
        <v>0</v>
      </c>
      <c r="T2061" s="672">
        <v>0</v>
      </c>
      <c r="U2061" s="463" t="s">
        <v>5886</v>
      </c>
      <c r="V2061" s="463" t="s">
        <v>5890</v>
      </c>
      <c r="W2061" s="664">
        <v>512</v>
      </c>
      <c r="X2061" s="463" t="s">
        <v>3205</v>
      </c>
      <c r="Y2061" s="463" t="s">
        <v>1533</v>
      </c>
      <c r="Z2061" s="463"/>
      <c r="AA2061" s="463" t="s">
        <v>2366</v>
      </c>
      <c r="AB2061" s="459" t="s">
        <v>1783</v>
      </c>
    </row>
    <row r="2062" spans="1:28" ht="24" customHeight="1">
      <c r="A2062" s="584"/>
      <c r="B2062" s="460" t="s">
        <v>675</v>
      </c>
      <c r="C2062" s="458" t="s">
        <v>5891</v>
      </c>
      <c r="D2062" s="510" t="s">
        <v>5892</v>
      </c>
      <c r="E2062" s="498">
        <v>90</v>
      </c>
      <c r="F2062" s="498">
        <v>90</v>
      </c>
      <c r="G2062" s="498">
        <v>0</v>
      </c>
      <c r="H2062" s="498">
        <v>0</v>
      </c>
      <c r="I2062" s="498">
        <f>SUM(J2062:L2062)</f>
        <v>77</v>
      </c>
      <c r="J2062" s="498">
        <v>77</v>
      </c>
      <c r="K2062" s="498">
        <v>0</v>
      </c>
      <c r="L2062" s="668">
        <v>0</v>
      </c>
      <c r="M2062" s="672">
        <v>93</v>
      </c>
      <c r="N2062" s="498">
        <f t="shared" si="163"/>
        <v>1002.54</v>
      </c>
      <c r="O2062" s="669" t="s">
        <v>5893</v>
      </c>
      <c r="P2062" s="463" t="s">
        <v>7427</v>
      </c>
      <c r="Q2062" s="672">
        <v>0</v>
      </c>
      <c r="R2062" s="672">
        <v>0</v>
      </c>
      <c r="S2062" s="672">
        <v>0</v>
      </c>
      <c r="T2062" s="672">
        <v>0</v>
      </c>
      <c r="U2062" s="463" t="s">
        <v>5886</v>
      </c>
      <c r="V2062" s="463" t="s">
        <v>5890</v>
      </c>
      <c r="W2062" s="664">
        <v>426</v>
      </c>
      <c r="X2062" s="463" t="s">
        <v>3205</v>
      </c>
      <c r="Y2062" s="463" t="s">
        <v>1533</v>
      </c>
      <c r="Z2062" s="463"/>
      <c r="AA2062" s="463" t="s">
        <v>2366</v>
      </c>
      <c r="AB2062" s="459" t="s">
        <v>1783</v>
      </c>
    </row>
    <row r="2063" spans="1:28" ht="24" customHeight="1">
      <c r="A2063" s="584"/>
      <c r="B2063" s="460" t="s">
        <v>675</v>
      </c>
      <c r="C2063" s="458" t="s">
        <v>5894</v>
      </c>
      <c r="D2063" s="510" t="s">
        <v>5895</v>
      </c>
      <c r="E2063" s="498">
        <f>F2063+G2063+H2063</f>
        <v>45</v>
      </c>
      <c r="F2063" s="498">
        <v>45</v>
      </c>
      <c r="G2063" s="498">
        <v>0</v>
      </c>
      <c r="H2063" s="498">
        <v>0</v>
      </c>
      <c r="I2063" s="498">
        <f>SUM(J2063:L2063)</f>
        <v>30</v>
      </c>
      <c r="J2063" s="498">
        <v>30</v>
      </c>
      <c r="K2063" s="498">
        <v>0</v>
      </c>
      <c r="L2063" s="668">
        <v>0</v>
      </c>
      <c r="M2063" s="672">
        <v>97</v>
      </c>
      <c r="N2063" s="498">
        <f>140*I2063*M2063/1000</f>
        <v>407.4</v>
      </c>
      <c r="O2063" s="669" t="s">
        <v>5896</v>
      </c>
      <c r="P2063" s="463" t="s">
        <v>7427</v>
      </c>
      <c r="Q2063" s="672">
        <v>0</v>
      </c>
      <c r="R2063" s="672">
        <v>0</v>
      </c>
      <c r="S2063" s="672">
        <v>0</v>
      </c>
      <c r="T2063" s="672">
        <v>0</v>
      </c>
      <c r="U2063" s="463" t="s">
        <v>5886</v>
      </c>
      <c r="V2063" s="463" t="s">
        <v>5897</v>
      </c>
      <c r="W2063" s="664">
        <v>300</v>
      </c>
      <c r="X2063" s="463" t="s">
        <v>3205</v>
      </c>
      <c r="Y2063" s="463" t="s">
        <v>1533</v>
      </c>
      <c r="Z2063" s="463"/>
      <c r="AA2063" s="463" t="s">
        <v>1604</v>
      </c>
      <c r="AB2063" s="459" t="s">
        <v>1783</v>
      </c>
    </row>
    <row r="2064" spans="1:28" ht="24" customHeight="1">
      <c r="A2064" s="584"/>
      <c r="B2064" s="460" t="s">
        <v>675</v>
      </c>
      <c r="C2064" s="458" t="s">
        <v>5898</v>
      </c>
      <c r="D2064" s="510" t="s">
        <v>5899</v>
      </c>
      <c r="E2064" s="498">
        <f>F2064+G2064+H2064</f>
        <v>25</v>
      </c>
      <c r="F2064" s="498">
        <v>25</v>
      </c>
      <c r="G2064" s="498">
        <v>0</v>
      </c>
      <c r="H2064" s="498">
        <v>0</v>
      </c>
      <c r="I2064" s="498">
        <f>SUM(J2064:L2064)</f>
        <v>15</v>
      </c>
      <c r="J2064" s="498">
        <v>15</v>
      </c>
      <c r="K2064" s="498">
        <v>0</v>
      </c>
      <c r="L2064" s="668">
        <v>0</v>
      </c>
      <c r="M2064" s="672">
        <v>86</v>
      </c>
      <c r="N2064" s="498">
        <f>140*I2064*M2064/1000</f>
        <v>180.6</v>
      </c>
      <c r="O2064" s="669" t="s">
        <v>5896</v>
      </c>
      <c r="P2064" s="463" t="s">
        <v>7427</v>
      </c>
      <c r="Q2064" s="672">
        <v>0</v>
      </c>
      <c r="R2064" s="672">
        <v>0</v>
      </c>
      <c r="S2064" s="672">
        <v>0</v>
      </c>
      <c r="T2064" s="672">
        <v>0</v>
      </c>
      <c r="U2064" s="463" t="s">
        <v>5886</v>
      </c>
      <c r="V2064" s="463" t="s">
        <v>5900</v>
      </c>
      <c r="W2064" s="664">
        <v>168</v>
      </c>
      <c r="X2064" s="463" t="s">
        <v>3205</v>
      </c>
      <c r="Y2064" s="463" t="s">
        <v>1533</v>
      </c>
      <c r="Z2064" s="463"/>
      <c r="AA2064" s="463" t="s">
        <v>2366</v>
      </c>
      <c r="AB2064" s="459" t="s">
        <v>1783</v>
      </c>
    </row>
    <row r="2065" spans="1:28" ht="24" customHeight="1">
      <c r="A2065" s="584"/>
      <c r="B2065" s="460" t="s">
        <v>675</v>
      </c>
      <c r="C2065" s="458" t="s">
        <v>5901</v>
      </c>
      <c r="D2065" s="510" t="s">
        <v>5902</v>
      </c>
      <c r="E2065" s="498">
        <f t="shared" si="162"/>
        <v>60</v>
      </c>
      <c r="F2065" s="498">
        <v>60</v>
      </c>
      <c r="G2065" s="498">
        <v>0</v>
      </c>
      <c r="H2065" s="498">
        <v>0</v>
      </c>
      <c r="I2065" s="498">
        <f t="shared" si="161"/>
        <v>53</v>
      </c>
      <c r="J2065" s="498">
        <v>53</v>
      </c>
      <c r="K2065" s="498">
        <v>0</v>
      </c>
      <c r="L2065" s="668">
        <v>0</v>
      </c>
      <c r="M2065" s="672">
        <v>87</v>
      </c>
      <c r="N2065" s="498">
        <f t="shared" si="163"/>
        <v>645.54</v>
      </c>
      <c r="O2065" s="669" t="s">
        <v>5882</v>
      </c>
      <c r="P2065" s="463" t="s">
        <v>7427</v>
      </c>
      <c r="Q2065" s="672">
        <v>0</v>
      </c>
      <c r="R2065" s="672">
        <v>0</v>
      </c>
      <c r="S2065" s="672">
        <v>0</v>
      </c>
      <c r="T2065" s="672">
        <v>0</v>
      </c>
      <c r="U2065" s="463" t="s">
        <v>5886</v>
      </c>
      <c r="V2065" s="463" t="s">
        <v>5903</v>
      </c>
      <c r="W2065" s="664">
        <v>596</v>
      </c>
      <c r="X2065" s="463" t="s">
        <v>3205</v>
      </c>
      <c r="Y2065" s="463" t="s">
        <v>1533</v>
      </c>
      <c r="Z2065" s="463"/>
      <c r="AA2065" s="463" t="s">
        <v>5904</v>
      </c>
      <c r="AB2065" s="459" t="s">
        <v>1783</v>
      </c>
    </row>
    <row r="2066" spans="1:28" ht="24" customHeight="1">
      <c r="A2066" s="584"/>
      <c r="B2066" s="460" t="s">
        <v>675</v>
      </c>
      <c r="C2066" s="458" t="s">
        <v>5905</v>
      </c>
      <c r="D2066" s="510" t="s">
        <v>5906</v>
      </c>
      <c r="E2066" s="498">
        <f>F2066+G2066+H2066</f>
        <v>70</v>
      </c>
      <c r="F2066" s="498">
        <v>70</v>
      </c>
      <c r="G2066" s="498">
        <v>0</v>
      </c>
      <c r="H2066" s="498">
        <v>0</v>
      </c>
      <c r="I2066" s="498">
        <f>SUM(J2066:L2066)</f>
        <v>55</v>
      </c>
      <c r="J2066" s="498">
        <v>55</v>
      </c>
      <c r="K2066" s="498">
        <v>0</v>
      </c>
      <c r="L2066" s="668">
        <v>0</v>
      </c>
      <c r="M2066" s="672">
        <v>96</v>
      </c>
      <c r="N2066" s="498">
        <f>140*I2066*M2066/1000</f>
        <v>739.2</v>
      </c>
      <c r="O2066" s="669" t="s">
        <v>5338</v>
      </c>
      <c r="P2066" s="463" t="s">
        <v>7427</v>
      </c>
      <c r="Q2066" s="672">
        <v>0</v>
      </c>
      <c r="R2066" s="672">
        <v>0</v>
      </c>
      <c r="S2066" s="672">
        <v>0</v>
      </c>
      <c r="T2066" s="672">
        <v>0</v>
      </c>
      <c r="U2066" s="463" t="s">
        <v>5886</v>
      </c>
      <c r="V2066" s="463" t="s">
        <v>5907</v>
      </c>
      <c r="W2066" s="664">
        <v>305</v>
      </c>
      <c r="X2066" s="463" t="s">
        <v>3205</v>
      </c>
      <c r="Y2066" s="463" t="s">
        <v>1533</v>
      </c>
      <c r="Z2066" s="463"/>
      <c r="AA2066" s="463" t="s">
        <v>5908</v>
      </c>
      <c r="AB2066" s="459" t="s">
        <v>1783</v>
      </c>
    </row>
    <row r="2067" spans="1:28" ht="24" customHeight="1">
      <c r="A2067" s="584"/>
      <c r="B2067" s="460" t="s">
        <v>675</v>
      </c>
      <c r="C2067" s="458" t="s">
        <v>5909</v>
      </c>
      <c r="D2067" s="510" t="s">
        <v>5910</v>
      </c>
      <c r="E2067" s="498">
        <f t="shared" si="162"/>
        <v>115</v>
      </c>
      <c r="F2067" s="498">
        <v>115</v>
      </c>
      <c r="G2067" s="498">
        <v>0</v>
      </c>
      <c r="H2067" s="498">
        <v>0</v>
      </c>
      <c r="I2067" s="498">
        <f t="shared" si="161"/>
        <v>85</v>
      </c>
      <c r="J2067" s="498">
        <v>85</v>
      </c>
      <c r="K2067" s="498">
        <v>0</v>
      </c>
      <c r="L2067" s="668">
        <v>0</v>
      </c>
      <c r="M2067" s="672">
        <v>96</v>
      </c>
      <c r="N2067" s="498">
        <f t="shared" si="163"/>
        <v>1142.4000000000001</v>
      </c>
      <c r="O2067" s="669" t="s">
        <v>5338</v>
      </c>
      <c r="P2067" s="463" t="s">
        <v>7427</v>
      </c>
      <c r="Q2067" s="672">
        <v>0</v>
      </c>
      <c r="R2067" s="672">
        <v>0</v>
      </c>
      <c r="S2067" s="672">
        <v>0</v>
      </c>
      <c r="T2067" s="672">
        <v>0</v>
      </c>
      <c r="U2067" s="463" t="s">
        <v>5886</v>
      </c>
      <c r="V2067" s="463" t="s">
        <v>5911</v>
      </c>
      <c r="W2067" s="664">
        <v>320</v>
      </c>
      <c r="X2067" s="463" t="s">
        <v>3205</v>
      </c>
      <c r="Y2067" s="463" t="s">
        <v>1533</v>
      </c>
      <c r="Z2067" s="463"/>
      <c r="AA2067" s="463" t="s">
        <v>5912</v>
      </c>
      <c r="AB2067" s="459" t="s">
        <v>1783</v>
      </c>
    </row>
    <row r="2068" spans="1:28" ht="24" customHeight="1">
      <c r="A2068" s="584"/>
      <c r="B2068" s="460" t="s">
        <v>675</v>
      </c>
      <c r="C2068" s="458" t="s">
        <v>5913</v>
      </c>
      <c r="D2068" s="510" t="s">
        <v>5914</v>
      </c>
      <c r="E2068" s="498">
        <f>F2068+G2068+H2068</f>
        <v>30</v>
      </c>
      <c r="F2068" s="498">
        <v>30</v>
      </c>
      <c r="G2068" s="498">
        <v>0</v>
      </c>
      <c r="H2068" s="498">
        <v>0</v>
      </c>
      <c r="I2068" s="498">
        <f>SUM(J2068:L2068)</f>
        <v>25</v>
      </c>
      <c r="J2068" s="498">
        <v>25</v>
      </c>
      <c r="K2068" s="498">
        <v>0</v>
      </c>
      <c r="L2068" s="668">
        <v>0</v>
      </c>
      <c r="M2068" s="672">
        <v>88</v>
      </c>
      <c r="N2068" s="498">
        <f>140*I2068*M2068/1000</f>
        <v>308</v>
      </c>
      <c r="O2068" s="669" t="s">
        <v>5338</v>
      </c>
      <c r="P2068" s="463" t="s">
        <v>7427</v>
      </c>
      <c r="Q2068" s="672">
        <v>0</v>
      </c>
      <c r="R2068" s="672">
        <v>0</v>
      </c>
      <c r="S2068" s="672">
        <v>0</v>
      </c>
      <c r="T2068" s="672">
        <v>0</v>
      </c>
      <c r="U2068" s="463" t="s">
        <v>5886</v>
      </c>
      <c r="V2068" s="463" t="s">
        <v>5596</v>
      </c>
      <c r="W2068" s="664">
        <v>358</v>
      </c>
      <c r="X2068" s="463" t="s">
        <v>3205</v>
      </c>
      <c r="Y2068" s="463" t="s">
        <v>1533</v>
      </c>
      <c r="Z2068" s="463"/>
      <c r="AA2068" s="463" t="s">
        <v>2366</v>
      </c>
      <c r="AB2068" s="459" t="s">
        <v>1783</v>
      </c>
    </row>
    <row r="2069" spans="1:28" ht="24" customHeight="1">
      <c r="A2069" s="584"/>
      <c r="B2069" s="460" t="s">
        <v>675</v>
      </c>
      <c r="C2069" s="458" t="s">
        <v>5915</v>
      </c>
      <c r="D2069" s="510" t="s">
        <v>5916</v>
      </c>
      <c r="E2069" s="498">
        <f t="shared" si="162"/>
        <v>25</v>
      </c>
      <c r="F2069" s="498">
        <v>25</v>
      </c>
      <c r="G2069" s="498">
        <v>0</v>
      </c>
      <c r="H2069" s="498">
        <v>0</v>
      </c>
      <c r="I2069" s="498">
        <f t="shared" si="161"/>
        <v>15</v>
      </c>
      <c r="J2069" s="498">
        <v>15</v>
      </c>
      <c r="K2069" s="498">
        <v>0</v>
      </c>
      <c r="L2069" s="668">
        <v>0</v>
      </c>
      <c r="M2069" s="672">
        <v>82</v>
      </c>
      <c r="N2069" s="498">
        <f t="shared" si="163"/>
        <v>172.2</v>
      </c>
      <c r="O2069" s="669" t="s">
        <v>5896</v>
      </c>
      <c r="P2069" s="463" t="s">
        <v>7427</v>
      </c>
      <c r="Q2069" s="672">
        <v>0</v>
      </c>
      <c r="R2069" s="672">
        <v>0</v>
      </c>
      <c r="S2069" s="672">
        <v>0</v>
      </c>
      <c r="T2069" s="672">
        <v>0</v>
      </c>
      <c r="U2069" s="463" t="s">
        <v>5886</v>
      </c>
      <c r="V2069" s="463" t="s">
        <v>5917</v>
      </c>
      <c r="W2069" s="664">
        <v>245</v>
      </c>
      <c r="X2069" s="463" t="s">
        <v>3205</v>
      </c>
      <c r="Y2069" s="463" t="s">
        <v>1533</v>
      </c>
      <c r="Z2069" s="463"/>
      <c r="AA2069" s="463" t="s">
        <v>2366</v>
      </c>
      <c r="AB2069" s="459" t="s">
        <v>1783</v>
      </c>
    </row>
    <row r="2070" spans="1:28" ht="24" customHeight="1">
      <c r="A2070" s="584"/>
      <c r="B2070" s="460" t="s">
        <v>675</v>
      </c>
      <c r="C2070" s="458" t="s">
        <v>5918</v>
      </c>
      <c r="D2070" s="510" t="s">
        <v>5919</v>
      </c>
      <c r="E2070" s="498">
        <f>F2070+G2070+H2070</f>
        <v>60</v>
      </c>
      <c r="F2070" s="498">
        <v>60</v>
      </c>
      <c r="G2070" s="498">
        <v>0</v>
      </c>
      <c r="H2070" s="498">
        <v>0</v>
      </c>
      <c r="I2070" s="653">
        <f>SUM(J2070:L2070)</f>
        <v>0</v>
      </c>
      <c r="J2070" s="653">
        <v>0</v>
      </c>
      <c r="K2070" s="498">
        <v>0</v>
      </c>
      <c r="L2070" s="698">
        <v>0</v>
      </c>
      <c r="M2070" s="673">
        <v>0</v>
      </c>
      <c r="N2070" s="498">
        <v>0</v>
      </c>
      <c r="O2070" s="669" t="s">
        <v>5882</v>
      </c>
      <c r="P2070" s="463" t="s">
        <v>7427</v>
      </c>
      <c r="Q2070" s="672">
        <v>0</v>
      </c>
      <c r="R2070" s="672">
        <v>0</v>
      </c>
      <c r="S2070" s="672">
        <v>0</v>
      </c>
      <c r="T2070" s="672">
        <v>0</v>
      </c>
      <c r="U2070" s="463" t="s">
        <v>5886</v>
      </c>
      <c r="V2070" s="463" t="s">
        <v>5878</v>
      </c>
      <c r="W2070" s="664">
        <v>125</v>
      </c>
      <c r="X2070" s="463"/>
      <c r="Y2070" s="463"/>
      <c r="Z2070" s="463"/>
      <c r="AA2070" s="463"/>
      <c r="AB2070" s="459"/>
    </row>
    <row r="2071" spans="1:28" ht="24" customHeight="1">
      <c r="A2071" s="584"/>
      <c r="B2071" s="460" t="s">
        <v>675</v>
      </c>
      <c r="C2071" s="458" t="s">
        <v>5920</v>
      </c>
      <c r="D2071" s="510" t="s">
        <v>5921</v>
      </c>
      <c r="E2071" s="498">
        <f t="shared" si="162"/>
        <v>23</v>
      </c>
      <c r="F2071" s="498">
        <v>23</v>
      </c>
      <c r="G2071" s="498">
        <v>0</v>
      </c>
      <c r="H2071" s="498">
        <v>0</v>
      </c>
      <c r="I2071" s="498">
        <f t="shared" si="161"/>
        <v>15</v>
      </c>
      <c r="J2071" s="498">
        <v>15</v>
      </c>
      <c r="K2071" s="498">
        <v>0</v>
      </c>
      <c r="L2071" s="668">
        <v>0</v>
      </c>
      <c r="M2071" s="672">
        <v>96</v>
      </c>
      <c r="N2071" s="498">
        <f t="shared" si="163"/>
        <v>201.6</v>
      </c>
      <c r="O2071" s="669" t="s">
        <v>5338</v>
      </c>
      <c r="P2071" s="463" t="s">
        <v>7427</v>
      </c>
      <c r="Q2071" s="672">
        <v>0</v>
      </c>
      <c r="R2071" s="672">
        <v>0</v>
      </c>
      <c r="S2071" s="672">
        <v>0</v>
      </c>
      <c r="T2071" s="672">
        <v>0</v>
      </c>
      <c r="U2071" s="463" t="s">
        <v>5886</v>
      </c>
      <c r="V2071" s="463" t="s">
        <v>5878</v>
      </c>
      <c r="W2071" s="664">
        <v>157</v>
      </c>
      <c r="X2071" s="463" t="s">
        <v>3205</v>
      </c>
      <c r="Y2071" s="463" t="s">
        <v>1533</v>
      </c>
      <c r="Z2071" s="463"/>
      <c r="AA2071" s="463" t="s">
        <v>5922</v>
      </c>
      <c r="AB2071" s="459" t="s">
        <v>1783</v>
      </c>
    </row>
    <row r="2072" spans="1:28" ht="24" customHeight="1">
      <c r="A2072" s="584"/>
      <c r="B2072" s="460" t="s">
        <v>675</v>
      </c>
      <c r="C2072" s="458" t="s">
        <v>5923</v>
      </c>
      <c r="D2072" s="510" t="s">
        <v>5924</v>
      </c>
      <c r="E2072" s="498">
        <f t="shared" si="162"/>
        <v>120</v>
      </c>
      <c r="F2072" s="498">
        <v>120</v>
      </c>
      <c r="G2072" s="498">
        <v>0</v>
      </c>
      <c r="H2072" s="498">
        <v>0</v>
      </c>
      <c r="I2072" s="498">
        <f t="shared" si="161"/>
        <v>80</v>
      </c>
      <c r="J2072" s="498">
        <v>80</v>
      </c>
      <c r="K2072" s="498">
        <v>0</v>
      </c>
      <c r="L2072" s="668">
        <v>0</v>
      </c>
      <c r="M2072" s="672">
        <v>89</v>
      </c>
      <c r="N2072" s="498">
        <f t="shared" si="163"/>
        <v>996.8</v>
      </c>
      <c r="O2072" s="669" t="s">
        <v>5896</v>
      </c>
      <c r="P2072" s="463" t="s">
        <v>7427</v>
      </c>
      <c r="Q2072" s="672">
        <v>0</v>
      </c>
      <c r="R2072" s="672">
        <v>0</v>
      </c>
      <c r="S2072" s="672">
        <v>0</v>
      </c>
      <c r="T2072" s="672">
        <v>0</v>
      </c>
      <c r="U2072" s="463" t="s">
        <v>5886</v>
      </c>
      <c r="V2072" s="463" t="s">
        <v>4693</v>
      </c>
      <c r="W2072" s="664">
        <v>519</v>
      </c>
      <c r="X2072" s="463" t="s">
        <v>3205</v>
      </c>
      <c r="Y2072" s="463" t="s">
        <v>1533</v>
      </c>
      <c r="Z2072" s="463"/>
      <c r="AA2072" s="463" t="s">
        <v>5925</v>
      </c>
      <c r="AB2072" s="459" t="s">
        <v>1587</v>
      </c>
    </row>
    <row r="2073" spans="1:28" ht="24" customHeight="1" thickBot="1">
      <c r="A2073" s="609"/>
      <c r="B2073" s="580" t="s">
        <v>675</v>
      </c>
      <c r="C2073" s="773" t="s">
        <v>5926</v>
      </c>
      <c r="D2073" s="774" t="s">
        <v>5927</v>
      </c>
      <c r="E2073" s="693">
        <f t="shared" si="162"/>
        <v>80</v>
      </c>
      <c r="F2073" s="693">
        <v>80</v>
      </c>
      <c r="G2073" s="693">
        <v>0</v>
      </c>
      <c r="H2073" s="693">
        <v>0</v>
      </c>
      <c r="I2073" s="693">
        <f t="shared" si="161"/>
        <v>45</v>
      </c>
      <c r="J2073" s="693">
        <v>45</v>
      </c>
      <c r="K2073" s="693">
        <v>0</v>
      </c>
      <c r="L2073" s="775">
        <v>0</v>
      </c>
      <c r="M2073" s="692">
        <v>93</v>
      </c>
      <c r="N2073" s="693">
        <f t="shared" si="163"/>
        <v>585.9</v>
      </c>
      <c r="O2073" s="776" t="s">
        <v>5893</v>
      </c>
      <c r="P2073" s="452" t="s">
        <v>7427</v>
      </c>
      <c r="Q2073" s="692">
        <v>0</v>
      </c>
      <c r="R2073" s="692">
        <v>0</v>
      </c>
      <c r="S2073" s="692">
        <v>0</v>
      </c>
      <c r="T2073" s="692">
        <v>0</v>
      </c>
      <c r="U2073" s="452" t="s">
        <v>5886</v>
      </c>
      <c r="V2073" s="452" t="s">
        <v>5928</v>
      </c>
      <c r="W2073" s="665">
        <v>350</v>
      </c>
      <c r="X2073" s="452" t="s">
        <v>3205</v>
      </c>
      <c r="Y2073" s="452" t="s">
        <v>1533</v>
      </c>
      <c r="Z2073" s="452"/>
      <c r="AA2073" s="452" t="s">
        <v>5922</v>
      </c>
      <c r="AB2073" s="581" t="s">
        <v>1587</v>
      </c>
    </row>
    <row r="2074" spans="1:28">
      <c r="W2074" s="45"/>
    </row>
    <row r="2075" spans="1:28">
      <c r="W2075" s="45"/>
    </row>
    <row r="2076" spans="1:28">
      <c r="W2076" s="45"/>
    </row>
    <row r="2077" spans="1:28">
      <c r="W2077" s="45"/>
    </row>
    <row r="2078" spans="1:28">
      <c r="W2078" s="45"/>
    </row>
    <row r="2079" spans="1:28">
      <c r="W2079" s="45"/>
    </row>
    <row r="2080" spans="1:28">
      <c r="W2080" s="45"/>
    </row>
    <row r="2081" spans="23:23">
      <c r="W2081" s="45"/>
    </row>
  </sheetData>
  <mergeCells count="47">
    <mergeCell ref="A1:E1"/>
    <mergeCell ref="A2:E2"/>
    <mergeCell ref="A4:A5"/>
    <mergeCell ref="B4:B5"/>
    <mergeCell ref="C4:C5"/>
    <mergeCell ref="D4:D5"/>
    <mergeCell ref="E4:E5"/>
    <mergeCell ref="M259:M260"/>
    <mergeCell ref="Q259:Q260"/>
    <mergeCell ref="R259:R260"/>
    <mergeCell ref="S259:S260"/>
    <mergeCell ref="I4:I5"/>
    <mergeCell ref="J4:K4"/>
    <mergeCell ref="M4:M5"/>
    <mergeCell ref="N4:N5"/>
    <mergeCell ref="P4:P5"/>
    <mergeCell ref="O4:O5"/>
    <mergeCell ref="Q108:Q109"/>
    <mergeCell ref="R108:R109"/>
    <mergeCell ref="S108:S109"/>
    <mergeCell ref="AA259:AA260"/>
    <mergeCell ref="X4:X5"/>
    <mergeCell ref="U259:U260"/>
    <mergeCell ref="Z4:AB4"/>
    <mergeCell ref="W4:W5"/>
    <mergeCell ref="Y4:Y5"/>
    <mergeCell ref="AB259:AB260"/>
    <mergeCell ref="Y259:Y260"/>
    <mergeCell ref="T108:T109"/>
    <mergeCell ref="Q4:T4"/>
    <mergeCell ref="P445:R445"/>
    <mergeCell ref="T259:T260"/>
    <mergeCell ref="Z1837:Z1838"/>
    <mergeCell ref="S1837:S1838"/>
    <mergeCell ref="T1837:T1838"/>
    <mergeCell ref="U1837:U1838"/>
    <mergeCell ref="V1837:V1838"/>
    <mergeCell ref="U4:U5"/>
    <mergeCell ref="V4:V5"/>
    <mergeCell ref="Z259:Z260"/>
    <mergeCell ref="AA1837:AA1838"/>
    <mergeCell ref="AB1837:AB1838"/>
    <mergeCell ref="W683:W684"/>
    <mergeCell ref="W694:W695"/>
    <mergeCell ref="W1837:W1838"/>
    <mergeCell ref="X1837:X1838"/>
    <mergeCell ref="Y1837:Y1838"/>
  </mergeCells>
  <phoneticPr fontId="3" type="noConversion"/>
  <conditionalFormatting sqref="A6:AB2073">
    <cfRule type="expression" dxfId="332" priority="1" stopIfTrue="1">
      <formula>OR($A6="시부",$A6="군부")</formula>
    </cfRule>
    <cfRule type="expression" dxfId="331" priority="2" stopIfTrue="1">
      <formula>OR(RIGHT($A6,3)="특별시",RIGHT($A6,3)="광역시",RIGHT($A6,1)="도",$A6,3=2006)</formula>
    </cfRule>
  </conditionalFormatting>
  <pageMargins left="0.35" right="0.2" top="1" bottom="1" header="0.5" footer="0.5"/>
  <pageSetup paperSize="9" scale="73" orientation="landscape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AD2082"/>
  <sheetViews>
    <sheetView zoomScaleNormal="100" workbookViewId="0">
      <pane xSplit="1" ySplit="6" topLeftCell="B117" activePane="bottomRight" state="frozen"/>
      <selection activeCell="D125" sqref="D125"/>
      <selection pane="topRight" activeCell="D125" sqref="D125"/>
      <selection pane="bottomLeft" activeCell="D125" sqref="D125"/>
      <selection pane="bottomRight" activeCell="D125" sqref="D125"/>
    </sheetView>
  </sheetViews>
  <sheetFormatPr defaultColWidth="3" defaultRowHeight="12"/>
  <cols>
    <col min="1" max="1" width="8.6640625" style="2" customWidth="1"/>
    <col min="2" max="2" width="13" style="2" customWidth="1"/>
    <col min="3" max="3" width="8.88671875" style="2" customWidth="1"/>
    <col min="4" max="4" width="19.5546875" style="2" customWidth="1"/>
    <col min="5" max="5" width="16.5546875" style="2" bestFit="1" customWidth="1"/>
    <col min="6" max="6" width="8.6640625" style="2" hidden="1" customWidth="1"/>
    <col min="7" max="7" width="16.33203125" style="2" hidden="1" customWidth="1"/>
    <col min="8" max="8" width="16.21875" style="2" hidden="1" customWidth="1"/>
    <col min="9" max="9" width="15.5546875" style="2" hidden="1" customWidth="1"/>
    <col min="10" max="10" width="11.44140625" style="2" hidden="1" customWidth="1"/>
    <col min="11" max="11" width="16.109375" style="2" hidden="1" customWidth="1"/>
    <col min="12" max="12" width="14.6640625" style="2" hidden="1" customWidth="1"/>
    <col min="13" max="13" width="5.21875" style="954" hidden="1" customWidth="1"/>
    <col min="14" max="14" width="17.33203125" style="2" customWidth="1"/>
    <col min="15" max="15" width="27.6640625" style="2" customWidth="1"/>
    <col min="16" max="16" width="17.44140625" style="2" customWidth="1"/>
    <col min="17" max="17" width="11.21875" style="695" customWidth="1"/>
    <col min="18" max="18" width="11.77734375" style="695" customWidth="1"/>
    <col min="19" max="19" width="10.44140625" style="695" customWidth="1"/>
    <col min="20" max="20" width="11.33203125" style="695" customWidth="1"/>
    <col min="21" max="21" width="13.21875" style="2" customWidth="1"/>
    <col min="22" max="22" width="9.21875" style="2" customWidth="1"/>
    <col min="23" max="23" width="9.88671875" style="2" customWidth="1"/>
    <col min="24" max="24" width="6.77734375" style="2" customWidth="1"/>
    <col min="25" max="25" width="13.44140625" style="2" customWidth="1"/>
    <col min="26" max="28" width="7.5546875" style="2" customWidth="1"/>
    <col min="29" max="16384" width="3" style="2"/>
  </cols>
  <sheetData>
    <row r="2" spans="1:28" s="922" customFormat="1" ht="27.75" customHeight="1">
      <c r="A2" s="1688" t="s">
        <v>1504</v>
      </c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52"/>
      <c r="N2" s="921"/>
      <c r="O2" s="921"/>
      <c r="P2" s="920"/>
      <c r="Q2" s="921"/>
      <c r="R2" s="921"/>
      <c r="S2" s="921"/>
      <c r="T2" s="920"/>
      <c r="U2" s="920"/>
    </row>
    <row r="3" spans="1:28" s="925" customFormat="1" ht="27.75" customHeight="1">
      <c r="A3" s="1613" t="s">
        <v>7603</v>
      </c>
      <c r="B3" s="1613"/>
      <c r="C3" s="1613"/>
      <c r="D3" s="1613"/>
      <c r="E3" s="1613"/>
      <c r="F3" s="923"/>
      <c r="G3" s="924"/>
      <c r="H3" s="924"/>
      <c r="I3" s="924"/>
      <c r="J3" s="924"/>
      <c r="K3" s="924"/>
      <c r="L3" s="924"/>
      <c r="M3" s="953"/>
      <c r="N3" s="924"/>
      <c r="O3" s="924"/>
      <c r="P3" s="923"/>
      <c r="Q3" s="924"/>
      <c r="R3" s="924"/>
      <c r="S3" s="924"/>
      <c r="T3" s="923"/>
      <c r="U3" s="923"/>
    </row>
    <row r="4" spans="1:28" ht="21" customHeight="1" thickBot="1">
      <c r="V4" s="619"/>
      <c r="W4" s="619"/>
      <c r="X4" s="619"/>
      <c r="Y4" s="619"/>
    </row>
    <row r="5" spans="1:28" ht="12" customHeight="1">
      <c r="A5" s="1786" t="s">
        <v>582</v>
      </c>
      <c r="B5" s="1788" t="s">
        <v>583</v>
      </c>
      <c r="C5" s="1816" t="s">
        <v>1462</v>
      </c>
      <c r="D5" s="1795" t="s">
        <v>1463</v>
      </c>
      <c r="E5" s="1790" t="s">
        <v>584</v>
      </c>
      <c r="F5" s="450" t="s">
        <v>585</v>
      </c>
      <c r="G5" s="450"/>
      <c r="H5" s="451"/>
      <c r="I5" s="1790" t="s">
        <v>586</v>
      </c>
      <c r="J5" s="1799" t="s">
        <v>585</v>
      </c>
      <c r="K5" s="1799"/>
      <c r="L5" s="451"/>
      <c r="M5" s="1793" t="s">
        <v>587</v>
      </c>
      <c r="N5" s="1797" t="s">
        <v>588</v>
      </c>
      <c r="O5" s="1782" t="s">
        <v>589</v>
      </c>
      <c r="P5" s="1812" t="s">
        <v>590</v>
      </c>
      <c r="Q5" s="1778" t="s">
        <v>591</v>
      </c>
      <c r="R5" s="1778"/>
      <c r="S5" s="1778"/>
      <c r="T5" s="1778"/>
      <c r="U5" s="1777" t="s">
        <v>592</v>
      </c>
      <c r="V5" s="1777" t="s">
        <v>1465</v>
      </c>
      <c r="W5" s="1777" t="s">
        <v>1466</v>
      </c>
      <c r="X5" s="1777" t="s">
        <v>1467</v>
      </c>
      <c r="Y5" s="1777" t="s">
        <v>593</v>
      </c>
      <c r="Z5" s="1777" t="s">
        <v>1468</v>
      </c>
      <c r="AA5" s="1777"/>
      <c r="AB5" s="1809"/>
    </row>
    <row r="6" spans="1:28" ht="21.75" thickBot="1">
      <c r="A6" s="1787"/>
      <c r="B6" s="1789"/>
      <c r="C6" s="1817"/>
      <c r="D6" s="1796"/>
      <c r="E6" s="1791"/>
      <c r="F6" s="454" t="s">
        <v>594</v>
      </c>
      <c r="G6" s="454" t="s">
        <v>595</v>
      </c>
      <c r="H6" s="454" t="s">
        <v>596</v>
      </c>
      <c r="I6" s="1791"/>
      <c r="J6" s="454" t="s">
        <v>597</v>
      </c>
      <c r="K6" s="454" t="s">
        <v>598</v>
      </c>
      <c r="L6" s="454" t="s">
        <v>599</v>
      </c>
      <c r="M6" s="1794"/>
      <c r="N6" s="1798"/>
      <c r="O6" s="1792"/>
      <c r="P6" s="1813"/>
      <c r="Q6" s="835" t="s">
        <v>7542</v>
      </c>
      <c r="R6" s="835" t="s">
        <v>7543</v>
      </c>
      <c r="S6" s="835" t="s">
        <v>7544</v>
      </c>
      <c r="T6" s="835" t="s">
        <v>7545</v>
      </c>
      <c r="U6" s="1779"/>
      <c r="V6" s="1779"/>
      <c r="W6" s="1779"/>
      <c r="X6" s="1779"/>
      <c r="Y6" s="1779"/>
      <c r="Z6" s="455" t="s">
        <v>1469</v>
      </c>
      <c r="AA6" s="455" t="s">
        <v>1481</v>
      </c>
      <c r="AB6" s="581" t="s">
        <v>1454</v>
      </c>
    </row>
    <row r="7" spans="1:28" ht="24" customHeight="1">
      <c r="A7" s="610" t="s">
        <v>7602</v>
      </c>
      <c r="B7" s="449" t="s">
        <v>7394</v>
      </c>
      <c r="C7" s="449"/>
      <c r="D7" s="696"/>
      <c r="E7" s="671" t="s">
        <v>7572</v>
      </c>
      <c r="F7" s="671" t="s">
        <v>7375</v>
      </c>
      <c r="G7" s="671" t="s">
        <v>7573</v>
      </c>
      <c r="H7" s="671" t="s">
        <v>7567</v>
      </c>
      <c r="I7" s="671" t="s">
        <v>7601</v>
      </c>
      <c r="J7" s="671" t="s">
        <v>7379</v>
      </c>
      <c r="K7" s="671" t="s">
        <v>7600</v>
      </c>
      <c r="L7" s="631" t="s">
        <v>7590</v>
      </c>
      <c r="M7" s="955"/>
      <c r="N7" s="671" t="s">
        <v>7546</v>
      </c>
      <c r="O7" s="697"/>
      <c r="P7" s="618"/>
      <c r="Q7" s="670">
        <f>SUM(Q8,Q13,Q38,Q52,Q62,Q68,Q71,Q83,Q258,Q483,Q635,Q788,Q1110,Q1620,Q1810,Q2037)</f>
        <v>29076.218043236298</v>
      </c>
      <c r="R7" s="670">
        <f>SUM(R8,R13,R38,R52,R62,R68,R71,R83,R258,R483,R635,R788,R1110,R1620,R1810,R2037)</f>
        <v>5993.62</v>
      </c>
      <c r="S7" s="670">
        <f>SUM(S8,S13,S38,S52,S62,S68,S71,S83,S258,S483,S635,S788,S1110,S1620,S1810,S2037)</f>
        <v>11397.792356164384</v>
      </c>
      <c r="T7" s="670">
        <f>SUM(T8,T13,T38,T52,T62,T68,T71,T83,T258,T483,T635,T788,T1110,T1620,T1810,T2037)</f>
        <v>20933.829999999998</v>
      </c>
      <c r="U7" s="618"/>
      <c r="V7" s="618"/>
      <c r="W7" s="671">
        <f>SUM(W8,W13,W38,W52,W62,W68,W71,W83,W258,W483,W635,W788,W1110,W1620,W1810,W2037)</f>
        <v>20299099.380999997</v>
      </c>
      <c r="X7" s="618"/>
      <c r="Y7" s="618"/>
      <c r="Z7" s="618"/>
      <c r="AA7" s="618"/>
      <c r="AB7" s="456"/>
    </row>
    <row r="8" spans="1:28" ht="24" customHeight="1">
      <c r="A8" s="582" t="s">
        <v>1586</v>
      </c>
      <c r="B8" s="458" t="s">
        <v>1529</v>
      </c>
      <c r="C8" s="579"/>
      <c r="D8" s="579"/>
      <c r="E8" s="498" t="s">
        <v>6070</v>
      </c>
      <c r="F8" s="498">
        <v>0</v>
      </c>
      <c r="G8" s="498" t="s">
        <v>6070</v>
      </c>
      <c r="H8" s="498">
        <v>0</v>
      </c>
      <c r="I8" s="498" t="s">
        <v>6071</v>
      </c>
      <c r="J8" s="498">
        <v>0</v>
      </c>
      <c r="K8" s="498" t="s">
        <v>6071</v>
      </c>
      <c r="L8" s="668">
        <v>0</v>
      </c>
      <c r="M8" s="956"/>
      <c r="N8" s="498" t="s">
        <v>6072</v>
      </c>
      <c r="O8" s="669"/>
      <c r="P8" s="463"/>
      <c r="Q8" s="852">
        <f>SUM(Q9:Q12)</f>
        <v>6615.27</v>
      </c>
      <c r="R8" s="852">
        <f>SUM(R9:R12)</f>
        <v>0</v>
      </c>
      <c r="S8" s="852">
        <f>SUM(S9:S12)</f>
        <v>129.49</v>
      </c>
      <c r="T8" s="852">
        <f>SUM(T9:T12)</f>
        <v>5355.1</v>
      </c>
      <c r="U8" s="463" t="s">
        <v>7524</v>
      </c>
      <c r="V8" s="463"/>
      <c r="W8" s="498">
        <f>SUM(W9:W12)</f>
        <v>1179071</v>
      </c>
      <c r="X8" s="463"/>
      <c r="Y8" s="463"/>
      <c r="Z8" s="463"/>
      <c r="AA8" s="463"/>
      <c r="AB8" s="459"/>
    </row>
    <row r="9" spans="1:28" ht="24" customHeight="1">
      <c r="A9" s="582"/>
      <c r="B9" s="460" t="s">
        <v>2201</v>
      </c>
      <c r="C9" s="458" t="s">
        <v>1986</v>
      </c>
      <c r="D9" s="524" t="s">
        <v>1530</v>
      </c>
      <c r="E9" s="653">
        <f>SUM(F9:H9)</f>
        <v>1710000</v>
      </c>
      <c r="F9" s="653">
        <v>0</v>
      </c>
      <c r="G9" s="653">
        <v>1710000</v>
      </c>
      <c r="H9" s="653">
        <v>0</v>
      </c>
      <c r="I9" s="653">
        <f>SUM(J9:L9)</f>
        <v>1438917</v>
      </c>
      <c r="J9" s="653">
        <v>0</v>
      </c>
      <c r="K9" s="653">
        <v>1438917</v>
      </c>
      <c r="L9" s="698">
        <v>0</v>
      </c>
      <c r="M9" s="951">
        <v>0.8607809847198642</v>
      </c>
      <c r="N9" s="653">
        <v>145906.1838</v>
      </c>
      <c r="O9" s="699" t="s">
        <v>602</v>
      </c>
      <c r="P9" s="463" t="s">
        <v>1588</v>
      </c>
      <c r="Q9" s="854">
        <v>45</v>
      </c>
      <c r="R9" s="854">
        <v>0</v>
      </c>
      <c r="S9" s="854">
        <v>0</v>
      </c>
      <c r="T9" s="854">
        <v>3240</v>
      </c>
      <c r="U9" s="462" t="s">
        <v>1531</v>
      </c>
      <c r="V9" s="461" t="s">
        <v>603</v>
      </c>
      <c r="W9" s="653">
        <v>259462</v>
      </c>
      <c r="X9" s="462" t="s">
        <v>604</v>
      </c>
      <c r="Y9" s="462" t="s">
        <v>1533</v>
      </c>
      <c r="Z9" s="462" t="s">
        <v>563</v>
      </c>
      <c r="AA9" s="462" t="s">
        <v>1534</v>
      </c>
      <c r="AB9" s="467" t="s">
        <v>1534</v>
      </c>
    </row>
    <row r="10" spans="1:28" ht="24" customHeight="1">
      <c r="A10" s="584"/>
      <c r="B10" s="460" t="s">
        <v>2201</v>
      </c>
      <c r="C10" s="458" t="s">
        <v>1811</v>
      </c>
      <c r="D10" s="524" t="s">
        <v>606</v>
      </c>
      <c r="E10" s="653">
        <f>SUM(F10:H10)</f>
        <v>1100000</v>
      </c>
      <c r="F10" s="653">
        <v>0</v>
      </c>
      <c r="G10" s="653">
        <v>1100000</v>
      </c>
      <c r="H10" s="700">
        <v>0</v>
      </c>
      <c r="I10" s="653">
        <f>SUM(J10:L10)</f>
        <v>869582</v>
      </c>
      <c r="J10" s="653">
        <v>0</v>
      </c>
      <c r="K10" s="653">
        <v>869582</v>
      </c>
      <c r="L10" s="698">
        <v>0</v>
      </c>
      <c r="M10" s="957">
        <v>0.92577597840755732</v>
      </c>
      <c r="N10" s="653">
        <v>119306.65039999998</v>
      </c>
      <c r="O10" s="699" t="s">
        <v>602</v>
      </c>
      <c r="P10" s="463" t="s">
        <v>1588</v>
      </c>
      <c r="Q10" s="854">
        <v>79.5</v>
      </c>
      <c r="R10" s="854">
        <v>0</v>
      </c>
      <c r="S10" s="854">
        <v>0</v>
      </c>
      <c r="T10" s="854">
        <v>92.1</v>
      </c>
      <c r="U10" s="462" t="s">
        <v>607</v>
      </c>
      <c r="V10" s="461" t="s">
        <v>608</v>
      </c>
      <c r="W10" s="653">
        <v>296500</v>
      </c>
      <c r="X10" s="462" t="s">
        <v>2276</v>
      </c>
      <c r="Y10" s="462" t="s">
        <v>1533</v>
      </c>
      <c r="Z10" s="462" t="s">
        <v>1811</v>
      </c>
      <c r="AA10" s="462" t="s">
        <v>1534</v>
      </c>
      <c r="AB10" s="467" t="s">
        <v>1534</v>
      </c>
    </row>
    <row r="11" spans="1:28" ht="24" customHeight="1">
      <c r="A11" s="584"/>
      <c r="B11" s="460" t="s">
        <v>2201</v>
      </c>
      <c r="C11" s="458" t="s">
        <v>2381</v>
      </c>
      <c r="D11" s="524" t="s">
        <v>2194</v>
      </c>
      <c r="E11" s="653">
        <f>SUM(F11:H11)</f>
        <v>2000000</v>
      </c>
      <c r="F11" s="653">
        <v>0</v>
      </c>
      <c r="G11" s="653">
        <v>2000000</v>
      </c>
      <c r="H11" s="700">
        <v>0</v>
      </c>
      <c r="I11" s="653">
        <f>SUM(J11:L11)</f>
        <v>1700807</v>
      </c>
      <c r="J11" s="653">
        <v>0</v>
      </c>
      <c r="K11" s="653">
        <v>1700807</v>
      </c>
      <c r="L11" s="698">
        <v>0</v>
      </c>
      <c r="M11" s="957">
        <v>0.90252100840336136</v>
      </c>
      <c r="N11" s="653">
        <v>182666.67180000001</v>
      </c>
      <c r="O11" s="699" t="s">
        <v>602</v>
      </c>
      <c r="P11" s="463" t="s">
        <v>1588</v>
      </c>
      <c r="Q11" s="854">
        <v>2631.77</v>
      </c>
      <c r="R11" s="854">
        <v>0</v>
      </c>
      <c r="S11" s="854">
        <v>15.49</v>
      </c>
      <c r="T11" s="854">
        <v>0</v>
      </c>
      <c r="U11" s="462" t="s">
        <v>7428</v>
      </c>
      <c r="V11" s="461" t="s">
        <v>609</v>
      </c>
      <c r="W11" s="653">
        <v>439659</v>
      </c>
      <c r="X11" s="462" t="s">
        <v>2276</v>
      </c>
      <c r="Y11" s="462" t="s">
        <v>1533</v>
      </c>
      <c r="Z11" s="462">
        <v>0</v>
      </c>
      <c r="AA11" s="462" t="s">
        <v>1534</v>
      </c>
      <c r="AB11" s="467" t="s">
        <v>1534</v>
      </c>
    </row>
    <row r="12" spans="1:28" ht="24" customHeight="1">
      <c r="A12" s="583"/>
      <c r="B12" s="460" t="s">
        <v>2201</v>
      </c>
      <c r="C12" s="458" t="s">
        <v>2380</v>
      </c>
      <c r="D12" s="524" t="s">
        <v>610</v>
      </c>
      <c r="E12" s="653">
        <f>SUM(F12:H12)</f>
        <v>1000000</v>
      </c>
      <c r="F12" s="653">
        <v>0</v>
      </c>
      <c r="G12" s="653">
        <v>1000000</v>
      </c>
      <c r="H12" s="700">
        <v>0</v>
      </c>
      <c r="I12" s="653">
        <f>SUM(J12:L12)</f>
        <v>854163</v>
      </c>
      <c r="J12" s="653">
        <v>0</v>
      </c>
      <c r="K12" s="653">
        <v>854163</v>
      </c>
      <c r="L12" s="698">
        <v>0</v>
      </c>
      <c r="M12" s="957">
        <v>0.91458501208702658</v>
      </c>
      <c r="N12" s="653">
        <v>96947.500499999995</v>
      </c>
      <c r="O12" s="699" t="s">
        <v>602</v>
      </c>
      <c r="P12" s="463" t="s">
        <v>1588</v>
      </c>
      <c r="Q12" s="854">
        <v>3859</v>
      </c>
      <c r="R12" s="854">
        <v>0</v>
      </c>
      <c r="S12" s="854">
        <v>114</v>
      </c>
      <c r="T12" s="854">
        <v>2023</v>
      </c>
      <c r="U12" s="462" t="s">
        <v>611</v>
      </c>
      <c r="V12" s="461" t="s">
        <v>612</v>
      </c>
      <c r="W12" s="653">
        <v>183450</v>
      </c>
      <c r="X12" s="462" t="s">
        <v>604</v>
      </c>
      <c r="Y12" s="462" t="s">
        <v>1533</v>
      </c>
      <c r="Z12" s="462">
        <v>0</v>
      </c>
      <c r="AA12" s="462" t="s">
        <v>1534</v>
      </c>
      <c r="AB12" s="467" t="s">
        <v>1534</v>
      </c>
    </row>
    <row r="13" spans="1:28" ht="24" customHeight="1">
      <c r="A13" s="584" t="s">
        <v>1785</v>
      </c>
      <c r="B13" s="458" t="s">
        <v>5929</v>
      </c>
      <c r="C13" s="579"/>
      <c r="D13" s="579"/>
      <c r="E13" s="498" t="s">
        <v>7364</v>
      </c>
      <c r="F13" s="498" t="s">
        <v>6075</v>
      </c>
      <c r="G13" s="498" t="s">
        <v>6076</v>
      </c>
      <c r="H13" s="498" t="s">
        <v>7566</v>
      </c>
      <c r="I13" s="498" t="s">
        <v>7547</v>
      </c>
      <c r="J13" s="498" t="s">
        <v>6078</v>
      </c>
      <c r="K13" s="498" t="s">
        <v>6079</v>
      </c>
      <c r="L13" s="668" t="s">
        <v>6080</v>
      </c>
      <c r="M13" s="956"/>
      <c r="N13" s="498" t="s">
        <v>6081</v>
      </c>
      <c r="O13" s="669" t="s">
        <v>1588</v>
      </c>
      <c r="P13" s="463" t="s">
        <v>1588</v>
      </c>
      <c r="Q13" s="852">
        <f>SUM(Q14:Q37)</f>
        <v>3276</v>
      </c>
      <c r="R13" s="852">
        <f>SUM(R14:R37)</f>
        <v>0</v>
      </c>
      <c r="S13" s="852">
        <f>SUM(S14:S37)</f>
        <v>1726.9</v>
      </c>
      <c r="T13" s="852">
        <f>SUM(T14:T37)</f>
        <v>0</v>
      </c>
      <c r="U13" s="463" t="s">
        <v>7525</v>
      </c>
      <c r="V13" s="463"/>
      <c r="W13" s="498">
        <f>SUM(W14:W37)</f>
        <v>1951969</v>
      </c>
      <c r="X13" s="463"/>
      <c r="Y13" s="463"/>
      <c r="Z13" s="463"/>
      <c r="AA13" s="463"/>
      <c r="AB13" s="459"/>
    </row>
    <row r="14" spans="1:28" ht="24" customHeight="1">
      <c r="A14" s="582"/>
      <c r="B14" s="612" t="s">
        <v>2201</v>
      </c>
      <c r="C14" s="458" t="s">
        <v>613</v>
      </c>
      <c r="D14" s="510" t="s">
        <v>614</v>
      </c>
      <c r="E14" s="498">
        <f t="shared" ref="E14:E26" si="0">SUM(F14:H14)</f>
        <v>95000</v>
      </c>
      <c r="F14" s="498">
        <v>0</v>
      </c>
      <c r="G14" s="498">
        <v>0</v>
      </c>
      <c r="H14" s="498">
        <v>95000</v>
      </c>
      <c r="I14" s="498">
        <v>34120</v>
      </c>
      <c r="J14" s="498">
        <v>0</v>
      </c>
      <c r="K14" s="498">
        <v>0</v>
      </c>
      <c r="L14" s="668">
        <v>34120</v>
      </c>
      <c r="M14" s="956">
        <v>0.94566623544631301</v>
      </c>
      <c r="N14" s="653">
        <v>2494.172</v>
      </c>
      <c r="O14" s="669" t="s">
        <v>615</v>
      </c>
      <c r="P14" s="463" t="s">
        <v>616</v>
      </c>
      <c r="Q14" s="852">
        <v>0</v>
      </c>
      <c r="R14" s="852">
        <v>0</v>
      </c>
      <c r="S14" s="852">
        <v>0</v>
      </c>
      <c r="T14" s="852">
        <v>0</v>
      </c>
      <c r="U14" s="463" t="s">
        <v>617</v>
      </c>
      <c r="V14" s="463" t="s">
        <v>618</v>
      </c>
      <c r="W14" s="498">
        <v>95113</v>
      </c>
      <c r="X14" s="463" t="s">
        <v>2244</v>
      </c>
      <c r="Y14" s="463" t="s">
        <v>4034</v>
      </c>
      <c r="Z14" s="463" t="s">
        <v>620</v>
      </c>
      <c r="AA14" s="463" t="s">
        <v>620</v>
      </c>
      <c r="AB14" s="459" t="s">
        <v>620</v>
      </c>
    </row>
    <row r="15" spans="1:28" ht="24" customHeight="1">
      <c r="A15" s="584"/>
      <c r="B15" s="612" t="s">
        <v>2201</v>
      </c>
      <c r="C15" s="701" t="s">
        <v>621</v>
      </c>
      <c r="D15" s="510" t="s">
        <v>622</v>
      </c>
      <c r="E15" s="498">
        <f t="shared" si="0"/>
        <v>286000</v>
      </c>
      <c r="F15" s="498">
        <v>0</v>
      </c>
      <c r="G15" s="498">
        <v>286000</v>
      </c>
      <c r="H15" s="498">
        <v>0</v>
      </c>
      <c r="I15" s="498">
        <f t="shared" ref="I15:I20" si="1">SUM(J15:L15)</f>
        <v>251896</v>
      </c>
      <c r="J15" s="498">
        <v>0</v>
      </c>
      <c r="K15" s="498">
        <v>251896</v>
      </c>
      <c r="L15" s="668">
        <v>0</v>
      </c>
      <c r="M15" s="956">
        <v>0.92592592592592593</v>
      </c>
      <c r="N15" s="653">
        <v>28968.04</v>
      </c>
      <c r="O15" s="669" t="s">
        <v>623</v>
      </c>
      <c r="P15" s="463" t="s">
        <v>1588</v>
      </c>
      <c r="Q15" s="852">
        <v>0</v>
      </c>
      <c r="R15" s="852">
        <v>0</v>
      </c>
      <c r="S15" s="852">
        <v>411.9</v>
      </c>
      <c r="T15" s="852">
        <v>0</v>
      </c>
      <c r="U15" s="463" t="s">
        <v>624</v>
      </c>
      <c r="V15" s="463" t="s">
        <v>625</v>
      </c>
      <c r="W15" s="498">
        <v>50100</v>
      </c>
      <c r="X15" s="463" t="s">
        <v>626</v>
      </c>
      <c r="Y15" s="463" t="s">
        <v>1533</v>
      </c>
      <c r="Z15" s="463" t="s">
        <v>628</v>
      </c>
      <c r="AA15" s="463" t="s">
        <v>620</v>
      </c>
      <c r="AB15" s="459" t="s">
        <v>620</v>
      </c>
    </row>
    <row r="16" spans="1:28" ht="24" customHeight="1">
      <c r="A16" s="584"/>
      <c r="B16" s="613" t="s">
        <v>2201</v>
      </c>
      <c r="C16" s="701" t="s">
        <v>629</v>
      </c>
      <c r="D16" s="510" t="s">
        <v>622</v>
      </c>
      <c r="E16" s="498">
        <f t="shared" si="0"/>
        <v>264000</v>
      </c>
      <c r="F16" s="498">
        <v>0</v>
      </c>
      <c r="G16" s="498">
        <v>264000</v>
      </c>
      <c r="H16" s="498">
        <v>0</v>
      </c>
      <c r="I16" s="498">
        <f t="shared" si="1"/>
        <v>216850</v>
      </c>
      <c r="J16" s="498">
        <v>0</v>
      </c>
      <c r="K16" s="498">
        <v>216850</v>
      </c>
      <c r="L16" s="668">
        <v>0</v>
      </c>
      <c r="M16" s="956">
        <v>0.92816326530612248</v>
      </c>
      <c r="N16" s="653">
        <v>24655.845000000001</v>
      </c>
      <c r="O16" s="669" t="s">
        <v>623</v>
      </c>
      <c r="P16" s="463" t="s">
        <v>1588</v>
      </c>
      <c r="Q16" s="852">
        <v>0</v>
      </c>
      <c r="R16" s="852">
        <v>0</v>
      </c>
      <c r="S16" s="852">
        <v>0</v>
      </c>
      <c r="T16" s="852">
        <v>0</v>
      </c>
      <c r="U16" s="463" t="s">
        <v>624</v>
      </c>
      <c r="V16" s="463" t="s">
        <v>630</v>
      </c>
      <c r="W16" s="498">
        <v>124600</v>
      </c>
      <c r="X16" s="463" t="s">
        <v>626</v>
      </c>
      <c r="Y16" s="463" t="s">
        <v>631</v>
      </c>
      <c r="Z16" s="463" t="s">
        <v>628</v>
      </c>
      <c r="AA16" s="463" t="s">
        <v>620</v>
      </c>
      <c r="AB16" s="459" t="s">
        <v>620</v>
      </c>
    </row>
    <row r="17" spans="1:28" ht="24" customHeight="1">
      <c r="A17" s="584"/>
      <c r="B17" s="612" t="s">
        <v>2201</v>
      </c>
      <c r="C17" s="701" t="s">
        <v>632</v>
      </c>
      <c r="D17" s="510" t="s">
        <v>633</v>
      </c>
      <c r="E17" s="498">
        <f t="shared" si="0"/>
        <v>330000</v>
      </c>
      <c r="F17" s="498">
        <v>0</v>
      </c>
      <c r="G17" s="498">
        <v>330000</v>
      </c>
      <c r="H17" s="498">
        <v>0</v>
      </c>
      <c r="I17" s="498">
        <f t="shared" si="1"/>
        <v>251006</v>
      </c>
      <c r="J17" s="498">
        <v>0</v>
      </c>
      <c r="K17" s="498">
        <v>251006</v>
      </c>
      <c r="L17" s="668">
        <v>0</v>
      </c>
      <c r="M17" s="956">
        <v>0.93710691823899372</v>
      </c>
      <c r="N17" s="653">
        <v>33659.904600000002</v>
      </c>
      <c r="O17" s="669" t="s">
        <v>623</v>
      </c>
      <c r="P17" s="463" t="s">
        <v>1588</v>
      </c>
      <c r="Q17" s="852">
        <v>2168</v>
      </c>
      <c r="R17" s="852">
        <v>0</v>
      </c>
      <c r="S17" s="852">
        <v>870</v>
      </c>
      <c r="T17" s="852">
        <v>0</v>
      </c>
      <c r="U17" s="463" t="s">
        <v>634</v>
      </c>
      <c r="V17" s="463" t="s">
        <v>635</v>
      </c>
      <c r="W17" s="498">
        <v>796000</v>
      </c>
      <c r="X17" s="463" t="s">
        <v>626</v>
      </c>
      <c r="Y17" s="463" t="s">
        <v>636</v>
      </c>
      <c r="Z17" s="463" t="s">
        <v>620</v>
      </c>
      <c r="AA17" s="463" t="s">
        <v>620</v>
      </c>
      <c r="AB17" s="459" t="s">
        <v>620</v>
      </c>
    </row>
    <row r="18" spans="1:28" ht="24" customHeight="1">
      <c r="A18" s="584"/>
      <c r="B18" s="614" t="s">
        <v>2201</v>
      </c>
      <c r="C18" s="701" t="s">
        <v>637</v>
      </c>
      <c r="D18" s="510" t="s">
        <v>633</v>
      </c>
      <c r="E18" s="498">
        <f t="shared" si="0"/>
        <v>285000</v>
      </c>
      <c r="F18" s="498">
        <v>0</v>
      </c>
      <c r="G18" s="498">
        <v>0</v>
      </c>
      <c r="H18" s="498">
        <v>285000</v>
      </c>
      <c r="I18" s="498">
        <f t="shared" si="1"/>
        <v>128341</v>
      </c>
      <c r="J18" s="498">
        <v>0</v>
      </c>
      <c r="K18" s="498">
        <v>0</v>
      </c>
      <c r="L18" s="668">
        <v>128341</v>
      </c>
      <c r="M18" s="956">
        <v>0.95537525354969577</v>
      </c>
      <c r="N18" s="653">
        <v>18134.583300000006</v>
      </c>
      <c r="O18" s="669" t="s">
        <v>638</v>
      </c>
      <c r="P18" s="463" t="s">
        <v>1588</v>
      </c>
      <c r="Q18" s="852">
        <v>1108</v>
      </c>
      <c r="R18" s="852">
        <v>0</v>
      </c>
      <c r="S18" s="852">
        <v>445</v>
      </c>
      <c r="T18" s="852">
        <v>0</v>
      </c>
      <c r="U18" s="463" t="s">
        <v>634</v>
      </c>
      <c r="V18" s="463" t="s">
        <v>639</v>
      </c>
      <c r="W18" s="498">
        <v>296100</v>
      </c>
      <c r="X18" s="463" t="s">
        <v>626</v>
      </c>
      <c r="Y18" s="463" t="s">
        <v>636</v>
      </c>
      <c r="Z18" s="463" t="s">
        <v>620</v>
      </c>
      <c r="AA18" s="463" t="s">
        <v>620</v>
      </c>
      <c r="AB18" s="459" t="s">
        <v>620</v>
      </c>
    </row>
    <row r="19" spans="1:28" ht="24" customHeight="1">
      <c r="A19" s="584"/>
      <c r="B19" s="614" t="s">
        <v>2201</v>
      </c>
      <c r="C19" s="458" t="s">
        <v>640</v>
      </c>
      <c r="D19" s="510" t="s">
        <v>641</v>
      </c>
      <c r="E19" s="498">
        <f t="shared" si="0"/>
        <v>340000</v>
      </c>
      <c r="F19" s="498">
        <v>0</v>
      </c>
      <c r="G19" s="498">
        <v>340000</v>
      </c>
      <c r="H19" s="498">
        <v>0</v>
      </c>
      <c r="I19" s="498">
        <f t="shared" si="1"/>
        <v>325250</v>
      </c>
      <c r="J19" s="498">
        <v>0</v>
      </c>
      <c r="K19" s="498">
        <v>325250</v>
      </c>
      <c r="L19" s="668">
        <v>0</v>
      </c>
      <c r="M19" s="956">
        <v>0.92612419700214133</v>
      </c>
      <c r="N19" s="653">
        <v>28134.125</v>
      </c>
      <c r="O19" s="669" t="s">
        <v>623</v>
      </c>
      <c r="P19" s="463" t="s">
        <v>1991</v>
      </c>
      <c r="Q19" s="852">
        <v>0</v>
      </c>
      <c r="R19" s="852">
        <v>0</v>
      </c>
      <c r="S19" s="852">
        <v>0</v>
      </c>
      <c r="T19" s="852">
        <v>0</v>
      </c>
      <c r="U19" s="463" t="s">
        <v>642</v>
      </c>
      <c r="V19" s="463" t="s">
        <v>643</v>
      </c>
      <c r="W19" s="498">
        <v>175600</v>
      </c>
      <c r="X19" s="463" t="s">
        <v>626</v>
      </c>
      <c r="Y19" s="463" t="s">
        <v>636</v>
      </c>
      <c r="Z19" s="463" t="s">
        <v>620</v>
      </c>
      <c r="AA19" s="463" t="s">
        <v>620</v>
      </c>
      <c r="AB19" s="459" t="s">
        <v>620</v>
      </c>
    </row>
    <row r="20" spans="1:28" ht="24" customHeight="1">
      <c r="A20" s="584"/>
      <c r="B20" s="460" t="s">
        <v>2201</v>
      </c>
      <c r="C20" s="458" t="s">
        <v>644</v>
      </c>
      <c r="D20" s="510" t="s">
        <v>645</v>
      </c>
      <c r="E20" s="498">
        <f t="shared" si="0"/>
        <v>160000</v>
      </c>
      <c r="F20" s="498">
        <v>0</v>
      </c>
      <c r="G20" s="498">
        <v>0</v>
      </c>
      <c r="H20" s="498">
        <v>160000</v>
      </c>
      <c r="I20" s="498">
        <f t="shared" si="1"/>
        <v>49351</v>
      </c>
      <c r="J20" s="498">
        <v>0</v>
      </c>
      <c r="K20" s="498">
        <v>0</v>
      </c>
      <c r="L20" s="668">
        <v>49351</v>
      </c>
      <c r="M20" s="956">
        <v>0.97529411764705887</v>
      </c>
      <c r="N20" s="653">
        <v>4091.1979000000006</v>
      </c>
      <c r="O20" s="669" t="s">
        <v>646</v>
      </c>
      <c r="P20" s="463" t="s">
        <v>1588</v>
      </c>
      <c r="Q20" s="852">
        <v>0</v>
      </c>
      <c r="R20" s="852">
        <v>0</v>
      </c>
      <c r="S20" s="852">
        <v>0</v>
      </c>
      <c r="T20" s="852">
        <v>0</v>
      </c>
      <c r="U20" s="463" t="s">
        <v>647</v>
      </c>
      <c r="V20" s="463" t="s">
        <v>648</v>
      </c>
      <c r="W20" s="498">
        <v>90261</v>
      </c>
      <c r="X20" s="463" t="s">
        <v>626</v>
      </c>
      <c r="Y20" s="463" t="s">
        <v>649</v>
      </c>
      <c r="Z20" s="463" t="s">
        <v>620</v>
      </c>
      <c r="AA20" s="463" t="s">
        <v>620</v>
      </c>
      <c r="AB20" s="459" t="s">
        <v>620</v>
      </c>
    </row>
    <row r="21" spans="1:28" ht="24" customHeight="1">
      <c r="A21" s="584"/>
      <c r="B21" s="460" t="s">
        <v>2201</v>
      </c>
      <c r="C21" s="458" t="s">
        <v>650</v>
      </c>
      <c r="D21" s="510" t="s">
        <v>651</v>
      </c>
      <c r="E21" s="498">
        <f t="shared" si="0"/>
        <v>24000</v>
      </c>
      <c r="F21" s="498">
        <v>0</v>
      </c>
      <c r="G21" s="498">
        <v>0</v>
      </c>
      <c r="H21" s="498">
        <v>24000</v>
      </c>
      <c r="I21" s="498">
        <f>SUM(J21:L21)</f>
        <v>3479</v>
      </c>
      <c r="J21" s="498">
        <v>0</v>
      </c>
      <c r="K21" s="498">
        <v>0</v>
      </c>
      <c r="L21" s="668">
        <v>3479</v>
      </c>
      <c r="M21" s="956">
        <v>0.97095435684647313</v>
      </c>
      <c r="N21" s="653">
        <v>244.22580000000002</v>
      </c>
      <c r="O21" s="669" t="s">
        <v>652</v>
      </c>
      <c r="P21" s="463" t="s">
        <v>1588</v>
      </c>
      <c r="Q21" s="852">
        <v>0</v>
      </c>
      <c r="R21" s="852">
        <v>0</v>
      </c>
      <c r="S21" s="852">
        <v>0</v>
      </c>
      <c r="T21" s="852">
        <v>0</v>
      </c>
      <c r="U21" s="463" t="s">
        <v>647</v>
      </c>
      <c r="V21" s="463" t="s">
        <v>653</v>
      </c>
      <c r="W21" s="498">
        <v>34377</v>
      </c>
      <c r="X21" s="463" t="s">
        <v>626</v>
      </c>
      <c r="Y21" s="463" t="s">
        <v>1533</v>
      </c>
      <c r="Z21" s="463" t="s">
        <v>620</v>
      </c>
      <c r="AA21" s="463" t="s">
        <v>620</v>
      </c>
      <c r="AB21" s="459" t="s">
        <v>620</v>
      </c>
    </row>
    <row r="22" spans="1:28" ht="24" customHeight="1">
      <c r="A22" s="584"/>
      <c r="B22" s="460" t="s">
        <v>2201</v>
      </c>
      <c r="C22" s="458" t="s">
        <v>655</v>
      </c>
      <c r="D22" s="510" t="s">
        <v>656</v>
      </c>
      <c r="E22" s="498">
        <f t="shared" si="0"/>
        <v>65000</v>
      </c>
      <c r="F22" s="498">
        <v>0</v>
      </c>
      <c r="G22" s="498">
        <v>65000</v>
      </c>
      <c r="H22" s="498">
        <v>0</v>
      </c>
      <c r="I22" s="498">
        <f>SUM(J22:L22)</f>
        <v>37130</v>
      </c>
      <c r="J22" s="498">
        <v>0</v>
      </c>
      <c r="K22" s="498">
        <v>37130</v>
      </c>
      <c r="L22" s="668">
        <v>0</v>
      </c>
      <c r="M22" s="956">
        <v>0.98465608465608467</v>
      </c>
      <c r="N22" s="653">
        <v>6909.893</v>
      </c>
      <c r="O22" s="669" t="s">
        <v>623</v>
      </c>
      <c r="P22" s="463" t="s">
        <v>1588</v>
      </c>
      <c r="Q22" s="852">
        <v>0</v>
      </c>
      <c r="R22" s="852">
        <v>0</v>
      </c>
      <c r="S22" s="852">
        <v>0</v>
      </c>
      <c r="T22" s="852">
        <v>0</v>
      </c>
      <c r="U22" s="463" t="s">
        <v>657</v>
      </c>
      <c r="V22" s="463" t="s">
        <v>658</v>
      </c>
      <c r="W22" s="498">
        <v>13945</v>
      </c>
      <c r="X22" s="463" t="s">
        <v>659</v>
      </c>
      <c r="Y22" s="463" t="s">
        <v>4034</v>
      </c>
      <c r="Z22" s="463" t="s">
        <v>660</v>
      </c>
      <c r="AA22" s="463" t="s">
        <v>620</v>
      </c>
      <c r="AB22" s="459" t="s">
        <v>620</v>
      </c>
    </row>
    <row r="23" spans="1:28" ht="24" customHeight="1">
      <c r="A23" s="584"/>
      <c r="B23" s="460" t="s">
        <v>2201</v>
      </c>
      <c r="C23" s="458" t="s">
        <v>661</v>
      </c>
      <c r="D23" s="510" t="s">
        <v>662</v>
      </c>
      <c r="E23" s="498">
        <f t="shared" si="0"/>
        <v>15000</v>
      </c>
      <c r="F23" s="498">
        <v>0</v>
      </c>
      <c r="G23" s="498">
        <v>0</v>
      </c>
      <c r="H23" s="498">
        <v>15000</v>
      </c>
      <c r="I23" s="498">
        <f>SUM(J23:L23)</f>
        <v>5599</v>
      </c>
      <c r="J23" s="498">
        <v>0</v>
      </c>
      <c r="K23" s="498">
        <v>0</v>
      </c>
      <c r="L23" s="668">
        <v>5599</v>
      </c>
      <c r="M23" s="956">
        <v>0.99150579150579154</v>
      </c>
      <c r="N23" s="653">
        <v>718.91160000000002</v>
      </c>
      <c r="O23" s="669" t="s">
        <v>663</v>
      </c>
      <c r="P23" s="463" t="s">
        <v>1588</v>
      </c>
      <c r="Q23" s="852">
        <v>0</v>
      </c>
      <c r="R23" s="852">
        <v>0</v>
      </c>
      <c r="S23" s="852">
        <v>0</v>
      </c>
      <c r="T23" s="852">
        <v>0</v>
      </c>
      <c r="U23" s="463" t="s">
        <v>664</v>
      </c>
      <c r="V23" s="463" t="s">
        <v>665</v>
      </c>
      <c r="W23" s="498">
        <v>259462</v>
      </c>
      <c r="X23" s="463" t="s">
        <v>2244</v>
      </c>
      <c r="Y23" s="463" t="s">
        <v>4034</v>
      </c>
      <c r="Z23" s="463" t="s">
        <v>666</v>
      </c>
      <c r="AA23" s="463" t="s">
        <v>667</v>
      </c>
      <c r="AB23" s="459" t="s">
        <v>1767</v>
      </c>
    </row>
    <row r="24" spans="1:28" ht="24" customHeight="1">
      <c r="A24" s="584"/>
      <c r="B24" s="460" t="s">
        <v>2201</v>
      </c>
      <c r="C24" s="458" t="s">
        <v>668</v>
      </c>
      <c r="D24" s="510" t="s">
        <v>669</v>
      </c>
      <c r="E24" s="498">
        <f t="shared" si="0"/>
        <v>120000</v>
      </c>
      <c r="F24" s="498">
        <v>0</v>
      </c>
      <c r="G24" s="498">
        <v>0</v>
      </c>
      <c r="H24" s="498">
        <v>120000</v>
      </c>
      <c r="I24" s="498">
        <f>SUM(J24:L24)</f>
        <v>38200</v>
      </c>
      <c r="J24" s="498">
        <v>0</v>
      </c>
      <c r="K24" s="498">
        <v>0</v>
      </c>
      <c r="L24" s="668">
        <v>38200</v>
      </c>
      <c r="M24" s="956">
        <v>0.97096774193548385</v>
      </c>
      <c r="N24" s="653">
        <v>3449.46</v>
      </c>
      <c r="O24" s="669" t="s">
        <v>670</v>
      </c>
      <c r="P24" s="463" t="s">
        <v>670</v>
      </c>
      <c r="Q24" s="852">
        <v>0</v>
      </c>
      <c r="R24" s="852">
        <v>0</v>
      </c>
      <c r="S24" s="852">
        <v>0</v>
      </c>
      <c r="T24" s="852">
        <v>0</v>
      </c>
      <c r="U24" s="463" t="s">
        <v>7429</v>
      </c>
      <c r="V24" s="463" t="s">
        <v>671</v>
      </c>
      <c r="W24" s="498">
        <v>2257</v>
      </c>
      <c r="X24" s="463" t="s">
        <v>672</v>
      </c>
      <c r="Y24" s="463" t="s">
        <v>673</v>
      </c>
      <c r="Z24" s="463" t="s">
        <v>620</v>
      </c>
      <c r="AA24" s="463" t="s">
        <v>620</v>
      </c>
      <c r="AB24" s="459" t="s">
        <v>620</v>
      </c>
    </row>
    <row r="25" spans="1:28" ht="24" customHeight="1">
      <c r="A25" s="584"/>
      <c r="B25" s="460" t="s">
        <v>675</v>
      </c>
      <c r="C25" s="458" t="s">
        <v>676</v>
      </c>
      <c r="D25" s="510" t="s">
        <v>677</v>
      </c>
      <c r="E25" s="498">
        <f t="shared" si="0"/>
        <v>480</v>
      </c>
      <c r="F25" s="498">
        <v>7.2</v>
      </c>
      <c r="G25" s="498">
        <v>434</v>
      </c>
      <c r="H25" s="498">
        <v>38.799999999999997</v>
      </c>
      <c r="I25" s="498">
        <f>SUM(J25:L25)</f>
        <v>340</v>
      </c>
      <c r="J25" s="498">
        <v>6</v>
      </c>
      <c r="K25" s="498">
        <v>318</v>
      </c>
      <c r="L25" s="668">
        <v>16</v>
      </c>
      <c r="M25" s="956">
        <v>0</v>
      </c>
      <c r="N25" s="653">
        <v>0</v>
      </c>
      <c r="O25" s="669" t="s">
        <v>678</v>
      </c>
      <c r="P25" s="463" t="s">
        <v>1588</v>
      </c>
      <c r="Q25" s="852">
        <v>0</v>
      </c>
      <c r="R25" s="852">
        <v>0</v>
      </c>
      <c r="S25" s="852">
        <v>0</v>
      </c>
      <c r="T25" s="852">
        <v>0</v>
      </c>
      <c r="U25" s="463" t="s">
        <v>679</v>
      </c>
      <c r="V25" s="463">
        <v>3.07</v>
      </c>
      <c r="W25" s="498">
        <v>2722</v>
      </c>
      <c r="X25" s="463" t="s">
        <v>626</v>
      </c>
      <c r="Y25" s="463" t="s">
        <v>636</v>
      </c>
      <c r="Z25" s="463" t="s">
        <v>680</v>
      </c>
      <c r="AA25" s="463" t="s">
        <v>680</v>
      </c>
      <c r="AB25" s="459" t="s">
        <v>1767</v>
      </c>
    </row>
    <row r="26" spans="1:28" ht="24" customHeight="1">
      <c r="A26" s="584"/>
      <c r="B26" s="460" t="s">
        <v>675</v>
      </c>
      <c r="C26" s="458" t="s">
        <v>681</v>
      </c>
      <c r="D26" s="510" t="s">
        <v>682</v>
      </c>
      <c r="E26" s="498">
        <f t="shared" si="0"/>
        <v>200</v>
      </c>
      <c r="F26" s="498">
        <v>6</v>
      </c>
      <c r="G26" s="498">
        <v>164</v>
      </c>
      <c r="H26" s="498">
        <v>30</v>
      </c>
      <c r="I26" s="498">
        <f t="shared" ref="I26:I37" si="2">SUM(J26:L26)</f>
        <v>220</v>
      </c>
      <c r="J26" s="498">
        <v>8</v>
      </c>
      <c r="K26" s="498">
        <v>194</v>
      </c>
      <c r="L26" s="668">
        <v>18</v>
      </c>
      <c r="M26" s="956">
        <v>0</v>
      </c>
      <c r="N26" s="653">
        <v>0</v>
      </c>
      <c r="O26" s="669" t="s">
        <v>1588</v>
      </c>
      <c r="P26" s="463" t="s">
        <v>1588</v>
      </c>
      <c r="Q26" s="852">
        <v>0</v>
      </c>
      <c r="R26" s="852">
        <v>0</v>
      </c>
      <c r="S26" s="852">
        <v>0</v>
      </c>
      <c r="T26" s="852">
        <v>0</v>
      </c>
      <c r="U26" s="463" t="s">
        <v>683</v>
      </c>
      <c r="V26" s="463">
        <v>4.08</v>
      </c>
      <c r="W26" s="498">
        <v>1702</v>
      </c>
      <c r="X26" s="463" t="s">
        <v>626</v>
      </c>
      <c r="Y26" s="463" t="s">
        <v>636</v>
      </c>
      <c r="Z26" s="463" t="s">
        <v>680</v>
      </c>
      <c r="AA26" s="463" t="s">
        <v>680</v>
      </c>
      <c r="AB26" s="459" t="s">
        <v>1767</v>
      </c>
    </row>
    <row r="27" spans="1:28" ht="24" customHeight="1">
      <c r="A27" s="584"/>
      <c r="B27" s="460" t="s">
        <v>675</v>
      </c>
      <c r="C27" s="458" t="s">
        <v>684</v>
      </c>
      <c r="D27" s="510" t="s">
        <v>685</v>
      </c>
      <c r="E27" s="498">
        <f>SUM(F27:H27)</f>
        <v>460</v>
      </c>
      <c r="F27" s="498">
        <v>0</v>
      </c>
      <c r="G27" s="498">
        <v>460</v>
      </c>
      <c r="H27" s="498">
        <v>0</v>
      </c>
      <c r="I27" s="498">
        <f t="shared" si="2"/>
        <v>230</v>
      </c>
      <c r="J27" s="498">
        <v>0</v>
      </c>
      <c r="K27" s="498">
        <v>230</v>
      </c>
      <c r="L27" s="668">
        <v>0</v>
      </c>
      <c r="M27" s="956">
        <v>0.52</v>
      </c>
      <c r="N27" s="653">
        <v>11.96</v>
      </c>
      <c r="O27" s="669" t="s">
        <v>686</v>
      </c>
      <c r="P27" s="463" t="s">
        <v>687</v>
      </c>
      <c r="Q27" s="852">
        <v>0</v>
      </c>
      <c r="R27" s="852">
        <v>0</v>
      </c>
      <c r="S27" s="852">
        <v>0</v>
      </c>
      <c r="T27" s="852">
        <v>0</v>
      </c>
      <c r="U27" s="463" t="s">
        <v>7403</v>
      </c>
      <c r="V27" s="463">
        <v>2003.11</v>
      </c>
      <c r="W27" s="498">
        <v>572</v>
      </c>
      <c r="X27" s="463" t="s">
        <v>626</v>
      </c>
      <c r="Y27" s="463" t="s">
        <v>636</v>
      </c>
      <c r="Z27" s="463" t="s">
        <v>688</v>
      </c>
      <c r="AA27" s="463" t="s">
        <v>674</v>
      </c>
      <c r="AB27" s="459" t="s">
        <v>674</v>
      </c>
    </row>
    <row r="28" spans="1:28" ht="24" customHeight="1">
      <c r="A28" s="584"/>
      <c r="B28" s="460" t="s">
        <v>675</v>
      </c>
      <c r="C28" s="458" t="s">
        <v>689</v>
      </c>
      <c r="D28" s="510" t="s">
        <v>690</v>
      </c>
      <c r="E28" s="498">
        <f t="shared" ref="E28:E37" si="3">SUM(F28:H28)</f>
        <v>100</v>
      </c>
      <c r="F28" s="498">
        <v>0</v>
      </c>
      <c r="G28" s="498">
        <v>100</v>
      </c>
      <c r="H28" s="498">
        <v>0</v>
      </c>
      <c r="I28" s="498">
        <f t="shared" si="2"/>
        <v>87</v>
      </c>
      <c r="J28" s="498">
        <v>0</v>
      </c>
      <c r="K28" s="498">
        <v>87</v>
      </c>
      <c r="L28" s="668">
        <v>0</v>
      </c>
      <c r="M28" s="956">
        <v>0.87</v>
      </c>
      <c r="N28" s="653">
        <v>7.569</v>
      </c>
      <c r="O28" s="669" t="s">
        <v>686</v>
      </c>
      <c r="P28" s="463" t="s">
        <v>691</v>
      </c>
      <c r="Q28" s="852">
        <v>0</v>
      </c>
      <c r="R28" s="852">
        <v>0</v>
      </c>
      <c r="S28" s="852">
        <v>0</v>
      </c>
      <c r="T28" s="852">
        <v>0</v>
      </c>
      <c r="U28" s="463" t="s">
        <v>7403</v>
      </c>
      <c r="V28" s="463">
        <v>2005.3</v>
      </c>
      <c r="W28" s="498">
        <v>648</v>
      </c>
      <c r="X28" s="463" t="s">
        <v>626</v>
      </c>
      <c r="Y28" s="463" t="s">
        <v>636</v>
      </c>
      <c r="Z28" s="463" t="s">
        <v>688</v>
      </c>
      <c r="AA28" s="463" t="s">
        <v>674</v>
      </c>
      <c r="AB28" s="459" t="s">
        <v>674</v>
      </c>
    </row>
    <row r="29" spans="1:28" ht="24" customHeight="1">
      <c r="A29" s="584"/>
      <c r="B29" s="460" t="s">
        <v>675</v>
      </c>
      <c r="C29" s="458" t="s">
        <v>692</v>
      </c>
      <c r="D29" s="510" t="s">
        <v>693</v>
      </c>
      <c r="E29" s="498">
        <f t="shared" si="3"/>
        <v>60</v>
      </c>
      <c r="F29" s="498">
        <v>0</v>
      </c>
      <c r="G29" s="498">
        <v>60</v>
      </c>
      <c r="H29" s="498">
        <v>0</v>
      </c>
      <c r="I29" s="498">
        <f t="shared" si="2"/>
        <v>40</v>
      </c>
      <c r="J29" s="498">
        <v>0</v>
      </c>
      <c r="K29" s="498">
        <v>40</v>
      </c>
      <c r="L29" s="668">
        <v>0</v>
      </c>
      <c r="M29" s="956">
        <v>0.67</v>
      </c>
      <c r="N29" s="653">
        <v>2.68</v>
      </c>
      <c r="O29" s="669" t="s">
        <v>686</v>
      </c>
      <c r="P29" s="463" t="s">
        <v>694</v>
      </c>
      <c r="Q29" s="852">
        <v>0</v>
      </c>
      <c r="R29" s="852">
        <v>0</v>
      </c>
      <c r="S29" s="852">
        <v>0</v>
      </c>
      <c r="T29" s="852">
        <v>0</v>
      </c>
      <c r="U29" s="463" t="s">
        <v>7403</v>
      </c>
      <c r="V29" s="463">
        <v>2005.3</v>
      </c>
      <c r="W29" s="498">
        <v>373</v>
      </c>
      <c r="X29" s="463" t="s">
        <v>626</v>
      </c>
      <c r="Y29" s="463" t="s">
        <v>636</v>
      </c>
      <c r="Z29" s="463" t="s">
        <v>695</v>
      </c>
      <c r="AA29" s="463" t="s">
        <v>674</v>
      </c>
      <c r="AB29" s="459" t="s">
        <v>674</v>
      </c>
    </row>
    <row r="30" spans="1:28" ht="24" customHeight="1">
      <c r="A30" s="584"/>
      <c r="B30" s="460" t="s">
        <v>675</v>
      </c>
      <c r="C30" s="458" t="s">
        <v>696</v>
      </c>
      <c r="D30" s="510" t="s">
        <v>7399</v>
      </c>
      <c r="E30" s="498">
        <f t="shared" si="3"/>
        <v>160</v>
      </c>
      <c r="F30" s="498">
        <v>0</v>
      </c>
      <c r="G30" s="498">
        <v>0</v>
      </c>
      <c r="H30" s="498">
        <v>160</v>
      </c>
      <c r="I30" s="498">
        <f t="shared" si="2"/>
        <v>100</v>
      </c>
      <c r="J30" s="498">
        <v>0</v>
      </c>
      <c r="K30" s="498">
        <v>0</v>
      </c>
      <c r="L30" s="668">
        <v>100</v>
      </c>
      <c r="M30" s="956">
        <v>0.62</v>
      </c>
      <c r="N30" s="653">
        <v>6.2</v>
      </c>
      <c r="O30" s="669" t="s">
        <v>697</v>
      </c>
      <c r="P30" s="463" t="s">
        <v>698</v>
      </c>
      <c r="Q30" s="852">
        <v>0</v>
      </c>
      <c r="R30" s="852">
        <v>0</v>
      </c>
      <c r="S30" s="852">
        <v>0</v>
      </c>
      <c r="T30" s="852">
        <v>0</v>
      </c>
      <c r="U30" s="463" t="s">
        <v>7403</v>
      </c>
      <c r="V30" s="463">
        <v>2006.6</v>
      </c>
      <c r="W30" s="498">
        <v>1301</v>
      </c>
      <c r="X30" s="463" t="s">
        <v>626</v>
      </c>
      <c r="Y30" s="463" t="s">
        <v>631</v>
      </c>
      <c r="Z30" s="463" t="s">
        <v>688</v>
      </c>
      <c r="AA30" s="463" t="s">
        <v>674</v>
      </c>
      <c r="AB30" s="459" t="s">
        <v>674</v>
      </c>
    </row>
    <row r="31" spans="1:28" ht="24" customHeight="1">
      <c r="A31" s="584"/>
      <c r="B31" s="460" t="s">
        <v>675</v>
      </c>
      <c r="C31" s="458" t="s">
        <v>699</v>
      </c>
      <c r="D31" s="510" t="s">
        <v>7400</v>
      </c>
      <c r="E31" s="498">
        <f t="shared" si="3"/>
        <v>70</v>
      </c>
      <c r="F31" s="498">
        <v>0</v>
      </c>
      <c r="G31" s="498">
        <v>0</v>
      </c>
      <c r="H31" s="498">
        <v>70</v>
      </c>
      <c r="I31" s="498">
        <f t="shared" si="2"/>
        <v>40</v>
      </c>
      <c r="J31" s="498">
        <v>0</v>
      </c>
      <c r="K31" s="498">
        <v>0</v>
      </c>
      <c r="L31" s="668">
        <v>40</v>
      </c>
      <c r="M31" s="956">
        <v>0.56999999999999995</v>
      </c>
      <c r="N31" s="653">
        <v>2.2799999999999998</v>
      </c>
      <c r="O31" s="669" t="s">
        <v>697</v>
      </c>
      <c r="P31" s="463" t="s">
        <v>698</v>
      </c>
      <c r="Q31" s="852">
        <v>0</v>
      </c>
      <c r="R31" s="852">
        <v>0</v>
      </c>
      <c r="S31" s="852">
        <v>0</v>
      </c>
      <c r="T31" s="852">
        <v>0</v>
      </c>
      <c r="U31" s="463" t="s">
        <v>7403</v>
      </c>
      <c r="V31" s="463">
        <v>2006.6</v>
      </c>
      <c r="W31" s="498">
        <v>1127</v>
      </c>
      <c r="X31" s="463" t="s">
        <v>626</v>
      </c>
      <c r="Y31" s="463" t="s">
        <v>631</v>
      </c>
      <c r="Z31" s="463" t="s">
        <v>695</v>
      </c>
      <c r="AA31" s="463" t="s">
        <v>674</v>
      </c>
      <c r="AB31" s="459" t="s">
        <v>674</v>
      </c>
    </row>
    <row r="32" spans="1:28" ht="24" customHeight="1">
      <c r="A32" s="584"/>
      <c r="B32" s="460" t="s">
        <v>675</v>
      </c>
      <c r="C32" s="458" t="s">
        <v>700</v>
      </c>
      <c r="D32" s="510" t="s">
        <v>7401</v>
      </c>
      <c r="E32" s="498">
        <f t="shared" si="3"/>
        <v>50</v>
      </c>
      <c r="F32" s="498">
        <v>0</v>
      </c>
      <c r="G32" s="498">
        <v>0</v>
      </c>
      <c r="H32" s="498">
        <v>50</v>
      </c>
      <c r="I32" s="498">
        <f t="shared" si="2"/>
        <v>30</v>
      </c>
      <c r="J32" s="498">
        <v>0</v>
      </c>
      <c r="K32" s="498">
        <v>0</v>
      </c>
      <c r="L32" s="668">
        <v>30</v>
      </c>
      <c r="M32" s="956">
        <v>0.6</v>
      </c>
      <c r="N32" s="653">
        <v>1.8</v>
      </c>
      <c r="O32" s="669" t="s">
        <v>697</v>
      </c>
      <c r="P32" s="463" t="s">
        <v>2241</v>
      </c>
      <c r="Q32" s="852">
        <v>0</v>
      </c>
      <c r="R32" s="852">
        <v>0</v>
      </c>
      <c r="S32" s="852">
        <v>0</v>
      </c>
      <c r="T32" s="852">
        <v>0</v>
      </c>
      <c r="U32" s="463" t="s">
        <v>7403</v>
      </c>
      <c r="V32" s="463">
        <v>2006.6</v>
      </c>
      <c r="W32" s="498">
        <v>746</v>
      </c>
      <c r="X32" s="463" t="s">
        <v>626</v>
      </c>
      <c r="Y32" s="463" t="s">
        <v>631</v>
      </c>
      <c r="Z32" s="463" t="s">
        <v>701</v>
      </c>
      <c r="AA32" s="463" t="s">
        <v>674</v>
      </c>
      <c r="AB32" s="459" t="s">
        <v>674</v>
      </c>
    </row>
    <row r="33" spans="1:28" ht="24" customHeight="1">
      <c r="A33" s="584"/>
      <c r="B33" s="460" t="s">
        <v>675</v>
      </c>
      <c r="C33" s="458" t="s">
        <v>702</v>
      </c>
      <c r="D33" s="510" t="s">
        <v>7402</v>
      </c>
      <c r="E33" s="498">
        <f t="shared" si="3"/>
        <v>50</v>
      </c>
      <c r="F33" s="498">
        <v>0</v>
      </c>
      <c r="G33" s="498">
        <v>0</v>
      </c>
      <c r="H33" s="498">
        <v>50</v>
      </c>
      <c r="I33" s="498">
        <f t="shared" si="2"/>
        <v>30</v>
      </c>
      <c r="J33" s="498">
        <v>0</v>
      </c>
      <c r="K33" s="498">
        <v>0</v>
      </c>
      <c r="L33" s="668">
        <v>30</v>
      </c>
      <c r="M33" s="956">
        <v>0.6</v>
      </c>
      <c r="N33" s="653">
        <v>1.8</v>
      </c>
      <c r="O33" s="669" t="s">
        <v>697</v>
      </c>
      <c r="P33" s="463" t="s">
        <v>703</v>
      </c>
      <c r="Q33" s="852">
        <v>0</v>
      </c>
      <c r="R33" s="852">
        <v>0</v>
      </c>
      <c r="S33" s="852">
        <v>0</v>
      </c>
      <c r="T33" s="852">
        <v>0</v>
      </c>
      <c r="U33" s="463" t="s">
        <v>7403</v>
      </c>
      <c r="V33" s="463">
        <v>2006.6</v>
      </c>
      <c r="W33" s="498">
        <v>1033</v>
      </c>
      <c r="X33" s="463" t="s">
        <v>626</v>
      </c>
      <c r="Y33" s="463" t="s">
        <v>631</v>
      </c>
      <c r="Z33" s="463" t="s">
        <v>704</v>
      </c>
      <c r="AA33" s="463" t="s">
        <v>674</v>
      </c>
      <c r="AB33" s="459" t="s">
        <v>674</v>
      </c>
    </row>
    <row r="34" spans="1:28" ht="24" customHeight="1">
      <c r="A34" s="584"/>
      <c r="B34" s="460" t="s">
        <v>675</v>
      </c>
      <c r="C34" s="458" t="s">
        <v>705</v>
      </c>
      <c r="D34" s="510" t="s">
        <v>706</v>
      </c>
      <c r="E34" s="498">
        <f t="shared" si="3"/>
        <v>130</v>
      </c>
      <c r="F34" s="498">
        <v>0</v>
      </c>
      <c r="G34" s="498">
        <v>130</v>
      </c>
      <c r="H34" s="498">
        <v>0</v>
      </c>
      <c r="I34" s="498">
        <f t="shared" si="2"/>
        <v>78</v>
      </c>
      <c r="J34" s="498">
        <v>0</v>
      </c>
      <c r="K34" s="498">
        <v>78</v>
      </c>
      <c r="L34" s="668">
        <v>0</v>
      </c>
      <c r="M34" s="956">
        <v>0</v>
      </c>
      <c r="N34" s="653">
        <v>0</v>
      </c>
      <c r="O34" s="669" t="s">
        <v>707</v>
      </c>
      <c r="P34" s="463" t="s">
        <v>1588</v>
      </c>
      <c r="Q34" s="852">
        <v>0</v>
      </c>
      <c r="R34" s="852">
        <v>0</v>
      </c>
      <c r="S34" s="852" t="s">
        <v>1768</v>
      </c>
      <c r="T34" s="852" t="s">
        <v>1768</v>
      </c>
      <c r="U34" s="463" t="s">
        <v>708</v>
      </c>
      <c r="V34" s="463">
        <v>2001.05</v>
      </c>
      <c r="W34" s="498">
        <v>1545</v>
      </c>
      <c r="X34" s="463" t="s">
        <v>626</v>
      </c>
      <c r="Y34" s="463" t="s">
        <v>636</v>
      </c>
      <c r="Z34" s="463" t="s">
        <v>709</v>
      </c>
      <c r="AA34" s="463" t="s">
        <v>674</v>
      </c>
      <c r="AB34" s="459" t="s">
        <v>674</v>
      </c>
    </row>
    <row r="35" spans="1:28" ht="24" customHeight="1">
      <c r="A35" s="584"/>
      <c r="B35" s="460" t="s">
        <v>675</v>
      </c>
      <c r="C35" s="458" t="s">
        <v>710</v>
      </c>
      <c r="D35" s="510" t="s">
        <v>711</v>
      </c>
      <c r="E35" s="498">
        <f t="shared" si="3"/>
        <v>60</v>
      </c>
      <c r="F35" s="498">
        <v>0</v>
      </c>
      <c r="G35" s="498">
        <v>60</v>
      </c>
      <c r="H35" s="498">
        <v>0</v>
      </c>
      <c r="I35" s="498">
        <f t="shared" si="2"/>
        <v>43</v>
      </c>
      <c r="J35" s="498">
        <v>0</v>
      </c>
      <c r="K35" s="498">
        <v>43</v>
      </c>
      <c r="L35" s="668">
        <v>0</v>
      </c>
      <c r="M35" s="956">
        <v>0</v>
      </c>
      <c r="N35" s="653">
        <v>0</v>
      </c>
      <c r="O35" s="669" t="s">
        <v>712</v>
      </c>
      <c r="P35" s="463" t="s">
        <v>1588</v>
      </c>
      <c r="Q35" s="852">
        <v>0</v>
      </c>
      <c r="R35" s="852">
        <v>0</v>
      </c>
      <c r="S35" s="852">
        <v>0</v>
      </c>
      <c r="T35" s="852">
        <v>0</v>
      </c>
      <c r="U35" s="463" t="s">
        <v>708</v>
      </c>
      <c r="V35" s="463">
        <v>2001.12</v>
      </c>
      <c r="W35" s="498">
        <v>377</v>
      </c>
      <c r="X35" s="463" t="s">
        <v>626</v>
      </c>
      <c r="Y35" s="463" t="s">
        <v>636</v>
      </c>
      <c r="Z35" s="463" t="s">
        <v>709</v>
      </c>
      <c r="AA35" s="463" t="s">
        <v>674</v>
      </c>
      <c r="AB35" s="459" t="s">
        <v>674</v>
      </c>
    </row>
    <row r="36" spans="1:28" ht="24" customHeight="1">
      <c r="A36" s="584"/>
      <c r="B36" s="460" t="s">
        <v>675</v>
      </c>
      <c r="C36" s="458" t="s">
        <v>713</v>
      </c>
      <c r="D36" s="510" t="s">
        <v>714</v>
      </c>
      <c r="E36" s="498">
        <f t="shared" si="3"/>
        <v>210</v>
      </c>
      <c r="F36" s="498">
        <v>0</v>
      </c>
      <c r="G36" s="498">
        <v>210</v>
      </c>
      <c r="H36" s="498">
        <v>0</v>
      </c>
      <c r="I36" s="498">
        <f t="shared" si="2"/>
        <v>162</v>
      </c>
      <c r="J36" s="498">
        <v>0</v>
      </c>
      <c r="K36" s="498">
        <v>162</v>
      </c>
      <c r="L36" s="668">
        <v>0</v>
      </c>
      <c r="M36" s="956">
        <v>0</v>
      </c>
      <c r="N36" s="653">
        <v>0</v>
      </c>
      <c r="O36" s="669" t="s">
        <v>715</v>
      </c>
      <c r="P36" s="463" t="s">
        <v>1588</v>
      </c>
      <c r="Q36" s="852">
        <v>0</v>
      </c>
      <c r="R36" s="852">
        <v>0</v>
      </c>
      <c r="S36" s="852">
        <v>0</v>
      </c>
      <c r="T36" s="852">
        <v>0</v>
      </c>
      <c r="U36" s="463" t="s">
        <v>708</v>
      </c>
      <c r="V36" s="463">
        <v>2002.07</v>
      </c>
      <c r="W36" s="498">
        <v>1455</v>
      </c>
      <c r="X36" s="463" t="s">
        <v>626</v>
      </c>
      <c r="Y36" s="463" t="s">
        <v>636</v>
      </c>
      <c r="Z36" s="463" t="s">
        <v>709</v>
      </c>
      <c r="AA36" s="463" t="s">
        <v>674</v>
      </c>
      <c r="AB36" s="459" t="s">
        <v>674</v>
      </c>
    </row>
    <row r="37" spans="1:28" ht="24" customHeight="1">
      <c r="A37" s="583"/>
      <c r="B37" s="460" t="s">
        <v>675</v>
      </c>
      <c r="C37" s="458" t="s">
        <v>716</v>
      </c>
      <c r="D37" s="510" t="s">
        <v>717</v>
      </c>
      <c r="E37" s="498">
        <f t="shared" si="3"/>
        <v>90</v>
      </c>
      <c r="F37" s="498">
        <v>0</v>
      </c>
      <c r="G37" s="498">
        <v>90</v>
      </c>
      <c r="H37" s="498">
        <v>0</v>
      </c>
      <c r="I37" s="498">
        <f t="shared" si="2"/>
        <v>51</v>
      </c>
      <c r="J37" s="498">
        <v>0</v>
      </c>
      <c r="K37" s="498">
        <v>51</v>
      </c>
      <c r="L37" s="668">
        <v>0</v>
      </c>
      <c r="M37" s="956">
        <v>0</v>
      </c>
      <c r="N37" s="653">
        <v>0</v>
      </c>
      <c r="O37" s="669" t="s">
        <v>718</v>
      </c>
      <c r="P37" s="463" t="s">
        <v>1588</v>
      </c>
      <c r="Q37" s="852">
        <v>0</v>
      </c>
      <c r="R37" s="852">
        <v>0</v>
      </c>
      <c r="S37" s="852">
        <v>0</v>
      </c>
      <c r="T37" s="852">
        <v>0</v>
      </c>
      <c r="U37" s="463" t="s">
        <v>708</v>
      </c>
      <c r="V37" s="463">
        <v>2004.07</v>
      </c>
      <c r="W37" s="498">
        <v>553</v>
      </c>
      <c r="X37" s="463" t="s">
        <v>626</v>
      </c>
      <c r="Y37" s="463" t="s">
        <v>636</v>
      </c>
      <c r="Z37" s="463" t="s">
        <v>628</v>
      </c>
      <c r="AA37" s="463" t="s">
        <v>674</v>
      </c>
      <c r="AB37" s="459" t="s">
        <v>674</v>
      </c>
    </row>
    <row r="38" spans="1:28" ht="24" customHeight="1">
      <c r="A38" s="584" t="s">
        <v>1971</v>
      </c>
      <c r="B38" s="458" t="s">
        <v>5930</v>
      </c>
      <c r="C38" s="579"/>
      <c r="D38" s="579"/>
      <c r="E38" s="498" t="s">
        <v>6084</v>
      </c>
      <c r="F38" s="498">
        <v>0</v>
      </c>
      <c r="G38" s="498">
        <v>0</v>
      </c>
      <c r="H38" s="498" t="s">
        <v>6084</v>
      </c>
      <c r="I38" s="498" t="s">
        <v>6085</v>
      </c>
      <c r="J38" s="498">
        <v>0</v>
      </c>
      <c r="K38" s="498">
        <v>0</v>
      </c>
      <c r="L38" s="668" t="s">
        <v>6085</v>
      </c>
      <c r="M38" s="956"/>
      <c r="N38" s="659" t="s">
        <v>6087</v>
      </c>
      <c r="O38" s="669" t="s">
        <v>1588</v>
      </c>
      <c r="P38" s="463" t="s">
        <v>1588</v>
      </c>
      <c r="Q38" s="852">
        <f>SUM(Q39:Q51)</f>
        <v>1930</v>
      </c>
      <c r="R38" s="852">
        <f>SUM(R39:R51)</f>
        <v>0</v>
      </c>
      <c r="S38" s="852">
        <f>SUM(S39:S51)</f>
        <v>571</v>
      </c>
      <c r="T38" s="852">
        <f>SUM(T39:T51)</f>
        <v>292</v>
      </c>
      <c r="U38" s="463" t="s">
        <v>7526</v>
      </c>
      <c r="V38" s="463"/>
      <c r="W38" s="498">
        <f>SUM(W39:W51)</f>
        <v>815430</v>
      </c>
      <c r="X38" s="463"/>
      <c r="Y38" s="463"/>
      <c r="Z38" s="463"/>
      <c r="AA38" s="463"/>
      <c r="AB38" s="459"/>
    </row>
    <row r="39" spans="1:28" ht="24" customHeight="1">
      <c r="A39" s="582"/>
      <c r="B39" s="460" t="s">
        <v>2201</v>
      </c>
      <c r="C39" s="458" t="s">
        <v>2195</v>
      </c>
      <c r="D39" s="510" t="s">
        <v>719</v>
      </c>
      <c r="E39" s="653">
        <f t="shared" ref="E39:E51" si="4">F39+G39+H39</f>
        <v>400000</v>
      </c>
      <c r="F39" s="653">
        <v>0</v>
      </c>
      <c r="G39" s="653">
        <v>0</v>
      </c>
      <c r="H39" s="653">
        <v>400000</v>
      </c>
      <c r="I39" s="653">
        <v>242192</v>
      </c>
      <c r="J39" s="653">
        <v>0</v>
      </c>
      <c r="K39" s="653">
        <v>0</v>
      </c>
      <c r="L39" s="698">
        <v>242192</v>
      </c>
      <c r="M39" s="957">
        <v>0.96728624535315977</v>
      </c>
      <c r="N39" s="653">
        <v>31509.179199999995</v>
      </c>
      <c r="O39" s="669" t="s">
        <v>6086</v>
      </c>
      <c r="P39" s="463" t="s">
        <v>1588</v>
      </c>
      <c r="Q39" s="854">
        <v>793</v>
      </c>
      <c r="R39" s="854">
        <v>0</v>
      </c>
      <c r="S39" s="854">
        <v>571</v>
      </c>
      <c r="T39" s="854">
        <v>0</v>
      </c>
      <c r="U39" s="463" t="s">
        <v>7430</v>
      </c>
      <c r="V39" s="463" t="s">
        <v>6052</v>
      </c>
      <c r="W39" s="653">
        <v>165334</v>
      </c>
      <c r="X39" s="463" t="s">
        <v>2276</v>
      </c>
      <c r="Y39" s="463" t="s">
        <v>720</v>
      </c>
      <c r="Z39" s="463" t="s">
        <v>2195</v>
      </c>
      <c r="AA39" s="463" t="s">
        <v>1786</v>
      </c>
      <c r="AB39" s="459" t="s">
        <v>1767</v>
      </c>
    </row>
    <row r="40" spans="1:28" ht="24" customHeight="1">
      <c r="A40" s="584"/>
      <c r="B40" s="460" t="s">
        <v>2201</v>
      </c>
      <c r="C40" s="458" t="s">
        <v>2250</v>
      </c>
      <c r="D40" s="510" t="s">
        <v>2375</v>
      </c>
      <c r="E40" s="653">
        <f t="shared" si="4"/>
        <v>520000</v>
      </c>
      <c r="F40" s="653">
        <v>0</v>
      </c>
      <c r="G40" s="653">
        <v>0</v>
      </c>
      <c r="H40" s="653">
        <v>520000</v>
      </c>
      <c r="I40" s="653">
        <v>374368</v>
      </c>
      <c r="J40" s="653">
        <v>0</v>
      </c>
      <c r="K40" s="653">
        <v>0</v>
      </c>
      <c r="L40" s="698">
        <v>374368</v>
      </c>
      <c r="M40" s="957">
        <v>0.98721399730820991</v>
      </c>
      <c r="N40" s="653">
        <v>109839.57119999999</v>
      </c>
      <c r="O40" s="669" t="s">
        <v>6086</v>
      </c>
      <c r="P40" s="463" t="s">
        <v>1588</v>
      </c>
      <c r="Q40" s="854">
        <v>1137</v>
      </c>
      <c r="R40" s="854">
        <v>0</v>
      </c>
      <c r="S40" s="854">
        <v>0</v>
      </c>
      <c r="T40" s="854">
        <v>0</v>
      </c>
      <c r="U40" s="463" t="s">
        <v>7431</v>
      </c>
      <c r="V40" s="463" t="s">
        <v>4165</v>
      </c>
      <c r="W40" s="653">
        <v>200577</v>
      </c>
      <c r="X40" s="463" t="s">
        <v>2276</v>
      </c>
      <c r="Y40" s="463"/>
      <c r="Z40" s="463" t="s">
        <v>2196</v>
      </c>
      <c r="AA40" s="463" t="s">
        <v>1786</v>
      </c>
      <c r="AB40" s="459" t="s">
        <v>1767</v>
      </c>
    </row>
    <row r="41" spans="1:28" ht="24" customHeight="1">
      <c r="A41" s="584"/>
      <c r="B41" s="460" t="s">
        <v>2201</v>
      </c>
      <c r="C41" s="458" t="s">
        <v>1787</v>
      </c>
      <c r="D41" s="510" t="s">
        <v>721</v>
      </c>
      <c r="E41" s="653">
        <f t="shared" si="4"/>
        <v>680000</v>
      </c>
      <c r="F41" s="653">
        <v>0</v>
      </c>
      <c r="G41" s="653">
        <v>0</v>
      </c>
      <c r="H41" s="653">
        <v>680000</v>
      </c>
      <c r="I41" s="653">
        <v>466963</v>
      </c>
      <c r="J41" s="653">
        <v>0</v>
      </c>
      <c r="K41" s="653">
        <v>0</v>
      </c>
      <c r="L41" s="698">
        <v>466963</v>
      </c>
      <c r="M41" s="957">
        <v>0.98760029175784103</v>
      </c>
      <c r="N41" s="653">
        <v>126453.58040000001</v>
      </c>
      <c r="O41" s="669" t="s">
        <v>6086</v>
      </c>
      <c r="P41" s="463" t="s">
        <v>1588</v>
      </c>
      <c r="Q41" s="854">
        <v>0</v>
      </c>
      <c r="R41" s="854">
        <v>0</v>
      </c>
      <c r="S41" s="854">
        <v>0</v>
      </c>
      <c r="T41" s="854">
        <v>292</v>
      </c>
      <c r="U41" s="463" t="s">
        <v>7432</v>
      </c>
      <c r="V41" s="463" t="s">
        <v>6053</v>
      </c>
      <c r="W41" s="653">
        <v>243631</v>
      </c>
      <c r="X41" s="463" t="s">
        <v>2276</v>
      </c>
      <c r="Y41" s="463"/>
      <c r="Z41" s="463" t="s">
        <v>1786</v>
      </c>
      <c r="AA41" s="463" t="s">
        <v>1786</v>
      </c>
      <c r="AB41" s="459" t="s">
        <v>1767</v>
      </c>
    </row>
    <row r="42" spans="1:28" ht="24" customHeight="1">
      <c r="A42" s="584"/>
      <c r="B42" s="460" t="s">
        <v>2201</v>
      </c>
      <c r="C42" s="458" t="s">
        <v>320</v>
      </c>
      <c r="D42" s="510" t="s">
        <v>722</v>
      </c>
      <c r="E42" s="653">
        <f t="shared" si="4"/>
        <v>170000</v>
      </c>
      <c r="F42" s="653">
        <v>0</v>
      </c>
      <c r="G42" s="653">
        <v>0</v>
      </c>
      <c r="H42" s="653">
        <v>170000</v>
      </c>
      <c r="I42" s="653">
        <v>104845</v>
      </c>
      <c r="J42" s="653">
        <v>0</v>
      </c>
      <c r="K42" s="653">
        <v>0</v>
      </c>
      <c r="L42" s="698">
        <v>104845</v>
      </c>
      <c r="M42" s="957">
        <v>0.98660362490149722</v>
      </c>
      <c r="N42" s="653">
        <v>26253.187999999998</v>
      </c>
      <c r="O42" s="669" t="s">
        <v>6086</v>
      </c>
      <c r="P42" s="463" t="s">
        <v>1588</v>
      </c>
      <c r="Q42" s="854">
        <v>0</v>
      </c>
      <c r="R42" s="854">
        <v>0</v>
      </c>
      <c r="S42" s="854">
        <v>0</v>
      </c>
      <c r="T42" s="854">
        <v>0</v>
      </c>
      <c r="U42" s="463" t="s">
        <v>7433</v>
      </c>
      <c r="V42" s="463" t="s">
        <v>6054</v>
      </c>
      <c r="W42" s="653">
        <v>81044</v>
      </c>
      <c r="X42" s="463" t="s">
        <v>2276</v>
      </c>
      <c r="Y42" s="463"/>
      <c r="Z42" s="463" t="s">
        <v>2195</v>
      </c>
      <c r="AA42" s="463" t="s">
        <v>1786</v>
      </c>
      <c r="AB42" s="459" t="s">
        <v>1767</v>
      </c>
    </row>
    <row r="43" spans="1:28" ht="24" customHeight="1">
      <c r="A43" s="584"/>
      <c r="B43" s="460" t="s">
        <v>2201</v>
      </c>
      <c r="C43" s="458" t="s">
        <v>2033</v>
      </c>
      <c r="D43" s="510" t="s">
        <v>723</v>
      </c>
      <c r="E43" s="653">
        <f t="shared" si="4"/>
        <v>45000</v>
      </c>
      <c r="F43" s="653">
        <v>0</v>
      </c>
      <c r="G43" s="653">
        <v>0</v>
      </c>
      <c r="H43" s="653">
        <v>45000</v>
      </c>
      <c r="I43" s="653">
        <v>25054</v>
      </c>
      <c r="J43" s="653">
        <v>0</v>
      </c>
      <c r="K43" s="653">
        <v>0</v>
      </c>
      <c r="L43" s="698">
        <v>25054</v>
      </c>
      <c r="M43" s="957">
        <v>0.99546632124352341</v>
      </c>
      <c r="N43" s="653">
        <v>3850.7998000000002</v>
      </c>
      <c r="O43" s="669" t="s">
        <v>6086</v>
      </c>
      <c r="P43" s="463" t="s">
        <v>1588</v>
      </c>
      <c r="Q43" s="854">
        <v>0</v>
      </c>
      <c r="R43" s="854">
        <v>0</v>
      </c>
      <c r="S43" s="854">
        <v>0</v>
      </c>
      <c r="T43" s="854">
        <v>0</v>
      </c>
      <c r="U43" s="463" t="s">
        <v>7434</v>
      </c>
      <c r="V43" s="463" t="s">
        <v>6055</v>
      </c>
      <c r="W43" s="653">
        <v>54950</v>
      </c>
      <c r="X43" s="463" t="s">
        <v>2276</v>
      </c>
      <c r="Y43" s="463"/>
      <c r="Z43" s="463" t="s">
        <v>1787</v>
      </c>
      <c r="AA43" s="463" t="s">
        <v>1786</v>
      </c>
      <c r="AB43" s="459" t="s">
        <v>1767</v>
      </c>
    </row>
    <row r="44" spans="1:28" ht="24" customHeight="1">
      <c r="A44" s="584"/>
      <c r="B44" s="460" t="s">
        <v>2201</v>
      </c>
      <c r="C44" s="458" t="s">
        <v>321</v>
      </c>
      <c r="D44" s="510" t="s">
        <v>724</v>
      </c>
      <c r="E44" s="653">
        <f t="shared" si="4"/>
        <v>47000</v>
      </c>
      <c r="F44" s="653">
        <v>0</v>
      </c>
      <c r="G44" s="653">
        <v>0</v>
      </c>
      <c r="H44" s="653">
        <v>47000</v>
      </c>
      <c r="I44" s="653">
        <v>29487</v>
      </c>
      <c r="J44" s="653">
        <v>0</v>
      </c>
      <c r="K44" s="653">
        <v>0</v>
      </c>
      <c r="L44" s="698">
        <v>29487</v>
      </c>
      <c r="M44" s="957">
        <v>0.99188458070333629</v>
      </c>
      <c r="N44" s="653">
        <v>3243.57</v>
      </c>
      <c r="O44" s="669" t="s">
        <v>6086</v>
      </c>
      <c r="P44" s="463" t="s">
        <v>1588</v>
      </c>
      <c r="Q44" s="854">
        <v>0</v>
      </c>
      <c r="R44" s="854">
        <v>0</v>
      </c>
      <c r="S44" s="854">
        <v>0</v>
      </c>
      <c r="T44" s="854">
        <v>0</v>
      </c>
      <c r="U44" s="463" t="s">
        <v>7435</v>
      </c>
      <c r="V44" s="463" t="s">
        <v>6055</v>
      </c>
      <c r="W44" s="653">
        <v>66345</v>
      </c>
      <c r="X44" s="463" t="s">
        <v>2276</v>
      </c>
      <c r="Y44" s="463"/>
      <c r="Z44" s="463" t="s">
        <v>1786</v>
      </c>
      <c r="AA44" s="463" t="s">
        <v>1786</v>
      </c>
      <c r="AB44" s="459" t="s">
        <v>1767</v>
      </c>
    </row>
    <row r="45" spans="1:28" ht="24" customHeight="1">
      <c r="A45" s="584"/>
      <c r="B45" s="460" t="s">
        <v>675</v>
      </c>
      <c r="C45" s="458" t="s">
        <v>725</v>
      </c>
      <c r="D45" s="510" t="s">
        <v>726</v>
      </c>
      <c r="E45" s="498">
        <f t="shared" si="4"/>
        <v>35</v>
      </c>
      <c r="F45" s="498">
        <v>0</v>
      </c>
      <c r="G45" s="498">
        <v>0</v>
      </c>
      <c r="H45" s="498">
        <v>35</v>
      </c>
      <c r="I45" s="498">
        <v>7.8</v>
      </c>
      <c r="J45" s="498">
        <v>0</v>
      </c>
      <c r="K45" s="498">
        <v>0</v>
      </c>
      <c r="L45" s="668">
        <v>7.8</v>
      </c>
      <c r="M45" s="956">
        <v>0.95200000000000007</v>
      </c>
      <c r="N45" s="653">
        <v>2.0049120000000004E-2</v>
      </c>
      <c r="O45" s="669" t="s">
        <v>727</v>
      </c>
      <c r="P45" s="463" t="s">
        <v>1588</v>
      </c>
      <c r="Q45" s="852">
        <v>0</v>
      </c>
      <c r="R45" s="852">
        <v>0</v>
      </c>
      <c r="S45" s="852">
        <v>0</v>
      </c>
      <c r="T45" s="852">
        <v>0</v>
      </c>
      <c r="U45" s="463" t="s">
        <v>7436</v>
      </c>
      <c r="V45" s="463" t="s">
        <v>728</v>
      </c>
      <c r="W45" s="498">
        <v>340</v>
      </c>
      <c r="X45" s="463" t="s">
        <v>626</v>
      </c>
      <c r="Y45" s="463" t="s">
        <v>3463</v>
      </c>
      <c r="Z45" s="463"/>
      <c r="AA45" s="463" t="s">
        <v>730</v>
      </c>
      <c r="AB45" s="459" t="s">
        <v>1767</v>
      </c>
    </row>
    <row r="46" spans="1:28" ht="24" customHeight="1">
      <c r="A46" s="584"/>
      <c r="B46" s="460" t="s">
        <v>675</v>
      </c>
      <c r="C46" s="458" t="s">
        <v>731</v>
      </c>
      <c r="D46" s="510" t="s">
        <v>732</v>
      </c>
      <c r="E46" s="498">
        <f t="shared" si="4"/>
        <v>55</v>
      </c>
      <c r="F46" s="498">
        <v>0</v>
      </c>
      <c r="G46" s="498">
        <v>0</v>
      </c>
      <c r="H46" s="498">
        <v>55</v>
      </c>
      <c r="I46" s="498">
        <v>11.3</v>
      </c>
      <c r="J46" s="498">
        <v>0</v>
      </c>
      <c r="K46" s="498">
        <v>0</v>
      </c>
      <c r="L46" s="668">
        <v>11.3</v>
      </c>
      <c r="M46" s="956">
        <v>0.94799999999999995</v>
      </c>
      <c r="N46" s="653">
        <v>2.1424800000000001E-2</v>
      </c>
      <c r="O46" s="669" t="s">
        <v>733</v>
      </c>
      <c r="P46" s="463" t="s">
        <v>1588</v>
      </c>
      <c r="Q46" s="852">
        <v>0</v>
      </c>
      <c r="R46" s="852">
        <v>0</v>
      </c>
      <c r="S46" s="852">
        <v>0</v>
      </c>
      <c r="T46" s="852">
        <v>0</v>
      </c>
      <c r="U46" s="463" t="s">
        <v>7436</v>
      </c>
      <c r="V46" s="463" t="s">
        <v>734</v>
      </c>
      <c r="W46" s="498">
        <v>497</v>
      </c>
      <c r="X46" s="463" t="s">
        <v>626</v>
      </c>
      <c r="Y46" s="463" t="s">
        <v>3463</v>
      </c>
      <c r="Z46" s="463" t="s">
        <v>735</v>
      </c>
      <c r="AA46" s="463" t="s">
        <v>1767</v>
      </c>
      <c r="AB46" s="459" t="s">
        <v>1767</v>
      </c>
    </row>
    <row r="47" spans="1:28" ht="24" customHeight="1">
      <c r="A47" s="584"/>
      <c r="B47" s="460" t="s">
        <v>675</v>
      </c>
      <c r="C47" s="458" t="s">
        <v>736</v>
      </c>
      <c r="D47" s="510" t="s">
        <v>737</v>
      </c>
      <c r="E47" s="498">
        <f t="shared" si="4"/>
        <v>55</v>
      </c>
      <c r="F47" s="498">
        <v>0</v>
      </c>
      <c r="G47" s="498">
        <v>0</v>
      </c>
      <c r="H47" s="498">
        <v>55</v>
      </c>
      <c r="I47" s="498">
        <v>13.7</v>
      </c>
      <c r="J47" s="498">
        <v>0</v>
      </c>
      <c r="K47" s="498">
        <v>0</v>
      </c>
      <c r="L47" s="668">
        <v>13.7</v>
      </c>
      <c r="M47" s="956">
        <v>0.95799999999999996</v>
      </c>
      <c r="N47" s="653">
        <v>1.9686899999999997E-2</v>
      </c>
      <c r="O47" s="669" t="s">
        <v>738</v>
      </c>
      <c r="P47" s="463" t="s">
        <v>1588</v>
      </c>
      <c r="Q47" s="852">
        <v>0</v>
      </c>
      <c r="R47" s="852">
        <v>0</v>
      </c>
      <c r="S47" s="852">
        <v>0</v>
      </c>
      <c r="T47" s="852">
        <v>0</v>
      </c>
      <c r="U47" s="463" t="s">
        <v>7436</v>
      </c>
      <c r="V47" s="463" t="s">
        <v>739</v>
      </c>
      <c r="W47" s="498">
        <v>497</v>
      </c>
      <c r="X47" s="463" t="s">
        <v>626</v>
      </c>
      <c r="Y47" s="463" t="s">
        <v>3463</v>
      </c>
      <c r="Z47" s="463" t="s">
        <v>740</v>
      </c>
      <c r="AA47" s="463" t="s">
        <v>1767</v>
      </c>
      <c r="AB47" s="459" t="s">
        <v>1767</v>
      </c>
    </row>
    <row r="48" spans="1:28" ht="24" customHeight="1">
      <c r="A48" s="584"/>
      <c r="B48" s="460" t="s">
        <v>675</v>
      </c>
      <c r="C48" s="458" t="s">
        <v>2221</v>
      </c>
      <c r="D48" s="510" t="s">
        <v>741</v>
      </c>
      <c r="E48" s="498">
        <f t="shared" si="4"/>
        <v>100</v>
      </c>
      <c r="F48" s="498">
        <v>0</v>
      </c>
      <c r="G48" s="498">
        <v>0</v>
      </c>
      <c r="H48" s="498">
        <v>100</v>
      </c>
      <c r="I48" s="498">
        <v>21.5</v>
      </c>
      <c r="J48" s="498">
        <v>0</v>
      </c>
      <c r="K48" s="498">
        <v>0</v>
      </c>
      <c r="L48" s="668">
        <v>21.5</v>
      </c>
      <c r="M48" s="956">
        <v>0.95499999999999996</v>
      </c>
      <c r="N48" s="653">
        <v>4.9278000000000002E-2</v>
      </c>
      <c r="O48" s="669" t="s">
        <v>742</v>
      </c>
      <c r="P48" s="463" t="s">
        <v>1588</v>
      </c>
      <c r="Q48" s="852">
        <v>0</v>
      </c>
      <c r="R48" s="852">
        <v>0</v>
      </c>
      <c r="S48" s="852">
        <v>0</v>
      </c>
      <c r="T48" s="852">
        <v>0</v>
      </c>
      <c r="U48" s="463" t="s">
        <v>7436</v>
      </c>
      <c r="V48" s="463" t="s">
        <v>743</v>
      </c>
      <c r="W48" s="498">
        <v>402</v>
      </c>
      <c r="X48" s="463" t="s">
        <v>626</v>
      </c>
      <c r="Y48" s="463" t="s">
        <v>3463</v>
      </c>
      <c r="Z48" s="463"/>
      <c r="AA48" s="463" t="s">
        <v>744</v>
      </c>
      <c r="AB48" s="459" t="s">
        <v>1767</v>
      </c>
    </row>
    <row r="49" spans="1:28" ht="24" customHeight="1">
      <c r="A49" s="584"/>
      <c r="B49" s="460" t="s">
        <v>675</v>
      </c>
      <c r="C49" s="458" t="s">
        <v>1613</v>
      </c>
      <c r="D49" s="510" t="s">
        <v>745</v>
      </c>
      <c r="E49" s="498">
        <f t="shared" si="4"/>
        <v>80</v>
      </c>
      <c r="F49" s="498">
        <v>0</v>
      </c>
      <c r="G49" s="498">
        <v>0</v>
      </c>
      <c r="H49" s="498">
        <v>80</v>
      </c>
      <c r="I49" s="498">
        <v>22.3</v>
      </c>
      <c r="J49" s="498">
        <v>0</v>
      </c>
      <c r="K49" s="498">
        <v>0</v>
      </c>
      <c r="L49" s="668">
        <v>22.3</v>
      </c>
      <c r="M49" s="956">
        <v>0.95499999999999996</v>
      </c>
      <c r="N49" s="653">
        <v>0.19592779999999999</v>
      </c>
      <c r="O49" s="669" t="s">
        <v>742</v>
      </c>
      <c r="P49" s="463" t="s">
        <v>1588</v>
      </c>
      <c r="Q49" s="852">
        <v>0</v>
      </c>
      <c r="R49" s="852">
        <v>0</v>
      </c>
      <c r="S49" s="852">
        <v>0</v>
      </c>
      <c r="T49" s="852">
        <v>0</v>
      </c>
      <c r="U49" s="463" t="s">
        <v>7436</v>
      </c>
      <c r="V49" s="463" t="s">
        <v>743</v>
      </c>
      <c r="W49" s="498">
        <v>312</v>
      </c>
      <c r="X49" s="463" t="s">
        <v>626</v>
      </c>
      <c r="Y49" s="463" t="s">
        <v>3463</v>
      </c>
      <c r="Z49" s="463"/>
      <c r="AA49" s="463" t="s">
        <v>744</v>
      </c>
      <c r="AB49" s="459" t="s">
        <v>1767</v>
      </c>
    </row>
    <row r="50" spans="1:28" ht="24" customHeight="1">
      <c r="A50" s="584"/>
      <c r="B50" s="460" t="s">
        <v>675</v>
      </c>
      <c r="C50" s="458" t="s">
        <v>746</v>
      </c>
      <c r="D50" s="510" t="s">
        <v>747</v>
      </c>
      <c r="E50" s="498">
        <f t="shared" si="4"/>
        <v>75</v>
      </c>
      <c r="F50" s="498">
        <v>0</v>
      </c>
      <c r="G50" s="498">
        <v>0</v>
      </c>
      <c r="H50" s="498">
        <v>75</v>
      </c>
      <c r="I50" s="498">
        <v>9.6999999999999993</v>
      </c>
      <c r="J50" s="498">
        <v>0</v>
      </c>
      <c r="K50" s="498">
        <v>0</v>
      </c>
      <c r="L50" s="668">
        <v>9.6999999999999993</v>
      </c>
      <c r="M50" s="956">
        <v>0.95900000000000007</v>
      </c>
      <c r="N50" s="653">
        <v>1.488368E-2</v>
      </c>
      <c r="O50" s="669" t="s">
        <v>742</v>
      </c>
      <c r="P50" s="463" t="s">
        <v>1588</v>
      </c>
      <c r="Q50" s="852">
        <v>0</v>
      </c>
      <c r="R50" s="852">
        <v>0</v>
      </c>
      <c r="S50" s="852">
        <v>0</v>
      </c>
      <c r="T50" s="852">
        <v>0</v>
      </c>
      <c r="U50" s="463" t="s">
        <v>7436</v>
      </c>
      <c r="V50" s="463" t="s">
        <v>743</v>
      </c>
      <c r="W50" s="498">
        <v>301</v>
      </c>
      <c r="X50" s="463" t="s">
        <v>626</v>
      </c>
      <c r="Y50" s="463" t="s">
        <v>3463</v>
      </c>
      <c r="Z50" s="463" t="s">
        <v>748</v>
      </c>
      <c r="AA50" s="463" t="s">
        <v>744</v>
      </c>
      <c r="AB50" s="459" t="s">
        <v>1767</v>
      </c>
    </row>
    <row r="51" spans="1:28" ht="24" customHeight="1">
      <c r="A51" s="583"/>
      <c r="B51" s="460" t="s">
        <v>675</v>
      </c>
      <c r="C51" s="458" t="s">
        <v>749</v>
      </c>
      <c r="D51" s="510" t="s">
        <v>750</v>
      </c>
      <c r="E51" s="498">
        <f t="shared" si="4"/>
        <v>90</v>
      </c>
      <c r="F51" s="498">
        <v>0</v>
      </c>
      <c r="G51" s="498">
        <v>0</v>
      </c>
      <c r="H51" s="498">
        <v>90</v>
      </c>
      <c r="I51" s="498">
        <v>35.299999999999997</v>
      </c>
      <c r="J51" s="498">
        <v>0</v>
      </c>
      <c r="K51" s="498">
        <v>0</v>
      </c>
      <c r="L51" s="668">
        <v>35.299999999999997</v>
      </c>
      <c r="M51" s="956">
        <v>0.95099999999999996</v>
      </c>
      <c r="N51" s="653">
        <v>0.15442337999999997</v>
      </c>
      <c r="O51" s="669" t="s">
        <v>751</v>
      </c>
      <c r="P51" s="463" t="s">
        <v>1588</v>
      </c>
      <c r="Q51" s="852">
        <v>0</v>
      </c>
      <c r="R51" s="852">
        <v>0</v>
      </c>
      <c r="S51" s="852">
        <v>0</v>
      </c>
      <c r="T51" s="852">
        <v>0</v>
      </c>
      <c r="U51" s="463" t="s">
        <v>7436</v>
      </c>
      <c r="V51" s="463" t="s">
        <v>752</v>
      </c>
      <c r="W51" s="498">
        <v>1200</v>
      </c>
      <c r="X51" s="463" t="s">
        <v>626</v>
      </c>
      <c r="Y51" s="463" t="s">
        <v>1533</v>
      </c>
      <c r="Z51" s="463" t="s">
        <v>3156</v>
      </c>
      <c r="AA51" s="463" t="s">
        <v>1589</v>
      </c>
      <c r="AB51" s="459" t="s">
        <v>1589</v>
      </c>
    </row>
    <row r="52" spans="1:28" ht="24" customHeight="1">
      <c r="A52" s="584" t="s">
        <v>1791</v>
      </c>
      <c r="B52" s="458" t="s">
        <v>5931</v>
      </c>
      <c r="C52" s="579"/>
      <c r="D52" s="579"/>
      <c r="E52" s="498" t="s">
        <v>6091</v>
      </c>
      <c r="F52" s="498">
        <v>0</v>
      </c>
      <c r="G52" s="498" t="s">
        <v>6092</v>
      </c>
      <c r="H52" s="498" t="s">
        <v>6093</v>
      </c>
      <c r="I52" s="498" t="s">
        <v>6094</v>
      </c>
      <c r="J52" s="498" t="s">
        <v>6095</v>
      </c>
      <c r="K52" s="498" t="s">
        <v>6096</v>
      </c>
      <c r="L52" s="668" t="s">
        <v>6097</v>
      </c>
      <c r="M52" s="956"/>
      <c r="N52" s="659" t="s">
        <v>6098</v>
      </c>
      <c r="O52" s="669" t="s">
        <v>1588</v>
      </c>
      <c r="P52" s="463" t="s">
        <v>1588</v>
      </c>
      <c r="Q52" s="852">
        <f>SUM(Q53:Q61)</f>
        <v>465</v>
      </c>
      <c r="R52" s="852">
        <f>SUM(R53:R61)</f>
        <v>0</v>
      </c>
      <c r="S52" s="852">
        <f>SUM(S53:S61)</f>
        <v>162.54400000000001</v>
      </c>
      <c r="T52" s="852">
        <f>SUM(T53:T61)</f>
        <v>0</v>
      </c>
      <c r="U52" s="463" t="s">
        <v>7527</v>
      </c>
      <c r="V52" s="463"/>
      <c r="W52" s="498">
        <f>SUM(W53:W61)</f>
        <v>395865</v>
      </c>
      <c r="X52" s="463"/>
      <c r="Y52" s="463"/>
      <c r="Z52" s="463"/>
      <c r="AA52" s="463"/>
      <c r="AB52" s="459"/>
    </row>
    <row r="53" spans="1:28" ht="24" customHeight="1">
      <c r="A53" s="582"/>
      <c r="B53" s="460" t="s">
        <v>2201</v>
      </c>
      <c r="C53" s="458" t="s">
        <v>2376</v>
      </c>
      <c r="D53" s="510" t="s">
        <v>3157</v>
      </c>
      <c r="E53" s="498">
        <f>F53+G53+H53</f>
        <v>350000</v>
      </c>
      <c r="F53" s="498">
        <v>0</v>
      </c>
      <c r="G53" s="498">
        <v>260000</v>
      </c>
      <c r="H53" s="498">
        <v>90000</v>
      </c>
      <c r="I53" s="498">
        <f t="shared" ref="I53:I61" si="5">J53+K53+L53</f>
        <v>311953</v>
      </c>
      <c r="J53" s="498">
        <v>0</v>
      </c>
      <c r="K53" s="498">
        <v>245275</v>
      </c>
      <c r="L53" s="668">
        <v>66678</v>
      </c>
      <c r="M53" s="956">
        <v>0.94736842105263153</v>
      </c>
      <c r="N53" s="653">
        <v>42113.654999999999</v>
      </c>
      <c r="O53" s="669" t="s">
        <v>1535</v>
      </c>
      <c r="P53" s="465" t="s">
        <v>1588</v>
      </c>
      <c r="Q53" s="852">
        <v>465</v>
      </c>
      <c r="R53" s="852">
        <v>0</v>
      </c>
      <c r="S53" s="852">
        <v>122.92</v>
      </c>
      <c r="T53" s="852">
        <v>0</v>
      </c>
      <c r="U53" s="463" t="s">
        <v>7437</v>
      </c>
      <c r="V53" s="463" t="s">
        <v>3158</v>
      </c>
      <c r="W53" s="498">
        <v>112024</v>
      </c>
      <c r="X53" s="463" t="s">
        <v>1532</v>
      </c>
      <c r="Y53" s="463" t="s">
        <v>1533</v>
      </c>
      <c r="Z53" s="463"/>
      <c r="AA53" s="463" t="s">
        <v>1596</v>
      </c>
      <c r="AB53" s="459" t="s">
        <v>1587</v>
      </c>
    </row>
    <row r="54" spans="1:28" ht="24" customHeight="1">
      <c r="A54" s="584"/>
      <c r="B54" s="460" t="s">
        <v>2201</v>
      </c>
      <c r="C54" s="458" t="s">
        <v>136</v>
      </c>
      <c r="D54" s="510" t="s">
        <v>3159</v>
      </c>
      <c r="E54" s="498">
        <f>F54+G54+H54</f>
        <v>26000</v>
      </c>
      <c r="F54" s="498">
        <v>0</v>
      </c>
      <c r="G54" s="498">
        <v>26000</v>
      </c>
      <c r="H54" s="498">
        <v>0</v>
      </c>
      <c r="I54" s="498">
        <f t="shared" si="5"/>
        <v>19887</v>
      </c>
      <c r="J54" s="498">
        <v>0</v>
      </c>
      <c r="K54" s="498">
        <v>19887</v>
      </c>
      <c r="L54" s="668">
        <v>0</v>
      </c>
      <c r="M54" s="956">
        <v>0.94198736358414703</v>
      </c>
      <c r="N54" s="653">
        <v>3261.4679999999994</v>
      </c>
      <c r="O54" s="669" t="s">
        <v>1535</v>
      </c>
      <c r="P54" s="465" t="s">
        <v>1588</v>
      </c>
      <c r="Q54" s="852">
        <v>0</v>
      </c>
      <c r="R54" s="852">
        <v>0</v>
      </c>
      <c r="S54" s="852">
        <v>0</v>
      </c>
      <c r="T54" s="852">
        <v>0</v>
      </c>
      <c r="U54" s="463" t="s">
        <v>7438</v>
      </c>
      <c r="V54" s="463" t="s">
        <v>3160</v>
      </c>
      <c r="W54" s="498">
        <v>35629</v>
      </c>
      <c r="X54" s="463" t="s">
        <v>2199</v>
      </c>
      <c r="Y54" s="463" t="s">
        <v>3161</v>
      </c>
      <c r="Z54" s="463"/>
      <c r="AA54" s="463" t="s">
        <v>1596</v>
      </c>
      <c r="AB54" s="459" t="s">
        <v>1587</v>
      </c>
    </row>
    <row r="55" spans="1:28" ht="24" customHeight="1">
      <c r="A55" s="584"/>
      <c r="B55" s="460" t="s">
        <v>2201</v>
      </c>
      <c r="C55" s="458" t="s">
        <v>2086</v>
      </c>
      <c r="D55" s="510" t="s">
        <v>3162</v>
      </c>
      <c r="E55" s="498">
        <f t="shared" ref="E55:E61" si="6">F55+G55+H55</f>
        <v>12000</v>
      </c>
      <c r="F55" s="498">
        <v>0</v>
      </c>
      <c r="G55" s="498">
        <v>0</v>
      </c>
      <c r="H55" s="498">
        <v>12000</v>
      </c>
      <c r="I55" s="498">
        <f t="shared" si="5"/>
        <v>4976</v>
      </c>
      <c r="J55" s="498">
        <v>0</v>
      </c>
      <c r="K55" s="498">
        <v>0</v>
      </c>
      <c r="L55" s="668">
        <v>4976</v>
      </c>
      <c r="M55" s="956">
        <v>0.93050193050193053</v>
      </c>
      <c r="N55" s="653">
        <v>839.45120000000009</v>
      </c>
      <c r="O55" s="669" t="s">
        <v>3163</v>
      </c>
      <c r="P55" s="463" t="s">
        <v>3163</v>
      </c>
      <c r="Q55" s="852">
        <v>0</v>
      </c>
      <c r="R55" s="852">
        <v>0</v>
      </c>
      <c r="S55" s="852">
        <v>0</v>
      </c>
      <c r="T55" s="852">
        <v>0</v>
      </c>
      <c r="U55" s="463" t="s">
        <v>7439</v>
      </c>
      <c r="V55" s="466" t="s">
        <v>3164</v>
      </c>
      <c r="W55" s="498">
        <v>13222</v>
      </c>
      <c r="X55" s="463" t="s">
        <v>1532</v>
      </c>
      <c r="Y55" s="463" t="s">
        <v>1404</v>
      </c>
      <c r="Z55" s="463"/>
      <c r="AA55" s="463" t="s">
        <v>1596</v>
      </c>
      <c r="AB55" s="459" t="s">
        <v>1587</v>
      </c>
    </row>
    <row r="56" spans="1:28" ht="24" customHeight="1">
      <c r="A56" s="584"/>
      <c r="B56" s="460" t="s">
        <v>2201</v>
      </c>
      <c r="C56" s="458" t="s">
        <v>134</v>
      </c>
      <c r="D56" s="510" t="s">
        <v>3165</v>
      </c>
      <c r="E56" s="498">
        <f t="shared" si="6"/>
        <v>240000</v>
      </c>
      <c r="F56" s="498">
        <v>0</v>
      </c>
      <c r="G56" s="498">
        <v>240000</v>
      </c>
      <c r="H56" s="498">
        <v>0</v>
      </c>
      <c r="I56" s="498">
        <f t="shared" si="5"/>
        <v>287742</v>
      </c>
      <c r="J56" s="498">
        <v>47742</v>
      </c>
      <c r="K56" s="498">
        <v>240000</v>
      </c>
      <c r="L56" s="668">
        <v>0</v>
      </c>
      <c r="M56" s="956">
        <v>0.86961451247165533</v>
      </c>
      <c r="N56" s="653">
        <v>22069.811400000002</v>
      </c>
      <c r="O56" s="669" t="s">
        <v>1535</v>
      </c>
      <c r="P56" s="465" t="s">
        <v>1588</v>
      </c>
      <c r="Q56" s="852">
        <v>0</v>
      </c>
      <c r="R56" s="852">
        <v>0</v>
      </c>
      <c r="S56" s="852">
        <v>37</v>
      </c>
      <c r="T56" s="852">
        <v>0</v>
      </c>
      <c r="U56" s="463" t="s">
        <v>7440</v>
      </c>
      <c r="V56" s="466" t="s">
        <v>3166</v>
      </c>
      <c r="W56" s="498">
        <v>74000</v>
      </c>
      <c r="X56" s="463" t="s">
        <v>1532</v>
      </c>
      <c r="Y56" s="463" t="s">
        <v>1533</v>
      </c>
      <c r="Z56" s="463"/>
      <c r="AA56" s="463" t="s">
        <v>1596</v>
      </c>
      <c r="AB56" s="459" t="s">
        <v>1587</v>
      </c>
    </row>
    <row r="57" spans="1:28" ht="24" customHeight="1">
      <c r="A57" s="584"/>
      <c r="B57" s="460" t="s">
        <v>2201</v>
      </c>
      <c r="C57" s="458" t="s">
        <v>135</v>
      </c>
      <c r="D57" s="510" t="s">
        <v>3167</v>
      </c>
      <c r="E57" s="498">
        <f t="shared" si="6"/>
        <v>30000</v>
      </c>
      <c r="F57" s="498">
        <v>0</v>
      </c>
      <c r="G57" s="498">
        <v>0</v>
      </c>
      <c r="H57" s="498">
        <v>30000</v>
      </c>
      <c r="I57" s="498">
        <f t="shared" si="5"/>
        <v>6498</v>
      </c>
      <c r="J57" s="498">
        <v>0</v>
      </c>
      <c r="K57" s="498">
        <v>0</v>
      </c>
      <c r="L57" s="668">
        <v>6498</v>
      </c>
      <c r="M57" s="956">
        <v>0.95953360768175577</v>
      </c>
      <c r="N57" s="653">
        <v>909.0702</v>
      </c>
      <c r="O57" s="669" t="s">
        <v>3168</v>
      </c>
      <c r="P57" s="463" t="s">
        <v>3168</v>
      </c>
      <c r="Q57" s="852">
        <v>0</v>
      </c>
      <c r="R57" s="852">
        <v>0</v>
      </c>
      <c r="S57" s="852">
        <v>0</v>
      </c>
      <c r="T57" s="852">
        <v>0</v>
      </c>
      <c r="U57" s="463" t="s">
        <v>7441</v>
      </c>
      <c r="V57" s="466" t="s">
        <v>3169</v>
      </c>
      <c r="W57" s="498">
        <v>50247</v>
      </c>
      <c r="X57" s="463" t="s">
        <v>2199</v>
      </c>
      <c r="Y57" s="463" t="s">
        <v>3161</v>
      </c>
      <c r="Z57" s="463"/>
      <c r="AA57" s="463" t="s">
        <v>1596</v>
      </c>
      <c r="AB57" s="459" t="s">
        <v>1587</v>
      </c>
    </row>
    <row r="58" spans="1:28" ht="24" customHeight="1">
      <c r="A58" s="584"/>
      <c r="B58" s="460" t="s">
        <v>2201</v>
      </c>
      <c r="C58" s="458" t="s">
        <v>2085</v>
      </c>
      <c r="D58" s="510" t="s">
        <v>3170</v>
      </c>
      <c r="E58" s="498">
        <f t="shared" si="6"/>
        <v>70000</v>
      </c>
      <c r="F58" s="498">
        <v>0</v>
      </c>
      <c r="G58" s="498">
        <v>0</v>
      </c>
      <c r="H58" s="498">
        <v>70000</v>
      </c>
      <c r="I58" s="498">
        <f t="shared" si="5"/>
        <v>58353</v>
      </c>
      <c r="J58" s="498">
        <v>0</v>
      </c>
      <c r="K58" s="498">
        <v>0</v>
      </c>
      <c r="L58" s="668">
        <v>58353</v>
      </c>
      <c r="M58" s="956">
        <v>0.96973772696704774</v>
      </c>
      <c r="N58" s="653">
        <v>8414.5025999999998</v>
      </c>
      <c r="O58" s="669" t="s">
        <v>3171</v>
      </c>
      <c r="P58" s="463" t="s">
        <v>3171</v>
      </c>
      <c r="Q58" s="852">
        <v>0</v>
      </c>
      <c r="R58" s="852">
        <v>0</v>
      </c>
      <c r="S58" s="852">
        <v>0</v>
      </c>
      <c r="T58" s="852">
        <v>0</v>
      </c>
      <c r="U58" s="463" t="s">
        <v>7442</v>
      </c>
      <c r="V58" s="466" t="s">
        <v>3169</v>
      </c>
      <c r="W58" s="498">
        <v>80746</v>
      </c>
      <c r="X58" s="463" t="s">
        <v>2199</v>
      </c>
      <c r="Y58" s="463" t="s">
        <v>3161</v>
      </c>
      <c r="Z58" s="463"/>
      <c r="AA58" s="463" t="s">
        <v>1596</v>
      </c>
      <c r="AB58" s="459" t="s">
        <v>1587</v>
      </c>
    </row>
    <row r="59" spans="1:28" ht="24" customHeight="1">
      <c r="A59" s="584"/>
      <c r="B59" s="460" t="s">
        <v>2201</v>
      </c>
      <c r="C59" s="458" t="s">
        <v>2377</v>
      </c>
      <c r="D59" s="510" t="s">
        <v>3172</v>
      </c>
      <c r="E59" s="498">
        <f t="shared" si="6"/>
        <v>9000</v>
      </c>
      <c r="F59" s="498">
        <v>0</v>
      </c>
      <c r="G59" s="498">
        <v>9000</v>
      </c>
      <c r="H59" s="498">
        <v>0</v>
      </c>
      <c r="I59" s="498">
        <f t="shared" si="5"/>
        <v>8221</v>
      </c>
      <c r="J59" s="498">
        <v>0</v>
      </c>
      <c r="K59" s="498">
        <v>8221</v>
      </c>
      <c r="L59" s="668">
        <v>0</v>
      </c>
      <c r="M59" s="956">
        <v>0.97489539748953979</v>
      </c>
      <c r="N59" s="653">
        <v>574.64790000000016</v>
      </c>
      <c r="O59" s="669" t="s">
        <v>3173</v>
      </c>
      <c r="P59" s="465" t="s">
        <v>1588</v>
      </c>
      <c r="Q59" s="852">
        <v>0</v>
      </c>
      <c r="R59" s="852">
        <v>0</v>
      </c>
      <c r="S59" s="852">
        <v>2.6240000000000001</v>
      </c>
      <c r="T59" s="852">
        <v>0</v>
      </c>
      <c r="U59" s="463" t="s">
        <v>7443</v>
      </c>
      <c r="V59" s="466" t="s">
        <v>3174</v>
      </c>
      <c r="W59" s="498">
        <v>28567</v>
      </c>
      <c r="X59" s="463" t="s">
        <v>1532</v>
      </c>
      <c r="Y59" s="463" t="s">
        <v>3161</v>
      </c>
      <c r="Z59" s="463"/>
      <c r="AA59" s="463" t="s">
        <v>1596</v>
      </c>
      <c r="AB59" s="459" t="s">
        <v>1587</v>
      </c>
    </row>
    <row r="60" spans="1:28" ht="24" customHeight="1">
      <c r="A60" s="584"/>
      <c r="B60" s="460" t="s">
        <v>675</v>
      </c>
      <c r="C60" s="458" t="s">
        <v>471</v>
      </c>
      <c r="D60" s="510" t="s">
        <v>3175</v>
      </c>
      <c r="E60" s="498">
        <f t="shared" si="6"/>
        <v>50</v>
      </c>
      <c r="F60" s="498">
        <v>0</v>
      </c>
      <c r="G60" s="498">
        <v>0</v>
      </c>
      <c r="H60" s="498">
        <v>50</v>
      </c>
      <c r="I60" s="498">
        <f t="shared" si="5"/>
        <v>17</v>
      </c>
      <c r="J60" s="498">
        <v>0</v>
      </c>
      <c r="K60" s="498">
        <v>0</v>
      </c>
      <c r="L60" s="668">
        <v>17</v>
      </c>
      <c r="M60" s="956">
        <v>0.96349999999999991</v>
      </c>
      <c r="N60" s="653">
        <v>304.82</v>
      </c>
      <c r="O60" s="669" t="s">
        <v>3176</v>
      </c>
      <c r="P60" s="465" t="s">
        <v>3177</v>
      </c>
      <c r="Q60" s="852">
        <v>0</v>
      </c>
      <c r="R60" s="852">
        <v>0</v>
      </c>
      <c r="S60" s="852">
        <v>0</v>
      </c>
      <c r="T60" s="852">
        <v>0</v>
      </c>
      <c r="U60" s="463" t="s">
        <v>7444</v>
      </c>
      <c r="V60" s="466" t="s">
        <v>3178</v>
      </c>
      <c r="W60" s="498">
        <v>530</v>
      </c>
      <c r="X60" s="463" t="s">
        <v>2276</v>
      </c>
      <c r="Y60" s="463" t="s">
        <v>1533</v>
      </c>
      <c r="Z60" s="463"/>
      <c r="AA60" s="463" t="s">
        <v>1596</v>
      </c>
      <c r="AB60" s="459" t="s">
        <v>1587</v>
      </c>
    </row>
    <row r="61" spans="1:28" ht="24" customHeight="1">
      <c r="A61" s="583"/>
      <c r="B61" s="460" t="s">
        <v>675</v>
      </c>
      <c r="C61" s="458" t="s">
        <v>472</v>
      </c>
      <c r="D61" s="510" t="s">
        <v>3179</v>
      </c>
      <c r="E61" s="498">
        <f t="shared" si="6"/>
        <v>300</v>
      </c>
      <c r="F61" s="498">
        <v>0</v>
      </c>
      <c r="G61" s="498">
        <v>0</v>
      </c>
      <c r="H61" s="498">
        <v>300</v>
      </c>
      <c r="I61" s="498">
        <f t="shared" si="5"/>
        <v>28.07</v>
      </c>
      <c r="J61" s="498">
        <v>0</v>
      </c>
      <c r="K61" s="498">
        <v>0</v>
      </c>
      <c r="L61" s="668">
        <v>28.07</v>
      </c>
      <c r="M61" s="956">
        <v>0.91700000000000004</v>
      </c>
      <c r="N61" s="659">
        <v>71.040000000000006</v>
      </c>
      <c r="O61" s="669" t="s">
        <v>3180</v>
      </c>
      <c r="P61" s="465" t="s">
        <v>3177</v>
      </c>
      <c r="Q61" s="852">
        <v>0</v>
      </c>
      <c r="R61" s="852">
        <v>0</v>
      </c>
      <c r="S61" s="852">
        <v>0</v>
      </c>
      <c r="T61" s="852">
        <v>0</v>
      </c>
      <c r="U61" s="463" t="s">
        <v>7444</v>
      </c>
      <c r="V61" s="466" t="s">
        <v>3181</v>
      </c>
      <c r="W61" s="498">
        <v>900</v>
      </c>
      <c r="X61" s="463" t="s">
        <v>2276</v>
      </c>
      <c r="Y61" s="463" t="s">
        <v>1533</v>
      </c>
      <c r="Z61" s="463"/>
      <c r="AA61" s="463" t="s">
        <v>1596</v>
      </c>
      <c r="AB61" s="459" t="s">
        <v>1587</v>
      </c>
    </row>
    <row r="62" spans="1:28" ht="24" customHeight="1">
      <c r="A62" s="584" t="s">
        <v>1798</v>
      </c>
      <c r="B62" s="458" t="s">
        <v>5932</v>
      </c>
      <c r="C62" s="579"/>
      <c r="D62" s="579"/>
      <c r="E62" s="498" t="s">
        <v>6101</v>
      </c>
      <c r="F62" s="498">
        <v>0</v>
      </c>
      <c r="G62" s="498" t="s">
        <v>6102</v>
      </c>
      <c r="H62" s="498" t="s">
        <v>6103</v>
      </c>
      <c r="I62" s="498" t="s">
        <v>6104</v>
      </c>
      <c r="J62" s="498">
        <v>0</v>
      </c>
      <c r="K62" s="498" t="s">
        <v>6105</v>
      </c>
      <c r="L62" s="668" t="s">
        <v>6106</v>
      </c>
      <c r="M62" s="956"/>
      <c r="N62" s="659" t="s">
        <v>6107</v>
      </c>
      <c r="O62" s="669" t="s">
        <v>1588</v>
      </c>
      <c r="P62" s="463" t="s">
        <v>1588</v>
      </c>
      <c r="Q62" s="852">
        <f>SUM(Q63:Q67)</f>
        <v>2881</v>
      </c>
      <c r="R62" s="852">
        <f>SUM(R63:R67)</f>
        <v>0</v>
      </c>
      <c r="S62" s="852">
        <f>SUM(S63:S67)</f>
        <v>676</v>
      </c>
      <c r="T62" s="852">
        <f>SUM(T63:T67)</f>
        <v>257</v>
      </c>
      <c r="U62" s="463" t="s">
        <v>7528</v>
      </c>
      <c r="V62" s="463"/>
      <c r="W62" s="498">
        <f>SUM(W63:W67)</f>
        <v>285130</v>
      </c>
      <c r="X62" s="463"/>
      <c r="Y62" s="463"/>
      <c r="Z62" s="463"/>
      <c r="AA62" s="463"/>
      <c r="AB62" s="459"/>
    </row>
    <row r="63" spans="1:28" ht="24" customHeight="1">
      <c r="A63" s="582"/>
      <c r="B63" s="460" t="s">
        <v>2201</v>
      </c>
      <c r="C63" s="458" t="s">
        <v>3182</v>
      </c>
      <c r="D63" s="510" t="s">
        <v>3183</v>
      </c>
      <c r="E63" s="653">
        <f>SUM(F63:H63)</f>
        <v>600000</v>
      </c>
      <c r="F63" s="498">
        <v>0</v>
      </c>
      <c r="G63" s="498">
        <v>600000</v>
      </c>
      <c r="H63" s="498">
        <v>0</v>
      </c>
      <c r="I63" s="498">
        <f>SUM(J63:L63)</f>
        <v>556942</v>
      </c>
      <c r="J63" s="498">
        <v>0</v>
      </c>
      <c r="K63" s="498">
        <v>556942</v>
      </c>
      <c r="L63" s="668">
        <v>0</v>
      </c>
      <c r="M63" s="956">
        <v>0.94074733705517688</v>
      </c>
      <c r="N63" s="659">
        <v>570.57251499626682</v>
      </c>
      <c r="O63" s="669" t="s">
        <v>1535</v>
      </c>
      <c r="P63" s="463" t="s">
        <v>1588</v>
      </c>
      <c r="Q63" s="852">
        <v>2881</v>
      </c>
      <c r="R63" s="852">
        <v>0</v>
      </c>
      <c r="S63" s="852">
        <v>392</v>
      </c>
      <c r="T63" s="852">
        <v>190</v>
      </c>
      <c r="U63" s="463" t="s">
        <v>3184</v>
      </c>
      <c r="V63" s="620">
        <v>33253</v>
      </c>
      <c r="W63" s="653">
        <v>177075</v>
      </c>
      <c r="X63" s="463" t="s">
        <v>2276</v>
      </c>
      <c r="Y63" s="463" t="s">
        <v>3185</v>
      </c>
      <c r="Z63" s="463" t="s">
        <v>1591</v>
      </c>
      <c r="AA63" s="463" t="s">
        <v>1591</v>
      </c>
      <c r="AB63" s="459" t="s">
        <v>1591</v>
      </c>
    </row>
    <row r="64" spans="1:28" ht="24" customHeight="1">
      <c r="A64" s="584"/>
      <c r="B64" s="460" t="s">
        <v>2201</v>
      </c>
      <c r="C64" s="458" t="s">
        <v>3186</v>
      </c>
      <c r="D64" s="510" t="s">
        <v>3187</v>
      </c>
      <c r="E64" s="653">
        <f>SUM(F64:H64)</f>
        <v>120000</v>
      </c>
      <c r="F64" s="498">
        <v>0</v>
      </c>
      <c r="G64" s="498">
        <v>60000</v>
      </c>
      <c r="H64" s="498">
        <v>60000</v>
      </c>
      <c r="I64" s="498">
        <f>SUM(J64:L64)</f>
        <v>109066</v>
      </c>
      <c r="J64" s="498">
        <v>0</v>
      </c>
      <c r="K64" s="498">
        <v>51166</v>
      </c>
      <c r="L64" s="668">
        <v>57900</v>
      </c>
      <c r="M64" s="956">
        <v>0.95373665480427039</v>
      </c>
      <c r="N64" s="653">
        <v>11691.875199999999</v>
      </c>
      <c r="O64" s="669" t="s">
        <v>3188</v>
      </c>
      <c r="P64" s="463" t="s">
        <v>1588</v>
      </c>
      <c r="Q64" s="852">
        <v>0</v>
      </c>
      <c r="R64" s="852">
        <v>0</v>
      </c>
      <c r="S64" s="852">
        <v>284</v>
      </c>
      <c r="T64" s="852">
        <v>67</v>
      </c>
      <c r="U64" s="463" t="s">
        <v>3189</v>
      </c>
      <c r="V64" s="620">
        <v>36083</v>
      </c>
      <c r="W64" s="653">
        <v>107000</v>
      </c>
      <c r="X64" s="463" t="s">
        <v>626</v>
      </c>
      <c r="Y64" s="463" t="s">
        <v>3190</v>
      </c>
      <c r="Z64" s="463" t="s">
        <v>1591</v>
      </c>
      <c r="AA64" s="463" t="s">
        <v>1591</v>
      </c>
      <c r="AB64" s="459" t="s">
        <v>1591</v>
      </c>
    </row>
    <row r="65" spans="1:28" ht="24" customHeight="1">
      <c r="A65" s="584"/>
      <c r="B65" s="460" t="s">
        <v>675</v>
      </c>
      <c r="C65" s="458" t="s">
        <v>3191</v>
      </c>
      <c r="D65" s="510" t="s">
        <v>3192</v>
      </c>
      <c r="E65" s="653">
        <f>SUM(F65:H65)</f>
        <v>80</v>
      </c>
      <c r="F65" s="653">
        <v>0</v>
      </c>
      <c r="G65" s="653">
        <v>0</v>
      </c>
      <c r="H65" s="653">
        <v>80</v>
      </c>
      <c r="I65" s="653">
        <f>SUM(J65:L65)</f>
        <v>45</v>
      </c>
      <c r="J65" s="653">
        <v>0</v>
      </c>
      <c r="K65" s="653">
        <v>0</v>
      </c>
      <c r="L65" s="698">
        <v>45</v>
      </c>
      <c r="M65" s="951">
        <v>0.95</v>
      </c>
      <c r="N65" s="659">
        <v>4.6554749999999999E-2</v>
      </c>
      <c r="O65" s="699" t="s">
        <v>3193</v>
      </c>
      <c r="P65" s="462" t="s">
        <v>1588</v>
      </c>
      <c r="Q65" s="852">
        <v>0</v>
      </c>
      <c r="R65" s="852">
        <v>0</v>
      </c>
      <c r="S65" s="852">
        <v>0</v>
      </c>
      <c r="T65" s="852">
        <v>0</v>
      </c>
      <c r="U65" s="463" t="s">
        <v>3194</v>
      </c>
      <c r="V65" s="518">
        <v>38293</v>
      </c>
      <c r="W65" s="653">
        <v>343</v>
      </c>
      <c r="X65" s="462" t="s">
        <v>2193</v>
      </c>
      <c r="Y65" s="462" t="s">
        <v>3195</v>
      </c>
      <c r="Z65" s="462" t="s">
        <v>3196</v>
      </c>
      <c r="AA65" s="462" t="s">
        <v>1591</v>
      </c>
      <c r="AB65" s="467" t="s">
        <v>1591</v>
      </c>
    </row>
    <row r="66" spans="1:28" ht="24" customHeight="1">
      <c r="A66" s="584"/>
      <c r="B66" s="460" t="s">
        <v>675</v>
      </c>
      <c r="C66" s="458" t="s">
        <v>3197</v>
      </c>
      <c r="D66" s="510" t="s">
        <v>3198</v>
      </c>
      <c r="E66" s="653">
        <f>SUM(F66:H66)</f>
        <v>50</v>
      </c>
      <c r="F66" s="653">
        <v>0</v>
      </c>
      <c r="G66" s="653">
        <v>50</v>
      </c>
      <c r="H66" s="653">
        <v>0</v>
      </c>
      <c r="I66" s="653">
        <f>SUM(J66:L66)</f>
        <v>30</v>
      </c>
      <c r="J66" s="653">
        <v>0</v>
      </c>
      <c r="K66" s="653">
        <v>30</v>
      </c>
      <c r="L66" s="698">
        <v>0</v>
      </c>
      <c r="M66" s="951">
        <v>0.86</v>
      </c>
      <c r="N66" s="653">
        <v>2.8096200000000002E-2</v>
      </c>
      <c r="O66" s="699" t="s">
        <v>3199</v>
      </c>
      <c r="P66" s="463" t="s">
        <v>1588</v>
      </c>
      <c r="Q66" s="852">
        <v>0</v>
      </c>
      <c r="R66" s="852">
        <v>0</v>
      </c>
      <c r="S66" s="852">
        <v>0</v>
      </c>
      <c r="T66" s="852">
        <v>0</v>
      </c>
      <c r="U66" s="463" t="s">
        <v>3200</v>
      </c>
      <c r="V66" s="518">
        <v>37042</v>
      </c>
      <c r="W66" s="653">
        <v>300</v>
      </c>
      <c r="X66" s="462" t="s">
        <v>2193</v>
      </c>
      <c r="Y66" s="462" t="s">
        <v>1533</v>
      </c>
      <c r="Z66" s="462" t="s">
        <v>1893</v>
      </c>
      <c r="AA66" s="462" t="s">
        <v>1591</v>
      </c>
      <c r="AB66" s="467" t="s">
        <v>1591</v>
      </c>
    </row>
    <row r="67" spans="1:28" ht="24" customHeight="1">
      <c r="A67" s="583"/>
      <c r="B67" s="460" t="s">
        <v>675</v>
      </c>
      <c r="C67" s="458" t="s">
        <v>3201</v>
      </c>
      <c r="D67" s="510" t="s">
        <v>3202</v>
      </c>
      <c r="E67" s="653">
        <f>SUM(F67:H67)</f>
        <v>60</v>
      </c>
      <c r="F67" s="653">
        <v>0</v>
      </c>
      <c r="G67" s="653">
        <v>0</v>
      </c>
      <c r="H67" s="653">
        <v>60</v>
      </c>
      <c r="I67" s="653">
        <f>SUM(J67:L67)</f>
        <v>47</v>
      </c>
      <c r="J67" s="653">
        <v>0</v>
      </c>
      <c r="K67" s="653">
        <v>0</v>
      </c>
      <c r="L67" s="698">
        <v>47</v>
      </c>
      <c r="M67" s="951">
        <v>0.93700000000000006</v>
      </c>
      <c r="N67" s="653">
        <v>4.7958471000000009E-2</v>
      </c>
      <c r="O67" s="699" t="s">
        <v>3193</v>
      </c>
      <c r="P67" s="462" t="s">
        <v>1588</v>
      </c>
      <c r="Q67" s="852">
        <v>0</v>
      </c>
      <c r="R67" s="852">
        <v>0</v>
      </c>
      <c r="S67" s="852">
        <v>0</v>
      </c>
      <c r="T67" s="852">
        <v>0</v>
      </c>
      <c r="U67" s="463" t="s">
        <v>3200</v>
      </c>
      <c r="V67" s="518">
        <v>38721</v>
      </c>
      <c r="W67" s="653">
        <v>412</v>
      </c>
      <c r="X67" s="462" t="s">
        <v>2193</v>
      </c>
      <c r="Y67" s="462" t="s">
        <v>3195</v>
      </c>
      <c r="Z67" s="462" t="s">
        <v>1893</v>
      </c>
      <c r="AA67" s="462" t="s">
        <v>1591</v>
      </c>
      <c r="AB67" s="467" t="s">
        <v>1591</v>
      </c>
    </row>
    <row r="68" spans="1:28" ht="24" customHeight="1">
      <c r="A68" s="584" t="s">
        <v>1972</v>
      </c>
      <c r="B68" s="458" t="s">
        <v>5933</v>
      </c>
      <c r="C68" s="579"/>
      <c r="D68" s="579"/>
      <c r="E68" s="498" t="s">
        <v>6111</v>
      </c>
      <c r="F68" s="498">
        <v>0</v>
      </c>
      <c r="G68" s="498" t="s">
        <v>6112</v>
      </c>
      <c r="H68" s="498" t="s">
        <v>6113</v>
      </c>
      <c r="I68" s="498" t="s">
        <v>6114</v>
      </c>
      <c r="J68" s="498">
        <v>0</v>
      </c>
      <c r="K68" s="498" t="s">
        <v>6115</v>
      </c>
      <c r="L68" s="668" t="s">
        <v>6116</v>
      </c>
      <c r="M68" s="956"/>
      <c r="N68" s="659" t="s">
        <v>6117</v>
      </c>
      <c r="O68" s="669" t="s">
        <v>1588</v>
      </c>
      <c r="P68" s="463" t="s">
        <v>1588</v>
      </c>
      <c r="Q68" s="852">
        <f>SUM(Q69:Q70)</f>
        <v>917</v>
      </c>
      <c r="R68" s="852">
        <f>SUM(R69:R70)</f>
        <v>0</v>
      </c>
      <c r="S68" s="852">
        <f>SUM(S69:S70)</f>
        <v>565</v>
      </c>
      <c r="T68" s="852">
        <f>SUM(T69:T70)</f>
        <v>0</v>
      </c>
      <c r="U68" s="463" t="s">
        <v>7529</v>
      </c>
      <c r="V68" s="463"/>
      <c r="W68" s="498">
        <f>SUM(W69:W70)</f>
        <v>313967</v>
      </c>
      <c r="X68" s="463"/>
      <c r="Y68" s="463"/>
      <c r="Z68" s="463"/>
      <c r="AA68" s="463"/>
      <c r="AB68" s="459"/>
    </row>
    <row r="69" spans="1:28" ht="24" customHeight="1">
      <c r="A69" s="582"/>
      <c r="B69" s="460" t="s">
        <v>2201</v>
      </c>
      <c r="C69" s="458" t="s">
        <v>2379</v>
      </c>
      <c r="D69" s="510" t="s">
        <v>3203</v>
      </c>
      <c r="E69" s="498">
        <f>F69+G69+H69</f>
        <v>900000</v>
      </c>
      <c r="F69" s="498">
        <v>0</v>
      </c>
      <c r="G69" s="498">
        <v>900000</v>
      </c>
      <c r="H69" s="498">
        <v>0</v>
      </c>
      <c r="I69" s="498">
        <f>J69+K69+L69</f>
        <v>621953</v>
      </c>
      <c r="J69" s="498">
        <v>0</v>
      </c>
      <c r="K69" s="498">
        <v>621953</v>
      </c>
      <c r="L69" s="668">
        <v>0</v>
      </c>
      <c r="M69" s="956">
        <v>0.89030883919062831</v>
      </c>
      <c r="N69" s="653">
        <v>51995.270800000006</v>
      </c>
      <c r="O69" s="669" t="s">
        <v>1535</v>
      </c>
      <c r="P69" s="463" t="s">
        <v>1588</v>
      </c>
      <c r="Q69" s="852">
        <v>917</v>
      </c>
      <c r="R69" s="852">
        <v>0</v>
      </c>
      <c r="S69" s="852">
        <v>565</v>
      </c>
      <c r="T69" s="852">
        <v>0</v>
      </c>
      <c r="U69" s="463" t="s">
        <v>7445</v>
      </c>
      <c r="V69" s="463" t="s">
        <v>3204</v>
      </c>
      <c r="W69" s="498">
        <v>306358</v>
      </c>
      <c r="X69" s="463" t="s">
        <v>3205</v>
      </c>
      <c r="Y69" s="466" t="s">
        <v>1588</v>
      </c>
      <c r="Z69" s="463" t="s">
        <v>3206</v>
      </c>
      <c r="AA69" s="463" t="s">
        <v>1592</v>
      </c>
      <c r="AB69" s="459" t="s">
        <v>1592</v>
      </c>
    </row>
    <row r="70" spans="1:28" ht="24" customHeight="1">
      <c r="A70" s="583"/>
      <c r="B70" s="460" t="s">
        <v>2201</v>
      </c>
      <c r="C70" s="458" t="s">
        <v>465</v>
      </c>
      <c r="D70" s="510" t="s">
        <v>3207</v>
      </c>
      <c r="E70" s="498">
        <f>F70+G70+H70</f>
        <v>1000</v>
      </c>
      <c r="F70" s="498">
        <v>0</v>
      </c>
      <c r="G70" s="498">
        <v>0</v>
      </c>
      <c r="H70" s="653">
        <v>1000</v>
      </c>
      <c r="I70" s="498">
        <f>J70+K70+L70</f>
        <v>290</v>
      </c>
      <c r="J70" s="498">
        <v>0</v>
      </c>
      <c r="K70" s="498">
        <v>0</v>
      </c>
      <c r="L70" s="668">
        <v>290</v>
      </c>
      <c r="M70" s="956">
        <v>0.91463414634146334</v>
      </c>
      <c r="N70" s="653">
        <v>6.5249999999999995</v>
      </c>
      <c r="O70" s="669" t="s">
        <v>3208</v>
      </c>
      <c r="P70" s="463" t="s">
        <v>1588</v>
      </c>
      <c r="Q70" s="852">
        <v>0</v>
      </c>
      <c r="R70" s="852">
        <v>0</v>
      </c>
      <c r="S70" s="852">
        <v>0</v>
      </c>
      <c r="T70" s="852">
        <v>0</v>
      </c>
      <c r="U70" s="463" t="s">
        <v>7446</v>
      </c>
      <c r="V70" s="463" t="s">
        <v>3209</v>
      </c>
      <c r="W70" s="653">
        <v>7609</v>
      </c>
      <c r="X70" s="463" t="s">
        <v>3205</v>
      </c>
      <c r="Y70" s="463" t="s">
        <v>3161</v>
      </c>
      <c r="Z70" s="463" t="s">
        <v>3206</v>
      </c>
      <c r="AA70" s="463" t="s">
        <v>1592</v>
      </c>
      <c r="AB70" s="459" t="s">
        <v>1592</v>
      </c>
    </row>
    <row r="71" spans="1:28" ht="24" customHeight="1">
      <c r="A71" s="584" t="s">
        <v>1973</v>
      </c>
      <c r="B71" s="458" t="s">
        <v>5934</v>
      </c>
      <c r="C71" s="579"/>
      <c r="D71" s="579"/>
      <c r="E71" s="498" t="s">
        <v>6120</v>
      </c>
      <c r="F71" s="498">
        <v>0</v>
      </c>
      <c r="G71" s="498" t="s">
        <v>6121</v>
      </c>
      <c r="H71" s="498" t="s">
        <v>6122</v>
      </c>
      <c r="I71" s="498" t="s">
        <v>6123</v>
      </c>
      <c r="J71" s="498">
        <v>0</v>
      </c>
      <c r="K71" s="498" t="s">
        <v>6124</v>
      </c>
      <c r="L71" s="668" t="s">
        <v>6125</v>
      </c>
      <c r="M71" s="956"/>
      <c r="N71" s="659" t="s">
        <v>6126</v>
      </c>
      <c r="O71" s="669" t="s">
        <v>1588</v>
      </c>
      <c r="P71" s="463" t="s">
        <v>1588</v>
      </c>
      <c r="Q71" s="852">
        <f>SUM(Q72:Q82)</f>
        <v>123</v>
      </c>
      <c r="R71" s="852">
        <f>SUM(R72:R82)</f>
        <v>0</v>
      </c>
      <c r="S71" s="852">
        <f>SUM(S72:S82)</f>
        <v>593</v>
      </c>
      <c r="T71" s="852">
        <f>SUM(T72:T82)</f>
        <v>17.96</v>
      </c>
      <c r="U71" s="463" t="s">
        <v>7530</v>
      </c>
      <c r="V71" s="463"/>
      <c r="W71" s="498">
        <f>SUM(W72:W82)</f>
        <v>308362</v>
      </c>
      <c r="X71" s="463"/>
      <c r="Y71" s="463"/>
      <c r="Z71" s="463"/>
      <c r="AA71" s="463"/>
      <c r="AB71" s="459"/>
    </row>
    <row r="72" spans="1:28" ht="24" customHeight="1">
      <c r="A72" s="582"/>
      <c r="B72" s="460" t="s">
        <v>2201</v>
      </c>
      <c r="C72" s="458" t="s">
        <v>2089</v>
      </c>
      <c r="D72" s="510" t="s">
        <v>3210</v>
      </c>
      <c r="E72" s="498">
        <f t="shared" ref="E72:E82" si="7">SUM(F72:H72)</f>
        <v>250000</v>
      </c>
      <c r="F72" s="498">
        <v>0</v>
      </c>
      <c r="G72" s="498">
        <v>250000</v>
      </c>
      <c r="H72" s="498">
        <v>0</v>
      </c>
      <c r="I72" s="498">
        <f t="shared" ref="I72:I82" si="8">SUM(J72:L72)</f>
        <v>235356</v>
      </c>
      <c r="J72" s="498">
        <v>0</v>
      </c>
      <c r="K72" s="498">
        <v>235356</v>
      </c>
      <c r="L72" s="668" t="s">
        <v>3211</v>
      </c>
      <c r="M72" s="956">
        <v>0.94011406844106471</v>
      </c>
      <c r="N72" s="653">
        <v>23276.708400000003</v>
      </c>
      <c r="O72" s="702" t="s">
        <v>1535</v>
      </c>
      <c r="P72" s="468" t="s">
        <v>1588</v>
      </c>
      <c r="Q72" s="852">
        <v>123</v>
      </c>
      <c r="R72" s="852">
        <v>0</v>
      </c>
      <c r="S72" s="852">
        <v>260</v>
      </c>
      <c r="T72" s="852">
        <v>0</v>
      </c>
      <c r="U72" s="468" t="s">
        <v>7447</v>
      </c>
      <c r="V72" s="468">
        <v>34929</v>
      </c>
      <c r="W72" s="653">
        <v>154425</v>
      </c>
      <c r="X72" s="468" t="s">
        <v>1532</v>
      </c>
      <c r="Y72" s="468" t="s">
        <v>3161</v>
      </c>
      <c r="Z72" s="468"/>
      <c r="AA72" s="468" t="s">
        <v>1915</v>
      </c>
      <c r="AB72" s="469" t="s">
        <v>1537</v>
      </c>
    </row>
    <row r="73" spans="1:28" ht="24" customHeight="1">
      <c r="A73" s="584"/>
      <c r="B73" s="460" t="s">
        <v>2201</v>
      </c>
      <c r="C73" s="458" t="s">
        <v>2091</v>
      </c>
      <c r="D73" s="510" t="s">
        <v>3212</v>
      </c>
      <c r="E73" s="498">
        <f t="shared" si="7"/>
        <v>150000</v>
      </c>
      <c r="F73" s="498">
        <v>0</v>
      </c>
      <c r="G73" s="498">
        <v>150000</v>
      </c>
      <c r="H73" s="498">
        <v>0</v>
      </c>
      <c r="I73" s="498">
        <f t="shared" si="8"/>
        <v>69835</v>
      </c>
      <c r="J73" s="498">
        <v>0</v>
      </c>
      <c r="K73" s="498">
        <v>69835</v>
      </c>
      <c r="L73" s="668">
        <v>0</v>
      </c>
      <c r="M73" s="956">
        <v>0.91377379619260912</v>
      </c>
      <c r="N73" s="653">
        <v>5698.5360000000001</v>
      </c>
      <c r="O73" s="702" t="s">
        <v>1535</v>
      </c>
      <c r="P73" s="468" t="s">
        <v>1588</v>
      </c>
      <c r="Q73" s="852">
        <v>0</v>
      </c>
      <c r="R73" s="852">
        <v>0</v>
      </c>
      <c r="S73" s="852">
        <v>333</v>
      </c>
      <c r="T73" s="852">
        <v>0</v>
      </c>
      <c r="U73" s="468" t="s">
        <v>7448</v>
      </c>
      <c r="V73" s="468" t="s">
        <v>3213</v>
      </c>
      <c r="W73" s="498">
        <v>58302</v>
      </c>
      <c r="X73" s="468" t="s">
        <v>1532</v>
      </c>
      <c r="Y73" s="468"/>
      <c r="Z73" s="468"/>
      <c r="AA73" s="468" t="s">
        <v>1915</v>
      </c>
      <c r="AB73" s="469" t="s">
        <v>1537</v>
      </c>
    </row>
    <row r="74" spans="1:28" ht="24" customHeight="1">
      <c r="A74" s="584"/>
      <c r="B74" s="460" t="s">
        <v>2201</v>
      </c>
      <c r="C74" s="458" t="s">
        <v>2094</v>
      </c>
      <c r="D74" s="510" t="s">
        <v>3214</v>
      </c>
      <c r="E74" s="498">
        <f t="shared" si="7"/>
        <v>60000</v>
      </c>
      <c r="F74" s="498">
        <v>0</v>
      </c>
      <c r="G74" s="498">
        <v>0</v>
      </c>
      <c r="H74" s="653">
        <v>60000</v>
      </c>
      <c r="I74" s="498">
        <f t="shared" si="8"/>
        <v>19234</v>
      </c>
      <c r="J74" s="498">
        <v>0</v>
      </c>
      <c r="K74" s="498">
        <v>0</v>
      </c>
      <c r="L74" s="668">
        <v>19234</v>
      </c>
      <c r="M74" s="956">
        <v>0.98016336056009334</v>
      </c>
      <c r="N74" s="653">
        <v>1615.6559999999999</v>
      </c>
      <c r="O74" s="702" t="s">
        <v>3215</v>
      </c>
      <c r="P74" s="468" t="s">
        <v>3215</v>
      </c>
      <c r="Q74" s="852">
        <v>0</v>
      </c>
      <c r="R74" s="852">
        <v>0</v>
      </c>
      <c r="S74" s="852">
        <v>0</v>
      </c>
      <c r="T74" s="852">
        <v>0</v>
      </c>
      <c r="U74" s="468" t="s">
        <v>7449</v>
      </c>
      <c r="V74" s="468" t="s">
        <v>3216</v>
      </c>
      <c r="W74" s="498">
        <v>72804</v>
      </c>
      <c r="X74" s="468" t="s">
        <v>2276</v>
      </c>
      <c r="Y74" s="468" t="s">
        <v>3161</v>
      </c>
      <c r="Z74" s="468"/>
      <c r="AA74" s="468" t="s">
        <v>1896</v>
      </c>
      <c r="AB74" s="469" t="s">
        <v>1537</v>
      </c>
    </row>
    <row r="75" spans="1:28" ht="24" customHeight="1">
      <c r="A75" s="584"/>
      <c r="B75" s="460" t="s">
        <v>2201</v>
      </c>
      <c r="C75" s="458" t="s">
        <v>139</v>
      </c>
      <c r="D75" s="510" t="s">
        <v>3217</v>
      </c>
      <c r="E75" s="498">
        <f t="shared" si="7"/>
        <v>32000</v>
      </c>
      <c r="F75" s="498">
        <v>0</v>
      </c>
      <c r="G75" s="498">
        <v>32000</v>
      </c>
      <c r="H75" s="498">
        <v>0</v>
      </c>
      <c r="I75" s="498">
        <f t="shared" si="8"/>
        <v>31403</v>
      </c>
      <c r="J75" s="498">
        <v>0</v>
      </c>
      <c r="K75" s="498">
        <v>31403</v>
      </c>
      <c r="L75" s="668">
        <v>0</v>
      </c>
      <c r="M75" s="956">
        <v>0.96727549467275498</v>
      </c>
      <c r="N75" s="653">
        <v>3991.3213000000001</v>
      </c>
      <c r="O75" s="702" t="s">
        <v>1535</v>
      </c>
      <c r="P75" s="468" t="s">
        <v>1588</v>
      </c>
      <c r="Q75" s="852">
        <v>0</v>
      </c>
      <c r="R75" s="852">
        <v>0</v>
      </c>
      <c r="S75" s="852">
        <v>0</v>
      </c>
      <c r="T75" s="852">
        <v>0</v>
      </c>
      <c r="U75" s="703" t="s">
        <v>7450</v>
      </c>
      <c r="V75" s="468" t="s">
        <v>3218</v>
      </c>
      <c r="W75" s="498">
        <v>11808</v>
      </c>
      <c r="X75" s="468" t="s">
        <v>2276</v>
      </c>
      <c r="Y75" s="468" t="s">
        <v>3161</v>
      </c>
      <c r="Z75" s="468"/>
      <c r="AA75" s="468" t="s">
        <v>3219</v>
      </c>
      <c r="AB75" s="469"/>
    </row>
    <row r="76" spans="1:28" ht="24" customHeight="1">
      <c r="A76" s="584"/>
      <c r="B76" s="460" t="s">
        <v>2201</v>
      </c>
      <c r="C76" s="458" t="s">
        <v>2097</v>
      </c>
      <c r="D76" s="510" t="s">
        <v>3220</v>
      </c>
      <c r="E76" s="498">
        <f t="shared" si="7"/>
        <v>4600</v>
      </c>
      <c r="F76" s="498">
        <v>0</v>
      </c>
      <c r="G76" s="498">
        <v>4600</v>
      </c>
      <c r="H76" s="498">
        <v>0</v>
      </c>
      <c r="I76" s="498">
        <f t="shared" si="8"/>
        <v>1492</v>
      </c>
      <c r="J76" s="498">
        <v>0</v>
      </c>
      <c r="K76" s="498">
        <v>1492</v>
      </c>
      <c r="L76" s="668">
        <v>0</v>
      </c>
      <c r="M76" s="956">
        <v>0.96464646464646464</v>
      </c>
      <c r="N76" s="653">
        <v>199.4804</v>
      </c>
      <c r="O76" s="702" t="s">
        <v>3221</v>
      </c>
      <c r="P76" s="468" t="s">
        <v>1588</v>
      </c>
      <c r="Q76" s="852">
        <v>0</v>
      </c>
      <c r="R76" s="852">
        <v>0</v>
      </c>
      <c r="S76" s="852">
        <v>0</v>
      </c>
      <c r="T76" s="852">
        <v>0</v>
      </c>
      <c r="U76" s="468" t="s">
        <v>7451</v>
      </c>
      <c r="V76" s="468" t="s">
        <v>3222</v>
      </c>
      <c r="W76" s="498">
        <v>2787</v>
      </c>
      <c r="X76" s="468" t="s">
        <v>2276</v>
      </c>
      <c r="Y76" s="468" t="s">
        <v>3161</v>
      </c>
      <c r="Z76" s="468" t="s">
        <v>1906</v>
      </c>
      <c r="AA76" s="468" t="s">
        <v>1896</v>
      </c>
      <c r="AB76" s="469"/>
    </row>
    <row r="77" spans="1:28" ht="24" customHeight="1">
      <c r="A77" s="584"/>
      <c r="B77" s="460" t="s">
        <v>2201</v>
      </c>
      <c r="C77" s="458" t="s">
        <v>2099</v>
      </c>
      <c r="D77" s="510" t="s">
        <v>3223</v>
      </c>
      <c r="E77" s="498">
        <f t="shared" si="7"/>
        <v>100000</v>
      </c>
      <c r="F77" s="498">
        <v>0</v>
      </c>
      <c r="G77" s="498">
        <v>0</v>
      </c>
      <c r="H77" s="498">
        <v>100000</v>
      </c>
      <c r="I77" s="498">
        <f t="shared" si="8"/>
        <v>52228</v>
      </c>
      <c r="J77" s="498">
        <v>0</v>
      </c>
      <c r="K77" s="498">
        <v>0</v>
      </c>
      <c r="L77" s="668">
        <v>52228</v>
      </c>
      <c r="M77" s="956">
        <v>0.94343240651965476</v>
      </c>
      <c r="N77" s="653">
        <v>5139.2351999999992</v>
      </c>
      <c r="O77" s="702" t="s">
        <v>2197</v>
      </c>
      <c r="P77" s="468" t="s">
        <v>1588</v>
      </c>
      <c r="Q77" s="852">
        <v>0</v>
      </c>
      <c r="R77" s="852">
        <v>0</v>
      </c>
      <c r="S77" s="852">
        <v>0</v>
      </c>
      <c r="T77" s="852">
        <v>17.96</v>
      </c>
      <c r="U77" s="468" t="s">
        <v>7452</v>
      </c>
      <c r="V77" s="470" t="s">
        <v>2100</v>
      </c>
      <c r="W77" s="578"/>
      <c r="X77" s="468" t="s">
        <v>2199</v>
      </c>
      <c r="Y77" s="468" t="s">
        <v>3224</v>
      </c>
      <c r="Z77" s="468"/>
      <c r="AA77" s="468" t="s">
        <v>1915</v>
      </c>
      <c r="AB77" s="469" t="s">
        <v>1537</v>
      </c>
    </row>
    <row r="78" spans="1:28" ht="24" customHeight="1">
      <c r="A78" s="584"/>
      <c r="B78" s="460" t="s">
        <v>675</v>
      </c>
      <c r="C78" s="458" t="s">
        <v>1662</v>
      </c>
      <c r="D78" s="510" t="s">
        <v>3225</v>
      </c>
      <c r="E78" s="498">
        <f t="shared" si="7"/>
        <v>70</v>
      </c>
      <c r="F78" s="498">
        <v>0</v>
      </c>
      <c r="G78" s="498">
        <v>70</v>
      </c>
      <c r="H78" s="498">
        <v>0</v>
      </c>
      <c r="I78" s="498">
        <f t="shared" si="8"/>
        <v>40</v>
      </c>
      <c r="J78" s="498">
        <v>0</v>
      </c>
      <c r="K78" s="498">
        <v>40</v>
      </c>
      <c r="L78" s="668">
        <v>0</v>
      </c>
      <c r="M78" s="956">
        <v>0.56999999999999995</v>
      </c>
      <c r="N78" s="653">
        <v>1.9</v>
      </c>
      <c r="O78" s="702" t="s">
        <v>3226</v>
      </c>
      <c r="P78" s="468" t="s">
        <v>1588</v>
      </c>
      <c r="Q78" s="852">
        <v>0</v>
      </c>
      <c r="R78" s="852">
        <v>0</v>
      </c>
      <c r="S78" s="852">
        <v>0</v>
      </c>
      <c r="T78" s="852">
        <v>0</v>
      </c>
      <c r="U78" s="468" t="s">
        <v>7453</v>
      </c>
      <c r="V78" s="471" t="s">
        <v>3227</v>
      </c>
      <c r="W78" s="498">
        <v>569</v>
      </c>
      <c r="X78" s="468" t="s">
        <v>2193</v>
      </c>
      <c r="Y78" s="468"/>
      <c r="Z78" s="468"/>
      <c r="AA78" s="468" t="s">
        <v>1915</v>
      </c>
      <c r="AB78" s="469" t="s">
        <v>1537</v>
      </c>
    </row>
    <row r="79" spans="1:28" ht="24" customHeight="1">
      <c r="A79" s="584"/>
      <c r="B79" s="460" t="s">
        <v>675</v>
      </c>
      <c r="C79" s="458" t="s">
        <v>3228</v>
      </c>
      <c r="D79" s="510" t="s">
        <v>3229</v>
      </c>
      <c r="E79" s="498">
        <f t="shared" si="7"/>
        <v>200</v>
      </c>
      <c r="F79" s="498">
        <v>0</v>
      </c>
      <c r="G79" s="498">
        <v>200</v>
      </c>
      <c r="H79" s="498">
        <v>0</v>
      </c>
      <c r="I79" s="498">
        <f t="shared" si="8"/>
        <v>102</v>
      </c>
      <c r="J79" s="498">
        <v>0</v>
      </c>
      <c r="K79" s="498">
        <v>102</v>
      </c>
      <c r="L79" s="668">
        <v>0</v>
      </c>
      <c r="M79" s="956">
        <v>0.98</v>
      </c>
      <c r="N79" s="653">
        <v>0.6</v>
      </c>
      <c r="O79" s="702" t="s">
        <v>3230</v>
      </c>
      <c r="P79" s="468" t="s">
        <v>1588</v>
      </c>
      <c r="Q79" s="852">
        <v>0</v>
      </c>
      <c r="R79" s="852">
        <v>0</v>
      </c>
      <c r="S79" s="852">
        <v>0</v>
      </c>
      <c r="T79" s="852">
        <v>0</v>
      </c>
      <c r="U79" s="468" t="s">
        <v>7454</v>
      </c>
      <c r="V79" s="471" t="s">
        <v>3231</v>
      </c>
      <c r="W79" s="498">
        <v>600</v>
      </c>
      <c r="X79" s="468" t="s">
        <v>2276</v>
      </c>
      <c r="Y79" s="468" t="s">
        <v>3232</v>
      </c>
      <c r="Z79" s="468"/>
      <c r="AA79" s="468" t="s">
        <v>1915</v>
      </c>
      <c r="AB79" s="469" t="s">
        <v>1537</v>
      </c>
    </row>
    <row r="80" spans="1:28" ht="24" customHeight="1">
      <c r="A80" s="584"/>
      <c r="B80" s="460" t="s">
        <v>675</v>
      </c>
      <c r="C80" s="458" t="s">
        <v>3233</v>
      </c>
      <c r="D80" s="510" t="s">
        <v>3234</v>
      </c>
      <c r="E80" s="498">
        <f t="shared" si="7"/>
        <v>460</v>
      </c>
      <c r="F80" s="498">
        <v>0</v>
      </c>
      <c r="G80" s="498">
        <v>460</v>
      </c>
      <c r="H80" s="498">
        <v>0</v>
      </c>
      <c r="I80" s="498">
        <f t="shared" si="8"/>
        <v>137</v>
      </c>
      <c r="J80" s="498">
        <v>0</v>
      </c>
      <c r="K80" s="498">
        <v>137</v>
      </c>
      <c r="L80" s="668">
        <v>0</v>
      </c>
      <c r="M80" s="956">
        <v>0.97</v>
      </c>
      <c r="N80" s="653">
        <v>0.7</v>
      </c>
      <c r="O80" s="702" t="s">
        <v>3230</v>
      </c>
      <c r="P80" s="468" t="s">
        <v>1588</v>
      </c>
      <c r="Q80" s="852">
        <v>0</v>
      </c>
      <c r="R80" s="852">
        <v>0</v>
      </c>
      <c r="S80" s="852">
        <v>0</v>
      </c>
      <c r="T80" s="852">
        <v>0</v>
      </c>
      <c r="U80" s="468" t="s">
        <v>3235</v>
      </c>
      <c r="V80" s="472" t="s">
        <v>3236</v>
      </c>
      <c r="W80" s="498">
        <v>3510</v>
      </c>
      <c r="X80" s="468" t="s">
        <v>2276</v>
      </c>
      <c r="Y80" s="468" t="s">
        <v>3232</v>
      </c>
      <c r="Z80" s="468"/>
      <c r="AA80" s="468" t="s">
        <v>1915</v>
      </c>
      <c r="AB80" s="469" t="s">
        <v>1537</v>
      </c>
    </row>
    <row r="81" spans="1:28" ht="24" customHeight="1">
      <c r="A81" s="584"/>
      <c r="B81" s="460" t="s">
        <v>675</v>
      </c>
      <c r="C81" s="458" t="s">
        <v>3237</v>
      </c>
      <c r="D81" s="510" t="s">
        <v>3238</v>
      </c>
      <c r="E81" s="498">
        <f t="shared" si="7"/>
        <v>250</v>
      </c>
      <c r="F81" s="498">
        <v>0</v>
      </c>
      <c r="G81" s="498">
        <v>250</v>
      </c>
      <c r="H81" s="498">
        <v>0</v>
      </c>
      <c r="I81" s="498">
        <f t="shared" si="8"/>
        <v>95</v>
      </c>
      <c r="J81" s="498">
        <v>0</v>
      </c>
      <c r="K81" s="498">
        <v>95</v>
      </c>
      <c r="L81" s="668">
        <v>0</v>
      </c>
      <c r="M81" s="956">
        <v>0.99</v>
      </c>
      <c r="N81" s="653">
        <v>0.4</v>
      </c>
      <c r="O81" s="702" t="s">
        <v>3230</v>
      </c>
      <c r="P81" s="468" t="s">
        <v>1588</v>
      </c>
      <c r="Q81" s="852">
        <v>0</v>
      </c>
      <c r="R81" s="852">
        <v>0</v>
      </c>
      <c r="S81" s="852">
        <v>0</v>
      </c>
      <c r="T81" s="852">
        <v>0</v>
      </c>
      <c r="U81" s="468" t="s">
        <v>3235</v>
      </c>
      <c r="V81" s="472" t="s">
        <v>3239</v>
      </c>
      <c r="W81" s="498">
        <v>770</v>
      </c>
      <c r="X81" s="468" t="s">
        <v>2276</v>
      </c>
      <c r="Y81" s="468" t="s">
        <v>3232</v>
      </c>
      <c r="Z81" s="468"/>
      <c r="AA81" s="468" t="s">
        <v>1915</v>
      </c>
      <c r="AB81" s="469" t="s">
        <v>1537</v>
      </c>
    </row>
    <row r="82" spans="1:28" ht="24" customHeight="1">
      <c r="A82" s="583"/>
      <c r="B82" s="460" t="s">
        <v>675</v>
      </c>
      <c r="C82" s="458" t="s">
        <v>3240</v>
      </c>
      <c r="D82" s="510" t="s">
        <v>3241</v>
      </c>
      <c r="E82" s="498">
        <f t="shared" si="7"/>
        <v>290</v>
      </c>
      <c r="F82" s="498">
        <v>0</v>
      </c>
      <c r="G82" s="498">
        <v>290</v>
      </c>
      <c r="H82" s="498">
        <v>0</v>
      </c>
      <c r="I82" s="498">
        <f t="shared" si="8"/>
        <v>165</v>
      </c>
      <c r="J82" s="498">
        <v>0</v>
      </c>
      <c r="K82" s="498">
        <v>165</v>
      </c>
      <c r="L82" s="668">
        <v>0</v>
      </c>
      <c r="M82" s="956">
        <v>0.97</v>
      </c>
      <c r="N82" s="653">
        <v>0.8</v>
      </c>
      <c r="O82" s="702" t="s">
        <v>3230</v>
      </c>
      <c r="P82" s="468" t="s">
        <v>1588</v>
      </c>
      <c r="Q82" s="852">
        <v>0</v>
      </c>
      <c r="R82" s="852">
        <v>0</v>
      </c>
      <c r="S82" s="852">
        <v>0</v>
      </c>
      <c r="T82" s="852">
        <v>0</v>
      </c>
      <c r="U82" s="468" t="s">
        <v>3235</v>
      </c>
      <c r="V82" s="472" t="s">
        <v>3242</v>
      </c>
      <c r="W82" s="498">
        <v>2787</v>
      </c>
      <c r="X82" s="468" t="s">
        <v>2276</v>
      </c>
      <c r="Y82" s="468" t="s">
        <v>3232</v>
      </c>
      <c r="Z82" s="468"/>
      <c r="AA82" s="468" t="s">
        <v>1915</v>
      </c>
      <c r="AB82" s="469" t="s">
        <v>1537</v>
      </c>
    </row>
    <row r="83" spans="1:28" ht="24" customHeight="1">
      <c r="A83" s="583" t="s">
        <v>1808</v>
      </c>
      <c r="B83" s="458" t="s">
        <v>5937</v>
      </c>
      <c r="C83" s="458"/>
      <c r="D83" s="510"/>
      <c r="E83" s="498" t="s">
        <v>7368</v>
      </c>
      <c r="F83" s="498">
        <v>0</v>
      </c>
      <c r="G83" s="498" t="s">
        <v>6296</v>
      </c>
      <c r="H83" s="498" t="s">
        <v>7369</v>
      </c>
      <c r="I83" s="498" t="s">
        <v>7390</v>
      </c>
      <c r="J83" s="498" t="s">
        <v>6134</v>
      </c>
      <c r="K83" s="498" t="s">
        <v>7548</v>
      </c>
      <c r="L83" s="668" t="s">
        <v>7589</v>
      </c>
      <c r="M83" s="956"/>
      <c r="N83" s="659" t="s">
        <v>7549</v>
      </c>
      <c r="O83" s="669" t="s">
        <v>1588</v>
      </c>
      <c r="P83" s="463" t="s">
        <v>1588</v>
      </c>
      <c r="Q83" s="852">
        <f>Q84+Q195</f>
        <v>3880.3539062500004</v>
      </c>
      <c r="R83" s="852">
        <f>R84+R195</f>
        <v>2621.1</v>
      </c>
      <c r="S83" s="852">
        <f>S84+S195</f>
        <v>1474</v>
      </c>
      <c r="T83" s="852">
        <f>T84+T195</f>
        <v>12</v>
      </c>
      <c r="U83" s="463" t="s">
        <v>7531</v>
      </c>
      <c r="V83" s="463"/>
      <c r="W83" s="498">
        <f>W84+W195</f>
        <v>3761110.2810000004</v>
      </c>
      <c r="X83" s="463"/>
      <c r="Y83" s="463"/>
      <c r="Z83" s="463"/>
      <c r="AA83" s="463"/>
      <c r="AB83" s="459"/>
    </row>
    <row r="84" spans="1:28" ht="24" customHeight="1">
      <c r="A84" s="582" t="s">
        <v>1674</v>
      </c>
      <c r="B84" s="453" t="s">
        <v>5935</v>
      </c>
      <c r="C84" s="579"/>
      <c r="D84" s="579"/>
      <c r="E84" s="498" t="s">
        <v>6130</v>
      </c>
      <c r="F84" s="498">
        <v>0</v>
      </c>
      <c r="G84" s="498" t="s">
        <v>6131</v>
      </c>
      <c r="H84" s="498" t="s">
        <v>6132</v>
      </c>
      <c r="I84" s="498" t="s">
        <v>6133</v>
      </c>
      <c r="J84" s="498" t="s">
        <v>6134</v>
      </c>
      <c r="K84" s="498" t="s">
        <v>6135</v>
      </c>
      <c r="L84" s="668" t="s">
        <v>7588</v>
      </c>
      <c r="M84" s="956"/>
      <c r="N84" s="659" t="s">
        <v>7550</v>
      </c>
      <c r="O84" s="669" t="s">
        <v>1588</v>
      </c>
      <c r="P84" s="463" t="s">
        <v>1588</v>
      </c>
      <c r="Q84" s="852">
        <f>SUM(Q85:Q194)</f>
        <v>3757.3539062500004</v>
      </c>
      <c r="R84" s="852">
        <f>SUM(R85:R194)</f>
        <v>2214.1</v>
      </c>
      <c r="S84" s="852">
        <f>SUM(S85:S194)</f>
        <v>1387</v>
      </c>
      <c r="T84" s="852">
        <f>SUM(T85:T194)</f>
        <v>5</v>
      </c>
      <c r="U84" s="463"/>
      <c r="V84" s="463"/>
      <c r="W84" s="498">
        <f>SUM(W85:W194)</f>
        <v>3208386.0610000002</v>
      </c>
      <c r="X84" s="463"/>
      <c r="Y84" s="463"/>
      <c r="Z84" s="463"/>
      <c r="AA84" s="463"/>
      <c r="AB84" s="459"/>
    </row>
    <row r="85" spans="1:28" ht="24" customHeight="1">
      <c r="A85" s="586" t="s">
        <v>1809</v>
      </c>
      <c r="B85" s="615" t="s">
        <v>2201</v>
      </c>
      <c r="C85" s="704" t="s">
        <v>3243</v>
      </c>
      <c r="D85" s="705" t="s">
        <v>3244</v>
      </c>
      <c r="E85" s="654">
        <v>220000</v>
      </c>
      <c r="F85" s="654">
        <v>0</v>
      </c>
      <c r="G85" s="654">
        <v>220000</v>
      </c>
      <c r="H85" s="654">
        <v>0</v>
      </c>
      <c r="I85" s="654">
        <f t="shared" ref="I85:I93" si="9">SUM(J85:L85)</f>
        <v>208340</v>
      </c>
      <c r="J85" s="654">
        <v>0</v>
      </c>
      <c r="K85" s="654">
        <v>208340</v>
      </c>
      <c r="L85" s="706">
        <v>0</v>
      </c>
      <c r="M85" s="956">
        <v>0.91426783479349194</v>
      </c>
      <c r="N85" s="653">
        <v>30438.474000000009</v>
      </c>
      <c r="O85" s="707" t="s">
        <v>1535</v>
      </c>
      <c r="P85" s="474" t="s">
        <v>3245</v>
      </c>
      <c r="Q85" s="867">
        <v>0</v>
      </c>
      <c r="R85" s="867">
        <v>0</v>
      </c>
      <c r="S85" s="867">
        <v>0</v>
      </c>
      <c r="T85" s="867">
        <v>0</v>
      </c>
      <c r="U85" s="475"/>
      <c r="V85" s="475" t="s">
        <v>3246</v>
      </c>
      <c r="W85" s="498">
        <v>79186</v>
      </c>
      <c r="X85" s="476" t="s">
        <v>1532</v>
      </c>
      <c r="Y85" s="475"/>
      <c r="Z85" s="476" t="s">
        <v>3247</v>
      </c>
      <c r="AA85" s="476" t="s">
        <v>1820</v>
      </c>
      <c r="AB85" s="133"/>
    </row>
    <row r="86" spans="1:28" ht="24" customHeight="1">
      <c r="A86" s="585"/>
      <c r="B86" s="611" t="s">
        <v>2201</v>
      </c>
      <c r="C86" s="704" t="s">
        <v>3248</v>
      </c>
      <c r="D86" s="705" t="s">
        <v>508</v>
      </c>
      <c r="E86" s="654">
        <v>300000</v>
      </c>
      <c r="F86" s="654">
        <v>0</v>
      </c>
      <c r="G86" s="654">
        <v>0</v>
      </c>
      <c r="H86" s="654">
        <v>300000</v>
      </c>
      <c r="I86" s="654">
        <f>SUM(J86:L86)</f>
        <v>258577</v>
      </c>
      <c r="J86" s="654">
        <v>0</v>
      </c>
      <c r="K86" s="654">
        <v>0</v>
      </c>
      <c r="L86" s="706">
        <v>258577</v>
      </c>
      <c r="M86" s="958">
        <v>0.92803504380475599</v>
      </c>
      <c r="N86" s="653">
        <v>3287.5686900500627</v>
      </c>
      <c r="O86" s="708" t="s">
        <v>3249</v>
      </c>
      <c r="P86" s="464" t="s">
        <v>1588</v>
      </c>
      <c r="Q86" s="867">
        <v>502</v>
      </c>
      <c r="R86" s="867">
        <v>0</v>
      </c>
      <c r="S86" s="867">
        <v>426</v>
      </c>
      <c r="T86" s="867">
        <v>0</v>
      </c>
      <c r="U86" s="475"/>
      <c r="V86" s="476" t="s">
        <v>3250</v>
      </c>
      <c r="W86" s="498">
        <v>190391</v>
      </c>
      <c r="X86" s="476" t="s">
        <v>1532</v>
      </c>
      <c r="Y86" s="475"/>
      <c r="Z86" s="476" t="s">
        <v>3247</v>
      </c>
      <c r="AA86" s="476" t="s">
        <v>1820</v>
      </c>
      <c r="AB86" s="133"/>
    </row>
    <row r="87" spans="1:28" ht="24" customHeight="1">
      <c r="A87" s="587" t="s">
        <v>1810</v>
      </c>
      <c r="B87" s="611" t="s">
        <v>2201</v>
      </c>
      <c r="C87" s="500" t="s">
        <v>2019</v>
      </c>
      <c r="D87" s="705" t="s">
        <v>3251</v>
      </c>
      <c r="E87" s="654">
        <v>435000</v>
      </c>
      <c r="F87" s="654">
        <v>0</v>
      </c>
      <c r="G87" s="654">
        <v>395000</v>
      </c>
      <c r="H87" s="654">
        <v>40000</v>
      </c>
      <c r="I87" s="654">
        <f t="shared" si="9"/>
        <v>411979</v>
      </c>
      <c r="J87" s="654">
        <v>0</v>
      </c>
      <c r="K87" s="654">
        <v>371979</v>
      </c>
      <c r="L87" s="706">
        <v>40000</v>
      </c>
      <c r="M87" s="958">
        <v>0.93897948448185165</v>
      </c>
      <c r="N87" s="653">
        <v>73538.251499999984</v>
      </c>
      <c r="O87" s="709" t="s">
        <v>3252</v>
      </c>
      <c r="P87" s="463" t="s">
        <v>1588</v>
      </c>
      <c r="Q87" s="867">
        <v>362</v>
      </c>
      <c r="R87" s="867">
        <v>0</v>
      </c>
      <c r="S87" s="867">
        <v>0</v>
      </c>
      <c r="T87" s="867">
        <v>0</v>
      </c>
      <c r="U87" s="132" t="s">
        <v>3253</v>
      </c>
      <c r="V87" s="132" t="s">
        <v>3254</v>
      </c>
      <c r="W87" s="498">
        <v>142709</v>
      </c>
      <c r="X87" s="132" t="s">
        <v>1532</v>
      </c>
      <c r="Y87" s="477" t="s">
        <v>3255</v>
      </c>
      <c r="Z87" s="132" t="s">
        <v>1811</v>
      </c>
      <c r="AA87" s="132" t="s">
        <v>1534</v>
      </c>
      <c r="AB87" s="133" t="s">
        <v>1534</v>
      </c>
    </row>
    <row r="88" spans="1:28" ht="24" customHeight="1">
      <c r="A88" s="582" t="s">
        <v>1988</v>
      </c>
      <c r="B88" s="460" t="s">
        <v>2201</v>
      </c>
      <c r="C88" s="458" t="s">
        <v>2202</v>
      </c>
      <c r="D88" s="510" t="s">
        <v>2203</v>
      </c>
      <c r="E88" s="655">
        <v>270000</v>
      </c>
      <c r="F88" s="655">
        <v>0</v>
      </c>
      <c r="G88" s="655">
        <v>270000</v>
      </c>
      <c r="H88" s="655">
        <v>0</v>
      </c>
      <c r="I88" s="655">
        <f t="shared" si="9"/>
        <v>212993</v>
      </c>
      <c r="J88" s="655">
        <v>0</v>
      </c>
      <c r="K88" s="655">
        <v>212993</v>
      </c>
      <c r="L88" s="710">
        <v>0</v>
      </c>
      <c r="M88" s="958">
        <v>0.90022805017103769</v>
      </c>
      <c r="N88" s="653">
        <v>33631.594700000001</v>
      </c>
      <c r="O88" s="669" t="s">
        <v>1535</v>
      </c>
      <c r="P88" s="463" t="s">
        <v>1588</v>
      </c>
      <c r="Q88" s="864">
        <v>209</v>
      </c>
      <c r="R88" s="864">
        <v>0</v>
      </c>
      <c r="S88" s="864">
        <v>0</v>
      </c>
      <c r="T88" s="864">
        <v>0</v>
      </c>
      <c r="U88" s="463" t="s">
        <v>3256</v>
      </c>
      <c r="V88" s="466" t="s">
        <v>3257</v>
      </c>
      <c r="W88" s="498">
        <v>100600</v>
      </c>
      <c r="X88" s="479" t="s">
        <v>3205</v>
      </c>
      <c r="Y88" s="480" t="s">
        <v>3161</v>
      </c>
      <c r="Z88" s="480" t="s">
        <v>1595</v>
      </c>
      <c r="AA88" s="480" t="s">
        <v>1534</v>
      </c>
      <c r="AB88" s="481"/>
    </row>
    <row r="89" spans="1:28" ht="24" customHeight="1">
      <c r="A89" s="584"/>
      <c r="B89" s="460" t="s">
        <v>2201</v>
      </c>
      <c r="C89" s="458" t="s">
        <v>140</v>
      </c>
      <c r="D89" s="510" t="s">
        <v>3258</v>
      </c>
      <c r="E89" s="655">
        <v>30000</v>
      </c>
      <c r="F89" s="655">
        <v>0</v>
      </c>
      <c r="G89" s="655">
        <v>0</v>
      </c>
      <c r="H89" s="655">
        <v>30000</v>
      </c>
      <c r="I89" s="655">
        <f t="shared" si="9"/>
        <v>14082</v>
      </c>
      <c r="J89" s="655">
        <v>0</v>
      </c>
      <c r="K89" s="655">
        <v>0</v>
      </c>
      <c r="L89" s="710">
        <v>14082</v>
      </c>
      <c r="M89" s="959">
        <v>0.97047970479704793</v>
      </c>
      <c r="N89" s="653">
        <v>740.71319999999992</v>
      </c>
      <c r="O89" s="669" t="s">
        <v>3259</v>
      </c>
      <c r="P89" s="463" t="s">
        <v>1588</v>
      </c>
      <c r="Q89" s="864">
        <v>0</v>
      </c>
      <c r="R89" s="864">
        <v>0</v>
      </c>
      <c r="S89" s="864">
        <v>0</v>
      </c>
      <c r="T89" s="864">
        <v>0</v>
      </c>
      <c r="U89" s="463" t="s">
        <v>3256</v>
      </c>
      <c r="V89" s="480" t="s">
        <v>3260</v>
      </c>
      <c r="W89" s="498">
        <v>58560</v>
      </c>
      <c r="X89" s="479" t="s">
        <v>2199</v>
      </c>
      <c r="Y89" s="482" t="s">
        <v>3161</v>
      </c>
      <c r="Z89" s="463" t="s">
        <v>560</v>
      </c>
      <c r="AA89" s="463" t="s">
        <v>1534</v>
      </c>
      <c r="AB89" s="459"/>
    </row>
    <row r="90" spans="1:28" ht="24" customHeight="1">
      <c r="A90" s="586" t="s">
        <v>1812</v>
      </c>
      <c r="B90" s="473" t="s">
        <v>2201</v>
      </c>
      <c r="C90" s="500" t="s">
        <v>3261</v>
      </c>
      <c r="D90" s="705" t="s">
        <v>3262</v>
      </c>
      <c r="E90" s="654">
        <f>SUM(F90:H90)</f>
        <v>900000</v>
      </c>
      <c r="F90" s="654">
        <v>0</v>
      </c>
      <c r="G90" s="654">
        <v>600000</v>
      </c>
      <c r="H90" s="654">
        <v>300000</v>
      </c>
      <c r="I90" s="654">
        <f t="shared" si="9"/>
        <v>783218</v>
      </c>
      <c r="J90" s="654">
        <v>0</v>
      </c>
      <c r="K90" s="654">
        <v>560765</v>
      </c>
      <c r="L90" s="706">
        <v>222453</v>
      </c>
      <c r="M90" s="958">
        <v>0.94553376906318087</v>
      </c>
      <c r="N90" s="653">
        <v>101974.98359999999</v>
      </c>
      <c r="O90" s="709" t="s">
        <v>3263</v>
      </c>
      <c r="P90" s="132" t="s">
        <v>3264</v>
      </c>
      <c r="Q90" s="867">
        <v>359</v>
      </c>
      <c r="R90" s="867">
        <v>0</v>
      </c>
      <c r="S90" s="867">
        <v>142</v>
      </c>
      <c r="T90" s="867">
        <v>0</v>
      </c>
      <c r="U90" s="132" t="s">
        <v>2204</v>
      </c>
      <c r="V90" s="132" t="s">
        <v>3265</v>
      </c>
      <c r="W90" s="498">
        <v>399388</v>
      </c>
      <c r="X90" s="132" t="s">
        <v>2199</v>
      </c>
      <c r="Y90" s="132" t="s">
        <v>1533</v>
      </c>
      <c r="Z90" s="132" t="s">
        <v>561</v>
      </c>
      <c r="AA90" s="132" t="s">
        <v>1534</v>
      </c>
      <c r="AB90" s="133" t="s">
        <v>1534</v>
      </c>
    </row>
    <row r="91" spans="1:28" ht="24" customHeight="1">
      <c r="A91" s="587"/>
      <c r="B91" s="473" t="s">
        <v>2201</v>
      </c>
      <c r="C91" s="500" t="s">
        <v>3266</v>
      </c>
      <c r="D91" s="705" t="s">
        <v>3267</v>
      </c>
      <c r="E91" s="654">
        <f>SUM(F91:H91)</f>
        <v>50000</v>
      </c>
      <c r="F91" s="654">
        <v>0</v>
      </c>
      <c r="G91" s="654">
        <v>0</v>
      </c>
      <c r="H91" s="654">
        <v>50000</v>
      </c>
      <c r="I91" s="654">
        <f t="shared" si="9"/>
        <v>29092</v>
      </c>
      <c r="J91" s="654">
        <v>0</v>
      </c>
      <c r="K91" s="654">
        <v>0</v>
      </c>
      <c r="L91" s="706">
        <v>29092</v>
      </c>
      <c r="M91" s="958">
        <v>0.98136645962732916</v>
      </c>
      <c r="N91" s="653">
        <v>2298.268</v>
      </c>
      <c r="O91" s="709" t="s">
        <v>3268</v>
      </c>
      <c r="P91" s="132" t="s">
        <v>3215</v>
      </c>
      <c r="Q91" s="867">
        <v>0</v>
      </c>
      <c r="R91" s="867">
        <v>0</v>
      </c>
      <c r="S91" s="867">
        <v>0</v>
      </c>
      <c r="T91" s="867">
        <v>0</v>
      </c>
      <c r="U91" s="132" t="s">
        <v>7455</v>
      </c>
      <c r="V91" s="483" t="s">
        <v>3269</v>
      </c>
      <c r="W91" s="498">
        <v>89093</v>
      </c>
      <c r="X91" s="132" t="s">
        <v>2199</v>
      </c>
      <c r="Y91" s="132" t="s">
        <v>3161</v>
      </c>
      <c r="Z91" s="132" t="s">
        <v>3270</v>
      </c>
      <c r="AA91" s="132" t="s">
        <v>562</v>
      </c>
      <c r="AB91" s="133" t="s">
        <v>1534</v>
      </c>
    </row>
    <row r="92" spans="1:28" ht="24" customHeight="1">
      <c r="A92" s="586" t="s">
        <v>1813</v>
      </c>
      <c r="B92" s="473" t="s">
        <v>2201</v>
      </c>
      <c r="C92" s="500" t="s">
        <v>2050</v>
      </c>
      <c r="D92" s="705" t="s">
        <v>3271</v>
      </c>
      <c r="E92" s="654">
        <f>F92+G92+H92</f>
        <v>300000</v>
      </c>
      <c r="F92" s="654">
        <v>0</v>
      </c>
      <c r="G92" s="654">
        <v>300000</v>
      </c>
      <c r="H92" s="654">
        <v>0</v>
      </c>
      <c r="I92" s="654">
        <f t="shared" si="9"/>
        <v>181214.8</v>
      </c>
      <c r="J92" s="654">
        <v>0</v>
      </c>
      <c r="K92" s="654">
        <v>181214.8</v>
      </c>
      <c r="L92" s="706">
        <v>0</v>
      </c>
      <c r="M92" s="958">
        <v>0.94611671451484514</v>
      </c>
      <c r="N92" s="653">
        <v>28138.107897377668</v>
      </c>
      <c r="O92" s="709" t="s">
        <v>2198</v>
      </c>
      <c r="P92" s="463" t="s">
        <v>1588</v>
      </c>
      <c r="Q92" s="867">
        <v>211.27390624999998</v>
      </c>
      <c r="R92" s="867">
        <v>0</v>
      </c>
      <c r="S92" s="867">
        <v>130</v>
      </c>
      <c r="T92" s="867">
        <v>0</v>
      </c>
      <c r="U92" s="484" t="s">
        <v>2205</v>
      </c>
      <c r="V92" s="484" t="s">
        <v>3272</v>
      </c>
      <c r="W92" s="498">
        <v>123920</v>
      </c>
      <c r="X92" s="484" t="s">
        <v>2244</v>
      </c>
      <c r="Y92" s="484" t="s">
        <v>673</v>
      </c>
      <c r="Z92" s="484" t="s">
        <v>562</v>
      </c>
      <c r="AA92" s="484" t="s">
        <v>1534</v>
      </c>
      <c r="AB92" s="485" t="s">
        <v>1534</v>
      </c>
    </row>
    <row r="93" spans="1:28" ht="24" customHeight="1">
      <c r="A93" s="587"/>
      <c r="B93" s="615" t="s">
        <v>2201</v>
      </c>
      <c r="C93" s="500" t="s">
        <v>2206</v>
      </c>
      <c r="D93" s="705" t="s">
        <v>3273</v>
      </c>
      <c r="E93" s="654">
        <f>F93+G93+H93</f>
        <v>300000</v>
      </c>
      <c r="F93" s="654">
        <v>0</v>
      </c>
      <c r="G93" s="654">
        <v>262500</v>
      </c>
      <c r="H93" s="654">
        <v>37500</v>
      </c>
      <c r="I93" s="654">
        <f t="shared" si="9"/>
        <v>188944.81369863014</v>
      </c>
      <c r="J93" s="654">
        <v>0</v>
      </c>
      <c r="K93" s="654">
        <v>175059.81369863014</v>
      </c>
      <c r="L93" s="706">
        <v>13885</v>
      </c>
      <c r="M93" s="958">
        <v>0.95203794614747583</v>
      </c>
      <c r="N93" s="653">
        <v>26992.547135402612</v>
      </c>
      <c r="O93" s="709" t="s">
        <v>2198</v>
      </c>
      <c r="P93" s="132" t="s">
        <v>3274</v>
      </c>
      <c r="Q93" s="868">
        <v>178</v>
      </c>
      <c r="R93" s="867">
        <v>0</v>
      </c>
      <c r="S93" s="867">
        <v>0</v>
      </c>
      <c r="T93" s="867">
        <v>0</v>
      </c>
      <c r="U93" s="484" t="s">
        <v>2207</v>
      </c>
      <c r="V93" s="484" t="s">
        <v>3275</v>
      </c>
      <c r="W93" s="498">
        <v>157676</v>
      </c>
      <c r="X93" s="484" t="s">
        <v>2244</v>
      </c>
      <c r="Y93" s="484" t="s">
        <v>673</v>
      </c>
      <c r="Z93" s="484" t="s">
        <v>562</v>
      </c>
      <c r="AA93" s="484" t="s">
        <v>1534</v>
      </c>
      <c r="AB93" s="485" t="s">
        <v>1534</v>
      </c>
    </row>
    <row r="94" spans="1:28" ht="24" customHeight="1">
      <c r="A94" s="586" t="s">
        <v>1814</v>
      </c>
      <c r="B94" s="615" t="s">
        <v>2201</v>
      </c>
      <c r="C94" s="704" t="s">
        <v>3244</v>
      </c>
      <c r="D94" s="705" t="s">
        <v>3276</v>
      </c>
      <c r="E94" s="654">
        <v>385000</v>
      </c>
      <c r="F94" s="654">
        <v>0</v>
      </c>
      <c r="G94" s="654">
        <v>385000</v>
      </c>
      <c r="H94" s="654">
        <v>0</v>
      </c>
      <c r="I94" s="654">
        <f t="shared" ref="I94:I100" si="10">SUM(J94:L94)</f>
        <v>282277</v>
      </c>
      <c r="J94" s="654">
        <v>0</v>
      </c>
      <c r="K94" s="654">
        <v>282277</v>
      </c>
      <c r="L94" s="706">
        <v>0</v>
      </c>
      <c r="M94" s="958">
        <v>0.93627450980392168</v>
      </c>
      <c r="N94" s="653">
        <v>48523.416300000004</v>
      </c>
      <c r="O94" s="709" t="s">
        <v>1535</v>
      </c>
      <c r="P94" s="463" t="s">
        <v>1588</v>
      </c>
      <c r="Q94" s="867">
        <v>431</v>
      </c>
      <c r="R94" s="867">
        <v>0</v>
      </c>
      <c r="S94" s="867">
        <v>269</v>
      </c>
      <c r="T94" s="867">
        <v>0</v>
      </c>
      <c r="U94" s="132" t="s">
        <v>3277</v>
      </c>
      <c r="V94" s="132">
        <v>97.12</v>
      </c>
      <c r="W94" s="498">
        <v>153715</v>
      </c>
      <c r="X94" s="132" t="s">
        <v>2199</v>
      </c>
      <c r="Y94" s="132" t="s">
        <v>1533</v>
      </c>
      <c r="Z94" s="132" t="s">
        <v>1588</v>
      </c>
      <c r="AA94" s="132" t="s">
        <v>1596</v>
      </c>
      <c r="AB94" s="133" t="s">
        <v>1596</v>
      </c>
    </row>
    <row r="95" spans="1:28" ht="24" customHeight="1">
      <c r="A95" s="587"/>
      <c r="B95" s="611" t="s">
        <v>2201</v>
      </c>
      <c r="C95" s="704" t="s">
        <v>508</v>
      </c>
      <c r="D95" s="705" t="s">
        <v>3278</v>
      </c>
      <c r="E95" s="654">
        <f>F95+G95+H95</f>
        <v>149000</v>
      </c>
      <c r="F95" s="654">
        <v>0</v>
      </c>
      <c r="G95" s="654">
        <v>0</v>
      </c>
      <c r="H95" s="654">
        <v>149000</v>
      </c>
      <c r="I95" s="654">
        <f t="shared" si="10"/>
        <v>97513</v>
      </c>
      <c r="J95" s="654">
        <v>0</v>
      </c>
      <c r="K95" s="654">
        <v>0</v>
      </c>
      <c r="L95" s="706">
        <v>97513</v>
      </c>
      <c r="M95" s="958">
        <v>0.9471516815374057</v>
      </c>
      <c r="N95" s="653">
        <v>13456.794</v>
      </c>
      <c r="O95" s="709" t="s">
        <v>3279</v>
      </c>
      <c r="P95" s="463" t="s">
        <v>1588</v>
      </c>
      <c r="Q95" s="867">
        <v>0</v>
      </c>
      <c r="R95" s="867">
        <v>0</v>
      </c>
      <c r="S95" s="867">
        <v>0</v>
      </c>
      <c r="T95" s="867">
        <v>0</v>
      </c>
      <c r="U95" s="132" t="s">
        <v>3280</v>
      </c>
      <c r="V95" s="132" t="s">
        <v>3281</v>
      </c>
      <c r="W95" s="498">
        <v>116953</v>
      </c>
      <c r="X95" s="132" t="s">
        <v>2199</v>
      </c>
      <c r="Y95" s="132" t="s">
        <v>1533</v>
      </c>
      <c r="Z95" s="132" t="s">
        <v>1588</v>
      </c>
      <c r="AA95" s="132" t="s">
        <v>1596</v>
      </c>
      <c r="AB95" s="133" t="s">
        <v>1596</v>
      </c>
    </row>
    <row r="96" spans="1:28" ht="24" customHeight="1">
      <c r="A96" s="587"/>
      <c r="B96" s="611" t="s">
        <v>2201</v>
      </c>
      <c r="C96" s="500" t="s">
        <v>145</v>
      </c>
      <c r="D96" s="705" t="s">
        <v>2103</v>
      </c>
      <c r="E96" s="654">
        <v>3000</v>
      </c>
      <c r="F96" s="654">
        <v>0</v>
      </c>
      <c r="G96" s="654" t="s">
        <v>1704</v>
      </c>
      <c r="H96" s="654">
        <v>3000</v>
      </c>
      <c r="I96" s="654">
        <f t="shared" si="10"/>
        <v>464</v>
      </c>
      <c r="J96" s="654">
        <v>0</v>
      </c>
      <c r="K96" s="654">
        <v>0</v>
      </c>
      <c r="L96" s="706">
        <v>464</v>
      </c>
      <c r="M96" s="958">
        <v>0.9780219780219781</v>
      </c>
      <c r="N96" s="653">
        <v>57.814400000000006</v>
      </c>
      <c r="O96" s="709" t="s">
        <v>3282</v>
      </c>
      <c r="P96" s="463" t="s">
        <v>1588</v>
      </c>
      <c r="Q96" s="867">
        <v>0</v>
      </c>
      <c r="R96" s="867">
        <v>0</v>
      </c>
      <c r="S96" s="867" t="s">
        <v>1704</v>
      </c>
      <c r="T96" s="867" t="s">
        <v>1704</v>
      </c>
      <c r="U96" s="132" t="s">
        <v>7456</v>
      </c>
      <c r="V96" s="483" t="s">
        <v>3283</v>
      </c>
      <c r="W96" s="498">
        <v>26261</v>
      </c>
      <c r="X96" s="132" t="s">
        <v>2199</v>
      </c>
      <c r="Y96" s="132" t="s">
        <v>3161</v>
      </c>
      <c r="Z96" s="132" t="s">
        <v>3284</v>
      </c>
      <c r="AA96" s="132" t="s">
        <v>1596</v>
      </c>
      <c r="AB96" s="133" t="s">
        <v>1596</v>
      </c>
    </row>
    <row r="97" spans="1:28" ht="24" customHeight="1">
      <c r="A97" s="586" t="s">
        <v>1815</v>
      </c>
      <c r="B97" s="473" t="s">
        <v>2201</v>
      </c>
      <c r="C97" s="500" t="s">
        <v>2212</v>
      </c>
      <c r="D97" s="705" t="s">
        <v>3285</v>
      </c>
      <c r="E97" s="654">
        <v>50000</v>
      </c>
      <c r="F97" s="654">
        <v>0</v>
      </c>
      <c r="G97" s="654">
        <v>0</v>
      </c>
      <c r="H97" s="654">
        <v>50000</v>
      </c>
      <c r="I97" s="654">
        <f t="shared" si="10"/>
        <v>27814</v>
      </c>
      <c r="J97" s="654">
        <v>0</v>
      </c>
      <c r="K97" s="654">
        <v>0</v>
      </c>
      <c r="L97" s="706">
        <v>27814</v>
      </c>
      <c r="M97" s="958">
        <v>0.98302300109529028</v>
      </c>
      <c r="N97" s="653">
        <v>4992.6130000000003</v>
      </c>
      <c r="O97" s="709" t="s">
        <v>2303</v>
      </c>
      <c r="P97" s="132" t="s">
        <v>3286</v>
      </c>
      <c r="Q97" s="867">
        <v>90</v>
      </c>
      <c r="R97" s="867">
        <v>0</v>
      </c>
      <c r="S97" s="867">
        <v>0</v>
      </c>
      <c r="T97" s="867">
        <v>0</v>
      </c>
      <c r="U97" s="132" t="s">
        <v>3287</v>
      </c>
      <c r="V97" s="483" t="s">
        <v>3288</v>
      </c>
      <c r="W97" s="498">
        <v>65010</v>
      </c>
      <c r="X97" s="132" t="s">
        <v>2199</v>
      </c>
      <c r="Y97" s="132" t="s">
        <v>3289</v>
      </c>
      <c r="Z97" s="132" t="s">
        <v>1594</v>
      </c>
      <c r="AA97" s="132" t="s">
        <v>1820</v>
      </c>
      <c r="AB97" s="133" t="s">
        <v>1596</v>
      </c>
    </row>
    <row r="98" spans="1:28" ht="24" customHeight="1">
      <c r="A98" s="587"/>
      <c r="B98" s="473" t="s">
        <v>2201</v>
      </c>
      <c r="C98" s="500" t="s">
        <v>509</v>
      </c>
      <c r="D98" s="705" t="s">
        <v>3290</v>
      </c>
      <c r="E98" s="654">
        <v>35000</v>
      </c>
      <c r="F98" s="654" t="s">
        <v>1588</v>
      </c>
      <c r="G98" s="654" t="s">
        <v>1588</v>
      </c>
      <c r="H98" s="654">
        <v>35000</v>
      </c>
      <c r="I98" s="654">
        <f t="shared" si="10"/>
        <v>16660</v>
      </c>
      <c r="J98" s="654" t="s">
        <v>1588</v>
      </c>
      <c r="K98" s="654" t="s">
        <v>1588</v>
      </c>
      <c r="L98" s="706">
        <v>16660</v>
      </c>
      <c r="M98" s="958">
        <v>0.99172621286197826</v>
      </c>
      <c r="N98" s="653">
        <v>4393.2420000000002</v>
      </c>
      <c r="O98" s="711" t="s">
        <v>3215</v>
      </c>
      <c r="P98" s="486" t="s">
        <v>3291</v>
      </c>
      <c r="Q98" s="867" t="s">
        <v>1588</v>
      </c>
      <c r="R98" s="867" t="s">
        <v>1588</v>
      </c>
      <c r="S98" s="867" t="s">
        <v>1588</v>
      </c>
      <c r="T98" s="867" t="s">
        <v>1588</v>
      </c>
      <c r="U98" s="487" t="s">
        <v>3292</v>
      </c>
      <c r="V98" s="483" t="s">
        <v>3288</v>
      </c>
      <c r="W98" s="498">
        <v>84582</v>
      </c>
      <c r="X98" s="488" t="s">
        <v>2199</v>
      </c>
      <c r="Y98" s="132" t="s">
        <v>3289</v>
      </c>
      <c r="Z98" s="132" t="s">
        <v>1820</v>
      </c>
      <c r="AA98" s="489" t="s">
        <v>1588</v>
      </c>
      <c r="AB98" s="133" t="s">
        <v>1596</v>
      </c>
    </row>
    <row r="99" spans="1:28" ht="24" customHeight="1">
      <c r="A99" s="587"/>
      <c r="B99" s="473" t="s">
        <v>2201</v>
      </c>
      <c r="C99" s="500" t="s">
        <v>2210</v>
      </c>
      <c r="D99" s="705" t="s">
        <v>3293</v>
      </c>
      <c r="E99" s="654">
        <v>48000</v>
      </c>
      <c r="F99" s="654">
        <v>0</v>
      </c>
      <c r="G99" s="654">
        <v>0</v>
      </c>
      <c r="H99" s="654">
        <v>48000</v>
      </c>
      <c r="I99" s="654">
        <f t="shared" si="10"/>
        <v>45280</v>
      </c>
      <c r="J99" s="654">
        <v>0</v>
      </c>
      <c r="K99" s="654">
        <v>0</v>
      </c>
      <c r="L99" s="706">
        <v>45280</v>
      </c>
      <c r="M99" s="958">
        <v>0.94380530973451338</v>
      </c>
      <c r="N99" s="653">
        <v>9658.224000000002</v>
      </c>
      <c r="O99" s="709" t="s">
        <v>2303</v>
      </c>
      <c r="P99" s="463" t="s">
        <v>1588</v>
      </c>
      <c r="Q99" s="867">
        <v>120</v>
      </c>
      <c r="R99" s="867">
        <v>1100</v>
      </c>
      <c r="S99" s="867">
        <v>0</v>
      </c>
      <c r="T99" s="867">
        <v>0</v>
      </c>
      <c r="U99" s="132" t="s">
        <v>3294</v>
      </c>
      <c r="V99" s="132" t="s">
        <v>3295</v>
      </c>
      <c r="W99" s="498">
        <v>70466</v>
      </c>
      <c r="X99" s="132" t="s">
        <v>1532</v>
      </c>
      <c r="Y99" s="132" t="s">
        <v>720</v>
      </c>
      <c r="Z99" s="132" t="s">
        <v>1816</v>
      </c>
      <c r="AA99" s="132" t="s">
        <v>1836</v>
      </c>
      <c r="AB99" s="133" t="s">
        <v>1534</v>
      </c>
    </row>
    <row r="100" spans="1:28" ht="24" customHeight="1">
      <c r="A100" s="587"/>
      <c r="B100" s="473" t="s">
        <v>675</v>
      </c>
      <c r="C100" s="500" t="s">
        <v>3296</v>
      </c>
      <c r="D100" s="705" t="s">
        <v>3297</v>
      </c>
      <c r="E100" s="654">
        <v>23</v>
      </c>
      <c r="F100" s="654">
        <v>0</v>
      </c>
      <c r="G100" s="654">
        <v>0</v>
      </c>
      <c r="H100" s="654">
        <v>23</v>
      </c>
      <c r="I100" s="654">
        <f t="shared" si="10"/>
        <v>23</v>
      </c>
      <c r="J100" s="654">
        <v>0</v>
      </c>
      <c r="K100" s="654">
        <v>0</v>
      </c>
      <c r="L100" s="706">
        <v>23</v>
      </c>
      <c r="M100" s="956">
        <v>0.9</v>
      </c>
      <c r="N100" s="653">
        <v>217.66</v>
      </c>
      <c r="O100" s="709" t="s">
        <v>3298</v>
      </c>
      <c r="P100" s="463" t="s">
        <v>1588</v>
      </c>
      <c r="Q100" s="867">
        <v>0</v>
      </c>
      <c r="R100" s="867">
        <v>0</v>
      </c>
      <c r="S100" s="867">
        <v>0</v>
      </c>
      <c r="T100" s="867">
        <v>0</v>
      </c>
      <c r="U100" s="132" t="s">
        <v>3294</v>
      </c>
      <c r="V100" s="132" t="s">
        <v>3299</v>
      </c>
      <c r="W100" s="498">
        <v>150</v>
      </c>
      <c r="X100" s="132" t="s">
        <v>1532</v>
      </c>
      <c r="Y100" s="132" t="s">
        <v>3232</v>
      </c>
      <c r="Z100" s="132" t="s">
        <v>3300</v>
      </c>
      <c r="AA100" s="132" t="s">
        <v>3301</v>
      </c>
      <c r="AB100" s="133" t="s">
        <v>1596</v>
      </c>
    </row>
    <row r="101" spans="1:28" ht="24" customHeight="1">
      <c r="A101" s="587"/>
      <c r="B101" s="473" t="s">
        <v>675</v>
      </c>
      <c r="C101" s="500" t="s">
        <v>3302</v>
      </c>
      <c r="D101" s="705" t="s">
        <v>3303</v>
      </c>
      <c r="E101" s="654">
        <v>39</v>
      </c>
      <c r="F101" s="654">
        <v>0</v>
      </c>
      <c r="G101" s="654">
        <v>0</v>
      </c>
      <c r="H101" s="654">
        <v>39</v>
      </c>
      <c r="I101" s="654">
        <f t="shared" ref="I101:I109" si="11">SUM(J101:L101)</f>
        <v>39</v>
      </c>
      <c r="J101" s="654">
        <v>0</v>
      </c>
      <c r="K101" s="654">
        <v>0</v>
      </c>
      <c r="L101" s="706">
        <v>39</v>
      </c>
      <c r="M101" s="958">
        <v>0.95</v>
      </c>
      <c r="N101" s="653">
        <v>415.14</v>
      </c>
      <c r="O101" s="709" t="s">
        <v>3298</v>
      </c>
      <c r="P101" s="463" t="s">
        <v>1588</v>
      </c>
      <c r="Q101" s="867">
        <v>0</v>
      </c>
      <c r="R101" s="867">
        <v>0</v>
      </c>
      <c r="S101" s="867">
        <v>0</v>
      </c>
      <c r="T101" s="867">
        <v>0</v>
      </c>
      <c r="U101" s="132" t="s">
        <v>3294</v>
      </c>
      <c r="V101" s="132" t="s">
        <v>3304</v>
      </c>
      <c r="W101" s="498">
        <v>85</v>
      </c>
      <c r="X101" s="132" t="s">
        <v>1532</v>
      </c>
      <c r="Y101" s="132" t="s">
        <v>3232</v>
      </c>
      <c r="Z101" s="132" t="s">
        <v>3305</v>
      </c>
      <c r="AA101" s="132" t="s">
        <v>3301</v>
      </c>
      <c r="AB101" s="133" t="s">
        <v>1596</v>
      </c>
    </row>
    <row r="102" spans="1:28" ht="24" customHeight="1">
      <c r="A102" s="587"/>
      <c r="B102" s="473" t="s">
        <v>675</v>
      </c>
      <c r="C102" s="500" t="s">
        <v>3306</v>
      </c>
      <c r="D102" s="705" t="s">
        <v>3307</v>
      </c>
      <c r="E102" s="654">
        <v>35</v>
      </c>
      <c r="F102" s="654">
        <v>0</v>
      </c>
      <c r="G102" s="654">
        <v>0</v>
      </c>
      <c r="H102" s="654">
        <v>35</v>
      </c>
      <c r="I102" s="654">
        <f t="shared" si="11"/>
        <v>35</v>
      </c>
      <c r="J102" s="654">
        <v>0</v>
      </c>
      <c r="K102" s="654">
        <v>0</v>
      </c>
      <c r="L102" s="706">
        <v>35</v>
      </c>
      <c r="M102" s="958">
        <v>0.96599999999999997</v>
      </c>
      <c r="N102" s="653">
        <v>353.07</v>
      </c>
      <c r="O102" s="709" t="s">
        <v>3298</v>
      </c>
      <c r="P102" s="463" t="s">
        <v>1588</v>
      </c>
      <c r="Q102" s="867">
        <v>0</v>
      </c>
      <c r="R102" s="867">
        <v>0</v>
      </c>
      <c r="S102" s="867">
        <v>0</v>
      </c>
      <c r="T102" s="867">
        <v>0</v>
      </c>
      <c r="U102" s="132" t="s">
        <v>3294</v>
      </c>
      <c r="V102" s="132" t="s">
        <v>3308</v>
      </c>
      <c r="W102" s="498">
        <v>93</v>
      </c>
      <c r="X102" s="132" t="s">
        <v>1532</v>
      </c>
      <c r="Y102" s="132" t="s">
        <v>3232</v>
      </c>
      <c r="Z102" s="132" t="s">
        <v>3309</v>
      </c>
      <c r="AA102" s="132" t="s">
        <v>3301</v>
      </c>
      <c r="AB102" s="133" t="s">
        <v>1596</v>
      </c>
    </row>
    <row r="103" spans="1:28" ht="24" customHeight="1">
      <c r="A103" s="587"/>
      <c r="B103" s="473" t="s">
        <v>675</v>
      </c>
      <c r="C103" s="500" t="s">
        <v>3310</v>
      </c>
      <c r="D103" s="705" t="s">
        <v>3311</v>
      </c>
      <c r="E103" s="654">
        <v>40</v>
      </c>
      <c r="F103" s="654">
        <v>0</v>
      </c>
      <c r="G103" s="654">
        <v>0</v>
      </c>
      <c r="H103" s="654">
        <v>40</v>
      </c>
      <c r="I103" s="654">
        <f t="shared" si="11"/>
        <v>40</v>
      </c>
      <c r="J103" s="654">
        <v>0</v>
      </c>
      <c r="K103" s="654">
        <v>0</v>
      </c>
      <c r="L103" s="706">
        <v>40</v>
      </c>
      <c r="M103" s="958">
        <v>0.95</v>
      </c>
      <c r="N103" s="653">
        <v>442.85</v>
      </c>
      <c r="O103" s="709" t="s">
        <v>3298</v>
      </c>
      <c r="P103" s="463" t="s">
        <v>1588</v>
      </c>
      <c r="Q103" s="867">
        <v>0</v>
      </c>
      <c r="R103" s="867">
        <v>0</v>
      </c>
      <c r="S103" s="867">
        <v>0</v>
      </c>
      <c r="T103" s="867">
        <v>0</v>
      </c>
      <c r="U103" s="132" t="s">
        <v>3294</v>
      </c>
      <c r="V103" s="132" t="s">
        <v>3312</v>
      </c>
      <c r="W103" s="498">
        <v>415</v>
      </c>
      <c r="X103" s="132" t="s">
        <v>1532</v>
      </c>
      <c r="Y103" s="132" t="s">
        <v>3232</v>
      </c>
      <c r="Z103" s="132" t="s">
        <v>3313</v>
      </c>
      <c r="AA103" s="132" t="s">
        <v>3301</v>
      </c>
      <c r="AB103" s="133" t="s">
        <v>1596</v>
      </c>
    </row>
    <row r="104" spans="1:28" ht="24" customHeight="1">
      <c r="A104" s="587"/>
      <c r="B104" s="473" t="s">
        <v>675</v>
      </c>
      <c r="C104" s="500" t="s">
        <v>3314</v>
      </c>
      <c r="D104" s="705" t="s">
        <v>3315</v>
      </c>
      <c r="E104" s="654">
        <v>100</v>
      </c>
      <c r="F104" s="654">
        <v>0</v>
      </c>
      <c r="G104" s="654">
        <v>0</v>
      </c>
      <c r="H104" s="654">
        <v>100</v>
      </c>
      <c r="I104" s="654">
        <f t="shared" si="11"/>
        <v>100</v>
      </c>
      <c r="J104" s="654">
        <v>0</v>
      </c>
      <c r="K104" s="654">
        <v>0</v>
      </c>
      <c r="L104" s="706">
        <v>100</v>
      </c>
      <c r="M104" s="958">
        <v>0.95</v>
      </c>
      <c r="N104" s="653">
        <v>984.48</v>
      </c>
      <c r="O104" s="709" t="s">
        <v>3316</v>
      </c>
      <c r="P104" s="463" t="s">
        <v>1588</v>
      </c>
      <c r="Q104" s="867">
        <v>0</v>
      </c>
      <c r="R104" s="867">
        <v>0</v>
      </c>
      <c r="S104" s="867">
        <v>0</v>
      </c>
      <c r="T104" s="867">
        <v>0</v>
      </c>
      <c r="U104" s="132" t="s">
        <v>3294</v>
      </c>
      <c r="V104" s="132" t="s">
        <v>3317</v>
      </c>
      <c r="W104" s="498">
        <v>617</v>
      </c>
      <c r="X104" s="132" t="s">
        <v>1532</v>
      </c>
      <c r="Y104" s="132" t="s">
        <v>3232</v>
      </c>
      <c r="Z104" s="132" t="s">
        <v>3318</v>
      </c>
      <c r="AA104" s="132" t="s">
        <v>1816</v>
      </c>
      <c r="AB104" s="133" t="s">
        <v>1534</v>
      </c>
    </row>
    <row r="105" spans="1:28" ht="24" customHeight="1">
      <c r="A105" s="587"/>
      <c r="B105" s="615" t="s">
        <v>675</v>
      </c>
      <c r="C105" s="500" t="s">
        <v>2154</v>
      </c>
      <c r="D105" s="705" t="s">
        <v>3319</v>
      </c>
      <c r="E105" s="654">
        <v>150</v>
      </c>
      <c r="F105" s="654">
        <v>0</v>
      </c>
      <c r="G105" s="654">
        <v>0</v>
      </c>
      <c r="H105" s="654">
        <v>150</v>
      </c>
      <c r="I105" s="654">
        <f t="shared" si="11"/>
        <v>150</v>
      </c>
      <c r="J105" s="654">
        <v>0</v>
      </c>
      <c r="K105" s="654">
        <v>0</v>
      </c>
      <c r="L105" s="706">
        <v>150</v>
      </c>
      <c r="M105" s="958">
        <v>0.95</v>
      </c>
      <c r="N105" s="653">
        <v>1577.9</v>
      </c>
      <c r="O105" s="709" t="s">
        <v>3320</v>
      </c>
      <c r="P105" s="463" t="s">
        <v>1588</v>
      </c>
      <c r="Q105" s="867">
        <v>0</v>
      </c>
      <c r="R105" s="867">
        <v>0</v>
      </c>
      <c r="S105" s="867">
        <v>0</v>
      </c>
      <c r="T105" s="867">
        <v>0</v>
      </c>
      <c r="U105" s="132" t="s">
        <v>3294</v>
      </c>
      <c r="V105" s="132" t="s">
        <v>3321</v>
      </c>
      <c r="W105" s="498">
        <v>1185</v>
      </c>
      <c r="X105" s="132" t="s">
        <v>1532</v>
      </c>
      <c r="Y105" s="132" t="s">
        <v>3232</v>
      </c>
      <c r="Z105" s="132" t="s">
        <v>3322</v>
      </c>
      <c r="AA105" s="132" t="s">
        <v>1816</v>
      </c>
      <c r="AB105" s="133" t="s">
        <v>1534</v>
      </c>
    </row>
    <row r="106" spans="1:28" ht="24" customHeight="1">
      <c r="A106" s="582" t="s">
        <v>1817</v>
      </c>
      <c r="B106" s="612" t="s">
        <v>2201</v>
      </c>
      <c r="C106" s="704" t="s">
        <v>3323</v>
      </c>
      <c r="D106" s="705" t="s">
        <v>3324</v>
      </c>
      <c r="E106" s="654">
        <v>60000</v>
      </c>
      <c r="F106" s="654">
        <v>0</v>
      </c>
      <c r="G106" s="654">
        <v>60000</v>
      </c>
      <c r="H106" s="654">
        <v>0</v>
      </c>
      <c r="I106" s="654">
        <f t="shared" si="11"/>
        <v>29088</v>
      </c>
      <c r="J106" s="654">
        <v>0</v>
      </c>
      <c r="K106" s="654">
        <v>29088</v>
      </c>
      <c r="L106" s="706">
        <v>0</v>
      </c>
      <c r="M106" s="958">
        <v>0.91413474240422721</v>
      </c>
      <c r="N106" s="653">
        <v>4025.7792000000004</v>
      </c>
      <c r="O106" s="709" t="s">
        <v>1535</v>
      </c>
      <c r="P106" s="463" t="s">
        <v>1588</v>
      </c>
      <c r="Q106" s="867">
        <v>253.85</v>
      </c>
      <c r="R106" s="867">
        <v>0</v>
      </c>
      <c r="S106" s="867">
        <v>0</v>
      </c>
      <c r="T106" s="867">
        <v>0</v>
      </c>
      <c r="U106" s="132" t="s">
        <v>3325</v>
      </c>
      <c r="V106" s="132" t="s">
        <v>3326</v>
      </c>
      <c r="W106" s="498">
        <v>13107</v>
      </c>
      <c r="X106" s="132" t="s">
        <v>1532</v>
      </c>
      <c r="Y106" s="132" t="s">
        <v>4034</v>
      </c>
      <c r="Z106" s="132" t="s">
        <v>563</v>
      </c>
      <c r="AA106" s="132" t="s">
        <v>1534</v>
      </c>
      <c r="AB106" s="133" t="s">
        <v>1534</v>
      </c>
    </row>
    <row r="107" spans="1:28" ht="24" customHeight="1">
      <c r="A107" s="587"/>
      <c r="B107" s="616" t="s">
        <v>2201</v>
      </c>
      <c r="C107" s="704" t="s">
        <v>3328</v>
      </c>
      <c r="D107" s="705" t="s">
        <v>3324</v>
      </c>
      <c r="E107" s="654">
        <v>80000</v>
      </c>
      <c r="F107" s="654">
        <v>0</v>
      </c>
      <c r="G107" s="654">
        <v>80000</v>
      </c>
      <c r="H107" s="654">
        <v>0</v>
      </c>
      <c r="I107" s="654">
        <f t="shared" si="11"/>
        <v>75798</v>
      </c>
      <c r="J107" s="654">
        <v>0</v>
      </c>
      <c r="K107" s="654">
        <v>75798</v>
      </c>
      <c r="L107" s="706">
        <v>0</v>
      </c>
      <c r="M107" s="958">
        <v>0.92973286875725902</v>
      </c>
      <c r="N107" s="653">
        <v>12135.259800000002</v>
      </c>
      <c r="O107" s="709" t="s">
        <v>1535</v>
      </c>
      <c r="P107" s="463" t="s">
        <v>1588</v>
      </c>
      <c r="Q107" s="867">
        <v>0</v>
      </c>
      <c r="R107" s="867">
        <v>0</v>
      </c>
      <c r="S107" s="867">
        <v>0</v>
      </c>
      <c r="T107" s="867">
        <v>0</v>
      </c>
      <c r="U107" s="132"/>
      <c r="V107" s="132" t="s">
        <v>3329</v>
      </c>
      <c r="W107" s="498">
        <v>32815</v>
      </c>
      <c r="X107" s="132" t="s">
        <v>1532</v>
      </c>
      <c r="Y107" s="132" t="s">
        <v>4034</v>
      </c>
      <c r="Z107" s="132" t="s">
        <v>563</v>
      </c>
      <c r="AA107" s="132" t="s">
        <v>1534</v>
      </c>
      <c r="AB107" s="133" t="s">
        <v>1534</v>
      </c>
    </row>
    <row r="108" spans="1:28" ht="24" customHeight="1">
      <c r="A108" s="587"/>
      <c r="B108" s="611" t="s">
        <v>2201</v>
      </c>
      <c r="C108" s="704" t="s">
        <v>3330</v>
      </c>
      <c r="D108" s="705" t="s">
        <v>3324</v>
      </c>
      <c r="E108" s="654">
        <v>60000</v>
      </c>
      <c r="F108" s="654">
        <v>0</v>
      </c>
      <c r="G108" s="654">
        <v>60000</v>
      </c>
      <c r="H108" s="654">
        <v>0</v>
      </c>
      <c r="I108" s="654">
        <f t="shared" si="11"/>
        <v>51004</v>
      </c>
      <c r="J108" s="654">
        <v>0</v>
      </c>
      <c r="K108" s="654">
        <v>51004</v>
      </c>
      <c r="L108" s="706">
        <v>0</v>
      </c>
      <c r="M108" s="958">
        <v>0.9343786295005807</v>
      </c>
      <c r="N108" s="653">
        <v>8206.5435999999991</v>
      </c>
      <c r="O108" s="709" t="s">
        <v>1535</v>
      </c>
      <c r="P108" s="463" t="s">
        <v>1588</v>
      </c>
      <c r="Q108" s="867">
        <v>0</v>
      </c>
      <c r="R108" s="867">
        <v>0</v>
      </c>
      <c r="S108" s="867">
        <v>0</v>
      </c>
      <c r="T108" s="867">
        <v>0</v>
      </c>
      <c r="U108" s="132"/>
      <c r="V108" s="132" t="s">
        <v>3331</v>
      </c>
      <c r="W108" s="498">
        <v>51715</v>
      </c>
      <c r="X108" s="132" t="s">
        <v>1532</v>
      </c>
      <c r="Y108" s="132" t="s">
        <v>4034</v>
      </c>
      <c r="Z108" s="132" t="s">
        <v>563</v>
      </c>
      <c r="AA108" s="132" t="s">
        <v>1534</v>
      </c>
      <c r="AB108" s="133" t="s">
        <v>1534</v>
      </c>
    </row>
    <row r="109" spans="1:28" ht="24" customHeight="1">
      <c r="A109" s="586" t="s">
        <v>1818</v>
      </c>
      <c r="B109" s="611" t="s">
        <v>2201</v>
      </c>
      <c r="C109" s="500" t="s">
        <v>148</v>
      </c>
      <c r="D109" s="705" t="s">
        <v>3332</v>
      </c>
      <c r="E109" s="654">
        <v>25000</v>
      </c>
      <c r="F109" s="654">
        <v>0</v>
      </c>
      <c r="G109" s="654">
        <v>0</v>
      </c>
      <c r="H109" s="654">
        <v>25000</v>
      </c>
      <c r="I109" s="654">
        <f t="shared" si="11"/>
        <v>18608</v>
      </c>
      <c r="J109" s="654">
        <v>0</v>
      </c>
      <c r="K109" s="654">
        <v>0</v>
      </c>
      <c r="L109" s="706">
        <v>18608</v>
      </c>
      <c r="M109" s="958">
        <v>0.98051441932969607</v>
      </c>
      <c r="N109" s="653">
        <v>2340.8864000000003</v>
      </c>
      <c r="O109" s="712" t="s">
        <v>3333</v>
      </c>
      <c r="P109" s="834" t="s">
        <v>1588</v>
      </c>
      <c r="Q109" s="1821">
        <v>41</v>
      </c>
      <c r="R109" s="1821">
        <v>321.3</v>
      </c>
      <c r="S109" s="1821">
        <v>0</v>
      </c>
      <c r="T109" s="1821">
        <v>0</v>
      </c>
      <c r="U109" s="490" t="s">
        <v>3334</v>
      </c>
      <c r="V109" s="491" t="s">
        <v>2084</v>
      </c>
      <c r="W109" s="498">
        <v>50702</v>
      </c>
      <c r="X109" s="132" t="s">
        <v>3335</v>
      </c>
      <c r="Y109" s="132" t="s">
        <v>3336</v>
      </c>
      <c r="Z109" s="492" t="s">
        <v>3337</v>
      </c>
      <c r="AA109" s="492" t="s">
        <v>1999</v>
      </c>
      <c r="AB109" s="493" t="s">
        <v>1534</v>
      </c>
    </row>
    <row r="110" spans="1:28" ht="24" customHeight="1">
      <c r="A110" s="587"/>
      <c r="B110" s="473" t="s">
        <v>2201</v>
      </c>
      <c r="C110" s="500" t="s">
        <v>149</v>
      </c>
      <c r="D110" s="705" t="s">
        <v>3338</v>
      </c>
      <c r="E110" s="654">
        <v>18000</v>
      </c>
      <c r="F110" s="654">
        <v>0</v>
      </c>
      <c r="G110" s="654">
        <v>0</v>
      </c>
      <c r="H110" s="654">
        <v>18000</v>
      </c>
      <c r="I110" s="654">
        <f t="shared" ref="I110:I168" si="12">SUM(J110:L110)</f>
        <v>12882.640081394011</v>
      </c>
      <c r="J110" s="654">
        <v>0</v>
      </c>
      <c r="K110" s="654">
        <v>0</v>
      </c>
      <c r="L110" s="706">
        <v>12882.640081394011</v>
      </c>
      <c r="M110" s="958">
        <v>0.98441153546375681</v>
      </c>
      <c r="N110" s="653">
        <v>1627.0774422800637</v>
      </c>
      <c r="O110" s="712" t="s">
        <v>3333</v>
      </c>
      <c r="P110" s="834" t="s">
        <v>1588</v>
      </c>
      <c r="Q110" s="1821"/>
      <c r="R110" s="1821"/>
      <c r="S110" s="1821"/>
      <c r="T110" s="1821"/>
      <c r="U110" s="490" t="s">
        <v>3339</v>
      </c>
      <c r="V110" s="132" t="s">
        <v>3340</v>
      </c>
      <c r="W110" s="498">
        <v>64162</v>
      </c>
      <c r="X110" s="132" t="s">
        <v>3335</v>
      </c>
      <c r="Y110" s="132" t="s">
        <v>3336</v>
      </c>
      <c r="Z110" s="492" t="s">
        <v>3337</v>
      </c>
      <c r="AA110" s="492" t="s">
        <v>1999</v>
      </c>
      <c r="AB110" s="493" t="s">
        <v>1534</v>
      </c>
    </row>
    <row r="111" spans="1:28" ht="24" customHeight="1">
      <c r="A111" s="587"/>
      <c r="B111" s="473" t="s">
        <v>2201</v>
      </c>
      <c r="C111" s="500" t="s">
        <v>150</v>
      </c>
      <c r="D111" s="705" t="s">
        <v>3341</v>
      </c>
      <c r="E111" s="654">
        <v>200</v>
      </c>
      <c r="F111" s="654">
        <v>0</v>
      </c>
      <c r="G111" s="654">
        <v>0</v>
      </c>
      <c r="H111" s="654">
        <v>200</v>
      </c>
      <c r="I111" s="654">
        <f t="shared" si="12"/>
        <v>256.18454307424474</v>
      </c>
      <c r="J111" s="654">
        <v>0</v>
      </c>
      <c r="K111" s="654">
        <v>0</v>
      </c>
      <c r="L111" s="706">
        <v>256.18454307424474</v>
      </c>
      <c r="M111" s="958">
        <v>0.98460291734197725</v>
      </c>
      <c r="N111" s="653">
        <v>31.126421983520736</v>
      </c>
      <c r="O111" s="712" t="s">
        <v>3342</v>
      </c>
      <c r="P111" s="834" t="s">
        <v>1588</v>
      </c>
      <c r="Q111" s="867">
        <v>0</v>
      </c>
      <c r="R111" s="867">
        <v>0</v>
      </c>
      <c r="S111" s="867">
        <v>0</v>
      </c>
      <c r="T111" s="867">
        <v>0</v>
      </c>
      <c r="U111" s="490" t="s">
        <v>3343</v>
      </c>
      <c r="V111" s="494" t="s">
        <v>3344</v>
      </c>
      <c r="W111" s="498">
        <v>572</v>
      </c>
      <c r="X111" s="132" t="s">
        <v>3335</v>
      </c>
      <c r="Y111" s="132" t="s">
        <v>3336</v>
      </c>
      <c r="Z111" s="492" t="s">
        <v>1588</v>
      </c>
      <c r="AA111" s="492" t="s">
        <v>1999</v>
      </c>
      <c r="AB111" s="493" t="s">
        <v>1534</v>
      </c>
    </row>
    <row r="112" spans="1:28" ht="24" customHeight="1">
      <c r="A112" s="587"/>
      <c r="B112" s="473" t="s">
        <v>2201</v>
      </c>
      <c r="C112" s="500" t="s">
        <v>151</v>
      </c>
      <c r="D112" s="705" t="s">
        <v>3345</v>
      </c>
      <c r="E112" s="654">
        <v>250</v>
      </c>
      <c r="F112" s="654">
        <v>0</v>
      </c>
      <c r="G112" s="654">
        <v>0</v>
      </c>
      <c r="H112" s="654">
        <v>250</v>
      </c>
      <c r="I112" s="654">
        <f t="shared" si="12"/>
        <v>247.21240262573608</v>
      </c>
      <c r="J112" s="654">
        <v>0</v>
      </c>
      <c r="K112" s="654">
        <v>0</v>
      </c>
      <c r="L112" s="706">
        <v>247.21240262573608</v>
      </c>
      <c r="M112" s="958">
        <v>0.96224677716390428</v>
      </c>
      <c r="N112" s="653">
        <v>25.833696074389419</v>
      </c>
      <c r="O112" s="712" t="s">
        <v>3342</v>
      </c>
      <c r="P112" s="834" t="s">
        <v>1588</v>
      </c>
      <c r="Q112" s="867">
        <v>0</v>
      </c>
      <c r="R112" s="867">
        <v>0</v>
      </c>
      <c r="S112" s="867">
        <v>0</v>
      </c>
      <c r="T112" s="867">
        <v>0</v>
      </c>
      <c r="U112" s="490" t="s">
        <v>3343</v>
      </c>
      <c r="V112" s="494" t="s">
        <v>3344</v>
      </c>
      <c r="W112" s="498">
        <v>775</v>
      </c>
      <c r="X112" s="132" t="s">
        <v>3335</v>
      </c>
      <c r="Y112" s="132" t="s">
        <v>3336</v>
      </c>
      <c r="Z112" s="492" t="s">
        <v>1588</v>
      </c>
      <c r="AA112" s="492" t="s">
        <v>1999</v>
      </c>
      <c r="AB112" s="493" t="s">
        <v>1534</v>
      </c>
    </row>
    <row r="113" spans="1:28" ht="24" customHeight="1">
      <c r="A113" s="587"/>
      <c r="B113" s="473" t="s">
        <v>2201</v>
      </c>
      <c r="C113" s="500" t="s">
        <v>152</v>
      </c>
      <c r="D113" s="705" t="s">
        <v>3346</v>
      </c>
      <c r="E113" s="654">
        <v>200</v>
      </c>
      <c r="F113" s="654">
        <v>0</v>
      </c>
      <c r="G113" s="654">
        <v>0</v>
      </c>
      <c r="H113" s="654">
        <v>200</v>
      </c>
      <c r="I113" s="654">
        <f t="shared" si="12"/>
        <v>199.52908365335381</v>
      </c>
      <c r="J113" s="654">
        <v>0</v>
      </c>
      <c r="K113" s="654">
        <v>0</v>
      </c>
      <c r="L113" s="706">
        <v>199.52908365335381</v>
      </c>
      <c r="M113" s="958">
        <v>0.98190591073582634</v>
      </c>
      <c r="N113" s="653">
        <v>16.241667409383002</v>
      </c>
      <c r="O113" s="712" t="s">
        <v>3347</v>
      </c>
      <c r="P113" s="834" t="s">
        <v>1588</v>
      </c>
      <c r="Q113" s="867">
        <v>0</v>
      </c>
      <c r="R113" s="867">
        <v>0</v>
      </c>
      <c r="S113" s="867">
        <v>0</v>
      </c>
      <c r="T113" s="867">
        <v>0</v>
      </c>
      <c r="U113" s="490" t="s">
        <v>3343</v>
      </c>
      <c r="V113" s="494" t="s">
        <v>3348</v>
      </c>
      <c r="W113" s="498">
        <v>3412</v>
      </c>
      <c r="X113" s="132" t="s">
        <v>3335</v>
      </c>
      <c r="Y113" s="132" t="s">
        <v>3336</v>
      </c>
      <c r="Z113" s="492" t="s">
        <v>3349</v>
      </c>
      <c r="AA113" s="492" t="s">
        <v>1999</v>
      </c>
      <c r="AB113" s="493" t="s">
        <v>1534</v>
      </c>
    </row>
    <row r="114" spans="1:28" ht="24" customHeight="1">
      <c r="A114" s="587"/>
      <c r="B114" s="473" t="s">
        <v>2201</v>
      </c>
      <c r="C114" s="500" t="s">
        <v>153</v>
      </c>
      <c r="D114" s="705" t="s">
        <v>3350</v>
      </c>
      <c r="E114" s="654">
        <v>200</v>
      </c>
      <c r="F114" s="654">
        <v>0</v>
      </c>
      <c r="G114" s="654">
        <v>0</v>
      </c>
      <c r="H114" s="654">
        <v>200</v>
      </c>
      <c r="I114" s="654">
        <f t="shared" si="12"/>
        <v>122.45965296998206</v>
      </c>
      <c r="J114" s="654">
        <v>0</v>
      </c>
      <c r="K114" s="654">
        <v>0</v>
      </c>
      <c r="L114" s="706">
        <v>122.45965296998206</v>
      </c>
      <c r="M114" s="958">
        <v>0.97379032258064524</v>
      </c>
      <c r="N114" s="653">
        <v>11.829602476900268</v>
      </c>
      <c r="O114" s="712" t="s">
        <v>3347</v>
      </c>
      <c r="P114" s="834" t="s">
        <v>1588</v>
      </c>
      <c r="Q114" s="867">
        <v>0</v>
      </c>
      <c r="R114" s="867">
        <v>0</v>
      </c>
      <c r="S114" s="867">
        <v>0</v>
      </c>
      <c r="T114" s="867">
        <v>0</v>
      </c>
      <c r="U114" s="490" t="s">
        <v>3343</v>
      </c>
      <c r="V114" s="494" t="s">
        <v>3351</v>
      </c>
      <c r="W114" s="498">
        <v>2518</v>
      </c>
      <c r="X114" s="132" t="s">
        <v>3335</v>
      </c>
      <c r="Y114" s="132" t="s">
        <v>3336</v>
      </c>
      <c r="Z114" s="492" t="s">
        <v>1588</v>
      </c>
      <c r="AA114" s="492" t="s">
        <v>1999</v>
      </c>
      <c r="AB114" s="493" t="s">
        <v>1534</v>
      </c>
    </row>
    <row r="115" spans="1:28" ht="24" customHeight="1">
      <c r="A115" s="587"/>
      <c r="B115" s="473" t="s">
        <v>2201</v>
      </c>
      <c r="C115" s="500" t="s">
        <v>154</v>
      </c>
      <c r="D115" s="705" t="s">
        <v>3352</v>
      </c>
      <c r="E115" s="654">
        <v>200</v>
      </c>
      <c r="F115" s="654">
        <v>0</v>
      </c>
      <c r="G115" s="654">
        <v>0</v>
      </c>
      <c r="H115" s="654">
        <v>200</v>
      </c>
      <c r="I115" s="654">
        <f t="shared" si="12"/>
        <v>109.49638908090117</v>
      </c>
      <c r="J115" s="654">
        <v>0</v>
      </c>
      <c r="K115" s="654">
        <v>0</v>
      </c>
      <c r="L115" s="706">
        <v>109.49638908090117</v>
      </c>
      <c r="M115" s="958">
        <v>0.97638724911452179</v>
      </c>
      <c r="N115" s="653">
        <v>9.0553513769905258</v>
      </c>
      <c r="O115" s="712" t="s">
        <v>3347</v>
      </c>
      <c r="P115" s="834" t="s">
        <v>1588</v>
      </c>
      <c r="Q115" s="867">
        <v>0</v>
      </c>
      <c r="R115" s="867">
        <v>0</v>
      </c>
      <c r="S115" s="867">
        <v>0</v>
      </c>
      <c r="T115" s="867">
        <v>0</v>
      </c>
      <c r="U115" s="492" t="s">
        <v>3343</v>
      </c>
      <c r="V115" s="494" t="s">
        <v>3353</v>
      </c>
      <c r="W115" s="498">
        <v>3747</v>
      </c>
      <c r="X115" s="132" t="s">
        <v>3335</v>
      </c>
      <c r="Y115" s="132" t="s">
        <v>3336</v>
      </c>
      <c r="Z115" s="492" t="s">
        <v>3354</v>
      </c>
      <c r="AA115" s="492" t="s">
        <v>1999</v>
      </c>
      <c r="AB115" s="493" t="s">
        <v>1534</v>
      </c>
    </row>
    <row r="116" spans="1:28" ht="24" customHeight="1">
      <c r="A116" s="587"/>
      <c r="B116" s="473" t="s">
        <v>2201</v>
      </c>
      <c r="C116" s="500" t="s">
        <v>155</v>
      </c>
      <c r="D116" s="705" t="s">
        <v>3355</v>
      </c>
      <c r="E116" s="654">
        <v>200</v>
      </c>
      <c r="F116" s="654">
        <v>0</v>
      </c>
      <c r="G116" s="654">
        <v>0</v>
      </c>
      <c r="H116" s="654">
        <v>200</v>
      </c>
      <c r="I116" s="654">
        <f t="shared" si="12"/>
        <v>138.68105504352278</v>
      </c>
      <c r="J116" s="654">
        <v>0</v>
      </c>
      <c r="K116" s="654">
        <v>0</v>
      </c>
      <c r="L116" s="706">
        <v>138.68105504352278</v>
      </c>
      <c r="M116" s="958">
        <v>0.97575757575757571</v>
      </c>
      <c r="N116" s="653">
        <v>11.163824931003582</v>
      </c>
      <c r="O116" s="712" t="s">
        <v>3347</v>
      </c>
      <c r="P116" s="834" t="s">
        <v>1588</v>
      </c>
      <c r="Q116" s="867">
        <v>0</v>
      </c>
      <c r="R116" s="867">
        <v>0</v>
      </c>
      <c r="S116" s="867">
        <v>0</v>
      </c>
      <c r="T116" s="867">
        <v>0</v>
      </c>
      <c r="U116" s="490" t="s">
        <v>3343</v>
      </c>
      <c r="V116" s="494" t="s">
        <v>3356</v>
      </c>
      <c r="W116" s="498">
        <v>976</v>
      </c>
      <c r="X116" s="132" t="s">
        <v>3335</v>
      </c>
      <c r="Y116" s="132" t="s">
        <v>3336</v>
      </c>
      <c r="Z116" s="492" t="s">
        <v>1588</v>
      </c>
      <c r="AA116" s="492" t="s">
        <v>1999</v>
      </c>
      <c r="AB116" s="493" t="s">
        <v>1534</v>
      </c>
    </row>
    <row r="117" spans="1:28" ht="24" customHeight="1">
      <c r="A117" s="587"/>
      <c r="B117" s="473" t="s">
        <v>2201</v>
      </c>
      <c r="C117" s="500" t="s">
        <v>156</v>
      </c>
      <c r="D117" s="705" t="s">
        <v>3357</v>
      </c>
      <c r="E117" s="654">
        <v>650</v>
      </c>
      <c r="F117" s="654">
        <v>0</v>
      </c>
      <c r="G117" s="654">
        <v>0</v>
      </c>
      <c r="H117" s="654">
        <v>650</v>
      </c>
      <c r="I117" s="654">
        <f t="shared" si="12"/>
        <v>328.45883369978884</v>
      </c>
      <c r="J117" s="654">
        <v>0</v>
      </c>
      <c r="K117" s="654">
        <v>0</v>
      </c>
      <c r="L117" s="706">
        <v>328.45883369978884</v>
      </c>
      <c r="M117" s="958">
        <v>0.97477931904161408</v>
      </c>
      <c r="N117" s="653">
        <v>25.389867844993674</v>
      </c>
      <c r="O117" s="712" t="s">
        <v>3347</v>
      </c>
      <c r="P117" s="834" t="s">
        <v>1588</v>
      </c>
      <c r="Q117" s="867">
        <v>0</v>
      </c>
      <c r="R117" s="867">
        <v>0</v>
      </c>
      <c r="S117" s="867">
        <v>0</v>
      </c>
      <c r="T117" s="867">
        <v>0</v>
      </c>
      <c r="U117" s="491" t="s">
        <v>3343</v>
      </c>
      <c r="V117" s="491" t="s">
        <v>3358</v>
      </c>
      <c r="W117" s="498">
        <v>3515</v>
      </c>
      <c r="X117" s="132" t="s">
        <v>3335</v>
      </c>
      <c r="Y117" s="132" t="s">
        <v>3336</v>
      </c>
      <c r="Z117" s="495" t="s">
        <v>1588</v>
      </c>
      <c r="AA117" s="495" t="s">
        <v>1999</v>
      </c>
      <c r="AB117" s="493" t="s">
        <v>1534</v>
      </c>
    </row>
    <row r="118" spans="1:28" ht="24" customHeight="1">
      <c r="A118" s="587"/>
      <c r="B118" s="473" t="s">
        <v>2201</v>
      </c>
      <c r="C118" s="500" t="s">
        <v>2216</v>
      </c>
      <c r="D118" s="705" t="s">
        <v>3359</v>
      </c>
      <c r="E118" s="654">
        <v>80000</v>
      </c>
      <c r="F118" s="654">
        <v>0</v>
      </c>
      <c r="G118" s="654">
        <v>0</v>
      </c>
      <c r="H118" s="654">
        <v>80000</v>
      </c>
      <c r="I118" s="654">
        <f t="shared" si="12"/>
        <v>82580.552035330256</v>
      </c>
      <c r="J118" s="654">
        <v>0</v>
      </c>
      <c r="K118" s="654">
        <v>0</v>
      </c>
      <c r="L118" s="706">
        <v>82580.552035330256</v>
      </c>
      <c r="M118" s="958">
        <v>0.94810659186535762</v>
      </c>
      <c r="N118" s="653">
        <v>11164.890635176649</v>
      </c>
      <c r="O118" s="713" t="s">
        <v>3259</v>
      </c>
      <c r="P118" s="462" t="s">
        <v>1588</v>
      </c>
      <c r="Q118" s="867">
        <v>226</v>
      </c>
      <c r="R118" s="867">
        <v>44</v>
      </c>
      <c r="S118" s="867">
        <v>0</v>
      </c>
      <c r="T118" s="867">
        <v>0</v>
      </c>
      <c r="U118" s="132" t="s">
        <v>3360</v>
      </c>
      <c r="V118" s="132" t="s">
        <v>2238</v>
      </c>
      <c r="W118" s="498">
        <v>52915</v>
      </c>
      <c r="X118" s="132" t="s">
        <v>2199</v>
      </c>
      <c r="Y118" s="132" t="s">
        <v>3336</v>
      </c>
      <c r="Z118" s="132" t="s">
        <v>3361</v>
      </c>
      <c r="AA118" s="132" t="s">
        <v>1999</v>
      </c>
      <c r="AB118" s="493" t="s">
        <v>1534</v>
      </c>
    </row>
    <row r="119" spans="1:28" ht="24" customHeight="1">
      <c r="A119" s="586" t="s">
        <v>1819</v>
      </c>
      <c r="B119" s="460" t="s">
        <v>2201</v>
      </c>
      <c r="C119" s="458" t="s">
        <v>2021</v>
      </c>
      <c r="D119" s="510" t="s">
        <v>3362</v>
      </c>
      <c r="E119" s="655">
        <v>75000</v>
      </c>
      <c r="F119" s="655">
        <v>0</v>
      </c>
      <c r="G119" s="655">
        <v>30000</v>
      </c>
      <c r="H119" s="655">
        <v>45000</v>
      </c>
      <c r="I119" s="655">
        <f t="shared" si="12"/>
        <v>42817</v>
      </c>
      <c r="J119" s="655">
        <v>0</v>
      </c>
      <c r="K119" s="655">
        <v>0</v>
      </c>
      <c r="L119" s="710">
        <v>42817</v>
      </c>
      <c r="M119" s="959">
        <v>0.9259896729776248</v>
      </c>
      <c r="N119" s="653">
        <v>4607.1091999999999</v>
      </c>
      <c r="O119" s="669" t="s">
        <v>1535</v>
      </c>
      <c r="P119" s="463" t="s">
        <v>3363</v>
      </c>
      <c r="Q119" s="864">
        <v>0</v>
      </c>
      <c r="R119" s="864">
        <v>0</v>
      </c>
      <c r="S119" s="864">
        <v>0</v>
      </c>
      <c r="T119" s="864">
        <v>0</v>
      </c>
      <c r="U119" s="463" t="s">
        <v>2218</v>
      </c>
      <c r="V119" s="466" t="s">
        <v>3364</v>
      </c>
      <c r="W119" s="498">
        <v>23748</v>
      </c>
      <c r="X119" s="463" t="s">
        <v>2199</v>
      </c>
      <c r="Y119" s="132" t="s">
        <v>3336</v>
      </c>
      <c r="Z119" s="497" t="s">
        <v>3365</v>
      </c>
      <c r="AA119" s="497" t="s">
        <v>3366</v>
      </c>
      <c r="AB119" s="133" t="s">
        <v>3367</v>
      </c>
    </row>
    <row r="120" spans="1:28" ht="24" customHeight="1">
      <c r="A120" s="587"/>
      <c r="B120" s="460" t="s">
        <v>2201</v>
      </c>
      <c r="C120" s="458" t="s">
        <v>157</v>
      </c>
      <c r="D120" s="510" t="s">
        <v>3368</v>
      </c>
      <c r="E120" s="655">
        <v>65000</v>
      </c>
      <c r="F120" s="655">
        <v>0</v>
      </c>
      <c r="G120" s="655">
        <v>40000</v>
      </c>
      <c r="H120" s="655">
        <v>25000</v>
      </c>
      <c r="I120" s="655">
        <f t="shared" si="12"/>
        <v>41926</v>
      </c>
      <c r="J120" s="655">
        <v>0</v>
      </c>
      <c r="K120" s="655">
        <v>31919</v>
      </c>
      <c r="L120" s="710">
        <v>10007</v>
      </c>
      <c r="M120" s="959">
        <v>0.95135640785781106</v>
      </c>
      <c r="N120" s="653">
        <v>4263.8742000000002</v>
      </c>
      <c r="O120" s="669" t="s">
        <v>1535</v>
      </c>
      <c r="P120" s="463" t="s">
        <v>3363</v>
      </c>
      <c r="Q120" s="864">
        <v>0</v>
      </c>
      <c r="R120" s="864">
        <v>0</v>
      </c>
      <c r="S120" s="864">
        <v>0</v>
      </c>
      <c r="T120" s="864">
        <v>0</v>
      </c>
      <c r="U120" s="463" t="s">
        <v>3369</v>
      </c>
      <c r="V120" s="466" t="s">
        <v>3364</v>
      </c>
      <c r="W120" s="498">
        <v>36498</v>
      </c>
      <c r="X120" s="463" t="s">
        <v>2199</v>
      </c>
      <c r="Y120" s="463" t="s">
        <v>3370</v>
      </c>
      <c r="Z120" s="497" t="s">
        <v>3371</v>
      </c>
      <c r="AA120" s="497" t="s">
        <v>3366</v>
      </c>
      <c r="AB120" s="133" t="s">
        <v>3367</v>
      </c>
    </row>
    <row r="121" spans="1:28" ht="24" customHeight="1">
      <c r="A121" s="587"/>
      <c r="B121" s="460" t="s">
        <v>675</v>
      </c>
      <c r="C121" s="458" t="s">
        <v>3372</v>
      </c>
      <c r="D121" s="510" t="s">
        <v>3373</v>
      </c>
      <c r="E121" s="655">
        <v>110</v>
      </c>
      <c r="F121" s="655">
        <v>0</v>
      </c>
      <c r="G121" s="655">
        <v>0</v>
      </c>
      <c r="H121" s="655">
        <v>110</v>
      </c>
      <c r="I121" s="655">
        <f t="shared" si="12"/>
        <v>56</v>
      </c>
      <c r="J121" s="655">
        <v>0</v>
      </c>
      <c r="K121" s="655">
        <v>0</v>
      </c>
      <c r="L121" s="710">
        <v>56</v>
      </c>
      <c r="M121" s="958">
        <v>0.90521327014218012</v>
      </c>
      <c r="N121" s="659">
        <v>6.0171336492890992</v>
      </c>
      <c r="O121" s="669" t="s">
        <v>3374</v>
      </c>
      <c r="P121" s="463" t="s">
        <v>1588</v>
      </c>
      <c r="Q121" s="864">
        <v>0</v>
      </c>
      <c r="R121" s="864">
        <v>0</v>
      </c>
      <c r="S121" s="864">
        <v>0</v>
      </c>
      <c r="T121" s="864">
        <v>0</v>
      </c>
      <c r="U121" s="463" t="s">
        <v>3369</v>
      </c>
      <c r="V121" s="466" t="s">
        <v>3375</v>
      </c>
      <c r="W121" s="498">
        <v>400</v>
      </c>
      <c r="X121" s="463" t="s">
        <v>2199</v>
      </c>
      <c r="Y121" s="463" t="s">
        <v>3507</v>
      </c>
      <c r="Z121" s="497">
        <v>0</v>
      </c>
      <c r="AA121" s="498" t="s">
        <v>3377</v>
      </c>
      <c r="AB121" s="133" t="s">
        <v>3367</v>
      </c>
    </row>
    <row r="122" spans="1:28" ht="24" customHeight="1">
      <c r="A122" s="587"/>
      <c r="B122" s="460" t="s">
        <v>2201</v>
      </c>
      <c r="C122" s="458" t="s">
        <v>2022</v>
      </c>
      <c r="D122" s="510" t="s">
        <v>3378</v>
      </c>
      <c r="E122" s="655">
        <v>40000</v>
      </c>
      <c r="F122" s="655">
        <v>0</v>
      </c>
      <c r="G122" s="655">
        <v>40000</v>
      </c>
      <c r="H122" s="655">
        <v>0</v>
      </c>
      <c r="I122" s="655">
        <f t="shared" si="12"/>
        <v>22458</v>
      </c>
      <c r="J122" s="655">
        <v>0</v>
      </c>
      <c r="K122" s="655">
        <v>22458</v>
      </c>
      <c r="L122" s="710">
        <v>0</v>
      </c>
      <c r="M122" s="959">
        <v>0</v>
      </c>
      <c r="N122" s="653">
        <v>0</v>
      </c>
      <c r="O122" s="669" t="s">
        <v>1535</v>
      </c>
      <c r="P122" s="463" t="s">
        <v>1588</v>
      </c>
      <c r="Q122" s="864">
        <v>0</v>
      </c>
      <c r="R122" s="864">
        <v>0</v>
      </c>
      <c r="S122" s="864">
        <v>117</v>
      </c>
      <c r="T122" s="864">
        <v>0</v>
      </c>
      <c r="U122" s="463" t="s">
        <v>3379</v>
      </c>
      <c r="V122" s="466" t="s">
        <v>3380</v>
      </c>
      <c r="W122" s="498">
        <v>48475</v>
      </c>
      <c r="X122" s="463" t="s">
        <v>2199</v>
      </c>
      <c r="Y122" s="132" t="s">
        <v>3336</v>
      </c>
      <c r="Z122" s="497">
        <v>0</v>
      </c>
      <c r="AA122" s="497">
        <v>0</v>
      </c>
      <c r="AB122" s="133" t="s">
        <v>3367</v>
      </c>
    </row>
    <row r="123" spans="1:28" ht="24" customHeight="1">
      <c r="A123" s="585"/>
      <c r="B123" s="460" t="s">
        <v>2201</v>
      </c>
      <c r="C123" s="458" t="s">
        <v>158</v>
      </c>
      <c r="D123" s="510" t="s">
        <v>3381</v>
      </c>
      <c r="E123" s="655">
        <v>10000</v>
      </c>
      <c r="F123" s="655">
        <v>0</v>
      </c>
      <c r="G123" s="655">
        <v>0</v>
      </c>
      <c r="H123" s="655">
        <v>10000</v>
      </c>
      <c r="I123" s="655">
        <f t="shared" si="12"/>
        <v>6650</v>
      </c>
      <c r="J123" s="655">
        <v>0</v>
      </c>
      <c r="K123" s="655">
        <v>0</v>
      </c>
      <c r="L123" s="710">
        <v>6650</v>
      </c>
      <c r="M123" s="959">
        <v>0.94029850746268651</v>
      </c>
      <c r="N123" s="653">
        <v>544.63499999999999</v>
      </c>
      <c r="O123" s="669" t="s">
        <v>3173</v>
      </c>
      <c r="P123" s="463" t="s">
        <v>1588</v>
      </c>
      <c r="Q123" s="864">
        <v>0</v>
      </c>
      <c r="R123" s="864">
        <v>0</v>
      </c>
      <c r="S123" s="864">
        <v>0</v>
      </c>
      <c r="T123" s="864">
        <v>0</v>
      </c>
      <c r="U123" s="463" t="s">
        <v>3382</v>
      </c>
      <c r="V123" s="466" t="s">
        <v>3383</v>
      </c>
      <c r="W123" s="498">
        <v>23404</v>
      </c>
      <c r="X123" s="463" t="s">
        <v>2199</v>
      </c>
      <c r="Y123" s="463" t="s">
        <v>3507</v>
      </c>
      <c r="Z123" s="497" t="s">
        <v>3384</v>
      </c>
      <c r="AA123" s="497" t="s">
        <v>3366</v>
      </c>
      <c r="AB123" s="133" t="s">
        <v>3367</v>
      </c>
    </row>
    <row r="124" spans="1:28" ht="24" customHeight="1">
      <c r="A124" s="584" t="s">
        <v>1823</v>
      </c>
      <c r="B124" s="460" t="s">
        <v>2201</v>
      </c>
      <c r="C124" s="458" t="s">
        <v>323</v>
      </c>
      <c r="D124" s="510" t="s">
        <v>2219</v>
      </c>
      <c r="E124" s="655">
        <v>279000</v>
      </c>
      <c r="F124" s="655">
        <v>0</v>
      </c>
      <c r="G124" s="655">
        <v>0</v>
      </c>
      <c r="H124" s="655">
        <v>279000</v>
      </c>
      <c r="I124" s="655">
        <f t="shared" si="12"/>
        <v>212416</v>
      </c>
      <c r="J124" s="655">
        <v>0</v>
      </c>
      <c r="K124" s="655">
        <v>0</v>
      </c>
      <c r="L124" s="668">
        <v>212416</v>
      </c>
      <c r="M124" s="960">
        <v>0.96916666666666662</v>
      </c>
      <c r="N124" s="653">
        <v>24703.980799999998</v>
      </c>
      <c r="O124" s="669" t="s">
        <v>1535</v>
      </c>
      <c r="P124" s="463" t="s">
        <v>1588</v>
      </c>
      <c r="Q124" s="864">
        <v>0</v>
      </c>
      <c r="R124" s="864">
        <v>249</v>
      </c>
      <c r="S124" s="864">
        <v>221</v>
      </c>
      <c r="T124" s="864">
        <v>0</v>
      </c>
      <c r="U124" s="463" t="s">
        <v>3385</v>
      </c>
      <c r="V124" s="463" t="s">
        <v>3386</v>
      </c>
      <c r="W124" s="498">
        <v>114903</v>
      </c>
      <c r="X124" s="463" t="s">
        <v>1532</v>
      </c>
      <c r="Y124" s="463" t="s">
        <v>1533</v>
      </c>
      <c r="Z124" s="463"/>
      <c r="AA124" s="463"/>
      <c r="AB124" s="459" t="s">
        <v>1596</v>
      </c>
    </row>
    <row r="125" spans="1:28" ht="24" customHeight="1">
      <c r="A125" s="586" t="s">
        <v>1825</v>
      </c>
      <c r="B125" s="473" t="s">
        <v>2201</v>
      </c>
      <c r="C125" s="500" t="s">
        <v>159</v>
      </c>
      <c r="D125" s="705" t="s">
        <v>3387</v>
      </c>
      <c r="E125" s="654">
        <f>SUM(F125:H125)</f>
        <v>22000</v>
      </c>
      <c r="F125" s="654">
        <v>0</v>
      </c>
      <c r="G125" s="654">
        <v>0</v>
      </c>
      <c r="H125" s="654">
        <v>22000</v>
      </c>
      <c r="I125" s="654">
        <f t="shared" si="12"/>
        <v>6400</v>
      </c>
      <c r="J125" s="654">
        <v>0</v>
      </c>
      <c r="K125" s="654">
        <v>0</v>
      </c>
      <c r="L125" s="706">
        <v>6400</v>
      </c>
      <c r="M125" s="958">
        <v>0.9715971966064183</v>
      </c>
      <c r="N125" s="653">
        <v>1685.7600000000002</v>
      </c>
      <c r="O125" s="709" t="s">
        <v>3388</v>
      </c>
      <c r="P125" s="132" t="s">
        <v>3388</v>
      </c>
      <c r="Q125" s="867">
        <v>0</v>
      </c>
      <c r="R125" s="867">
        <v>0</v>
      </c>
      <c r="S125" s="867">
        <v>0</v>
      </c>
      <c r="T125" s="867">
        <v>0</v>
      </c>
      <c r="U125" s="132"/>
      <c r="V125" s="499" t="s">
        <v>3389</v>
      </c>
      <c r="W125" s="498">
        <v>39888</v>
      </c>
      <c r="X125" s="132" t="s">
        <v>2276</v>
      </c>
      <c r="Y125" s="132" t="s">
        <v>3399</v>
      </c>
      <c r="Z125" s="132" t="s">
        <v>3391</v>
      </c>
      <c r="AA125" s="132" t="s">
        <v>3392</v>
      </c>
      <c r="AB125" s="133" t="s">
        <v>3367</v>
      </c>
    </row>
    <row r="126" spans="1:28" ht="24" customHeight="1">
      <c r="A126" s="587"/>
      <c r="B126" s="473" t="s">
        <v>2201</v>
      </c>
      <c r="C126" s="500" t="s">
        <v>160</v>
      </c>
      <c r="D126" s="705" t="s">
        <v>2106</v>
      </c>
      <c r="E126" s="654">
        <f>SUM(F126:H126)</f>
        <v>8000</v>
      </c>
      <c r="F126" s="654">
        <v>0</v>
      </c>
      <c r="G126" s="654">
        <v>0</v>
      </c>
      <c r="H126" s="654">
        <v>8000</v>
      </c>
      <c r="I126" s="654">
        <f t="shared" si="12"/>
        <v>5200</v>
      </c>
      <c r="J126" s="654">
        <v>0</v>
      </c>
      <c r="K126" s="654">
        <v>0</v>
      </c>
      <c r="L126" s="706">
        <v>5200</v>
      </c>
      <c r="M126" s="958">
        <v>0.99075500770416036</v>
      </c>
      <c r="N126" s="653">
        <v>668.72000000000025</v>
      </c>
      <c r="O126" s="709" t="s">
        <v>3388</v>
      </c>
      <c r="P126" s="132" t="s">
        <v>3388</v>
      </c>
      <c r="Q126" s="867">
        <v>0</v>
      </c>
      <c r="R126" s="867">
        <v>0</v>
      </c>
      <c r="S126" s="867">
        <v>0</v>
      </c>
      <c r="T126" s="867">
        <v>0</v>
      </c>
      <c r="U126" s="132"/>
      <c r="V126" s="499" t="s">
        <v>3389</v>
      </c>
      <c r="W126" s="498">
        <v>17424</v>
      </c>
      <c r="X126" s="132" t="s">
        <v>2276</v>
      </c>
      <c r="Y126" s="132" t="s">
        <v>3399</v>
      </c>
      <c r="Z126" s="132" t="s">
        <v>1735</v>
      </c>
      <c r="AA126" s="132" t="s">
        <v>3393</v>
      </c>
      <c r="AB126" s="133" t="s">
        <v>3367</v>
      </c>
    </row>
    <row r="127" spans="1:28" ht="24" customHeight="1">
      <c r="A127" s="587"/>
      <c r="B127" s="473" t="s">
        <v>2201</v>
      </c>
      <c r="C127" s="500" t="s">
        <v>161</v>
      </c>
      <c r="D127" s="705" t="s">
        <v>2108</v>
      </c>
      <c r="E127" s="654">
        <f>SUM(F127:H127)</f>
        <v>8000</v>
      </c>
      <c r="F127" s="654">
        <v>0</v>
      </c>
      <c r="G127" s="654">
        <v>0</v>
      </c>
      <c r="H127" s="654">
        <v>8000</v>
      </c>
      <c r="I127" s="654">
        <f t="shared" si="12"/>
        <v>3200</v>
      </c>
      <c r="J127" s="654">
        <v>0</v>
      </c>
      <c r="K127" s="654">
        <v>0</v>
      </c>
      <c r="L127" s="706">
        <v>3200</v>
      </c>
      <c r="M127" s="958">
        <v>0.98890532544378695</v>
      </c>
      <c r="N127" s="653">
        <v>427.83999999999992</v>
      </c>
      <c r="O127" s="709" t="s">
        <v>3388</v>
      </c>
      <c r="P127" s="132" t="s">
        <v>3388</v>
      </c>
      <c r="Q127" s="867">
        <v>0</v>
      </c>
      <c r="R127" s="867">
        <v>0</v>
      </c>
      <c r="S127" s="867">
        <v>0</v>
      </c>
      <c r="T127" s="867">
        <v>0</v>
      </c>
      <c r="U127" s="132"/>
      <c r="V127" s="499" t="s">
        <v>3389</v>
      </c>
      <c r="W127" s="498">
        <v>21951</v>
      </c>
      <c r="X127" s="132" t="s">
        <v>2276</v>
      </c>
      <c r="Y127" s="132" t="s">
        <v>3399</v>
      </c>
      <c r="Z127" s="132" t="s">
        <v>3394</v>
      </c>
      <c r="AA127" s="132" t="s">
        <v>3395</v>
      </c>
      <c r="AB127" s="133" t="s">
        <v>3367</v>
      </c>
    </row>
    <row r="128" spans="1:28" ht="24" customHeight="1">
      <c r="A128" s="582" t="s">
        <v>1826</v>
      </c>
      <c r="B128" s="460" t="s">
        <v>2201</v>
      </c>
      <c r="C128" s="458" t="s">
        <v>162</v>
      </c>
      <c r="D128" s="510" t="s">
        <v>3396</v>
      </c>
      <c r="E128" s="655">
        <f t="shared" ref="E128:E136" si="13">F128+G128+H128</f>
        <v>27000</v>
      </c>
      <c r="F128" s="655">
        <v>0</v>
      </c>
      <c r="G128" s="655">
        <v>0</v>
      </c>
      <c r="H128" s="655">
        <v>27000</v>
      </c>
      <c r="I128" s="655">
        <f t="shared" si="12"/>
        <v>20453</v>
      </c>
      <c r="J128" s="655">
        <v>0</v>
      </c>
      <c r="K128" s="655">
        <v>0</v>
      </c>
      <c r="L128" s="710">
        <v>20453</v>
      </c>
      <c r="M128" s="959">
        <v>0.99010654490106531</v>
      </c>
      <c r="N128" s="653">
        <v>2660.9352999999996</v>
      </c>
      <c r="O128" s="669" t="s">
        <v>3388</v>
      </c>
      <c r="P128" s="463" t="s">
        <v>3388</v>
      </c>
      <c r="Q128" s="864">
        <v>0</v>
      </c>
      <c r="R128" s="864">
        <v>0</v>
      </c>
      <c r="S128" s="864">
        <v>0</v>
      </c>
      <c r="T128" s="864">
        <v>0</v>
      </c>
      <c r="U128" s="463" t="s">
        <v>3397</v>
      </c>
      <c r="V128" s="466" t="s">
        <v>3398</v>
      </c>
      <c r="W128" s="498">
        <v>33777</v>
      </c>
      <c r="X128" s="463" t="s">
        <v>2199</v>
      </c>
      <c r="Y128" s="463" t="s">
        <v>3399</v>
      </c>
      <c r="Z128" s="463" t="s">
        <v>560</v>
      </c>
      <c r="AA128" s="463" t="s">
        <v>1534</v>
      </c>
      <c r="AB128" s="459" t="s">
        <v>1534</v>
      </c>
    </row>
    <row r="129" spans="1:28" ht="24" customHeight="1">
      <c r="A129" s="584"/>
      <c r="B129" s="460" t="s">
        <v>2201</v>
      </c>
      <c r="C129" s="458" t="s">
        <v>163</v>
      </c>
      <c r="D129" s="510" t="s">
        <v>3400</v>
      </c>
      <c r="E129" s="655">
        <f t="shared" si="13"/>
        <v>2000</v>
      </c>
      <c r="F129" s="655">
        <v>0</v>
      </c>
      <c r="G129" s="655">
        <v>0</v>
      </c>
      <c r="H129" s="655">
        <v>2000</v>
      </c>
      <c r="I129" s="655">
        <f t="shared" si="12"/>
        <v>1228</v>
      </c>
      <c r="J129" s="655">
        <v>0</v>
      </c>
      <c r="K129" s="655">
        <v>0</v>
      </c>
      <c r="L129" s="710">
        <v>1228</v>
      </c>
      <c r="M129" s="959">
        <v>0.97006572393400714</v>
      </c>
      <c r="N129" s="653">
        <v>190.98514210829487</v>
      </c>
      <c r="O129" s="669" t="s">
        <v>3401</v>
      </c>
      <c r="P129" s="463" t="s">
        <v>3401</v>
      </c>
      <c r="Q129" s="864">
        <v>0</v>
      </c>
      <c r="R129" s="864">
        <v>0</v>
      </c>
      <c r="S129" s="864">
        <v>0</v>
      </c>
      <c r="T129" s="864">
        <v>0</v>
      </c>
      <c r="U129" s="463" t="s">
        <v>3402</v>
      </c>
      <c r="V129" s="466" t="s">
        <v>3403</v>
      </c>
      <c r="W129" s="498">
        <v>7053</v>
      </c>
      <c r="X129" s="463" t="s">
        <v>2199</v>
      </c>
      <c r="Y129" s="463" t="s">
        <v>3399</v>
      </c>
      <c r="Z129" s="463" t="s">
        <v>564</v>
      </c>
      <c r="AA129" s="463" t="s">
        <v>1597</v>
      </c>
      <c r="AB129" s="459" t="s">
        <v>1534</v>
      </c>
    </row>
    <row r="130" spans="1:28" ht="24" customHeight="1">
      <c r="A130" s="584"/>
      <c r="B130" s="460" t="s">
        <v>2201</v>
      </c>
      <c r="C130" s="458" t="s">
        <v>164</v>
      </c>
      <c r="D130" s="510" t="s">
        <v>3404</v>
      </c>
      <c r="E130" s="655">
        <f t="shared" si="13"/>
        <v>16000</v>
      </c>
      <c r="F130" s="655">
        <v>0</v>
      </c>
      <c r="G130" s="655">
        <v>0</v>
      </c>
      <c r="H130" s="655">
        <v>16000</v>
      </c>
      <c r="I130" s="655">
        <f t="shared" si="12"/>
        <v>9097</v>
      </c>
      <c r="J130" s="655">
        <v>0</v>
      </c>
      <c r="K130" s="655">
        <v>0</v>
      </c>
      <c r="L130" s="710">
        <v>9097</v>
      </c>
      <c r="M130" s="959">
        <v>0.98512397425660259</v>
      </c>
      <c r="N130" s="653">
        <v>2385.7635183287675</v>
      </c>
      <c r="O130" s="669" t="s">
        <v>3405</v>
      </c>
      <c r="P130" s="463" t="s">
        <v>3405</v>
      </c>
      <c r="Q130" s="864">
        <v>0</v>
      </c>
      <c r="R130" s="864">
        <v>0</v>
      </c>
      <c r="S130" s="864">
        <v>0</v>
      </c>
      <c r="T130" s="864">
        <v>0</v>
      </c>
      <c r="U130" s="463" t="s">
        <v>3406</v>
      </c>
      <c r="V130" s="466" t="s">
        <v>3407</v>
      </c>
      <c r="W130" s="498">
        <v>40233</v>
      </c>
      <c r="X130" s="463" t="s">
        <v>2199</v>
      </c>
      <c r="Y130" s="463" t="s">
        <v>3399</v>
      </c>
      <c r="Z130" s="463"/>
      <c r="AA130" s="463" t="s">
        <v>1534</v>
      </c>
      <c r="AB130" s="459" t="s">
        <v>1534</v>
      </c>
    </row>
    <row r="131" spans="1:28" ht="24" customHeight="1">
      <c r="A131" s="584"/>
      <c r="B131" s="460" t="s">
        <v>675</v>
      </c>
      <c r="C131" s="458" t="s">
        <v>478</v>
      </c>
      <c r="D131" s="510" t="s">
        <v>3408</v>
      </c>
      <c r="E131" s="655">
        <f t="shared" si="13"/>
        <v>120</v>
      </c>
      <c r="F131" s="655">
        <v>0</v>
      </c>
      <c r="G131" s="655">
        <v>0</v>
      </c>
      <c r="H131" s="655">
        <v>120</v>
      </c>
      <c r="I131" s="655">
        <f t="shared" si="12"/>
        <v>60</v>
      </c>
      <c r="J131" s="655">
        <v>0</v>
      </c>
      <c r="K131" s="655">
        <v>0</v>
      </c>
      <c r="L131" s="710">
        <v>60</v>
      </c>
      <c r="M131" s="958">
        <v>0.92700000000000005</v>
      </c>
      <c r="N131" s="653">
        <v>807.6</v>
      </c>
      <c r="O131" s="669" t="s">
        <v>3409</v>
      </c>
      <c r="P131" s="463" t="s">
        <v>3409</v>
      </c>
      <c r="Q131" s="864">
        <v>0</v>
      </c>
      <c r="R131" s="864">
        <v>0</v>
      </c>
      <c r="S131" s="864">
        <v>0</v>
      </c>
      <c r="T131" s="864">
        <v>0</v>
      </c>
      <c r="U131" s="463"/>
      <c r="V131" s="466" t="s">
        <v>3410</v>
      </c>
      <c r="W131" s="498">
        <v>275</v>
      </c>
      <c r="X131" s="463" t="s">
        <v>2199</v>
      </c>
      <c r="Y131" s="463"/>
      <c r="Z131" s="463"/>
      <c r="AA131" s="463" t="s">
        <v>1597</v>
      </c>
      <c r="AB131" s="459" t="s">
        <v>1534</v>
      </c>
    </row>
    <row r="132" spans="1:28" ht="24" customHeight="1">
      <c r="A132" s="584"/>
      <c r="B132" s="460" t="s">
        <v>675</v>
      </c>
      <c r="C132" s="458" t="s">
        <v>479</v>
      </c>
      <c r="D132" s="510" t="s">
        <v>3411</v>
      </c>
      <c r="E132" s="655">
        <f t="shared" si="13"/>
        <v>30</v>
      </c>
      <c r="F132" s="655">
        <v>0</v>
      </c>
      <c r="G132" s="655">
        <v>0</v>
      </c>
      <c r="H132" s="655">
        <v>30</v>
      </c>
      <c r="I132" s="655">
        <f t="shared" si="12"/>
        <v>36.799999999999997</v>
      </c>
      <c r="J132" s="655">
        <v>0</v>
      </c>
      <c r="K132" s="655">
        <v>0</v>
      </c>
      <c r="L132" s="710">
        <v>36.799999999999997</v>
      </c>
      <c r="M132" s="958">
        <v>0.95299999999999996</v>
      </c>
      <c r="N132" s="653">
        <v>484.5</v>
      </c>
      <c r="O132" s="669" t="s">
        <v>3412</v>
      </c>
      <c r="P132" s="463" t="s">
        <v>1588</v>
      </c>
      <c r="Q132" s="864">
        <v>0</v>
      </c>
      <c r="R132" s="864">
        <v>0</v>
      </c>
      <c r="S132" s="864">
        <v>0</v>
      </c>
      <c r="T132" s="864">
        <v>0</v>
      </c>
      <c r="U132" s="463"/>
      <c r="V132" s="466" t="s">
        <v>3413</v>
      </c>
      <c r="W132" s="498">
        <v>105</v>
      </c>
      <c r="X132" s="463" t="s">
        <v>2199</v>
      </c>
      <c r="Y132" s="463"/>
      <c r="Z132" s="463"/>
      <c r="AA132" s="463" t="s">
        <v>1597</v>
      </c>
      <c r="AB132" s="459" t="s">
        <v>1534</v>
      </c>
    </row>
    <row r="133" spans="1:28" ht="24" customHeight="1">
      <c r="A133" s="584"/>
      <c r="B133" s="460" t="s">
        <v>675</v>
      </c>
      <c r="C133" s="458" t="s">
        <v>480</v>
      </c>
      <c r="D133" s="510" t="s">
        <v>3414</v>
      </c>
      <c r="E133" s="655">
        <f t="shared" si="13"/>
        <v>40</v>
      </c>
      <c r="F133" s="655">
        <v>0</v>
      </c>
      <c r="G133" s="655">
        <v>40</v>
      </c>
      <c r="H133" s="655">
        <v>0</v>
      </c>
      <c r="I133" s="655">
        <f t="shared" si="12"/>
        <v>18.100000000000001</v>
      </c>
      <c r="J133" s="655">
        <v>0</v>
      </c>
      <c r="K133" s="655">
        <v>0</v>
      </c>
      <c r="L133" s="710">
        <v>18.100000000000001</v>
      </c>
      <c r="M133" s="959">
        <v>0.95499999999999996</v>
      </c>
      <c r="N133" s="653">
        <v>216.1</v>
      </c>
      <c r="O133" s="669" t="s">
        <v>3415</v>
      </c>
      <c r="P133" s="463" t="s">
        <v>1588</v>
      </c>
      <c r="Q133" s="864">
        <v>0</v>
      </c>
      <c r="R133" s="864">
        <v>0</v>
      </c>
      <c r="S133" s="864">
        <v>0</v>
      </c>
      <c r="T133" s="864">
        <v>0</v>
      </c>
      <c r="U133" s="463"/>
      <c r="V133" s="466" t="s">
        <v>3416</v>
      </c>
      <c r="W133" s="498">
        <v>140</v>
      </c>
      <c r="X133" s="463" t="s">
        <v>2199</v>
      </c>
      <c r="Y133" s="463"/>
      <c r="Z133" s="463" t="s">
        <v>1827</v>
      </c>
      <c r="AA133" s="463" t="s">
        <v>1597</v>
      </c>
      <c r="AB133" s="459" t="s">
        <v>1534</v>
      </c>
    </row>
    <row r="134" spans="1:28" ht="24" customHeight="1">
      <c r="A134" s="584"/>
      <c r="B134" s="460" t="s">
        <v>675</v>
      </c>
      <c r="C134" s="458" t="s">
        <v>481</v>
      </c>
      <c r="D134" s="510" t="s">
        <v>3417</v>
      </c>
      <c r="E134" s="655">
        <f t="shared" si="13"/>
        <v>40</v>
      </c>
      <c r="F134" s="655">
        <v>0</v>
      </c>
      <c r="G134" s="655">
        <v>40</v>
      </c>
      <c r="H134" s="655">
        <v>0</v>
      </c>
      <c r="I134" s="655">
        <f t="shared" si="12"/>
        <v>24</v>
      </c>
      <c r="J134" s="655">
        <v>0</v>
      </c>
      <c r="K134" s="655">
        <v>0</v>
      </c>
      <c r="L134" s="710">
        <v>24</v>
      </c>
      <c r="M134" s="959">
        <v>0.95499999999999996</v>
      </c>
      <c r="N134" s="653">
        <v>302.3</v>
      </c>
      <c r="O134" s="669" t="s">
        <v>3415</v>
      </c>
      <c r="P134" s="463" t="s">
        <v>1588</v>
      </c>
      <c r="Q134" s="864">
        <v>0</v>
      </c>
      <c r="R134" s="864">
        <v>0</v>
      </c>
      <c r="S134" s="864">
        <v>0</v>
      </c>
      <c r="T134" s="864">
        <v>0</v>
      </c>
      <c r="U134" s="463"/>
      <c r="V134" s="466" t="s">
        <v>3416</v>
      </c>
      <c r="W134" s="498">
        <v>108</v>
      </c>
      <c r="X134" s="463" t="s">
        <v>2199</v>
      </c>
      <c r="Y134" s="463"/>
      <c r="Z134" s="463" t="s">
        <v>560</v>
      </c>
      <c r="AA134" s="463" t="s">
        <v>1534</v>
      </c>
      <c r="AB134" s="459" t="s">
        <v>1534</v>
      </c>
    </row>
    <row r="135" spans="1:28" ht="24" customHeight="1">
      <c r="A135" s="584"/>
      <c r="B135" s="460" t="s">
        <v>675</v>
      </c>
      <c r="C135" s="458" t="s">
        <v>482</v>
      </c>
      <c r="D135" s="510" t="s">
        <v>3418</v>
      </c>
      <c r="E135" s="655">
        <f t="shared" si="13"/>
        <v>120</v>
      </c>
      <c r="F135" s="655">
        <v>0</v>
      </c>
      <c r="G135" s="655">
        <v>120</v>
      </c>
      <c r="H135" s="655">
        <v>0</v>
      </c>
      <c r="I135" s="655">
        <f t="shared" si="12"/>
        <v>35.700000000000003</v>
      </c>
      <c r="J135" s="655">
        <v>0</v>
      </c>
      <c r="K135" s="655">
        <v>0</v>
      </c>
      <c r="L135" s="710">
        <v>35.700000000000003</v>
      </c>
      <c r="M135" s="959">
        <v>0.96900000000000008</v>
      </c>
      <c r="N135" s="653">
        <v>433.1</v>
      </c>
      <c r="O135" s="669" t="s">
        <v>3419</v>
      </c>
      <c r="P135" s="463" t="s">
        <v>3419</v>
      </c>
      <c r="Q135" s="864">
        <v>0</v>
      </c>
      <c r="R135" s="864">
        <v>0</v>
      </c>
      <c r="S135" s="864">
        <v>0</v>
      </c>
      <c r="T135" s="864">
        <v>0</v>
      </c>
      <c r="U135" s="463"/>
      <c r="V135" s="466" t="s">
        <v>3420</v>
      </c>
      <c r="W135" s="498">
        <v>727</v>
      </c>
      <c r="X135" s="463" t="s">
        <v>2199</v>
      </c>
      <c r="Y135" s="463" t="s">
        <v>720</v>
      </c>
      <c r="Z135" s="463"/>
      <c r="AA135" s="463" t="s">
        <v>1597</v>
      </c>
      <c r="AB135" s="459" t="s">
        <v>1534</v>
      </c>
    </row>
    <row r="136" spans="1:28" ht="24" customHeight="1">
      <c r="A136" s="584"/>
      <c r="B136" s="460" t="s">
        <v>675</v>
      </c>
      <c r="C136" s="458" t="s">
        <v>483</v>
      </c>
      <c r="D136" s="510" t="s">
        <v>3421</v>
      </c>
      <c r="E136" s="655">
        <f t="shared" si="13"/>
        <v>114</v>
      </c>
      <c r="F136" s="655">
        <v>0</v>
      </c>
      <c r="G136" s="655">
        <v>114</v>
      </c>
      <c r="H136" s="655">
        <v>0</v>
      </c>
      <c r="I136" s="655">
        <f t="shared" si="12"/>
        <v>21.3</v>
      </c>
      <c r="J136" s="655">
        <v>0</v>
      </c>
      <c r="K136" s="655">
        <v>0</v>
      </c>
      <c r="L136" s="710">
        <v>21.3</v>
      </c>
      <c r="M136" s="959">
        <v>0.96</v>
      </c>
      <c r="N136" s="653">
        <v>240.5</v>
      </c>
      <c r="O136" s="669" t="s">
        <v>3347</v>
      </c>
      <c r="P136" s="463" t="s">
        <v>1588</v>
      </c>
      <c r="Q136" s="864">
        <v>0</v>
      </c>
      <c r="R136" s="864">
        <v>0</v>
      </c>
      <c r="S136" s="864">
        <v>0</v>
      </c>
      <c r="T136" s="864">
        <v>0</v>
      </c>
      <c r="U136" s="463"/>
      <c r="V136" s="466" t="s">
        <v>3422</v>
      </c>
      <c r="W136" s="498">
        <v>186</v>
      </c>
      <c r="X136" s="463" t="s">
        <v>2199</v>
      </c>
      <c r="Y136" s="463"/>
      <c r="Z136" s="463"/>
      <c r="AA136" s="463" t="s">
        <v>1597</v>
      </c>
      <c r="AB136" s="459" t="s">
        <v>1534</v>
      </c>
    </row>
    <row r="137" spans="1:28" ht="24" customHeight="1">
      <c r="A137" s="582" t="s">
        <v>1829</v>
      </c>
      <c r="B137" s="460" t="s">
        <v>2201</v>
      </c>
      <c r="C137" s="458" t="s">
        <v>2221</v>
      </c>
      <c r="D137" s="510" t="s">
        <v>3423</v>
      </c>
      <c r="E137" s="655">
        <v>30000</v>
      </c>
      <c r="F137" s="655">
        <v>0</v>
      </c>
      <c r="G137" s="655">
        <v>0</v>
      </c>
      <c r="H137" s="655">
        <v>30000</v>
      </c>
      <c r="I137" s="655">
        <f t="shared" si="12"/>
        <v>26824</v>
      </c>
      <c r="J137" s="655">
        <v>0</v>
      </c>
      <c r="K137" s="655">
        <v>0</v>
      </c>
      <c r="L137" s="710">
        <v>26824</v>
      </c>
      <c r="M137" s="959">
        <v>0.97478902300733772</v>
      </c>
      <c r="N137" s="653">
        <v>3395.6144485522536</v>
      </c>
      <c r="O137" s="669" t="s">
        <v>3405</v>
      </c>
      <c r="P137" s="463" t="s">
        <v>1588</v>
      </c>
      <c r="Q137" s="864">
        <v>0</v>
      </c>
      <c r="R137" s="864">
        <v>119.5</v>
      </c>
      <c r="S137" s="864">
        <v>0</v>
      </c>
      <c r="T137" s="864">
        <v>0</v>
      </c>
      <c r="U137" s="463" t="s">
        <v>2222</v>
      </c>
      <c r="V137" s="463" t="s">
        <v>3424</v>
      </c>
      <c r="W137" s="498">
        <v>33313</v>
      </c>
      <c r="X137" s="463" t="s">
        <v>2199</v>
      </c>
      <c r="Y137" s="463" t="s">
        <v>3336</v>
      </c>
      <c r="Z137" s="463" t="s">
        <v>1830</v>
      </c>
      <c r="AA137" s="463" t="s">
        <v>1615</v>
      </c>
      <c r="AB137" s="133" t="s">
        <v>1534</v>
      </c>
    </row>
    <row r="138" spans="1:28" ht="24" customHeight="1">
      <c r="A138" s="584"/>
      <c r="B138" s="460" t="s">
        <v>2201</v>
      </c>
      <c r="C138" s="458" t="s">
        <v>1831</v>
      </c>
      <c r="D138" s="510" t="s">
        <v>3425</v>
      </c>
      <c r="E138" s="655">
        <v>10000</v>
      </c>
      <c r="F138" s="655">
        <v>0</v>
      </c>
      <c r="G138" s="655">
        <v>10000</v>
      </c>
      <c r="H138" s="655">
        <v>0</v>
      </c>
      <c r="I138" s="655">
        <f t="shared" si="12"/>
        <v>6162</v>
      </c>
      <c r="J138" s="655">
        <v>0</v>
      </c>
      <c r="K138" s="655">
        <v>6162</v>
      </c>
      <c r="L138" s="710">
        <v>0</v>
      </c>
      <c r="M138" s="959">
        <v>0.96056133008538935</v>
      </c>
      <c r="N138" s="653">
        <v>1172.6198917972351</v>
      </c>
      <c r="O138" s="669" t="s">
        <v>1535</v>
      </c>
      <c r="P138" s="463" t="s">
        <v>1588</v>
      </c>
      <c r="Q138" s="864">
        <v>0</v>
      </c>
      <c r="R138" s="864">
        <v>0</v>
      </c>
      <c r="S138" s="864">
        <v>0</v>
      </c>
      <c r="T138" s="864">
        <v>0</v>
      </c>
      <c r="U138" s="463" t="s">
        <v>3426</v>
      </c>
      <c r="V138" s="463" t="s">
        <v>2104</v>
      </c>
      <c r="W138" s="498">
        <v>16800</v>
      </c>
      <c r="X138" s="463" t="s">
        <v>2199</v>
      </c>
      <c r="Y138" s="463" t="s">
        <v>3336</v>
      </c>
      <c r="Z138" s="463" t="s">
        <v>1598</v>
      </c>
      <c r="AA138" s="463" t="s">
        <v>1615</v>
      </c>
      <c r="AB138" s="133" t="s">
        <v>1534</v>
      </c>
    </row>
    <row r="139" spans="1:28" ht="24" customHeight="1">
      <c r="A139" s="584"/>
      <c r="B139" s="460" t="s">
        <v>2201</v>
      </c>
      <c r="C139" s="458" t="s">
        <v>165</v>
      </c>
      <c r="D139" s="510" t="s">
        <v>3427</v>
      </c>
      <c r="E139" s="655">
        <v>2000</v>
      </c>
      <c r="F139" s="655">
        <v>0</v>
      </c>
      <c r="G139" s="655">
        <v>0</v>
      </c>
      <c r="H139" s="655">
        <v>2000</v>
      </c>
      <c r="I139" s="655">
        <f t="shared" si="12"/>
        <v>1016</v>
      </c>
      <c r="J139" s="655">
        <v>0</v>
      </c>
      <c r="K139" s="655">
        <v>0</v>
      </c>
      <c r="L139" s="710">
        <v>1016</v>
      </c>
      <c r="M139" s="959">
        <v>0.94870370918959757</v>
      </c>
      <c r="N139" s="653">
        <v>92.401780168970788</v>
      </c>
      <c r="O139" s="669" t="s">
        <v>3428</v>
      </c>
      <c r="P139" s="463" t="s">
        <v>1588</v>
      </c>
      <c r="Q139" s="864">
        <v>0</v>
      </c>
      <c r="R139" s="864">
        <v>0</v>
      </c>
      <c r="S139" s="864">
        <v>0</v>
      </c>
      <c r="T139" s="864">
        <v>0</v>
      </c>
      <c r="U139" s="463" t="s">
        <v>3429</v>
      </c>
      <c r="V139" s="466" t="s">
        <v>3430</v>
      </c>
      <c r="W139" s="498">
        <v>8821</v>
      </c>
      <c r="X139" s="463" t="s">
        <v>3431</v>
      </c>
      <c r="Y139" s="463" t="s">
        <v>3336</v>
      </c>
      <c r="Z139" s="463" t="s">
        <v>1830</v>
      </c>
      <c r="AA139" s="463" t="s">
        <v>1615</v>
      </c>
      <c r="AB139" s="133" t="s">
        <v>1534</v>
      </c>
    </row>
    <row r="140" spans="1:28" ht="24" customHeight="1">
      <c r="A140" s="584"/>
      <c r="B140" s="460" t="s">
        <v>675</v>
      </c>
      <c r="C140" s="458" t="s">
        <v>3432</v>
      </c>
      <c r="D140" s="510" t="s">
        <v>3433</v>
      </c>
      <c r="E140" s="655">
        <v>500</v>
      </c>
      <c r="F140" s="655">
        <v>0</v>
      </c>
      <c r="G140" s="655">
        <v>500</v>
      </c>
      <c r="H140" s="655">
        <v>0</v>
      </c>
      <c r="I140" s="655">
        <f t="shared" si="12"/>
        <v>562</v>
      </c>
      <c r="J140" s="655">
        <v>0</v>
      </c>
      <c r="K140" s="655">
        <v>562</v>
      </c>
      <c r="L140" s="710">
        <v>0</v>
      </c>
      <c r="M140" s="959">
        <v>0.8909999999999999</v>
      </c>
      <c r="N140" s="659">
        <v>258.065676</v>
      </c>
      <c r="O140" s="669" t="s">
        <v>3434</v>
      </c>
      <c r="P140" s="463" t="s">
        <v>1588</v>
      </c>
      <c r="Q140" s="864">
        <v>0</v>
      </c>
      <c r="R140" s="864">
        <v>0</v>
      </c>
      <c r="S140" s="864">
        <v>0</v>
      </c>
      <c r="T140" s="864">
        <v>0</v>
      </c>
      <c r="U140" s="463" t="s">
        <v>3435</v>
      </c>
      <c r="V140" s="463" t="s">
        <v>3436</v>
      </c>
      <c r="W140" s="498">
        <v>398</v>
      </c>
      <c r="X140" s="463" t="s">
        <v>2199</v>
      </c>
      <c r="Y140" s="463" t="s">
        <v>1533</v>
      </c>
      <c r="Z140" s="463" t="s">
        <v>1830</v>
      </c>
      <c r="AA140" s="463" t="s">
        <v>1615</v>
      </c>
      <c r="AB140" s="133" t="s">
        <v>1534</v>
      </c>
    </row>
    <row r="141" spans="1:28" ht="24" customHeight="1">
      <c r="A141" s="584"/>
      <c r="B141" s="460" t="s">
        <v>675</v>
      </c>
      <c r="C141" s="458" t="s">
        <v>3437</v>
      </c>
      <c r="D141" s="510" t="s">
        <v>3438</v>
      </c>
      <c r="E141" s="655">
        <v>300</v>
      </c>
      <c r="F141" s="655">
        <v>0</v>
      </c>
      <c r="G141" s="655">
        <v>300</v>
      </c>
      <c r="H141" s="655">
        <v>0</v>
      </c>
      <c r="I141" s="655">
        <f t="shared" si="12"/>
        <v>178</v>
      </c>
      <c r="J141" s="655">
        <v>0</v>
      </c>
      <c r="K141" s="655">
        <v>178</v>
      </c>
      <c r="L141" s="710">
        <v>0</v>
      </c>
      <c r="M141" s="959">
        <v>0.89300000000000002</v>
      </c>
      <c r="N141" s="659">
        <v>258.644948</v>
      </c>
      <c r="O141" s="669" t="s">
        <v>3439</v>
      </c>
      <c r="P141" s="463" t="s">
        <v>1588</v>
      </c>
      <c r="Q141" s="864">
        <v>0</v>
      </c>
      <c r="R141" s="864">
        <v>0</v>
      </c>
      <c r="S141" s="864">
        <v>0</v>
      </c>
      <c r="T141" s="864">
        <v>0</v>
      </c>
      <c r="U141" s="463" t="s">
        <v>2222</v>
      </c>
      <c r="V141" s="466" t="s">
        <v>3440</v>
      </c>
      <c r="W141" s="498">
        <v>600</v>
      </c>
      <c r="X141" s="463" t="s">
        <v>2199</v>
      </c>
      <c r="Y141" s="463" t="s">
        <v>1533</v>
      </c>
      <c r="Z141" s="463" t="s">
        <v>1598</v>
      </c>
      <c r="AA141" s="463" t="s">
        <v>1615</v>
      </c>
      <c r="AB141" s="133" t="s">
        <v>1534</v>
      </c>
    </row>
    <row r="142" spans="1:28" ht="24" customHeight="1">
      <c r="A142" s="584"/>
      <c r="B142" s="460" t="s">
        <v>675</v>
      </c>
      <c r="C142" s="458" t="s">
        <v>3441</v>
      </c>
      <c r="D142" s="510" t="s">
        <v>3442</v>
      </c>
      <c r="E142" s="655">
        <v>90</v>
      </c>
      <c r="F142" s="655">
        <v>0</v>
      </c>
      <c r="G142" s="655">
        <v>90</v>
      </c>
      <c r="H142" s="655">
        <v>0</v>
      </c>
      <c r="I142" s="655">
        <f t="shared" si="12"/>
        <v>0</v>
      </c>
      <c r="J142" s="655">
        <v>0</v>
      </c>
      <c r="K142" s="655">
        <v>0</v>
      </c>
      <c r="L142" s="710">
        <v>0</v>
      </c>
      <c r="M142" s="959">
        <v>0.8</v>
      </c>
      <c r="N142" s="653">
        <v>0</v>
      </c>
      <c r="O142" s="669" t="s">
        <v>3443</v>
      </c>
      <c r="P142" s="463" t="s">
        <v>1588</v>
      </c>
      <c r="Q142" s="864">
        <v>0</v>
      </c>
      <c r="R142" s="864">
        <v>0</v>
      </c>
      <c r="S142" s="864">
        <v>0</v>
      </c>
      <c r="T142" s="864">
        <v>0</v>
      </c>
      <c r="U142" s="463" t="s">
        <v>2222</v>
      </c>
      <c r="V142" s="466" t="s">
        <v>3444</v>
      </c>
      <c r="W142" s="498">
        <v>380</v>
      </c>
      <c r="X142" s="463" t="s">
        <v>2199</v>
      </c>
      <c r="Y142" s="463" t="s">
        <v>1533</v>
      </c>
      <c r="Z142" s="463" t="s">
        <v>1830</v>
      </c>
      <c r="AA142" s="463" t="s">
        <v>1615</v>
      </c>
      <c r="AB142" s="133" t="s">
        <v>1534</v>
      </c>
    </row>
    <row r="143" spans="1:28" ht="24" customHeight="1">
      <c r="A143" s="584"/>
      <c r="B143" s="460" t="s">
        <v>675</v>
      </c>
      <c r="C143" s="458" t="s">
        <v>3445</v>
      </c>
      <c r="D143" s="510" t="s">
        <v>3446</v>
      </c>
      <c r="E143" s="655">
        <v>50</v>
      </c>
      <c r="F143" s="655">
        <v>0</v>
      </c>
      <c r="G143" s="655">
        <v>0</v>
      </c>
      <c r="H143" s="655">
        <v>50</v>
      </c>
      <c r="I143" s="655">
        <f t="shared" si="12"/>
        <v>81</v>
      </c>
      <c r="J143" s="655">
        <v>0</v>
      </c>
      <c r="K143" s="655">
        <v>0</v>
      </c>
      <c r="L143" s="710">
        <v>81</v>
      </c>
      <c r="M143" s="959">
        <v>0.81099999999999994</v>
      </c>
      <c r="N143" s="659">
        <v>234.89479599999999</v>
      </c>
      <c r="O143" s="669" t="s">
        <v>3447</v>
      </c>
      <c r="P143" s="463" t="s">
        <v>1588</v>
      </c>
      <c r="Q143" s="864">
        <v>0</v>
      </c>
      <c r="R143" s="864">
        <v>0</v>
      </c>
      <c r="S143" s="864">
        <v>0</v>
      </c>
      <c r="T143" s="864">
        <v>0</v>
      </c>
      <c r="U143" s="463" t="s">
        <v>2222</v>
      </c>
      <c r="V143" s="463" t="s">
        <v>3448</v>
      </c>
      <c r="W143" s="498">
        <v>220</v>
      </c>
      <c r="X143" s="463" t="s">
        <v>2199</v>
      </c>
      <c r="Y143" s="463" t="s">
        <v>1533</v>
      </c>
      <c r="Z143" s="463" t="s">
        <v>1830</v>
      </c>
      <c r="AA143" s="463" t="s">
        <v>1615</v>
      </c>
      <c r="AB143" s="133" t="s">
        <v>1534</v>
      </c>
    </row>
    <row r="144" spans="1:28" ht="24" customHeight="1">
      <c r="A144" s="584"/>
      <c r="B144" s="460" t="s">
        <v>675</v>
      </c>
      <c r="C144" s="458" t="s">
        <v>3449</v>
      </c>
      <c r="D144" s="510" t="s">
        <v>3450</v>
      </c>
      <c r="E144" s="655">
        <v>40</v>
      </c>
      <c r="F144" s="655">
        <v>0</v>
      </c>
      <c r="G144" s="655">
        <v>0</v>
      </c>
      <c r="H144" s="655">
        <v>40</v>
      </c>
      <c r="I144" s="655">
        <f t="shared" si="12"/>
        <v>21</v>
      </c>
      <c r="J144" s="655">
        <v>0</v>
      </c>
      <c r="K144" s="655">
        <v>0</v>
      </c>
      <c r="L144" s="710">
        <v>21</v>
      </c>
      <c r="M144" s="959">
        <v>0.81099999999999994</v>
      </c>
      <c r="N144" s="653">
        <v>234.89479599999999</v>
      </c>
      <c r="O144" s="669" t="s">
        <v>3451</v>
      </c>
      <c r="P144" s="463" t="s">
        <v>1588</v>
      </c>
      <c r="Q144" s="864">
        <v>0</v>
      </c>
      <c r="R144" s="864">
        <v>0</v>
      </c>
      <c r="S144" s="864">
        <v>0</v>
      </c>
      <c r="T144" s="864">
        <v>0</v>
      </c>
      <c r="U144" s="463" t="s">
        <v>2222</v>
      </c>
      <c r="V144" s="463" t="s">
        <v>3452</v>
      </c>
      <c r="W144" s="498">
        <v>171</v>
      </c>
      <c r="X144" s="463" t="s">
        <v>2199</v>
      </c>
      <c r="Y144" s="463" t="s">
        <v>1533</v>
      </c>
      <c r="Z144" s="463" t="s">
        <v>1830</v>
      </c>
      <c r="AA144" s="463" t="s">
        <v>1615</v>
      </c>
      <c r="AB144" s="133" t="s">
        <v>1534</v>
      </c>
    </row>
    <row r="145" spans="1:28" ht="24" customHeight="1">
      <c r="A145" s="584"/>
      <c r="B145" s="460" t="s">
        <v>675</v>
      </c>
      <c r="C145" s="458" t="s">
        <v>3453</v>
      </c>
      <c r="D145" s="510" t="s">
        <v>3454</v>
      </c>
      <c r="E145" s="655">
        <v>80</v>
      </c>
      <c r="F145" s="655">
        <v>0</v>
      </c>
      <c r="G145" s="655">
        <v>0</v>
      </c>
      <c r="H145" s="655">
        <v>80</v>
      </c>
      <c r="I145" s="655">
        <f t="shared" si="12"/>
        <v>108</v>
      </c>
      <c r="J145" s="655">
        <v>0</v>
      </c>
      <c r="K145" s="655">
        <v>0</v>
      </c>
      <c r="L145" s="710">
        <v>108</v>
      </c>
      <c r="M145" s="959">
        <v>0.83599999999999997</v>
      </c>
      <c r="N145" s="653">
        <v>242.135696</v>
      </c>
      <c r="O145" s="669" t="s">
        <v>3455</v>
      </c>
      <c r="P145" s="463" t="s">
        <v>1588</v>
      </c>
      <c r="Q145" s="864">
        <v>0</v>
      </c>
      <c r="R145" s="864">
        <v>0</v>
      </c>
      <c r="S145" s="864">
        <v>0</v>
      </c>
      <c r="T145" s="864">
        <v>0</v>
      </c>
      <c r="U145" s="463" t="s">
        <v>2222</v>
      </c>
      <c r="V145" s="466" t="s">
        <v>3456</v>
      </c>
      <c r="W145" s="498">
        <v>189</v>
      </c>
      <c r="X145" s="463" t="s">
        <v>2199</v>
      </c>
      <c r="Y145" s="463" t="s">
        <v>1533</v>
      </c>
      <c r="Z145" s="463" t="s">
        <v>1830</v>
      </c>
      <c r="AA145" s="463" t="s">
        <v>1615</v>
      </c>
      <c r="AB145" s="133" t="s">
        <v>1534</v>
      </c>
    </row>
    <row r="146" spans="1:28" ht="24" customHeight="1">
      <c r="A146" s="584"/>
      <c r="B146" s="460" t="s">
        <v>675</v>
      </c>
      <c r="C146" s="458" t="s">
        <v>3457</v>
      </c>
      <c r="D146" s="510" t="s">
        <v>3458</v>
      </c>
      <c r="E146" s="655">
        <v>50</v>
      </c>
      <c r="F146" s="655">
        <v>0</v>
      </c>
      <c r="G146" s="655">
        <v>0</v>
      </c>
      <c r="H146" s="655">
        <v>50</v>
      </c>
      <c r="I146" s="655">
        <f t="shared" si="12"/>
        <v>41</v>
      </c>
      <c r="J146" s="655">
        <v>0</v>
      </c>
      <c r="K146" s="655">
        <v>0</v>
      </c>
      <c r="L146" s="710">
        <v>41</v>
      </c>
      <c r="M146" s="959">
        <v>0.81099999999999994</v>
      </c>
      <c r="N146" s="653">
        <v>234.89479599999999</v>
      </c>
      <c r="O146" s="669" t="s">
        <v>3451</v>
      </c>
      <c r="P146" s="463" t="s">
        <v>1588</v>
      </c>
      <c r="Q146" s="864">
        <v>0</v>
      </c>
      <c r="R146" s="864">
        <v>0</v>
      </c>
      <c r="S146" s="864">
        <v>0</v>
      </c>
      <c r="T146" s="864">
        <v>0</v>
      </c>
      <c r="U146" s="463" t="s">
        <v>2222</v>
      </c>
      <c r="V146" s="466" t="s">
        <v>3459</v>
      </c>
      <c r="W146" s="498">
        <v>172</v>
      </c>
      <c r="X146" s="463" t="s">
        <v>2199</v>
      </c>
      <c r="Y146" s="463" t="s">
        <v>1533</v>
      </c>
      <c r="Z146" s="463" t="s">
        <v>1830</v>
      </c>
      <c r="AA146" s="463" t="s">
        <v>1615</v>
      </c>
      <c r="AB146" s="133" t="s">
        <v>1534</v>
      </c>
    </row>
    <row r="147" spans="1:28" ht="24" customHeight="1">
      <c r="A147" s="582" t="s">
        <v>1832</v>
      </c>
      <c r="B147" s="460" t="s">
        <v>2201</v>
      </c>
      <c r="C147" s="458" t="s">
        <v>510</v>
      </c>
      <c r="D147" s="510" t="s">
        <v>3460</v>
      </c>
      <c r="E147" s="655">
        <v>160000</v>
      </c>
      <c r="F147" s="655">
        <v>0</v>
      </c>
      <c r="G147" s="655">
        <v>0</v>
      </c>
      <c r="H147" s="655">
        <v>160000</v>
      </c>
      <c r="I147" s="655">
        <f t="shared" si="12"/>
        <v>147159</v>
      </c>
      <c r="J147" s="655">
        <v>0</v>
      </c>
      <c r="K147" s="655">
        <v>0</v>
      </c>
      <c r="L147" s="710">
        <v>147159</v>
      </c>
      <c r="M147" s="959">
        <v>0.95971154419214499</v>
      </c>
      <c r="N147" s="653">
        <v>23697.013769999998</v>
      </c>
      <c r="O147" s="669" t="s">
        <v>3461</v>
      </c>
      <c r="P147" s="463" t="s">
        <v>1588</v>
      </c>
      <c r="Q147" s="864">
        <v>154</v>
      </c>
      <c r="R147" s="864">
        <v>0</v>
      </c>
      <c r="S147" s="864">
        <v>0</v>
      </c>
      <c r="T147" s="864">
        <v>0</v>
      </c>
      <c r="U147" s="463" t="s">
        <v>2225</v>
      </c>
      <c r="V147" s="463" t="s">
        <v>3462</v>
      </c>
      <c r="W147" s="498">
        <v>12619</v>
      </c>
      <c r="X147" s="463" t="s">
        <v>1532</v>
      </c>
      <c r="Y147" s="463" t="s">
        <v>3463</v>
      </c>
      <c r="Z147" s="463" t="s">
        <v>3361</v>
      </c>
      <c r="AA147" s="463" t="s">
        <v>1534</v>
      </c>
      <c r="AB147" s="133" t="s">
        <v>1534</v>
      </c>
    </row>
    <row r="148" spans="1:28" ht="24" customHeight="1">
      <c r="A148" s="584"/>
      <c r="B148" s="460" t="s">
        <v>675</v>
      </c>
      <c r="C148" s="458" t="s">
        <v>3464</v>
      </c>
      <c r="D148" s="510" t="s">
        <v>3465</v>
      </c>
      <c r="E148" s="655">
        <v>200</v>
      </c>
      <c r="F148" s="655">
        <v>0</v>
      </c>
      <c r="G148" s="655">
        <v>0</v>
      </c>
      <c r="H148" s="655">
        <v>200</v>
      </c>
      <c r="I148" s="655">
        <f t="shared" si="12"/>
        <v>71</v>
      </c>
      <c r="J148" s="655">
        <v>0</v>
      </c>
      <c r="K148" s="655">
        <v>0</v>
      </c>
      <c r="L148" s="710">
        <v>71</v>
      </c>
      <c r="M148" s="959">
        <v>0.94400000000000006</v>
      </c>
      <c r="N148" s="653">
        <v>2091</v>
      </c>
      <c r="O148" s="669" t="s">
        <v>3282</v>
      </c>
      <c r="P148" s="463" t="s">
        <v>1588</v>
      </c>
      <c r="Q148" s="864">
        <v>0</v>
      </c>
      <c r="R148" s="864">
        <v>0</v>
      </c>
      <c r="S148" s="864">
        <v>0</v>
      </c>
      <c r="T148" s="864">
        <v>0</v>
      </c>
      <c r="U148" s="463" t="s">
        <v>2225</v>
      </c>
      <c r="V148" s="463" t="s">
        <v>3466</v>
      </c>
      <c r="W148" s="498">
        <v>1966</v>
      </c>
      <c r="X148" s="463" t="s">
        <v>1532</v>
      </c>
      <c r="Y148" s="463" t="s">
        <v>1533</v>
      </c>
      <c r="Z148" s="463" t="s">
        <v>1534</v>
      </c>
      <c r="AA148" s="463" t="s">
        <v>1534</v>
      </c>
      <c r="AB148" s="133" t="s">
        <v>1534</v>
      </c>
    </row>
    <row r="149" spans="1:28" ht="24" customHeight="1">
      <c r="A149" s="586" t="s">
        <v>1833</v>
      </c>
      <c r="B149" s="473" t="s">
        <v>2201</v>
      </c>
      <c r="C149" s="500" t="s">
        <v>2226</v>
      </c>
      <c r="D149" s="705" t="s">
        <v>3467</v>
      </c>
      <c r="E149" s="654">
        <v>40000</v>
      </c>
      <c r="F149" s="654">
        <v>0</v>
      </c>
      <c r="G149" s="654">
        <v>0</v>
      </c>
      <c r="H149" s="654">
        <v>40000</v>
      </c>
      <c r="I149" s="654">
        <f t="shared" si="12"/>
        <v>33802</v>
      </c>
      <c r="J149" s="654">
        <v>0</v>
      </c>
      <c r="K149" s="654">
        <v>0</v>
      </c>
      <c r="L149" s="706">
        <v>33802</v>
      </c>
      <c r="M149" s="959">
        <v>0.94227504244482174</v>
      </c>
      <c r="N149" s="653">
        <v>3189.2186999999999</v>
      </c>
      <c r="O149" s="714" t="s">
        <v>3468</v>
      </c>
      <c r="P149" s="463" t="s">
        <v>1588</v>
      </c>
      <c r="Q149" s="867">
        <v>40</v>
      </c>
      <c r="R149" s="867">
        <v>0</v>
      </c>
      <c r="S149" s="867">
        <v>0</v>
      </c>
      <c r="T149" s="867">
        <v>0</v>
      </c>
      <c r="U149" s="132" t="s">
        <v>3469</v>
      </c>
      <c r="V149" s="500" t="s">
        <v>3470</v>
      </c>
      <c r="W149" s="498">
        <v>76507</v>
      </c>
      <c r="X149" s="132" t="s">
        <v>2276</v>
      </c>
      <c r="Y149" s="132"/>
      <c r="Z149" s="132" t="s">
        <v>1534</v>
      </c>
      <c r="AA149" s="132" t="s">
        <v>1534</v>
      </c>
      <c r="AB149" s="133" t="s">
        <v>1534</v>
      </c>
    </row>
    <row r="150" spans="1:28" ht="24" customHeight="1">
      <c r="A150" s="587"/>
      <c r="B150" s="473" t="s">
        <v>675</v>
      </c>
      <c r="C150" s="500" t="s">
        <v>3471</v>
      </c>
      <c r="D150" s="705" t="s">
        <v>3472</v>
      </c>
      <c r="E150" s="654">
        <v>50</v>
      </c>
      <c r="F150" s="654">
        <v>0</v>
      </c>
      <c r="G150" s="654">
        <v>50</v>
      </c>
      <c r="H150" s="654">
        <v>0</v>
      </c>
      <c r="I150" s="654">
        <f t="shared" si="12"/>
        <v>44.48</v>
      </c>
      <c r="J150" s="654">
        <v>0</v>
      </c>
      <c r="K150" s="654">
        <v>44.48</v>
      </c>
      <c r="L150" s="706">
        <v>0</v>
      </c>
      <c r="M150" s="959">
        <v>0</v>
      </c>
      <c r="N150" s="653">
        <v>0</v>
      </c>
      <c r="O150" s="709" t="s">
        <v>1408</v>
      </c>
      <c r="P150" s="463" t="s">
        <v>1588</v>
      </c>
      <c r="Q150" s="867">
        <v>0</v>
      </c>
      <c r="R150" s="867">
        <v>0</v>
      </c>
      <c r="S150" s="867">
        <v>0</v>
      </c>
      <c r="T150" s="867">
        <v>0</v>
      </c>
      <c r="U150" s="132" t="s">
        <v>3473</v>
      </c>
      <c r="V150" s="500" t="s">
        <v>3474</v>
      </c>
      <c r="W150" s="498">
        <v>200</v>
      </c>
      <c r="X150" s="132" t="s">
        <v>2276</v>
      </c>
      <c r="Y150" s="132"/>
      <c r="Z150" s="132" t="s">
        <v>1534</v>
      </c>
      <c r="AA150" s="132" t="s">
        <v>1534</v>
      </c>
      <c r="AB150" s="133" t="s">
        <v>1534</v>
      </c>
    </row>
    <row r="151" spans="1:28" ht="24" customHeight="1">
      <c r="A151" s="587"/>
      <c r="B151" s="473" t="s">
        <v>675</v>
      </c>
      <c r="C151" s="500" t="s">
        <v>3475</v>
      </c>
      <c r="D151" s="705" t="s">
        <v>3476</v>
      </c>
      <c r="E151" s="654">
        <v>46</v>
      </c>
      <c r="F151" s="654">
        <v>0</v>
      </c>
      <c r="G151" s="654">
        <v>46</v>
      </c>
      <c r="H151" s="654">
        <v>0</v>
      </c>
      <c r="I151" s="654">
        <f t="shared" si="12"/>
        <v>32.909999999999997</v>
      </c>
      <c r="J151" s="654">
        <v>0</v>
      </c>
      <c r="K151" s="654">
        <v>32.909999999999997</v>
      </c>
      <c r="L151" s="706">
        <v>0</v>
      </c>
      <c r="M151" s="958">
        <v>0</v>
      </c>
      <c r="N151" s="653">
        <v>0</v>
      </c>
      <c r="O151" s="714" t="s">
        <v>3477</v>
      </c>
      <c r="P151" s="463" t="s">
        <v>1588</v>
      </c>
      <c r="Q151" s="867">
        <v>0</v>
      </c>
      <c r="R151" s="867">
        <v>0</v>
      </c>
      <c r="S151" s="867">
        <v>0</v>
      </c>
      <c r="T151" s="867">
        <v>0</v>
      </c>
      <c r="U151" s="132" t="s">
        <v>3473</v>
      </c>
      <c r="V151" s="500" t="s">
        <v>3478</v>
      </c>
      <c r="W151" s="498">
        <v>187</v>
      </c>
      <c r="X151" s="132" t="s">
        <v>2276</v>
      </c>
      <c r="Y151" s="132"/>
      <c r="Z151" s="132" t="s">
        <v>1534</v>
      </c>
      <c r="AA151" s="132" t="s">
        <v>1534</v>
      </c>
      <c r="AB151" s="133" t="s">
        <v>1534</v>
      </c>
    </row>
    <row r="152" spans="1:28" ht="24" customHeight="1">
      <c r="A152" s="587"/>
      <c r="B152" s="473" t="s">
        <v>675</v>
      </c>
      <c r="C152" s="500" t="s">
        <v>3479</v>
      </c>
      <c r="D152" s="705" t="s">
        <v>3480</v>
      </c>
      <c r="E152" s="654">
        <v>23</v>
      </c>
      <c r="F152" s="654">
        <v>0</v>
      </c>
      <c r="G152" s="654">
        <v>23</v>
      </c>
      <c r="H152" s="654">
        <v>0</v>
      </c>
      <c r="I152" s="654">
        <f t="shared" si="12"/>
        <v>16</v>
      </c>
      <c r="J152" s="654">
        <v>0</v>
      </c>
      <c r="K152" s="654">
        <v>16</v>
      </c>
      <c r="L152" s="706">
        <v>0</v>
      </c>
      <c r="M152" s="958">
        <v>0</v>
      </c>
      <c r="N152" s="653">
        <v>0</v>
      </c>
      <c r="O152" s="714" t="s">
        <v>3477</v>
      </c>
      <c r="P152" s="463" t="s">
        <v>1588</v>
      </c>
      <c r="Q152" s="867">
        <v>0</v>
      </c>
      <c r="R152" s="867">
        <v>0</v>
      </c>
      <c r="S152" s="867">
        <v>0</v>
      </c>
      <c r="T152" s="867">
        <v>0</v>
      </c>
      <c r="U152" s="132" t="s">
        <v>3473</v>
      </c>
      <c r="V152" s="500" t="s">
        <v>3481</v>
      </c>
      <c r="W152" s="498">
        <v>128</v>
      </c>
      <c r="X152" s="132" t="s">
        <v>2276</v>
      </c>
      <c r="Y152" s="132"/>
      <c r="Z152" s="132" t="s">
        <v>1534</v>
      </c>
      <c r="AA152" s="132" t="s">
        <v>1534</v>
      </c>
      <c r="AB152" s="133" t="s">
        <v>1534</v>
      </c>
    </row>
    <row r="153" spans="1:28" ht="24" customHeight="1">
      <c r="A153" s="587"/>
      <c r="B153" s="473" t="s">
        <v>675</v>
      </c>
      <c r="C153" s="500" t="s">
        <v>3482</v>
      </c>
      <c r="D153" s="705" t="s">
        <v>3483</v>
      </c>
      <c r="E153" s="654">
        <v>30</v>
      </c>
      <c r="F153" s="654">
        <v>0</v>
      </c>
      <c r="G153" s="654">
        <v>30</v>
      </c>
      <c r="H153" s="654">
        <v>0</v>
      </c>
      <c r="I153" s="654">
        <f t="shared" si="12"/>
        <v>26.16</v>
      </c>
      <c r="J153" s="654">
        <v>0</v>
      </c>
      <c r="K153" s="654">
        <v>26.16</v>
      </c>
      <c r="L153" s="706">
        <v>0</v>
      </c>
      <c r="M153" s="958">
        <v>0</v>
      </c>
      <c r="N153" s="653">
        <v>0</v>
      </c>
      <c r="O153" s="714" t="s">
        <v>3477</v>
      </c>
      <c r="P153" s="463" t="s">
        <v>1588</v>
      </c>
      <c r="Q153" s="867">
        <v>0</v>
      </c>
      <c r="R153" s="867">
        <v>0</v>
      </c>
      <c r="S153" s="867">
        <v>0</v>
      </c>
      <c r="T153" s="867">
        <v>0</v>
      </c>
      <c r="U153" s="132" t="s">
        <v>3473</v>
      </c>
      <c r="V153" s="500" t="s">
        <v>3484</v>
      </c>
      <c r="W153" s="498">
        <v>126</v>
      </c>
      <c r="X153" s="132" t="s">
        <v>2276</v>
      </c>
      <c r="Y153" s="132"/>
      <c r="Z153" s="132" t="s">
        <v>1534</v>
      </c>
      <c r="AA153" s="132" t="s">
        <v>1534</v>
      </c>
      <c r="AB153" s="133" t="s">
        <v>1534</v>
      </c>
    </row>
    <row r="154" spans="1:28" ht="24" customHeight="1">
      <c r="A154" s="587"/>
      <c r="B154" s="473" t="s">
        <v>675</v>
      </c>
      <c r="C154" s="500" t="s">
        <v>2076</v>
      </c>
      <c r="D154" s="705" t="s">
        <v>3485</v>
      </c>
      <c r="E154" s="654">
        <v>30</v>
      </c>
      <c r="F154" s="654">
        <v>0</v>
      </c>
      <c r="G154" s="654">
        <v>30</v>
      </c>
      <c r="H154" s="654">
        <v>0</v>
      </c>
      <c r="I154" s="654">
        <f t="shared" si="12"/>
        <v>20.75</v>
      </c>
      <c r="J154" s="654">
        <v>0</v>
      </c>
      <c r="K154" s="654">
        <v>20.75</v>
      </c>
      <c r="L154" s="706">
        <v>0</v>
      </c>
      <c r="M154" s="958">
        <v>0</v>
      </c>
      <c r="N154" s="653">
        <v>0</v>
      </c>
      <c r="O154" s="714" t="s">
        <v>3486</v>
      </c>
      <c r="P154" s="463" t="s">
        <v>1588</v>
      </c>
      <c r="Q154" s="867">
        <v>0</v>
      </c>
      <c r="R154" s="867">
        <v>0</v>
      </c>
      <c r="S154" s="867">
        <v>0</v>
      </c>
      <c r="T154" s="867">
        <v>0</v>
      </c>
      <c r="U154" s="132" t="s">
        <v>3473</v>
      </c>
      <c r="V154" s="500" t="s">
        <v>3481</v>
      </c>
      <c r="W154" s="498">
        <v>127</v>
      </c>
      <c r="X154" s="132" t="s">
        <v>2276</v>
      </c>
      <c r="Y154" s="132"/>
      <c r="Z154" s="132" t="s">
        <v>1534</v>
      </c>
      <c r="AA154" s="132" t="s">
        <v>1534</v>
      </c>
      <c r="AB154" s="133" t="s">
        <v>1534</v>
      </c>
    </row>
    <row r="155" spans="1:28" ht="24" customHeight="1">
      <c r="A155" s="587"/>
      <c r="B155" s="473" t="s">
        <v>675</v>
      </c>
      <c r="C155" s="500" t="s">
        <v>2014</v>
      </c>
      <c r="D155" s="705" t="s">
        <v>3487</v>
      </c>
      <c r="E155" s="654">
        <v>68</v>
      </c>
      <c r="F155" s="654">
        <v>0</v>
      </c>
      <c r="G155" s="654">
        <v>68</v>
      </c>
      <c r="H155" s="654">
        <v>0</v>
      </c>
      <c r="I155" s="654">
        <f t="shared" si="12"/>
        <v>53</v>
      </c>
      <c r="J155" s="654">
        <v>0</v>
      </c>
      <c r="K155" s="654">
        <v>53</v>
      </c>
      <c r="L155" s="706">
        <v>0</v>
      </c>
      <c r="M155" s="958">
        <v>0</v>
      </c>
      <c r="N155" s="653">
        <v>0</v>
      </c>
      <c r="O155" s="714" t="s">
        <v>3477</v>
      </c>
      <c r="P155" s="463" t="s">
        <v>1588</v>
      </c>
      <c r="Q155" s="867">
        <v>0</v>
      </c>
      <c r="R155" s="867">
        <v>0</v>
      </c>
      <c r="S155" s="867">
        <v>0</v>
      </c>
      <c r="T155" s="867">
        <v>0</v>
      </c>
      <c r="U155" s="132" t="s">
        <v>3473</v>
      </c>
      <c r="V155" s="500" t="s">
        <v>3488</v>
      </c>
      <c r="W155" s="498">
        <v>400</v>
      </c>
      <c r="X155" s="132" t="s">
        <v>2276</v>
      </c>
      <c r="Y155" s="132"/>
      <c r="Z155" s="132" t="s">
        <v>1534</v>
      </c>
      <c r="AA155" s="132" t="s">
        <v>1534</v>
      </c>
      <c r="AB155" s="133" t="s">
        <v>1534</v>
      </c>
    </row>
    <row r="156" spans="1:28" ht="24" customHeight="1">
      <c r="A156" s="586" t="s">
        <v>1834</v>
      </c>
      <c r="B156" s="460" t="s">
        <v>2201</v>
      </c>
      <c r="C156" s="500" t="s">
        <v>166</v>
      </c>
      <c r="D156" s="705" t="s">
        <v>3489</v>
      </c>
      <c r="E156" s="654">
        <v>16000</v>
      </c>
      <c r="F156" s="654">
        <v>0</v>
      </c>
      <c r="G156" s="654">
        <v>0</v>
      </c>
      <c r="H156" s="654">
        <v>16000</v>
      </c>
      <c r="I156" s="654">
        <f t="shared" si="12"/>
        <v>15441</v>
      </c>
      <c r="J156" s="654">
        <v>0</v>
      </c>
      <c r="K156" s="654">
        <v>0</v>
      </c>
      <c r="L156" s="706">
        <v>15441</v>
      </c>
      <c r="M156" s="959">
        <v>0.96739130434782605</v>
      </c>
      <c r="N156" s="653">
        <v>2061.3735000000001</v>
      </c>
      <c r="O156" s="709" t="s">
        <v>3490</v>
      </c>
      <c r="P156" s="132" t="s">
        <v>3490</v>
      </c>
      <c r="Q156" s="867">
        <v>38.049999999999997</v>
      </c>
      <c r="R156" s="867">
        <v>0</v>
      </c>
      <c r="S156" s="867">
        <v>0</v>
      </c>
      <c r="T156" s="867">
        <v>0</v>
      </c>
      <c r="U156" s="132" t="s">
        <v>2227</v>
      </c>
      <c r="V156" s="132" t="s">
        <v>3491</v>
      </c>
      <c r="W156" s="498">
        <v>33086</v>
      </c>
      <c r="X156" s="132" t="s">
        <v>2199</v>
      </c>
      <c r="Y156" s="132" t="s">
        <v>3336</v>
      </c>
      <c r="Z156" s="132" t="s">
        <v>3492</v>
      </c>
      <c r="AA156" s="132" t="s">
        <v>1597</v>
      </c>
      <c r="AB156" s="133" t="s">
        <v>1534</v>
      </c>
    </row>
    <row r="157" spans="1:28" ht="24" customHeight="1">
      <c r="A157" s="587"/>
      <c r="B157" s="460" t="s">
        <v>2201</v>
      </c>
      <c r="C157" s="500" t="s">
        <v>2229</v>
      </c>
      <c r="D157" s="705" t="s">
        <v>3493</v>
      </c>
      <c r="E157" s="654">
        <v>1500</v>
      </c>
      <c r="F157" s="654">
        <v>0</v>
      </c>
      <c r="G157" s="654">
        <v>0</v>
      </c>
      <c r="H157" s="654">
        <v>1500</v>
      </c>
      <c r="I157" s="654">
        <f t="shared" si="12"/>
        <v>1255</v>
      </c>
      <c r="J157" s="654">
        <v>0</v>
      </c>
      <c r="K157" s="654">
        <v>0</v>
      </c>
      <c r="L157" s="706">
        <v>1255</v>
      </c>
      <c r="M157" s="958">
        <v>0.97723704866562</v>
      </c>
      <c r="N157" s="653">
        <v>156.24749999999997</v>
      </c>
      <c r="O157" s="709" t="s">
        <v>3494</v>
      </c>
      <c r="P157" s="132" t="s">
        <v>3494</v>
      </c>
      <c r="Q157" s="867">
        <v>0</v>
      </c>
      <c r="R157" s="867">
        <v>0</v>
      </c>
      <c r="S157" s="867">
        <v>0</v>
      </c>
      <c r="T157" s="867">
        <v>0</v>
      </c>
      <c r="U157" s="132" t="s">
        <v>2230</v>
      </c>
      <c r="V157" s="132" t="s">
        <v>2231</v>
      </c>
      <c r="W157" s="498">
        <v>11836</v>
      </c>
      <c r="X157" s="132" t="s">
        <v>2199</v>
      </c>
      <c r="Y157" s="132" t="s">
        <v>3336</v>
      </c>
      <c r="Z157" s="132" t="s">
        <v>2228</v>
      </c>
      <c r="AA157" s="132" t="s">
        <v>1597</v>
      </c>
      <c r="AB157" s="133" t="s">
        <v>1534</v>
      </c>
    </row>
    <row r="158" spans="1:28" ht="24" customHeight="1">
      <c r="A158" s="587"/>
      <c r="B158" s="460" t="s">
        <v>2201</v>
      </c>
      <c r="C158" s="500" t="s">
        <v>2232</v>
      </c>
      <c r="D158" s="705" t="s">
        <v>3495</v>
      </c>
      <c r="E158" s="654">
        <v>4000</v>
      </c>
      <c r="F158" s="654">
        <v>0</v>
      </c>
      <c r="G158" s="654">
        <v>0</v>
      </c>
      <c r="H158" s="654">
        <v>4000</v>
      </c>
      <c r="I158" s="654">
        <f t="shared" si="12"/>
        <v>2673</v>
      </c>
      <c r="J158" s="654">
        <v>0</v>
      </c>
      <c r="K158" s="654">
        <v>0</v>
      </c>
      <c r="L158" s="706">
        <v>2673</v>
      </c>
      <c r="M158" s="958">
        <v>0.9865819209039548</v>
      </c>
      <c r="N158" s="653">
        <v>373.41809999999998</v>
      </c>
      <c r="O158" s="709" t="s">
        <v>3490</v>
      </c>
      <c r="P158" s="132" t="s">
        <v>3490</v>
      </c>
      <c r="Q158" s="867">
        <v>6.28</v>
      </c>
      <c r="R158" s="867">
        <v>0</v>
      </c>
      <c r="S158" s="867">
        <v>0</v>
      </c>
      <c r="T158" s="867">
        <v>0</v>
      </c>
      <c r="U158" s="132" t="s">
        <v>2233</v>
      </c>
      <c r="V158" s="132" t="s">
        <v>2234</v>
      </c>
      <c r="W158" s="498">
        <v>19750</v>
      </c>
      <c r="X158" s="132" t="s">
        <v>2199</v>
      </c>
      <c r="Y158" s="132" t="s">
        <v>3336</v>
      </c>
      <c r="Z158" s="132" t="s">
        <v>3496</v>
      </c>
      <c r="AA158" s="132" t="s">
        <v>1597</v>
      </c>
      <c r="AB158" s="133" t="s">
        <v>1534</v>
      </c>
    </row>
    <row r="159" spans="1:28" ht="24" customHeight="1">
      <c r="A159" s="587"/>
      <c r="B159" s="460" t="s">
        <v>2201</v>
      </c>
      <c r="C159" s="500" t="s">
        <v>167</v>
      </c>
      <c r="D159" s="705" t="s">
        <v>3497</v>
      </c>
      <c r="E159" s="654">
        <v>15000</v>
      </c>
      <c r="F159" s="654">
        <v>0</v>
      </c>
      <c r="G159" s="654">
        <v>0</v>
      </c>
      <c r="H159" s="654">
        <v>15000</v>
      </c>
      <c r="I159" s="654">
        <f t="shared" si="12"/>
        <v>11967</v>
      </c>
      <c r="J159" s="654">
        <v>0</v>
      </c>
      <c r="K159" s="654">
        <v>0</v>
      </c>
      <c r="L159" s="706">
        <v>11967</v>
      </c>
      <c r="M159" s="958">
        <v>0.96858237547892723</v>
      </c>
      <c r="N159" s="653">
        <v>1512.6288</v>
      </c>
      <c r="O159" s="709" t="s">
        <v>3490</v>
      </c>
      <c r="P159" s="132" t="s">
        <v>3490</v>
      </c>
      <c r="Q159" s="867">
        <v>0</v>
      </c>
      <c r="R159" s="867">
        <v>0</v>
      </c>
      <c r="S159" s="867">
        <v>0</v>
      </c>
      <c r="T159" s="867">
        <v>0</v>
      </c>
      <c r="U159" s="132" t="s">
        <v>3498</v>
      </c>
      <c r="V159" s="132" t="s">
        <v>3499</v>
      </c>
      <c r="W159" s="498">
        <v>29291</v>
      </c>
      <c r="X159" s="132" t="s">
        <v>2199</v>
      </c>
      <c r="Y159" s="132" t="s">
        <v>3336</v>
      </c>
      <c r="Z159" s="132" t="s">
        <v>3492</v>
      </c>
      <c r="AA159" s="132" t="s">
        <v>1597</v>
      </c>
      <c r="AB159" s="133" t="s">
        <v>1534</v>
      </c>
    </row>
    <row r="160" spans="1:28" ht="24" customHeight="1">
      <c r="A160" s="587"/>
      <c r="B160" s="460" t="s">
        <v>2201</v>
      </c>
      <c r="C160" s="500" t="s">
        <v>168</v>
      </c>
      <c r="D160" s="705" t="s">
        <v>3500</v>
      </c>
      <c r="E160" s="654">
        <v>1200</v>
      </c>
      <c r="F160" s="654">
        <v>0</v>
      </c>
      <c r="G160" s="654">
        <v>0</v>
      </c>
      <c r="H160" s="654">
        <v>1200</v>
      </c>
      <c r="I160" s="654">
        <f t="shared" si="12"/>
        <v>1074</v>
      </c>
      <c r="J160" s="654">
        <v>0</v>
      </c>
      <c r="K160" s="654">
        <v>0</v>
      </c>
      <c r="L160" s="706">
        <v>1074</v>
      </c>
      <c r="M160" s="958">
        <v>0.98928996429988103</v>
      </c>
      <c r="N160" s="653">
        <v>267.85559999999998</v>
      </c>
      <c r="O160" s="709" t="s">
        <v>3494</v>
      </c>
      <c r="P160" s="132" t="s">
        <v>3501</v>
      </c>
      <c r="Q160" s="867">
        <v>0</v>
      </c>
      <c r="R160" s="867">
        <v>0</v>
      </c>
      <c r="S160" s="867">
        <v>0</v>
      </c>
      <c r="T160" s="867">
        <v>0</v>
      </c>
      <c r="U160" s="132" t="s">
        <v>3502</v>
      </c>
      <c r="V160" s="132" t="s">
        <v>2172</v>
      </c>
      <c r="W160" s="498">
        <v>16645</v>
      </c>
      <c r="X160" s="132" t="s">
        <v>2199</v>
      </c>
      <c r="Y160" s="132" t="s">
        <v>3336</v>
      </c>
      <c r="Z160" s="132" t="s">
        <v>3361</v>
      </c>
      <c r="AA160" s="132" t="s">
        <v>1534</v>
      </c>
      <c r="AB160" s="133" t="s">
        <v>1534</v>
      </c>
    </row>
    <row r="161" spans="1:28" ht="24" customHeight="1">
      <c r="A161" s="587"/>
      <c r="B161" s="473" t="s">
        <v>675</v>
      </c>
      <c r="C161" s="500" t="s">
        <v>3503</v>
      </c>
      <c r="D161" s="705" t="s">
        <v>3504</v>
      </c>
      <c r="E161" s="654">
        <v>40</v>
      </c>
      <c r="F161" s="654">
        <v>0</v>
      </c>
      <c r="G161" s="654">
        <v>40</v>
      </c>
      <c r="H161" s="654">
        <v>0</v>
      </c>
      <c r="I161" s="654">
        <f t="shared" si="12"/>
        <v>29</v>
      </c>
      <c r="J161" s="654">
        <v>0</v>
      </c>
      <c r="K161" s="654">
        <v>29</v>
      </c>
      <c r="L161" s="706">
        <v>0</v>
      </c>
      <c r="M161" s="958">
        <v>0.9</v>
      </c>
      <c r="N161" s="653">
        <v>3</v>
      </c>
      <c r="O161" s="709" t="s">
        <v>3505</v>
      </c>
      <c r="P161" s="463" t="s">
        <v>1588</v>
      </c>
      <c r="Q161" s="867">
        <v>0</v>
      </c>
      <c r="R161" s="867">
        <v>0</v>
      </c>
      <c r="S161" s="867">
        <v>0</v>
      </c>
      <c r="T161" s="867">
        <v>0</v>
      </c>
      <c r="U161" s="132" t="s">
        <v>2227</v>
      </c>
      <c r="V161" s="132" t="s">
        <v>3506</v>
      </c>
      <c r="W161" s="498">
        <v>132</v>
      </c>
      <c r="X161" s="132" t="s">
        <v>2199</v>
      </c>
      <c r="Y161" s="132" t="s">
        <v>3507</v>
      </c>
      <c r="Z161" s="132" t="s">
        <v>2228</v>
      </c>
      <c r="AA161" s="132" t="s">
        <v>1597</v>
      </c>
      <c r="AB161" s="133" t="s">
        <v>1534</v>
      </c>
    </row>
    <row r="162" spans="1:28" ht="24" customHeight="1">
      <c r="A162" s="587"/>
      <c r="B162" s="473" t="s">
        <v>675</v>
      </c>
      <c r="C162" s="500" t="s">
        <v>3508</v>
      </c>
      <c r="D162" s="705" t="s">
        <v>3509</v>
      </c>
      <c r="E162" s="654">
        <v>40</v>
      </c>
      <c r="F162" s="654">
        <v>0</v>
      </c>
      <c r="G162" s="654">
        <v>40</v>
      </c>
      <c r="H162" s="654">
        <v>0</v>
      </c>
      <c r="I162" s="654">
        <f t="shared" si="12"/>
        <v>37</v>
      </c>
      <c r="J162" s="654">
        <v>0</v>
      </c>
      <c r="K162" s="654">
        <v>37</v>
      </c>
      <c r="L162" s="706">
        <v>0</v>
      </c>
      <c r="M162" s="958">
        <v>0.9</v>
      </c>
      <c r="N162" s="653">
        <v>4</v>
      </c>
      <c r="O162" s="709" t="s">
        <v>3505</v>
      </c>
      <c r="P162" s="463" t="s">
        <v>1588</v>
      </c>
      <c r="Q162" s="867">
        <v>0</v>
      </c>
      <c r="R162" s="867">
        <v>0</v>
      </c>
      <c r="S162" s="867">
        <v>0</v>
      </c>
      <c r="T162" s="867">
        <v>0</v>
      </c>
      <c r="U162" s="132" t="s">
        <v>2227</v>
      </c>
      <c r="V162" s="132" t="s">
        <v>3510</v>
      </c>
      <c r="W162" s="498">
        <v>149</v>
      </c>
      <c r="X162" s="132" t="s">
        <v>2199</v>
      </c>
      <c r="Y162" s="132" t="s">
        <v>3507</v>
      </c>
      <c r="Z162" s="132" t="s">
        <v>3496</v>
      </c>
      <c r="AA162" s="132" t="s">
        <v>1597</v>
      </c>
      <c r="AB162" s="133" t="s">
        <v>1534</v>
      </c>
    </row>
    <row r="163" spans="1:28" ht="24" customHeight="1">
      <c r="A163" s="587"/>
      <c r="B163" s="473" t="s">
        <v>675</v>
      </c>
      <c r="C163" s="500" t="s">
        <v>3511</v>
      </c>
      <c r="D163" s="705" t="s">
        <v>3512</v>
      </c>
      <c r="E163" s="654">
        <v>60</v>
      </c>
      <c r="F163" s="654">
        <v>0</v>
      </c>
      <c r="G163" s="654">
        <v>60</v>
      </c>
      <c r="H163" s="654">
        <v>0</v>
      </c>
      <c r="I163" s="654">
        <f t="shared" si="12"/>
        <v>55</v>
      </c>
      <c r="J163" s="654">
        <v>0</v>
      </c>
      <c r="K163" s="654">
        <v>55</v>
      </c>
      <c r="L163" s="706">
        <v>0</v>
      </c>
      <c r="M163" s="958">
        <v>0.9</v>
      </c>
      <c r="N163" s="653">
        <v>5</v>
      </c>
      <c r="O163" s="709" t="s">
        <v>3505</v>
      </c>
      <c r="P163" s="463" t="s">
        <v>1588</v>
      </c>
      <c r="Q163" s="867">
        <v>0</v>
      </c>
      <c r="R163" s="867">
        <v>0</v>
      </c>
      <c r="S163" s="867">
        <v>0</v>
      </c>
      <c r="T163" s="867">
        <v>0</v>
      </c>
      <c r="U163" s="132" t="s">
        <v>2227</v>
      </c>
      <c r="V163" s="132" t="s">
        <v>3510</v>
      </c>
      <c r="W163" s="498">
        <v>170</v>
      </c>
      <c r="X163" s="132" t="s">
        <v>2199</v>
      </c>
      <c r="Y163" s="132" t="s">
        <v>3507</v>
      </c>
      <c r="Z163" s="132" t="s">
        <v>3492</v>
      </c>
      <c r="AA163" s="132" t="s">
        <v>1597</v>
      </c>
      <c r="AB163" s="133" t="s">
        <v>1534</v>
      </c>
    </row>
    <row r="164" spans="1:28" ht="24" customHeight="1">
      <c r="A164" s="587"/>
      <c r="B164" s="473" t="s">
        <v>675</v>
      </c>
      <c r="C164" s="500" t="s">
        <v>3513</v>
      </c>
      <c r="D164" s="705" t="s">
        <v>3514</v>
      </c>
      <c r="E164" s="654">
        <v>39</v>
      </c>
      <c r="F164" s="654">
        <v>0</v>
      </c>
      <c r="G164" s="654">
        <v>39</v>
      </c>
      <c r="H164" s="654">
        <v>0</v>
      </c>
      <c r="I164" s="654">
        <f t="shared" si="12"/>
        <v>27</v>
      </c>
      <c r="J164" s="654">
        <v>0</v>
      </c>
      <c r="K164" s="654">
        <v>27</v>
      </c>
      <c r="L164" s="706">
        <v>0</v>
      </c>
      <c r="M164" s="958">
        <v>0.9</v>
      </c>
      <c r="N164" s="653">
        <v>3</v>
      </c>
      <c r="O164" s="709" t="s">
        <v>3505</v>
      </c>
      <c r="P164" s="463" t="s">
        <v>1588</v>
      </c>
      <c r="Q164" s="867">
        <v>0</v>
      </c>
      <c r="R164" s="867">
        <v>0</v>
      </c>
      <c r="S164" s="867">
        <v>0</v>
      </c>
      <c r="T164" s="867">
        <v>0</v>
      </c>
      <c r="U164" s="132" t="s">
        <v>2227</v>
      </c>
      <c r="V164" s="132" t="s">
        <v>3515</v>
      </c>
      <c r="W164" s="498">
        <v>200</v>
      </c>
      <c r="X164" s="132" t="s">
        <v>2199</v>
      </c>
      <c r="Y164" s="132" t="s">
        <v>3507</v>
      </c>
      <c r="Z164" s="132" t="s">
        <v>2228</v>
      </c>
      <c r="AA164" s="132" t="s">
        <v>1597</v>
      </c>
      <c r="AB164" s="133" t="s">
        <v>1534</v>
      </c>
    </row>
    <row r="165" spans="1:28" ht="24" customHeight="1">
      <c r="A165" s="587"/>
      <c r="B165" s="473" t="s">
        <v>675</v>
      </c>
      <c r="C165" s="500" t="s">
        <v>2044</v>
      </c>
      <c r="D165" s="705" t="s">
        <v>3516</v>
      </c>
      <c r="E165" s="654">
        <v>40</v>
      </c>
      <c r="F165" s="654">
        <v>0</v>
      </c>
      <c r="G165" s="654">
        <v>40</v>
      </c>
      <c r="H165" s="654">
        <v>0</v>
      </c>
      <c r="I165" s="654">
        <f t="shared" si="12"/>
        <v>24</v>
      </c>
      <c r="J165" s="654">
        <v>0</v>
      </c>
      <c r="K165" s="654">
        <v>24</v>
      </c>
      <c r="L165" s="706">
        <v>0</v>
      </c>
      <c r="M165" s="958">
        <v>0.9</v>
      </c>
      <c r="N165" s="653">
        <v>3</v>
      </c>
      <c r="O165" s="709" t="s">
        <v>3517</v>
      </c>
      <c r="P165" s="463" t="s">
        <v>1588</v>
      </c>
      <c r="Q165" s="867">
        <v>0</v>
      </c>
      <c r="R165" s="867">
        <v>0</v>
      </c>
      <c r="S165" s="867">
        <v>0</v>
      </c>
      <c r="T165" s="867">
        <v>0</v>
      </c>
      <c r="U165" s="132" t="s">
        <v>2227</v>
      </c>
      <c r="V165" s="132" t="s">
        <v>3518</v>
      </c>
      <c r="W165" s="498">
        <v>200</v>
      </c>
      <c r="X165" s="132" t="s">
        <v>2199</v>
      </c>
      <c r="Y165" s="132" t="s">
        <v>3507</v>
      </c>
      <c r="Z165" s="132" t="s">
        <v>2263</v>
      </c>
      <c r="AA165" s="132" t="s">
        <v>1597</v>
      </c>
      <c r="AB165" s="133" t="s">
        <v>1534</v>
      </c>
    </row>
    <row r="166" spans="1:28" ht="24" customHeight="1">
      <c r="A166" s="586" t="s">
        <v>1835</v>
      </c>
      <c r="B166" s="473" t="s">
        <v>2201</v>
      </c>
      <c r="C166" s="500" t="s">
        <v>2015</v>
      </c>
      <c r="D166" s="705" t="s">
        <v>3519</v>
      </c>
      <c r="E166" s="654">
        <f t="shared" ref="E166:E176" si="14">G166+H166</f>
        <v>25000</v>
      </c>
      <c r="F166" s="654">
        <v>0</v>
      </c>
      <c r="G166" s="654">
        <v>0</v>
      </c>
      <c r="H166" s="654">
        <v>25000</v>
      </c>
      <c r="I166" s="654">
        <f t="shared" si="12"/>
        <v>23947</v>
      </c>
      <c r="J166" s="654">
        <v>0</v>
      </c>
      <c r="K166" s="654">
        <v>0</v>
      </c>
      <c r="L166" s="706">
        <v>23947</v>
      </c>
      <c r="M166" s="958">
        <v>0.99103139013452912</v>
      </c>
      <c r="N166" s="653">
        <v>2646.1435000000001</v>
      </c>
      <c r="O166" s="709" t="s">
        <v>3520</v>
      </c>
      <c r="P166" s="463" t="s">
        <v>1588</v>
      </c>
      <c r="Q166" s="867">
        <v>0</v>
      </c>
      <c r="R166" s="867">
        <v>0</v>
      </c>
      <c r="S166" s="867">
        <v>0</v>
      </c>
      <c r="T166" s="867">
        <v>0</v>
      </c>
      <c r="U166" s="132" t="s">
        <v>3521</v>
      </c>
      <c r="V166" s="483" t="s">
        <v>2113</v>
      </c>
      <c r="W166" s="498">
        <v>51274</v>
      </c>
      <c r="X166" s="132" t="s">
        <v>2199</v>
      </c>
      <c r="Y166" s="132" t="s">
        <v>3336</v>
      </c>
      <c r="Z166" s="132" t="s">
        <v>1816</v>
      </c>
      <c r="AA166" s="132" t="s">
        <v>1534</v>
      </c>
      <c r="AB166" s="133" t="s">
        <v>1534</v>
      </c>
    </row>
    <row r="167" spans="1:28" ht="24" customHeight="1">
      <c r="A167" s="587"/>
      <c r="B167" s="473" t="s">
        <v>2201</v>
      </c>
      <c r="C167" s="500" t="s">
        <v>2378</v>
      </c>
      <c r="D167" s="705" t="s">
        <v>3522</v>
      </c>
      <c r="E167" s="656">
        <f t="shared" si="14"/>
        <v>25000</v>
      </c>
      <c r="F167" s="664">
        <v>0</v>
      </c>
      <c r="G167" s="656">
        <v>25000</v>
      </c>
      <c r="H167" s="656">
        <v>0</v>
      </c>
      <c r="I167" s="656">
        <f t="shared" si="12"/>
        <v>23080</v>
      </c>
      <c r="J167" s="489">
        <v>376</v>
      </c>
      <c r="K167" s="654">
        <v>22704</v>
      </c>
      <c r="L167" s="706">
        <v>0</v>
      </c>
      <c r="M167" s="961">
        <v>0.97753679318357856</v>
      </c>
      <c r="N167" s="653">
        <v>2912.6959999999999</v>
      </c>
      <c r="O167" s="709" t="s">
        <v>3523</v>
      </c>
      <c r="P167" s="479" t="s">
        <v>1588</v>
      </c>
      <c r="Q167" s="856">
        <v>42.3</v>
      </c>
      <c r="R167" s="856">
        <v>0</v>
      </c>
      <c r="S167" s="856">
        <v>0</v>
      </c>
      <c r="T167" s="856">
        <v>0</v>
      </c>
      <c r="U167" s="132" t="s">
        <v>3524</v>
      </c>
      <c r="V167" s="621" t="s">
        <v>3525</v>
      </c>
      <c r="W167" s="498">
        <v>31504</v>
      </c>
      <c r="X167" s="132" t="s">
        <v>2199</v>
      </c>
      <c r="Y167" s="132" t="s">
        <v>1533</v>
      </c>
      <c r="Z167" s="132" t="s">
        <v>1816</v>
      </c>
      <c r="AA167" s="132" t="s">
        <v>1534</v>
      </c>
      <c r="AB167" s="133" t="s">
        <v>1534</v>
      </c>
    </row>
    <row r="168" spans="1:28" ht="24" customHeight="1">
      <c r="A168" s="587"/>
      <c r="B168" s="473" t="s">
        <v>2201</v>
      </c>
      <c r="C168" s="500" t="s">
        <v>513</v>
      </c>
      <c r="D168" s="705" t="s">
        <v>3526</v>
      </c>
      <c r="E168" s="654">
        <f t="shared" si="14"/>
        <v>20000</v>
      </c>
      <c r="F168" s="654">
        <v>0</v>
      </c>
      <c r="G168" s="654">
        <v>0</v>
      </c>
      <c r="H168" s="654">
        <v>20000</v>
      </c>
      <c r="I168" s="654">
        <f t="shared" si="12"/>
        <v>15163</v>
      </c>
      <c r="J168" s="654">
        <v>0</v>
      </c>
      <c r="K168" s="654">
        <v>0</v>
      </c>
      <c r="L168" s="706">
        <v>15163</v>
      </c>
      <c r="M168" s="958">
        <v>0.87920937042459735</v>
      </c>
      <c r="N168" s="653">
        <v>1821.0762999999997</v>
      </c>
      <c r="O168" s="709" t="s">
        <v>3527</v>
      </c>
      <c r="P168" s="477" t="s">
        <v>3528</v>
      </c>
      <c r="Q168" s="867">
        <v>46.5</v>
      </c>
      <c r="R168" s="867">
        <v>15.8</v>
      </c>
      <c r="S168" s="867">
        <v>0</v>
      </c>
      <c r="T168" s="867">
        <v>0</v>
      </c>
      <c r="U168" s="132" t="s">
        <v>3529</v>
      </c>
      <c r="V168" s="621" t="s">
        <v>3530</v>
      </c>
      <c r="W168" s="498">
        <v>31504</v>
      </c>
      <c r="X168" s="132" t="s">
        <v>2199</v>
      </c>
      <c r="Y168" s="132" t="s">
        <v>1533</v>
      </c>
      <c r="Z168" s="132" t="s">
        <v>1816</v>
      </c>
      <c r="AA168" s="132" t="s">
        <v>1534</v>
      </c>
      <c r="AB168" s="133" t="s">
        <v>1534</v>
      </c>
    </row>
    <row r="169" spans="1:28" ht="24" customHeight="1">
      <c r="A169" s="587"/>
      <c r="B169" s="473" t="s">
        <v>2201</v>
      </c>
      <c r="C169" s="500" t="s">
        <v>3531</v>
      </c>
      <c r="D169" s="705" t="s">
        <v>3532</v>
      </c>
      <c r="E169" s="654">
        <f t="shared" si="14"/>
        <v>500</v>
      </c>
      <c r="F169" s="654">
        <v>0</v>
      </c>
      <c r="G169" s="654">
        <v>500</v>
      </c>
      <c r="H169" s="654">
        <v>0</v>
      </c>
      <c r="I169" s="654">
        <f t="shared" ref="I169:I177" si="15">SUM(J169:L169)</f>
        <v>506</v>
      </c>
      <c r="J169" s="654">
        <v>0</v>
      </c>
      <c r="K169" s="654">
        <v>506</v>
      </c>
      <c r="L169" s="706">
        <v>0</v>
      </c>
      <c r="M169" s="958">
        <v>0.98607427055702923</v>
      </c>
      <c r="N169" s="653">
        <v>75.242200000000011</v>
      </c>
      <c r="O169" s="709" t="s">
        <v>3533</v>
      </c>
      <c r="P169" s="479" t="s">
        <v>1588</v>
      </c>
      <c r="Q169" s="867">
        <v>0</v>
      </c>
      <c r="R169" s="867">
        <v>0</v>
      </c>
      <c r="S169" s="867">
        <v>0</v>
      </c>
      <c r="T169" s="867">
        <v>0</v>
      </c>
      <c r="U169" s="132" t="s">
        <v>3534</v>
      </c>
      <c r="V169" s="483" t="s">
        <v>2111</v>
      </c>
      <c r="W169" s="498">
        <v>1126</v>
      </c>
      <c r="X169" s="132" t="s">
        <v>2199</v>
      </c>
      <c r="Y169" s="132" t="s">
        <v>3336</v>
      </c>
      <c r="Z169" s="132" t="s">
        <v>1816</v>
      </c>
      <c r="AA169" s="132" t="s">
        <v>1534</v>
      </c>
      <c r="AB169" s="133" t="s">
        <v>1534</v>
      </c>
    </row>
    <row r="170" spans="1:28" ht="24" customHeight="1">
      <c r="A170" s="587"/>
      <c r="B170" s="473" t="s">
        <v>2201</v>
      </c>
      <c r="C170" s="500" t="s">
        <v>3535</v>
      </c>
      <c r="D170" s="705" t="s">
        <v>3536</v>
      </c>
      <c r="E170" s="654">
        <f t="shared" si="14"/>
        <v>1250</v>
      </c>
      <c r="F170" s="654">
        <v>0</v>
      </c>
      <c r="G170" s="654">
        <v>0</v>
      </c>
      <c r="H170" s="654">
        <v>1250</v>
      </c>
      <c r="I170" s="654">
        <f t="shared" si="15"/>
        <v>1328</v>
      </c>
      <c r="J170" s="654">
        <v>0</v>
      </c>
      <c r="K170" s="654">
        <v>0</v>
      </c>
      <c r="L170" s="706">
        <v>1328</v>
      </c>
      <c r="M170" s="958">
        <v>0.9901168014375562</v>
      </c>
      <c r="N170" s="653">
        <v>292.69120000000004</v>
      </c>
      <c r="O170" s="709" t="s">
        <v>3537</v>
      </c>
      <c r="P170" s="477" t="s">
        <v>3538</v>
      </c>
      <c r="Q170" s="867">
        <v>0</v>
      </c>
      <c r="R170" s="867">
        <v>0</v>
      </c>
      <c r="S170" s="867">
        <v>0</v>
      </c>
      <c r="T170" s="867">
        <v>0</v>
      </c>
      <c r="U170" s="132" t="s">
        <v>3539</v>
      </c>
      <c r="V170" s="621" t="s">
        <v>2111</v>
      </c>
      <c r="W170" s="498">
        <v>11327</v>
      </c>
      <c r="X170" s="132" t="s">
        <v>2199</v>
      </c>
      <c r="Y170" s="132" t="s">
        <v>3336</v>
      </c>
      <c r="Z170" s="132" t="s">
        <v>3540</v>
      </c>
      <c r="AA170" s="132" t="s">
        <v>1534</v>
      </c>
      <c r="AB170" s="133" t="s">
        <v>1534</v>
      </c>
    </row>
    <row r="171" spans="1:28" ht="24" customHeight="1">
      <c r="A171" s="587"/>
      <c r="B171" s="473" t="s">
        <v>2201</v>
      </c>
      <c r="C171" s="500" t="s">
        <v>3541</v>
      </c>
      <c r="D171" s="705" t="s">
        <v>3542</v>
      </c>
      <c r="E171" s="654">
        <f t="shared" si="14"/>
        <v>1900</v>
      </c>
      <c r="F171" s="654">
        <v>0</v>
      </c>
      <c r="G171" s="654">
        <v>0</v>
      </c>
      <c r="H171" s="654">
        <v>1900</v>
      </c>
      <c r="I171" s="654">
        <f t="shared" si="15"/>
        <v>719</v>
      </c>
      <c r="J171" s="654">
        <v>0</v>
      </c>
      <c r="K171" s="654">
        <v>0</v>
      </c>
      <c r="L171" s="706">
        <v>719</v>
      </c>
      <c r="M171" s="958">
        <v>0.97357293868921779</v>
      </c>
      <c r="N171" s="653">
        <v>66.219899999999996</v>
      </c>
      <c r="O171" s="709" t="s">
        <v>3282</v>
      </c>
      <c r="P171" s="479" t="s">
        <v>1588</v>
      </c>
      <c r="Q171" s="867">
        <v>0</v>
      </c>
      <c r="R171" s="867">
        <v>0</v>
      </c>
      <c r="S171" s="867">
        <v>0</v>
      </c>
      <c r="T171" s="867">
        <v>0</v>
      </c>
      <c r="U171" s="132" t="s">
        <v>3543</v>
      </c>
      <c r="V171" s="621" t="s">
        <v>2111</v>
      </c>
      <c r="W171" s="498">
        <v>3313</v>
      </c>
      <c r="X171" s="132" t="s">
        <v>2199</v>
      </c>
      <c r="Y171" s="132" t="s">
        <v>3336</v>
      </c>
      <c r="Z171" s="132" t="s">
        <v>1836</v>
      </c>
      <c r="AA171" s="132" t="s">
        <v>1534</v>
      </c>
      <c r="AB171" s="133" t="s">
        <v>1534</v>
      </c>
    </row>
    <row r="172" spans="1:28" ht="24" customHeight="1">
      <c r="A172" s="587"/>
      <c r="B172" s="473" t="s">
        <v>2201</v>
      </c>
      <c r="C172" s="500" t="s">
        <v>3544</v>
      </c>
      <c r="D172" s="705" t="s">
        <v>3545</v>
      </c>
      <c r="E172" s="654">
        <f t="shared" si="14"/>
        <v>150</v>
      </c>
      <c r="F172" s="654">
        <v>0</v>
      </c>
      <c r="G172" s="654">
        <v>150</v>
      </c>
      <c r="H172" s="654">
        <v>0</v>
      </c>
      <c r="I172" s="654">
        <f t="shared" si="15"/>
        <v>81</v>
      </c>
      <c r="J172" s="654">
        <v>0</v>
      </c>
      <c r="K172" s="654">
        <v>81</v>
      </c>
      <c r="L172" s="706">
        <v>0</v>
      </c>
      <c r="M172" s="958">
        <v>0.9772423025435073</v>
      </c>
      <c r="N172" s="653">
        <v>5.9129999999999994</v>
      </c>
      <c r="O172" s="709" t="s">
        <v>3546</v>
      </c>
      <c r="P172" s="479" t="s">
        <v>1588</v>
      </c>
      <c r="Q172" s="867">
        <v>0</v>
      </c>
      <c r="R172" s="867">
        <v>0</v>
      </c>
      <c r="S172" s="867">
        <v>0</v>
      </c>
      <c r="T172" s="867">
        <v>0</v>
      </c>
      <c r="U172" s="132" t="s">
        <v>3543</v>
      </c>
      <c r="V172" s="483" t="s">
        <v>2111</v>
      </c>
      <c r="W172" s="498">
        <v>808</v>
      </c>
      <c r="X172" s="132" t="s">
        <v>2199</v>
      </c>
      <c r="Y172" s="132" t="s">
        <v>3336</v>
      </c>
      <c r="Z172" s="132" t="s">
        <v>1836</v>
      </c>
      <c r="AA172" s="132" t="s">
        <v>1534</v>
      </c>
      <c r="AB172" s="133" t="s">
        <v>1534</v>
      </c>
    </row>
    <row r="173" spans="1:28" ht="24" customHeight="1">
      <c r="A173" s="587"/>
      <c r="B173" s="473" t="s">
        <v>2201</v>
      </c>
      <c r="C173" s="500" t="s">
        <v>3547</v>
      </c>
      <c r="D173" s="705" t="s">
        <v>3548</v>
      </c>
      <c r="E173" s="656">
        <f t="shared" si="14"/>
        <v>1200</v>
      </c>
      <c r="F173" s="664">
        <v>0</v>
      </c>
      <c r="G173" s="656">
        <v>1200</v>
      </c>
      <c r="H173" s="656">
        <v>0</v>
      </c>
      <c r="I173" s="656">
        <f t="shared" si="15"/>
        <v>420</v>
      </c>
      <c r="J173" s="489">
        <v>0</v>
      </c>
      <c r="K173" s="654">
        <v>420</v>
      </c>
      <c r="L173" s="706">
        <v>0</v>
      </c>
      <c r="M173" s="961">
        <v>0.93725992317541607</v>
      </c>
      <c r="N173" s="653">
        <v>30.743999999999996</v>
      </c>
      <c r="O173" s="709" t="s">
        <v>3173</v>
      </c>
      <c r="P173" s="479" t="s">
        <v>1588</v>
      </c>
      <c r="Q173" s="856">
        <v>0</v>
      </c>
      <c r="R173" s="856">
        <v>0</v>
      </c>
      <c r="S173" s="856">
        <v>0</v>
      </c>
      <c r="T173" s="856">
        <v>0</v>
      </c>
      <c r="U173" s="132" t="s">
        <v>3549</v>
      </c>
      <c r="V173" s="483" t="s">
        <v>3550</v>
      </c>
      <c r="W173" s="498">
        <v>3000</v>
      </c>
      <c r="X173" s="132" t="s">
        <v>2199</v>
      </c>
      <c r="Y173" s="132" t="s">
        <v>1533</v>
      </c>
      <c r="Z173" s="132" t="s">
        <v>3551</v>
      </c>
      <c r="AA173" s="132" t="s">
        <v>1534</v>
      </c>
      <c r="AB173" s="133" t="s">
        <v>1534</v>
      </c>
    </row>
    <row r="174" spans="1:28" ht="24" customHeight="1">
      <c r="A174" s="587"/>
      <c r="B174" s="473" t="s">
        <v>2201</v>
      </c>
      <c r="C174" s="500" t="s">
        <v>3552</v>
      </c>
      <c r="D174" s="705" t="s">
        <v>3553</v>
      </c>
      <c r="E174" s="656">
        <f t="shared" si="14"/>
        <v>2000</v>
      </c>
      <c r="F174" s="664">
        <v>0</v>
      </c>
      <c r="G174" s="656">
        <v>2000</v>
      </c>
      <c r="H174" s="656">
        <v>0</v>
      </c>
      <c r="I174" s="656">
        <f t="shared" si="15"/>
        <v>2043</v>
      </c>
      <c r="J174" s="489">
        <v>0</v>
      </c>
      <c r="K174" s="654">
        <v>2043</v>
      </c>
      <c r="L174" s="706">
        <v>0</v>
      </c>
      <c r="M174" s="961">
        <v>0.98051704758336455</v>
      </c>
      <c r="N174" s="653">
        <v>534.65309999999999</v>
      </c>
      <c r="O174" s="709" t="s">
        <v>3554</v>
      </c>
      <c r="P174" s="479" t="s">
        <v>1588</v>
      </c>
      <c r="Q174" s="856">
        <v>0</v>
      </c>
      <c r="R174" s="856">
        <v>0</v>
      </c>
      <c r="S174" s="856">
        <v>0</v>
      </c>
      <c r="T174" s="856">
        <v>0</v>
      </c>
      <c r="U174" s="132" t="s">
        <v>3555</v>
      </c>
      <c r="V174" s="483" t="s">
        <v>3556</v>
      </c>
      <c r="W174" s="498">
        <v>10547</v>
      </c>
      <c r="X174" s="132" t="s">
        <v>2199</v>
      </c>
      <c r="Y174" s="132" t="s">
        <v>1533</v>
      </c>
      <c r="Z174" s="132" t="s">
        <v>1816</v>
      </c>
      <c r="AA174" s="132" t="s">
        <v>1534</v>
      </c>
      <c r="AB174" s="133" t="s">
        <v>1534</v>
      </c>
    </row>
    <row r="175" spans="1:28" ht="24" customHeight="1">
      <c r="A175" s="587"/>
      <c r="B175" s="473" t="s">
        <v>2201</v>
      </c>
      <c r="C175" s="500" t="s">
        <v>3557</v>
      </c>
      <c r="D175" s="705" t="s">
        <v>3558</v>
      </c>
      <c r="E175" s="654">
        <f t="shared" si="14"/>
        <v>250</v>
      </c>
      <c r="F175" s="654">
        <v>0</v>
      </c>
      <c r="G175" s="654">
        <v>250</v>
      </c>
      <c r="H175" s="654">
        <v>0</v>
      </c>
      <c r="I175" s="654">
        <f t="shared" si="15"/>
        <v>248</v>
      </c>
      <c r="J175" s="654">
        <v>0</v>
      </c>
      <c r="K175" s="654">
        <v>248</v>
      </c>
      <c r="L175" s="706">
        <v>0</v>
      </c>
      <c r="M175" s="958">
        <v>0.97301464919043945</v>
      </c>
      <c r="N175" s="653">
        <v>31.297599999999999</v>
      </c>
      <c r="O175" s="709" t="s">
        <v>3559</v>
      </c>
      <c r="P175" s="463" t="s">
        <v>1588</v>
      </c>
      <c r="Q175" s="867">
        <v>0</v>
      </c>
      <c r="R175" s="867">
        <v>0</v>
      </c>
      <c r="S175" s="867">
        <v>0</v>
      </c>
      <c r="T175" s="867">
        <v>0</v>
      </c>
      <c r="U175" s="132" t="s">
        <v>3539</v>
      </c>
      <c r="V175" s="483" t="s">
        <v>2112</v>
      </c>
      <c r="W175" s="498">
        <v>4145</v>
      </c>
      <c r="X175" s="132" t="s">
        <v>2199</v>
      </c>
      <c r="Y175" s="132" t="s">
        <v>3336</v>
      </c>
      <c r="Z175" s="132" t="s">
        <v>1836</v>
      </c>
      <c r="AA175" s="132" t="s">
        <v>1534</v>
      </c>
      <c r="AB175" s="133" t="s">
        <v>1534</v>
      </c>
    </row>
    <row r="176" spans="1:28" ht="24" customHeight="1">
      <c r="A176" s="587"/>
      <c r="B176" s="473" t="s">
        <v>2201</v>
      </c>
      <c r="C176" s="500" t="s">
        <v>2042</v>
      </c>
      <c r="D176" s="705" t="s">
        <v>3560</v>
      </c>
      <c r="E176" s="654">
        <f t="shared" si="14"/>
        <v>7000</v>
      </c>
      <c r="F176" s="654">
        <v>0</v>
      </c>
      <c r="G176" s="654">
        <v>7000</v>
      </c>
      <c r="H176" s="654">
        <v>0</v>
      </c>
      <c r="I176" s="654">
        <f t="shared" si="15"/>
        <v>7796</v>
      </c>
      <c r="J176" s="654">
        <v>0</v>
      </c>
      <c r="K176" s="654">
        <v>7796</v>
      </c>
      <c r="L176" s="706">
        <v>0</v>
      </c>
      <c r="M176" s="958">
        <v>0.9448909299655569</v>
      </c>
      <c r="N176" s="653">
        <v>641.61080000000004</v>
      </c>
      <c r="O176" s="709" t="s">
        <v>3173</v>
      </c>
      <c r="P176" s="463" t="s">
        <v>1588</v>
      </c>
      <c r="Q176" s="867">
        <v>0</v>
      </c>
      <c r="R176" s="867">
        <v>0</v>
      </c>
      <c r="S176" s="867">
        <v>0</v>
      </c>
      <c r="T176" s="867">
        <v>0</v>
      </c>
      <c r="U176" s="132" t="s">
        <v>3561</v>
      </c>
      <c r="V176" s="483" t="s">
        <v>3562</v>
      </c>
      <c r="W176" s="498">
        <v>16714</v>
      </c>
      <c r="X176" s="132" t="s">
        <v>2199</v>
      </c>
      <c r="Y176" s="132" t="s">
        <v>1533</v>
      </c>
      <c r="Z176" s="132" t="s">
        <v>1816</v>
      </c>
      <c r="AA176" s="132" t="s">
        <v>1534</v>
      </c>
      <c r="AB176" s="133" t="s">
        <v>1534</v>
      </c>
    </row>
    <row r="177" spans="1:28" ht="24" customHeight="1">
      <c r="A177" s="587"/>
      <c r="B177" s="473" t="s">
        <v>675</v>
      </c>
      <c r="C177" s="500" t="s">
        <v>3563</v>
      </c>
      <c r="D177" s="705" t="s">
        <v>3564</v>
      </c>
      <c r="E177" s="654">
        <f>G177</f>
        <v>27.8</v>
      </c>
      <c r="F177" s="654">
        <v>0</v>
      </c>
      <c r="G177" s="654">
        <v>27.8</v>
      </c>
      <c r="H177" s="654">
        <v>0</v>
      </c>
      <c r="I177" s="654">
        <f t="shared" si="15"/>
        <v>0</v>
      </c>
      <c r="J177" s="654">
        <v>0</v>
      </c>
      <c r="K177" s="654">
        <v>0</v>
      </c>
      <c r="L177" s="706">
        <v>0</v>
      </c>
      <c r="M177" s="958">
        <v>0.95</v>
      </c>
      <c r="N177" s="653">
        <v>275.1542</v>
      </c>
      <c r="O177" s="709" t="s">
        <v>3517</v>
      </c>
      <c r="P177" s="463" t="s">
        <v>1588</v>
      </c>
      <c r="Q177" s="867">
        <v>0</v>
      </c>
      <c r="R177" s="867">
        <v>0</v>
      </c>
      <c r="S177" s="867">
        <v>0</v>
      </c>
      <c r="T177" s="867">
        <v>0</v>
      </c>
      <c r="U177" s="132" t="s">
        <v>3555</v>
      </c>
      <c r="V177" s="483" t="s">
        <v>3565</v>
      </c>
      <c r="W177" s="498">
        <v>72</v>
      </c>
      <c r="X177" s="132" t="s">
        <v>2199</v>
      </c>
      <c r="Y177" s="132" t="s">
        <v>3566</v>
      </c>
      <c r="Z177" s="132" t="s">
        <v>1816</v>
      </c>
      <c r="AA177" s="132" t="s">
        <v>1534</v>
      </c>
      <c r="AB177" s="133" t="s">
        <v>1534</v>
      </c>
    </row>
    <row r="178" spans="1:28" ht="24" customHeight="1">
      <c r="A178" s="587"/>
      <c r="B178" s="473" t="s">
        <v>675</v>
      </c>
      <c r="C178" s="500" t="s">
        <v>3567</v>
      </c>
      <c r="D178" s="705" t="s">
        <v>3568</v>
      </c>
      <c r="E178" s="654">
        <f>G178</f>
        <v>24</v>
      </c>
      <c r="F178" s="654">
        <v>0</v>
      </c>
      <c r="G178" s="654">
        <v>24</v>
      </c>
      <c r="H178" s="654">
        <v>0</v>
      </c>
      <c r="I178" s="654">
        <f t="shared" ref="I178:I184" si="16">SUM(J178:L178)</f>
        <v>0</v>
      </c>
      <c r="J178" s="654">
        <v>0</v>
      </c>
      <c r="K178" s="654">
        <v>0</v>
      </c>
      <c r="L178" s="706">
        <v>0</v>
      </c>
      <c r="M178" s="958">
        <v>0.9</v>
      </c>
      <c r="N178" s="653">
        <v>260.67239999999998</v>
      </c>
      <c r="O178" s="709" t="s">
        <v>3569</v>
      </c>
      <c r="P178" s="463" t="s">
        <v>1588</v>
      </c>
      <c r="Q178" s="867">
        <v>0</v>
      </c>
      <c r="R178" s="867">
        <v>0</v>
      </c>
      <c r="S178" s="867">
        <v>0</v>
      </c>
      <c r="T178" s="867">
        <v>0</v>
      </c>
      <c r="U178" s="132" t="s">
        <v>3521</v>
      </c>
      <c r="V178" s="483" t="s">
        <v>3570</v>
      </c>
      <c r="W178" s="498">
        <v>49</v>
      </c>
      <c r="X178" s="132" t="s">
        <v>2199</v>
      </c>
      <c r="Y178" s="132" t="s">
        <v>3566</v>
      </c>
      <c r="Z178" s="132" t="s">
        <v>1816</v>
      </c>
      <c r="AA178" s="132" t="s">
        <v>1534</v>
      </c>
      <c r="AB178" s="133" t="s">
        <v>1534</v>
      </c>
    </row>
    <row r="179" spans="1:28" ht="24" customHeight="1">
      <c r="A179" s="587"/>
      <c r="B179" s="473" t="s">
        <v>675</v>
      </c>
      <c r="C179" s="500" t="s">
        <v>3571</v>
      </c>
      <c r="D179" s="705" t="s">
        <v>3572</v>
      </c>
      <c r="E179" s="654">
        <f>G179</f>
        <v>36</v>
      </c>
      <c r="F179" s="654">
        <v>0</v>
      </c>
      <c r="G179" s="654">
        <v>36</v>
      </c>
      <c r="H179" s="654">
        <v>0</v>
      </c>
      <c r="I179" s="654">
        <f t="shared" si="16"/>
        <v>0</v>
      </c>
      <c r="J179" s="654">
        <v>0</v>
      </c>
      <c r="K179" s="654">
        <v>0</v>
      </c>
      <c r="L179" s="706">
        <v>0</v>
      </c>
      <c r="M179" s="958">
        <v>0.95</v>
      </c>
      <c r="N179" s="653">
        <v>275.1542</v>
      </c>
      <c r="O179" s="709" t="s">
        <v>3569</v>
      </c>
      <c r="P179" s="463" t="s">
        <v>1588</v>
      </c>
      <c r="Q179" s="867">
        <v>0</v>
      </c>
      <c r="R179" s="867">
        <v>0</v>
      </c>
      <c r="S179" s="867">
        <v>0</v>
      </c>
      <c r="T179" s="867">
        <v>0</v>
      </c>
      <c r="U179" s="132"/>
      <c r="V179" s="483" t="s">
        <v>3573</v>
      </c>
      <c r="W179" s="498">
        <v>70</v>
      </c>
      <c r="X179" s="132" t="s">
        <v>2199</v>
      </c>
      <c r="Y179" s="132" t="s">
        <v>3566</v>
      </c>
      <c r="Z179" s="132" t="s">
        <v>1816</v>
      </c>
      <c r="AA179" s="132" t="s">
        <v>1534</v>
      </c>
      <c r="AB179" s="133" t="s">
        <v>1534</v>
      </c>
    </row>
    <row r="180" spans="1:28" ht="24" customHeight="1">
      <c r="A180" s="582" t="s">
        <v>1837</v>
      </c>
      <c r="B180" s="473" t="s">
        <v>2201</v>
      </c>
      <c r="C180" s="500" t="s">
        <v>2237</v>
      </c>
      <c r="D180" s="705" t="s">
        <v>3574</v>
      </c>
      <c r="E180" s="654">
        <v>17500</v>
      </c>
      <c r="F180" s="654">
        <v>0</v>
      </c>
      <c r="G180" s="654">
        <v>0</v>
      </c>
      <c r="H180" s="654">
        <v>17500</v>
      </c>
      <c r="I180" s="654">
        <f t="shared" si="16"/>
        <v>17793</v>
      </c>
      <c r="J180" s="654">
        <v>0</v>
      </c>
      <c r="K180" s="654">
        <v>0</v>
      </c>
      <c r="L180" s="706">
        <v>17793</v>
      </c>
      <c r="M180" s="958">
        <v>0.97777777777777775</v>
      </c>
      <c r="N180" s="653">
        <v>2740.1219999999998</v>
      </c>
      <c r="O180" s="709" t="s">
        <v>3215</v>
      </c>
      <c r="P180" s="132" t="s">
        <v>3215</v>
      </c>
      <c r="Q180" s="867">
        <v>72</v>
      </c>
      <c r="R180" s="867">
        <v>70</v>
      </c>
      <c r="S180" s="867">
        <v>47</v>
      </c>
      <c r="T180" s="867">
        <v>0</v>
      </c>
      <c r="U180" s="132" t="s">
        <v>3575</v>
      </c>
      <c r="V180" s="483" t="s">
        <v>3576</v>
      </c>
      <c r="W180" s="498">
        <v>31430</v>
      </c>
      <c r="X180" s="132" t="s">
        <v>2199</v>
      </c>
      <c r="Y180" s="132" t="s">
        <v>3336</v>
      </c>
      <c r="Z180" s="132" t="s">
        <v>3366</v>
      </c>
      <c r="AA180" s="132" t="s">
        <v>3366</v>
      </c>
      <c r="AB180" s="133" t="s">
        <v>1596</v>
      </c>
    </row>
    <row r="181" spans="1:28" ht="24" customHeight="1">
      <c r="A181" s="587"/>
      <c r="B181" s="473" t="s">
        <v>675</v>
      </c>
      <c r="C181" s="500" t="s">
        <v>3577</v>
      </c>
      <c r="D181" s="705" t="s">
        <v>3578</v>
      </c>
      <c r="E181" s="654">
        <v>33</v>
      </c>
      <c r="F181" s="654">
        <v>0</v>
      </c>
      <c r="G181" s="654">
        <v>33</v>
      </c>
      <c r="H181" s="654">
        <v>0</v>
      </c>
      <c r="I181" s="654">
        <f t="shared" si="16"/>
        <v>6.9</v>
      </c>
      <c r="J181" s="654">
        <v>0</v>
      </c>
      <c r="K181" s="654">
        <v>6.9</v>
      </c>
      <c r="L181" s="706">
        <v>0</v>
      </c>
      <c r="M181" s="958">
        <v>0.95</v>
      </c>
      <c r="N181" s="653">
        <v>122.8</v>
      </c>
      <c r="O181" s="709" t="s">
        <v>3579</v>
      </c>
      <c r="P181" s="132" t="s">
        <v>3579</v>
      </c>
      <c r="Q181" s="867">
        <v>0</v>
      </c>
      <c r="R181" s="867">
        <v>0</v>
      </c>
      <c r="S181" s="867">
        <v>0</v>
      </c>
      <c r="T181" s="867">
        <v>0</v>
      </c>
      <c r="U181" s="132" t="s">
        <v>3575</v>
      </c>
      <c r="V181" s="483" t="s">
        <v>3580</v>
      </c>
      <c r="W181" s="498">
        <v>176.06100000000001</v>
      </c>
      <c r="X181" s="132" t="s">
        <v>2199</v>
      </c>
      <c r="Y181" s="132" t="s">
        <v>3336</v>
      </c>
      <c r="Z181" s="132" t="s">
        <v>3581</v>
      </c>
      <c r="AA181" s="132" t="s">
        <v>1595</v>
      </c>
      <c r="AB181" s="133" t="s">
        <v>1596</v>
      </c>
    </row>
    <row r="182" spans="1:28" ht="24" customHeight="1">
      <c r="A182" s="587"/>
      <c r="B182" s="473" t="s">
        <v>675</v>
      </c>
      <c r="C182" s="500" t="s">
        <v>3582</v>
      </c>
      <c r="D182" s="705" t="s">
        <v>3583</v>
      </c>
      <c r="E182" s="654">
        <v>30</v>
      </c>
      <c r="F182" s="654">
        <v>0</v>
      </c>
      <c r="G182" s="654">
        <v>30</v>
      </c>
      <c r="H182" s="654">
        <v>0</v>
      </c>
      <c r="I182" s="654">
        <f t="shared" si="16"/>
        <v>8.5</v>
      </c>
      <c r="J182" s="654">
        <v>0</v>
      </c>
      <c r="K182" s="654">
        <v>8.5</v>
      </c>
      <c r="L182" s="706">
        <v>0</v>
      </c>
      <c r="M182" s="958">
        <v>0.95</v>
      </c>
      <c r="N182" s="653">
        <v>119.3</v>
      </c>
      <c r="O182" s="709" t="s">
        <v>3584</v>
      </c>
      <c r="P182" s="132" t="s">
        <v>3585</v>
      </c>
      <c r="Q182" s="867">
        <v>0</v>
      </c>
      <c r="R182" s="867">
        <v>0</v>
      </c>
      <c r="S182" s="867">
        <v>0</v>
      </c>
      <c r="T182" s="867">
        <v>0</v>
      </c>
      <c r="U182" s="132" t="s">
        <v>3575</v>
      </c>
      <c r="V182" s="483" t="s">
        <v>3586</v>
      </c>
      <c r="W182" s="498">
        <v>184</v>
      </c>
      <c r="X182" s="132" t="s">
        <v>2244</v>
      </c>
      <c r="Y182" s="132" t="s">
        <v>3336</v>
      </c>
      <c r="Z182" s="132" t="s">
        <v>3581</v>
      </c>
      <c r="AA182" s="132" t="s">
        <v>1595</v>
      </c>
      <c r="AB182" s="133" t="s">
        <v>1596</v>
      </c>
    </row>
    <row r="183" spans="1:28" ht="24" customHeight="1">
      <c r="A183" s="587"/>
      <c r="B183" s="473" t="s">
        <v>675</v>
      </c>
      <c r="C183" s="500" t="s">
        <v>3587</v>
      </c>
      <c r="D183" s="705" t="s">
        <v>3588</v>
      </c>
      <c r="E183" s="654">
        <v>30</v>
      </c>
      <c r="F183" s="654">
        <v>0</v>
      </c>
      <c r="G183" s="654">
        <v>30</v>
      </c>
      <c r="H183" s="654">
        <v>0</v>
      </c>
      <c r="I183" s="654">
        <f t="shared" si="16"/>
        <v>11.01</v>
      </c>
      <c r="J183" s="654">
        <v>0</v>
      </c>
      <c r="K183" s="654">
        <v>11.01</v>
      </c>
      <c r="L183" s="706">
        <v>0</v>
      </c>
      <c r="M183" s="958">
        <v>0.95</v>
      </c>
      <c r="N183" s="653">
        <v>108.6</v>
      </c>
      <c r="O183" s="709" t="s">
        <v>3584</v>
      </c>
      <c r="P183" s="132" t="s">
        <v>3585</v>
      </c>
      <c r="Q183" s="867">
        <v>0</v>
      </c>
      <c r="R183" s="867">
        <v>0</v>
      </c>
      <c r="S183" s="867">
        <v>0</v>
      </c>
      <c r="T183" s="867">
        <v>0</v>
      </c>
      <c r="U183" s="132" t="s">
        <v>3575</v>
      </c>
      <c r="V183" s="483" t="s">
        <v>3589</v>
      </c>
      <c r="W183" s="498">
        <v>168</v>
      </c>
      <c r="X183" s="132" t="s">
        <v>2244</v>
      </c>
      <c r="Y183" s="132" t="s">
        <v>3336</v>
      </c>
      <c r="Z183" s="132" t="s">
        <v>3366</v>
      </c>
      <c r="AA183" s="132" t="s">
        <v>3366</v>
      </c>
      <c r="AB183" s="133" t="s">
        <v>1596</v>
      </c>
    </row>
    <row r="184" spans="1:28" ht="24" customHeight="1">
      <c r="A184" s="585"/>
      <c r="B184" s="473" t="s">
        <v>675</v>
      </c>
      <c r="C184" s="500" t="s">
        <v>3590</v>
      </c>
      <c r="D184" s="705" t="s">
        <v>3591</v>
      </c>
      <c r="E184" s="654">
        <v>235</v>
      </c>
      <c r="F184" s="654">
        <v>0</v>
      </c>
      <c r="G184" s="654">
        <v>235</v>
      </c>
      <c r="H184" s="654">
        <v>0</v>
      </c>
      <c r="I184" s="654">
        <f t="shared" si="16"/>
        <v>40</v>
      </c>
      <c r="J184" s="654">
        <v>0</v>
      </c>
      <c r="K184" s="654">
        <v>40</v>
      </c>
      <c r="L184" s="706">
        <v>0</v>
      </c>
      <c r="M184" s="958">
        <v>0.86</v>
      </c>
      <c r="N184" s="653">
        <v>372</v>
      </c>
      <c r="O184" s="709" t="s">
        <v>3592</v>
      </c>
      <c r="P184" s="132" t="s">
        <v>3592</v>
      </c>
      <c r="Q184" s="867">
        <v>0</v>
      </c>
      <c r="R184" s="867">
        <v>0</v>
      </c>
      <c r="S184" s="867">
        <v>0</v>
      </c>
      <c r="T184" s="867">
        <v>0</v>
      </c>
      <c r="U184" s="132" t="s">
        <v>3575</v>
      </c>
      <c r="V184" s="132" t="s">
        <v>2114</v>
      </c>
      <c r="W184" s="498">
        <v>2083</v>
      </c>
      <c r="X184" s="132" t="s">
        <v>2244</v>
      </c>
      <c r="Y184" s="132" t="s">
        <v>3336</v>
      </c>
      <c r="Z184" s="132" t="s">
        <v>3366</v>
      </c>
      <c r="AA184" s="132" t="s">
        <v>3366</v>
      </c>
      <c r="AB184" s="133" t="s">
        <v>1596</v>
      </c>
    </row>
    <row r="185" spans="1:28" ht="24" customHeight="1">
      <c r="A185" s="587" t="s">
        <v>1840</v>
      </c>
      <c r="B185" s="473" t="s">
        <v>2201</v>
      </c>
      <c r="C185" s="500" t="s">
        <v>179</v>
      </c>
      <c r="D185" s="705" t="s">
        <v>3593</v>
      </c>
      <c r="E185" s="654">
        <v>10000</v>
      </c>
      <c r="F185" s="654">
        <v>0</v>
      </c>
      <c r="G185" s="654">
        <v>0</v>
      </c>
      <c r="H185" s="654">
        <v>10000</v>
      </c>
      <c r="I185" s="654">
        <v>11514</v>
      </c>
      <c r="J185" s="654">
        <v>0</v>
      </c>
      <c r="K185" s="654">
        <v>0</v>
      </c>
      <c r="L185" s="706">
        <v>11514</v>
      </c>
      <c r="M185" s="958">
        <v>0.87920298879202985</v>
      </c>
      <c r="N185" s="653">
        <v>812.88839999999993</v>
      </c>
      <c r="O185" s="709" t="s">
        <v>3594</v>
      </c>
      <c r="P185" s="132" t="s">
        <v>3595</v>
      </c>
      <c r="Q185" s="867">
        <v>0</v>
      </c>
      <c r="R185" s="867">
        <v>12.5</v>
      </c>
      <c r="S185" s="867">
        <v>0</v>
      </c>
      <c r="T185" s="867">
        <v>0</v>
      </c>
      <c r="U185" s="132" t="s">
        <v>3596</v>
      </c>
      <c r="V185" s="483" t="s">
        <v>3597</v>
      </c>
      <c r="W185" s="498">
        <v>22240</v>
      </c>
      <c r="X185" s="132" t="s">
        <v>2276</v>
      </c>
      <c r="Y185" s="132" t="s">
        <v>3336</v>
      </c>
      <c r="Z185" s="132" t="s">
        <v>3598</v>
      </c>
      <c r="AA185" s="132" t="s">
        <v>1821</v>
      </c>
      <c r="AB185" s="133" t="s">
        <v>1596</v>
      </c>
    </row>
    <row r="186" spans="1:28" ht="24" customHeight="1">
      <c r="A186" s="582" t="s">
        <v>1841</v>
      </c>
      <c r="B186" s="460" t="s">
        <v>2201</v>
      </c>
      <c r="C186" s="458" t="s">
        <v>1599</v>
      </c>
      <c r="D186" s="510" t="s">
        <v>3599</v>
      </c>
      <c r="E186" s="655">
        <v>3000</v>
      </c>
      <c r="F186" s="655">
        <v>0</v>
      </c>
      <c r="G186" s="655">
        <v>0</v>
      </c>
      <c r="H186" s="655">
        <v>3000</v>
      </c>
      <c r="I186" s="654">
        <f>SUM(J186:L186)</f>
        <v>2045</v>
      </c>
      <c r="J186" s="655">
        <v>0</v>
      </c>
      <c r="K186" s="655">
        <v>0</v>
      </c>
      <c r="L186" s="710">
        <v>2045</v>
      </c>
      <c r="M186" s="958">
        <v>0.94809688581314877</v>
      </c>
      <c r="N186" s="653">
        <v>224.13200000000001</v>
      </c>
      <c r="O186" s="715" t="s">
        <v>3600</v>
      </c>
      <c r="P186" s="501" t="s">
        <v>3600</v>
      </c>
      <c r="Q186" s="864">
        <v>0</v>
      </c>
      <c r="R186" s="864">
        <v>0</v>
      </c>
      <c r="S186" s="864">
        <v>0</v>
      </c>
      <c r="T186" s="864">
        <v>0</v>
      </c>
      <c r="U186" s="501" t="s">
        <v>3601</v>
      </c>
      <c r="V186" s="501" t="s">
        <v>3602</v>
      </c>
      <c r="W186" s="498">
        <v>15206</v>
      </c>
      <c r="X186" s="501" t="s">
        <v>2276</v>
      </c>
      <c r="Y186" s="501" t="s">
        <v>1533</v>
      </c>
      <c r="Z186" s="501" t="s">
        <v>1597</v>
      </c>
      <c r="AA186" s="501" t="s">
        <v>1534</v>
      </c>
      <c r="AB186" s="502" t="s">
        <v>1534</v>
      </c>
    </row>
    <row r="187" spans="1:28" ht="24" customHeight="1">
      <c r="A187" s="584"/>
      <c r="B187" s="460" t="s">
        <v>675</v>
      </c>
      <c r="C187" s="458" t="s">
        <v>3603</v>
      </c>
      <c r="D187" s="510" t="s">
        <v>3604</v>
      </c>
      <c r="E187" s="655">
        <v>31</v>
      </c>
      <c r="F187" s="655">
        <v>0</v>
      </c>
      <c r="G187" s="655">
        <v>31</v>
      </c>
      <c r="H187" s="655">
        <v>0</v>
      </c>
      <c r="I187" s="655">
        <v>31</v>
      </c>
      <c r="J187" s="655">
        <v>0</v>
      </c>
      <c r="K187" s="655">
        <v>31</v>
      </c>
      <c r="L187" s="710">
        <v>0</v>
      </c>
      <c r="M187" s="958">
        <v>0</v>
      </c>
      <c r="N187" s="653">
        <v>0</v>
      </c>
      <c r="O187" s="715" t="s">
        <v>3605</v>
      </c>
      <c r="P187" s="501" t="s">
        <v>1588</v>
      </c>
      <c r="Q187" s="864">
        <v>0</v>
      </c>
      <c r="R187" s="864">
        <v>0</v>
      </c>
      <c r="S187" s="864">
        <v>0</v>
      </c>
      <c r="T187" s="864">
        <v>0</v>
      </c>
      <c r="U187" s="501"/>
      <c r="V187" s="501" t="s">
        <v>3606</v>
      </c>
      <c r="W187" s="498">
        <v>77</v>
      </c>
      <c r="X187" s="501" t="s">
        <v>1532</v>
      </c>
      <c r="Y187" s="501" t="s">
        <v>3232</v>
      </c>
      <c r="Z187" s="501" t="s">
        <v>1597</v>
      </c>
      <c r="AA187" s="501" t="s">
        <v>1534</v>
      </c>
      <c r="AB187" s="502" t="s">
        <v>1534</v>
      </c>
    </row>
    <row r="188" spans="1:28" ht="24" customHeight="1">
      <c r="A188" s="584"/>
      <c r="B188" s="460" t="s">
        <v>675</v>
      </c>
      <c r="C188" s="458" t="s">
        <v>3607</v>
      </c>
      <c r="D188" s="510" t="s">
        <v>3608</v>
      </c>
      <c r="E188" s="655">
        <v>30</v>
      </c>
      <c r="F188" s="655">
        <v>0</v>
      </c>
      <c r="G188" s="655">
        <v>30</v>
      </c>
      <c r="H188" s="655">
        <v>0</v>
      </c>
      <c r="I188" s="655">
        <v>30</v>
      </c>
      <c r="J188" s="655">
        <v>0</v>
      </c>
      <c r="K188" s="655">
        <v>30</v>
      </c>
      <c r="L188" s="710">
        <v>0</v>
      </c>
      <c r="M188" s="959">
        <v>0</v>
      </c>
      <c r="N188" s="653">
        <v>0</v>
      </c>
      <c r="O188" s="715" t="s">
        <v>3605</v>
      </c>
      <c r="P188" s="501" t="s">
        <v>1588</v>
      </c>
      <c r="Q188" s="864">
        <v>0</v>
      </c>
      <c r="R188" s="864">
        <v>0</v>
      </c>
      <c r="S188" s="864">
        <v>0</v>
      </c>
      <c r="T188" s="864">
        <v>0</v>
      </c>
      <c r="U188" s="501"/>
      <c r="V188" s="501" t="s">
        <v>3422</v>
      </c>
      <c r="W188" s="498">
        <v>77</v>
      </c>
      <c r="X188" s="501" t="s">
        <v>1532</v>
      </c>
      <c r="Y188" s="501" t="s">
        <v>3232</v>
      </c>
      <c r="Z188" s="501" t="s">
        <v>1597</v>
      </c>
      <c r="AA188" s="501" t="s">
        <v>1534</v>
      </c>
      <c r="AB188" s="502" t="s">
        <v>1534</v>
      </c>
    </row>
    <row r="189" spans="1:28" ht="24" customHeight="1">
      <c r="A189" s="584"/>
      <c r="B189" s="460" t="s">
        <v>675</v>
      </c>
      <c r="C189" s="458" t="s">
        <v>3609</v>
      </c>
      <c r="D189" s="510" t="s">
        <v>3610</v>
      </c>
      <c r="E189" s="655">
        <v>46</v>
      </c>
      <c r="F189" s="655">
        <v>0</v>
      </c>
      <c r="G189" s="655">
        <v>46</v>
      </c>
      <c r="H189" s="655">
        <v>0</v>
      </c>
      <c r="I189" s="655">
        <v>46</v>
      </c>
      <c r="J189" s="655">
        <v>0</v>
      </c>
      <c r="K189" s="655">
        <v>46</v>
      </c>
      <c r="L189" s="710">
        <v>0</v>
      </c>
      <c r="M189" s="959">
        <v>0</v>
      </c>
      <c r="N189" s="653">
        <v>0</v>
      </c>
      <c r="O189" s="715" t="s">
        <v>3611</v>
      </c>
      <c r="P189" s="501" t="s">
        <v>1588</v>
      </c>
      <c r="Q189" s="864">
        <v>0</v>
      </c>
      <c r="R189" s="864">
        <v>0</v>
      </c>
      <c r="S189" s="864">
        <v>0</v>
      </c>
      <c r="T189" s="864">
        <v>0</v>
      </c>
      <c r="U189" s="501"/>
      <c r="V189" s="501" t="s">
        <v>3416</v>
      </c>
      <c r="W189" s="498">
        <v>187</v>
      </c>
      <c r="X189" s="501" t="s">
        <v>1532</v>
      </c>
      <c r="Y189" s="501" t="s">
        <v>3232</v>
      </c>
      <c r="Z189" s="501" t="s">
        <v>1597</v>
      </c>
      <c r="AA189" s="501" t="s">
        <v>1534</v>
      </c>
      <c r="AB189" s="502" t="s">
        <v>1534</v>
      </c>
    </row>
    <row r="190" spans="1:28" ht="24" customHeight="1">
      <c r="A190" s="584"/>
      <c r="B190" s="460" t="s">
        <v>675</v>
      </c>
      <c r="C190" s="458" t="s">
        <v>3612</v>
      </c>
      <c r="D190" s="510" t="s">
        <v>3613</v>
      </c>
      <c r="E190" s="655">
        <v>30</v>
      </c>
      <c r="F190" s="655">
        <v>0</v>
      </c>
      <c r="G190" s="655">
        <v>30</v>
      </c>
      <c r="H190" s="655">
        <v>0</v>
      </c>
      <c r="I190" s="655">
        <v>30</v>
      </c>
      <c r="J190" s="655">
        <v>0</v>
      </c>
      <c r="K190" s="655">
        <v>30</v>
      </c>
      <c r="L190" s="710">
        <v>0</v>
      </c>
      <c r="M190" s="959">
        <v>0</v>
      </c>
      <c r="N190" s="653">
        <v>0</v>
      </c>
      <c r="O190" s="715" t="s">
        <v>3614</v>
      </c>
      <c r="P190" s="501" t="s">
        <v>1588</v>
      </c>
      <c r="Q190" s="864">
        <v>0</v>
      </c>
      <c r="R190" s="864">
        <v>0</v>
      </c>
      <c r="S190" s="864">
        <v>0</v>
      </c>
      <c r="T190" s="864">
        <v>0</v>
      </c>
      <c r="U190" s="501"/>
      <c r="V190" s="501" t="s">
        <v>3615</v>
      </c>
      <c r="W190" s="498">
        <v>98</v>
      </c>
      <c r="X190" s="501" t="s">
        <v>1532</v>
      </c>
      <c r="Y190" s="501" t="s">
        <v>3232</v>
      </c>
      <c r="Z190" s="501" t="s">
        <v>1597</v>
      </c>
      <c r="AA190" s="501" t="s">
        <v>1534</v>
      </c>
      <c r="AB190" s="502" t="s">
        <v>1534</v>
      </c>
    </row>
    <row r="191" spans="1:28" ht="24" customHeight="1">
      <c r="A191" s="583"/>
      <c r="B191" s="460" t="s">
        <v>675</v>
      </c>
      <c r="C191" s="458" t="s">
        <v>3616</v>
      </c>
      <c r="D191" s="510" t="s">
        <v>3617</v>
      </c>
      <c r="E191" s="655">
        <v>50</v>
      </c>
      <c r="F191" s="655">
        <v>0</v>
      </c>
      <c r="G191" s="655">
        <v>50</v>
      </c>
      <c r="H191" s="655">
        <v>0</v>
      </c>
      <c r="I191" s="655">
        <v>50</v>
      </c>
      <c r="J191" s="655">
        <v>0</v>
      </c>
      <c r="K191" s="655">
        <v>50</v>
      </c>
      <c r="L191" s="710">
        <v>0</v>
      </c>
      <c r="M191" s="959">
        <v>0</v>
      </c>
      <c r="N191" s="653">
        <v>0</v>
      </c>
      <c r="O191" s="715" t="s">
        <v>3618</v>
      </c>
      <c r="P191" s="501" t="s">
        <v>1588</v>
      </c>
      <c r="Q191" s="864">
        <v>0</v>
      </c>
      <c r="R191" s="864">
        <v>0</v>
      </c>
      <c r="S191" s="864">
        <v>0</v>
      </c>
      <c r="T191" s="864">
        <v>0</v>
      </c>
      <c r="U191" s="501"/>
      <c r="V191" s="501" t="s">
        <v>3619</v>
      </c>
      <c r="W191" s="498">
        <v>178</v>
      </c>
      <c r="X191" s="501" t="s">
        <v>1532</v>
      </c>
      <c r="Y191" s="501" t="s">
        <v>3232</v>
      </c>
      <c r="Z191" s="501" t="s">
        <v>1597</v>
      </c>
      <c r="AA191" s="501" t="s">
        <v>1534</v>
      </c>
      <c r="AB191" s="502" t="s">
        <v>1534</v>
      </c>
    </row>
    <row r="192" spans="1:28" ht="24" customHeight="1">
      <c r="A192" s="585" t="s">
        <v>1842</v>
      </c>
      <c r="B192" s="473" t="s">
        <v>2201</v>
      </c>
      <c r="C192" s="500" t="s">
        <v>3620</v>
      </c>
      <c r="D192" s="705" t="s">
        <v>3621</v>
      </c>
      <c r="E192" s="654">
        <v>57000</v>
      </c>
      <c r="F192" s="654">
        <v>0</v>
      </c>
      <c r="G192" s="654">
        <v>0</v>
      </c>
      <c r="H192" s="654">
        <v>57000</v>
      </c>
      <c r="I192" s="654">
        <v>54172</v>
      </c>
      <c r="J192" s="654">
        <v>0</v>
      </c>
      <c r="K192" s="654">
        <v>0</v>
      </c>
      <c r="L192" s="706">
        <v>54712</v>
      </c>
      <c r="M192" s="958">
        <v>0.93343459719082944</v>
      </c>
      <c r="N192" s="653">
        <v>4580.7399576161761</v>
      </c>
      <c r="O192" s="709" t="s">
        <v>2241</v>
      </c>
      <c r="P192" s="463" t="s">
        <v>1588</v>
      </c>
      <c r="Q192" s="867">
        <v>287.10000000000002</v>
      </c>
      <c r="R192" s="867">
        <v>0</v>
      </c>
      <c r="S192" s="867">
        <v>0</v>
      </c>
      <c r="T192" s="867">
        <v>0</v>
      </c>
      <c r="U192" s="132" t="s">
        <v>2242</v>
      </c>
      <c r="V192" s="132" t="s">
        <v>3622</v>
      </c>
      <c r="W192" s="498">
        <v>58762</v>
      </c>
      <c r="X192" s="132" t="s">
        <v>2243</v>
      </c>
      <c r="Y192" s="132" t="s">
        <v>1991</v>
      </c>
      <c r="Z192" s="132" t="s">
        <v>3623</v>
      </c>
      <c r="AA192" s="132" t="s">
        <v>3624</v>
      </c>
      <c r="AB192" s="133" t="s">
        <v>1596</v>
      </c>
    </row>
    <row r="193" spans="1:28" ht="24" customHeight="1">
      <c r="A193" s="457" t="s">
        <v>1975</v>
      </c>
      <c r="B193" s="460" t="s">
        <v>2201</v>
      </c>
      <c r="C193" s="458" t="s">
        <v>1845</v>
      </c>
      <c r="D193" s="510" t="s">
        <v>3625</v>
      </c>
      <c r="E193" s="655">
        <v>86000</v>
      </c>
      <c r="F193" s="655">
        <v>0</v>
      </c>
      <c r="G193" s="655">
        <v>68000</v>
      </c>
      <c r="H193" s="655">
        <v>18000</v>
      </c>
      <c r="I193" s="655">
        <v>64000</v>
      </c>
      <c r="J193" s="655">
        <v>0</v>
      </c>
      <c r="K193" s="655">
        <v>54000</v>
      </c>
      <c r="L193" s="710">
        <v>10000</v>
      </c>
      <c r="M193" s="959">
        <v>0.94405997693194932</v>
      </c>
      <c r="N193" s="653">
        <v>10476.799999999999</v>
      </c>
      <c r="O193" s="669" t="s">
        <v>1535</v>
      </c>
      <c r="P193" s="463" t="s">
        <v>3626</v>
      </c>
      <c r="Q193" s="864">
        <v>70</v>
      </c>
      <c r="R193" s="864">
        <v>282</v>
      </c>
      <c r="S193" s="864">
        <v>35</v>
      </c>
      <c r="T193" s="864">
        <v>5</v>
      </c>
      <c r="U193" s="463" t="s">
        <v>3627</v>
      </c>
      <c r="V193" s="466" t="s">
        <v>3628</v>
      </c>
      <c r="W193" s="498">
        <v>87003</v>
      </c>
      <c r="X193" s="463" t="s">
        <v>2193</v>
      </c>
      <c r="Y193" s="463"/>
      <c r="Z193" s="463" t="s">
        <v>1787</v>
      </c>
      <c r="AA193" s="463" t="s">
        <v>1597</v>
      </c>
      <c r="AB193" s="459" t="s">
        <v>1534</v>
      </c>
    </row>
    <row r="194" spans="1:28" ht="24" customHeight="1">
      <c r="A194" s="457" t="s">
        <v>1846</v>
      </c>
      <c r="B194" s="460" t="s">
        <v>2201</v>
      </c>
      <c r="C194" s="458" t="s">
        <v>2252</v>
      </c>
      <c r="D194" s="510" t="s">
        <v>3629</v>
      </c>
      <c r="E194" s="655">
        <v>30000</v>
      </c>
      <c r="F194" s="655">
        <v>0</v>
      </c>
      <c r="G194" s="655">
        <v>0</v>
      </c>
      <c r="H194" s="655">
        <v>0</v>
      </c>
      <c r="I194" s="655">
        <v>20268</v>
      </c>
      <c r="J194" s="655">
        <v>0</v>
      </c>
      <c r="K194" s="655">
        <v>0</v>
      </c>
      <c r="L194" s="710">
        <v>20268</v>
      </c>
      <c r="M194" s="959">
        <v>0.89550561797752815</v>
      </c>
      <c r="N194" s="653">
        <v>1615.3596</v>
      </c>
      <c r="O194" s="669" t="s">
        <v>623</v>
      </c>
      <c r="P194" s="463" t="s">
        <v>1991</v>
      </c>
      <c r="Q194" s="864">
        <v>18</v>
      </c>
      <c r="R194" s="864">
        <v>0</v>
      </c>
      <c r="S194" s="864">
        <v>0</v>
      </c>
      <c r="T194" s="864">
        <v>0</v>
      </c>
      <c r="U194" s="463" t="s">
        <v>3630</v>
      </c>
      <c r="V194" s="463" t="s">
        <v>3631</v>
      </c>
      <c r="W194" s="498">
        <v>9000</v>
      </c>
      <c r="X194" s="463" t="s">
        <v>2243</v>
      </c>
      <c r="Y194" s="503" t="s">
        <v>3632</v>
      </c>
      <c r="Z194" s="503" t="s">
        <v>3633</v>
      </c>
      <c r="AA194" s="463" t="s">
        <v>1595</v>
      </c>
      <c r="AB194" s="459" t="s">
        <v>3634</v>
      </c>
    </row>
    <row r="195" spans="1:28" ht="24" customHeight="1">
      <c r="A195" s="582" t="s">
        <v>1616</v>
      </c>
      <c r="B195" s="458" t="s">
        <v>5936</v>
      </c>
      <c r="C195" s="579"/>
      <c r="D195" s="579"/>
      <c r="E195" s="498" t="s">
        <v>7366</v>
      </c>
      <c r="F195" s="498">
        <v>0</v>
      </c>
      <c r="G195" s="498" t="s">
        <v>6140</v>
      </c>
      <c r="H195" s="498" t="s">
        <v>7367</v>
      </c>
      <c r="I195" s="498" t="s">
        <v>7386</v>
      </c>
      <c r="J195" s="498">
        <v>0</v>
      </c>
      <c r="K195" s="498" t="s">
        <v>7551</v>
      </c>
      <c r="L195" s="668" t="s">
        <v>7388</v>
      </c>
      <c r="M195" s="956"/>
      <c r="N195" s="659" t="s">
        <v>7389</v>
      </c>
      <c r="O195" s="669" t="s">
        <v>1588</v>
      </c>
      <c r="P195" s="463" t="s">
        <v>1588</v>
      </c>
      <c r="Q195" s="852">
        <f>SUM(Q196:Q257)</f>
        <v>123</v>
      </c>
      <c r="R195" s="852">
        <f>SUM(R196:R257)</f>
        <v>407</v>
      </c>
      <c r="S195" s="852">
        <f>SUM(S196:S257)</f>
        <v>87</v>
      </c>
      <c r="T195" s="852">
        <f>SUM(T196:T257)</f>
        <v>7</v>
      </c>
      <c r="U195" s="463"/>
      <c r="V195" s="463"/>
      <c r="W195" s="498">
        <f>SUM(W196:W257)</f>
        <v>552724.22</v>
      </c>
      <c r="X195" s="463"/>
      <c r="Y195" s="463"/>
      <c r="Z195" s="463"/>
      <c r="AA195" s="463"/>
      <c r="AB195" s="459"/>
    </row>
    <row r="196" spans="1:28" ht="24" customHeight="1">
      <c r="A196" s="586" t="s">
        <v>1843</v>
      </c>
      <c r="B196" s="473" t="s">
        <v>2201</v>
      </c>
      <c r="C196" s="500" t="s">
        <v>2016</v>
      </c>
      <c r="D196" s="705" t="s">
        <v>3635</v>
      </c>
      <c r="E196" s="654">
        <v>15000</v>
      </c>
      <c r="F196" s="654">
        <v>0</v>
      </c>
      <c r="G196" s="654">
        <v>0</v>
      </c>
      <c r="H196" s="654">
        <v>15000</v>
      </c>
      <c r="I196" s="654">
        <v>12987</v>
      </c>
      <c r="J196" s="654">
        <v>0</v>
      </c>
      <c r="K196" s="654">
        <v>0</v>
      </c>
      <c r="L196" s="706">
        <v>12987</v>
      </c>
      <c r="M196" s="959">
        <v>0.9697551608257321</v>
      </c>
      <c r="N196" s="653">
        <v>2623.3739999999998</v>
      </c>
      <c r="O196" s="709" t="s">
        <v>3636</v>
      </c>
      <c r="P196" s="132" t="s">
        <v>3636</v>
      </c>
      <c r="Q196" s="867">
        <v>0</v>
      </c>
      <c r="R196" s="867">
        <v>107</v>
      </c>
      <c r="S196" s="867">
        <v>70</v>
      </c>
      <c r="T196" s="867">
        <v>7</v>
      </c>
      <c r="U196" s="132" t="s">
        <v>3637</v>
      </c>
      <c r="V196" s="483" t="s">
        <v>3638</v>
      </c>
      <c r="W196" s="498">
        <v>268890</v>
      </c>
      <c r="X196" s="132" t="s">
        <v>626</v>
      </c>
      <c r="Y196" s="132" t="s">
        <v>3336</v>
      </c>
      <c r="Z196" s="132" t="s">
        <v>3639</v>
      </c>
      <c r="AA196" s="132" t="s">
        <v>3640</v>
      </c>
      <c r="AB196" s="133" t="s">
        <v>1595</v>
      </c>
    </row>
    <row r="197" spans="1:28" ht="24" customHeight="1">
      <c r="A197" s="587"/>
      <c r="B197" s="473" t="s">
        <v>2201</v>
      </c>
      <c r="C197" s="500" t="s">
        <v>3641</v>
      </c>
      <c r="D197" s="705" t="s">
        <v>3642</v>
      </c>
      <c r="E197" s="654">
        <v>800</v>
      </c>
      <c r="F197" s="654">
        <v>0</v>
      </c>
      <c r="G197" s="654">
        <v>0</v>
      </c>
      <c r="H197" s="654">
        <v>800</v>
      </c>
      <c r="I197" s="654">
        <v>674</v>
      </c>
      <c r="J197" s="654">
        <v>0</v>
      </c>
      <c r="K197" s="654">
        <v>0</v>
      </c>
      <c r="L197" s="706">
        <v>674</v>
      </c>
      <c r="M197" s="958">
        <v>0.93649635036496359</v>
      </c>
      <c r="N197" s="653">
        <v>86.47420000000001</v>
      </c>
      <c r="O197" s="709" t="s">
        <v>3643</v>
      </c>
      <c r="P197" s="132" t="s">
        <v>3643</v>
      </c>
      <c r="Q197" s="867">
        <v>33</v>
      </c>
      <c r="R197" s="867">
        <v>0</v>
      </c>
      <c r="S197" s="867">
        <v>0</v>
      </c>
      <c r="T197" s="867">
        <v>0</v>
      </c>
      <c r="U197" s="132" t="s">
        <v>3637</v>
      </c>
      <c r="V197" s="132" t="s">
        <v>3644</v>
      </c>
      <c r="W197" s="498">
        <v>7313</v>
      </c>
      <c r="X197" s="132" t="s">
        <v>626</v>
      </c>
      <c r="Y197" s="132" t="s">
        <v>3336</v>
      </c>
      <c r="Z197" s="132" t="s">
        <v>3645</v>
      </c>
      <c r="AA197" s="132" t="s">
        <v>3640</v>
      </c>
      <c r="AB197" s="133" t="s">
        <v>1595</v>
      </c>
    </row>
    <row r="198" spans="1:28" ht="24" customHeight="1">
      <c r="A198" s="587"/>
      <c r="B198" s="473" t="s">
        <v>2201</v>
      </c>
      <c r="C198" s="500" t="s">
        <v>3646</v>
      </c>
      <c r="D198" s="705" t="s">
        <v>3647</v>
      </c>
      <c r="E198" s="654">
        <v>500</v>
      </c>
      <c r="F198" s="654">
        <v>0</v>
      </c>
      <c r="G198" s="654">
        <v>0</v>
      </c>
      <c r="H198" s="654">
        <v>500</v>
      </c>
      <c r="I198" s="654">
        <v>241</v>
      </c>
      <c r="J198" s="654">
        <v>0</v>
      </c>
      <c r="K198" s="654">
        <v>0</v>
      </c>
      <c r="L198" s="706">
        <v>241</v>
      </c>
      <c r="M198" s="958">
        <v>0.96080066722268553</v>
      </c>
      <c r="N198" s="653">
        <v>27.763200000000001</v>
      </c>
      <c r="O198" s="709" t="s">
        <v>3648</v>
      </c>
      <c r="P198" s="132" t="s">
        <v>3648</v>
      </c>
      <c r="Q198" s="867">
        <v>0</v>
      </c>
      <c r="R198" s="867">
        <v>0</v>
      </c>
      <c r="S198" s="867">
        <v>0</v>
      </c>
      <c r="T198" s="867">
        <v>0</v>
      </c>
      <c r="U198" s="132" t="s">
        <v>3637</v>
      </c>
      <c r="V198" s="132" t="s">
        <v>3644</v>
      </c>
      <c r="W198" s="498">
        <v>5207</v>
      </c>
      <c r="X198" s="132" t="s">
        <v>626</v>
      </c>
      <c r="Y198" s="132" t="s">
        <v>3336</v>
      </c>
      <c r="Z198" s="132" t="s">
        <v>3649</v>
      </c>
      <c r="AA198" s="132" t="s">
        <v>3640</v>
      </c>
      <c r="AB198" s="133" t="s">
        <v>1595</v>
      </c>
    </row>
    <row r="199" spans="1:28" ht="24" customHeight="1">
      <c r="A199" s="587"/>
      <c r="B199" s="473" t="s">
        <v>2201</v>
      </c>
      <c r="C199" s="500" t="s">
        <v>514</v>
      </c>
      <c r="D199" s="705" t="s">
        <v>3650</v>
      </c>
      <c r="E199" s="654">
        <v>3000</v>
      </c>
      <c r="F199" s="654">
        <v>0</v>
      </c>
      <c r="G199" s="654">
        <v>0</v>
      </c>
      <c r="H199" s="654">
        <v>3000</v>
      </c>
      <c r="I199" s="654">
        <v>992</v>
      </c>
      <c r="J199" s="654">
        <v>0</v>
      </c>
      <c r="K199" s="654">
        <v>0</v>
      </c>
      <c r="L199" s="706">
        <v>992</v>
      </c>
      <c r="M199" s="958">
        <v>0.92573402417962003</v>
      </c>
      <c r="N199" s="653">
        <v>106.3424</v>
      </c>
      <c r="O199" s="709" t="s">
        <v>3651</v>
      </c>
      <c r="P199" s="463" t="s">
        <v>1588</v>
      </c>
      <c r="Q199" s="867">
        <v>0</v>
      </c>
      <c r="R199" s="867">
        <v>0</v>
      </c>
      <c r="S199" s="867">
        <v>0</v>
      </c>
      <c r="T199" s="867">
        <v>0</v>
      </c>
      <c r="U199" s="132" t="s">
        <v>3637</v>
      </c>
      <c r="V199" s="132" t="s">
        <v>3652</v>
      </c>
      <c r="W199" s="498">
        <v>15943</v>
      </c>
      <c r="X199" s="132" t="s">
        <v>626</v>
      </c>
      <c r="Y199" s="132" t="s">
        <v>3336</v>
      </c>
      <c r="Z199" s="132" t="s">
        <v>3653</v>
      </c>
      <c r="AA199" s="132" t="s">
        <v>3640</v>
      </c>
      <c r="AB199" s="133" t="s">
        <v>1595</v>
      </c>
    </row>
    <row r="200" spans="1:28" ht="24" customHeight="1">
      <c r="A200" s="587"/>
      <c r="B200" s="473" t="s">
        <v>2201</v>
      </c>
      <c r="C200" s="500" t="s">
        <v>515</v>
      </c>
      <c r="D200" s="705" t="s">
        <v>3654</v>
      </c>
      <c r="E200" s="654">
        <v>700</v>
      </c>
      <c r="F200" s="654">
        <v>0</v>
      </c>
      <c r="G200" s="654">
        <v>0</v>
      </c>
      <c r="H200" s="654">
        <v>700</v>
      </c>
      <c r="I200" s="654">
        <v>351</v>
      </c>
      <c r="J200" s="654">
        <v>0</v>
      </c>
      <c r="K200" s="654">
        <v>0</v>
      </c>
      <c r="L200" s="706">
        <v>351</v>
      </c>
      <c r="M200" s="958">
        <v>0.92438563327032131</v>
      </c>
      <c r="N200" s="653">
        <v>34.327799999999996</v>
      </c>
      <c r="O200" s="709" t="s">
        <v>3651</v>
      </c>
      <c r="P200" s="132" t="s">
        <v>3655</v>
      </c>
      <c r="Q200" s="867">
        <v>0</v>
      </c>
      <c r="R200" s="867">
        <v>0</v>
      </c>
      <c r="S200" s="867">
        <v>0</v>
      </c>
      <c r="T200" s="867">
        <v>0</v>
      </c>
      <c r="U200" s="132" t="s">
        <v>3637</v>
      </c>
      <c r="V200" s="132" t="s">
        <v>3656</v>
      </c>
      <c r="W200" s="498">
        <v>9945</v>
      </c>
      <c r="X200" s="132" t="s">
        <v>626</v>
      </c>
      <c r="Y200" s="132" t="s">
        <v>3336</v>
      </c>
      <c r="Z200" s="132"/>
      <c r="AA200" s="132" t="s">
        <v>3640</v>
      </c>
      <c r="AB200" s="133" t="s">
        <v>1595</v>
      </c>
    </row>
    <row r="201" spans="1:28" ht="24" customHeight="1">
      <c r="A201" s="587"/>
      <c r="B201" s="473" t="s">
        <v>2201</v>
      </c>
      <c r="C201" s="500" t="s">
        <v>516</v>
      </c>
      <c r="D201" s="705" t="s">
        <v>3657</v>
      </c>
      <c r="E201" s="654">
        <v>850</v>
      </c>
      <c r="F201" s="654">
        <v>0</v>
      </c>
      <c r="G201" s="654">
        <v>0</v>
      </c>
      <c r="H201" s="654">
        <v>850</v>
      </c>
      <c r="I201" s="654">
        <v>724</v>
      </c>
      <c r="J201" s="654">
        <v>0</v>
      </c>
      <c r="K201" s="654">
        <v>0</v>
      </c>
      <c r="L201" s="706">
        <v>724</v>
      </c>
      <c r="M201" s="958">
        <v>0.94548704200178735</v>
      </c>
      <c r="N201" s="653">
        <v>76.59920000000001</v>
      </c>
      <c r="O201" s="709" t="s">
        <v>3651</v>
      </c>
      <c r="P201" s="132" t="s">
        <v>3655</v>
      </c>
      <c r="Q201" s="867">
        <v>0</v>
      </c>
      <c r="R201" s="867">
        <v>0</v>
      </c>
      <c r="S201" s="867">
        <v>0</v>
      </c>
      <c r="T201" s="867">
        <v>0</v>
      </c>
      <c r="U201" s="132" t="s">
        <v>3637</v>
      </c>
      <c r="V201" s="132" t="s">
        <v>3658</v>
      </c>
      <c r="W201" s="498">
        <v>10837</v>
      </c>
      <c r="X201" s="132" t="s">
        <v>626</v>
      </c>
      <c r="Y201" s="132" t="s">
        <v>3336</v>
      </c>
      <c r="Z201" s="132" t="s">
        <v>3659</v>
      </c>
      <c r="AA201" s="132" t="s">
        <v>3640</v>
      </c>
      <c r="AB201" s="133" t="s">
        <v>1595</v>
      </c>
    </row>
    <row r="202" spans="1:28" ht="24" customHeight="1">
      <c r="A202" s="587"/>
      <c r="B202" s="473" t="s">
        <v>675</v>
      </c>
      <c r="C202" s="500" t="s">
        <v>3660</v>
      </c>
      <c r="D202" s="705" t="s">
        <v>3661</v>
      </c>
      <c r="E202" s="654">
        <v>400</v>
      </c>
      <c r="F202" s="654">
        <v>0</v>
      </c>
      <c r="G202" s="654">
        <v>0</v>
      </c>
      <c r="H202" s="654">
        <v>400</v>
      </c>
      <c r="I202" s="654">
        <v>274</v>
      </c>
      <c r="J202" s="654">
        <v>0</v>
      </c>
      <c r="K202" s="654">
        <v>0</v>
      </c>
      <c r="L202" s="706">
        <v>274</v>
      </c>
      <c r="M202" s="959">
        <v>0.9</v>
      </c>
      <c r="N202" s="653">
        <v>2934.54</v>
      </c>
      <c r="O202" s="709" t="s">
        <v>2241</v>
      </c>
      <c r="P202" s="132" t="s">
        <v>2241</v>
      </c>
      <c r="Q202" s="867">
        <v>0</v>
      </c>
      <c r="R202" s="867">
        <v>0</v>
      </c>
      <c r="S202" s="867">
        <v>0</v>
      </c>
      <c r="T202" s="867">
        <v>0</v>
      </c>
      <c r="U202" s="132" t="s">
        <v>3637</v>
      </c>
      <c r="V202" s="132" t="s">
        <v>3662</v>
      </c>
      <c r="W202" s="498">
        <v>509</v>
      </c>
      <c r="X202" s="132" t="s">
        <v>626</v>
      </c>
      <c r="Y202" s="132"/>
      <c r="Z202" s="132" t="s">
        <v>3663</v>
      </c>
      <c r="AA202" s="132" t="s">
        <v>3640</v>
      </c>
      <c r="AB202" s="133" t="s">
        <v>1595</v>
      </c>
    </row>
    <row r="203" spans="1:28" ht="24" customHeight="1">
      <c r="A203" s="587"/>
      <c r="B203" s="473" t="s">
        <v>675</v>
      </c>
      <c r="C203" s="500" t="s">
        <v>3664</v>
      </c>
      <c r="D203" s="705" t="s">
        <v>3665</v>
      </c>
      <c r="E203" s="654">
        <v>25</v>
      </c>
      <c r="F203" s="654">
        <v>0</v>
      </c>
      <c r="G203" s="654">
        <v>0</v>
      </c>
      <c r="H203" s="654">
        <v>25</v>
      </c>
      <c r="I203" s="654">
        <v>16</v>
      </c>
      <c r="J203" s="654">
        <v>0</v>
      </c>
      <c r="K203" s="654">
        <v>0</v>
      </c>
      <c r="L203" s="706">
        <v>16</v>
      </c>
      <c r="M203" s="958">
        <v>0.95</v>
      </c>
      <c r="N203" s="653">
        <v>162.33600000000001</v>
      </c>
      <c r="O203" s="709" t="s">
        <v>3666</v>
      </c>
      <c r="P203" s="132" t="s">
        <v>3666</v>
      </c>
      <c r="Q203" s="867">
        <v>0</v>
      </c>
      <c r="R203" s="867">
        <v>0</v>
      </c>
      <c r="S203" s="867">
        <v>0</v>
      </c>
      <c r="T203" s="867">
        <v>0</v>
      </c>
      <c r="U203" s="132" t="s">
        <v>3637</v>
      </c>
      <c r="V203" s="132" t="s">
        <v>3667</v>
      </c>
      <c r="W203" s="498">
        <v>100</v>
      </c>
      <c r="X203" s="132" t="s">
        <v>626</v>
      </c>
      <c r="Y203" s="132"/>
      <c r="Z203" s="132" t="s">
        <v>3668</v>
      </c>
      <c r="AA203" s="132" t="s">
        <v>3640</v>
      </c>
      <c r="AB203" s="133" t="s">
        <v>1595</v>
      </c>
    </row>
    <row r="204" spans="1:28" ht="24" customHeight="1">
      <c r="A204" s="587"/>
      <c r="B204" s="473" t="s">
        <v>675</v>
      </c>
      <c r="C204" s="500" t="s">
        <v>3669</v>
      </c>
      <c r="D204" s="705" t="s">
        <v>3670</v>
      </c>
      <c r="E204" s="654">
        <v>25</v>
      </c>
      <c r="F204" s="654">
        <v>0</v>
      </c>
      <c r="G204" s="654">
        <v>0</v>
      </c>
      <c r="H204" s="654">
        <v>25</v>
      </c>
      <c r="I204" s="654">
        <v>17</v>
      </c>
      <c r="J204" s="654">
        <v>0</v>
      </c>
      <c r="K204" s="654">
        <v>0</v>
      </c>
      <c r="L204" s="706">
        <v>17</v>
      </c>
      <c r="M204" s="958">
        <v>0.95</v>
      </c>
      <c r="N204" s="653">
        <v>182.33350000000002</v>
      </c>
      <c r="O204" s="709" t="s">
        <v>3666</v>
      </c>
      <c r="P204" s="132" t="s">
        <v>3666</v>
      </c>
      <c r="Q204" s="867">
        <v>0</v>
      </c>
      <c r="R204" s="867">
        <v>0</v>
      </c>
      <c r="S204" s="867">
        <v>0</v>
      </c>
      <c r="T204" s="867">
        <v>0</v>
      </c>
      <c r="U204" s="132" t="s">
        <v>3637</v>
      </c>
      <c r="V204" s="132" t="s">
        <v>3671</v>
      </c>
      <c r="W204" s="498">
        <v>100</v>
      </c>
      <c r="X204" s="132" t="s">
        <v>626</v>
      </c>
      <c r="Y204" s="132"/>
      <c r="Z204" s="132" t="s">
        <v>3672</v>
      </c>
      <c r="AA204" s="132" t="s">
        <v>3640</v>
      </c>
      <c r="AB204" s="133" t="s">
        <v>1595</v>
      </c>
    </row>
    <row r="205" spans="1:28" ht="24" customHeight="1">
      <c r="A205" s="587"/>
      <c r="B205" s="473" t="s">
        <v>675</v>
      </c>
      <c r="C205" s="500" t="s">
        <v>3673</v>
      </c>
      <c r="D205" s="705" t="s">
        <v>3674</v>
      </c>
      <c r="E205" s="654">
        <v>34</v>
      </c>
      <c r="F205" s="654">
        <v>0</v>
      </c>
      <c r="G205" s="654">
        <v>0</v>
      </c>
      <c r="H205" s="654">
        <v>34</v>
      </c>
      <c r="I205" s="654">
        <v>30</v>
      </c>
      <c r="J205" s="654">
        <v>0</v>
      </c>
      <c r="K205" s="654">
        <v>0</v>
      </c>
      <c r="L205" s="706">
        <v>30</v>
      </c>
      <c r="M205" s="958">
        <v>0.95</v>
      </c>
      <c r="N205" s="653">
        <v>384.46499999999997</v>
      </c>
      <c r="O205" s="709" t="s">
        <v>3651</v>
      </c>
      <c r="P205" s="132" t="s">
        <v>3675</v>
      </c>
      <c r="Q205" s="867">
        <v>0</v>
      </c>
      <c r="R205" s="867">
        <v>0</v>
      </c>
      <c r="S205" s="867">
        <v>0</v>
      </c>
      <c r="T205" s="867">
        <v>0</v>
      </c>
      <c r="U205" s="132" t="s">
        <v>3637</v>
      </c>
      <c r="V205" s="132" t="s">
        <v>3676</v>
      </c>
      <c r="W205" s="498">
        <v>75</v>
      </c>
      <c r="X205" s="132" t="s">
        <v>626</v>
      </c>
      <c r="Y205" s="132"/>
      <c r="Z205" s="132" t="s">
        <v>3581</v>
      </c>
      <c r="AA205" s="132" t="s">
        <v>3640</v>
      </c>
      <c r="AB205" s="133" t="s">
        <v>1595</v>
      </c>
    </row>
    <row r="206" spans="1:28" ht="24" customHeight="1">
      <c r="A206" s="587"/>
      <c r="B206" s="473" t="s">
        <v>675</v>
      </c>
      <c r="C206" s="500" t="s">
        <v>3677</v>
      </c>
      <c r="D206" s="705" t="s">
        <v>3678</v>
      </c>
      <c r="E206" s="654">
        <v>23</v>
      </c>
      <c r="F206" s="654">
        <v>0</v>
      </c>
      <c r="G206" s="654">
        <v>23</v>
      </c>
      <c r="H206" s="654">
        <v>0</v>
      </c>
      <c r="I206" s="654">
        <v>20</v>
      </c>
      <c r="J206" s="654">
        <v>0</v>
      </c>
      <c r="K206" s="654">
        <v>20</v>
      </c>
      <c r="L206" s="706">
        <v>0</v>
      </c>
      <c r="M206" s="958">
        <v>0.9</v>
      </c>
      <c r="N206" s="653">
        <v>168.48</v>
      </c>
      <c r="O206" s="709" t="s">
        <v>3679</v>
      </c>
      <c r="P206" s="463" t="s">
        <v>1588</v>
      </c>
      <c r="Q206" s="867">
        <v>0</v>
      </c>
      <c r="R206" s="867">
        <v>0</v>
      </c>
      <c r="S206" s="867">
        <v>0</v>
      </c>
      <c r="T206" s="867">
        <v>0</v>
      </c>
      <c r="U206" s="132" t="s">
        <v>3637</v>
      </c>
      <c r="V206" s="132" t="s">
        <v>3680</v>
      </c>
      <c r="W206" s="498">
        <v>55</v>
      </c>
      <c r="X206" s="132" t="s">
        <v>626</v>
      </c>
      <c r="Y206" s="132"/>
      <c r="Z206" s="132"/>
      <c r="AA206" s="132" t="s">
        <v>3640</v>
      </c>
      <c r="AB206" s="133" t="s">
        <v>1595</v>
      </c>
    </row>
    <row r="207" spans="1:28" ht="24" customHeight="1">
      <c r="A207" s="587"/>
      <c r="B207" s="473" t="s">
        <v>675</v>
      </c>
      <c r="C207" s="500" t="s">
        <v>3681</v>
      </c>
      <c r="D207" s="705" t="s">
        <v>3682</v>
      </c>
      <c r="E207" s="654">
        <v>34</v>
      </c>
      <c r="F207" s="654">
        <v>0</v>
      </c>
      <c r="G207" s="654">
        <v>34</v>
      </c>
      <c r="H207" s="654">
        <v>0</v>
      </c>
      <c r="I207" s="654">
        <v>28</v>
      </c>
      <c r="J207" s="654">
        <v>0</v>
      </c>
      <c r="K207" s="654">
        <v>28</v>
      </c>
      <c r="L207" s="706">
        <v>0</v>
      </c>
      <c r="M207" s="958">
        <v>0.9</v>
      </c>
      <c r="N207" s="653">
        <v>240.40800000000002</v>
      </c>
      <c r="O207" s="709" t="s">
        <v>3679</v>
      </c>
      <c r="P207" s="463" t="s">
        <v>1588</v>
      </c>
      <c r="Q207" s="867">
        <v>0</v>
      </c>
      <c r="R207" s="867">
        <v>0</v>
      </c>
      <c r="S207" s="867">
        <v>0</v>
      </c>
      <c r="T207" s="867">
        <v>0</v>
      </c>
      <c r="U207" s="132" t="s">
        <v>3637</v>
      </c>
      <c r="V207" s="132" t="s">
        <v>3683</v>
      </c>
      <c r="W207" s="498">
        <v>84</v>
      </c>
      <c r="X207" s="132" t="s">
        <v>626</v>
      </c>
      <c r="Y207" s="132"/>
      <c r="Z207" s="132"/>
      <c r="AA207" s="132" t="s">
        <v>3640</v>
      </c>
      <c r="AB207" s="133" t="s">
        <v>1595</v>
      </c>
    </row>
    <row r="208" spans="1:28" ht="24" customHeight="1">
      <c r="A208" s="587"/>
      <c r="B208" s="473" t="s">
        <v>675</v>
      </c>
      <c r="C208" s="500" t="s">
        <v>3684</v>
      </c>
      <c r="D208" s="705" t="s">
        <v>3685</v>
      </c>
      <c r="E208" s="654">
        <v>34</v>
      </c>
      <c r="F208" s="654">
        <v>0</v>
      </c>
      <c r="G208" s="654">
        <v>34</v>
      </c>
      <c r="H208" s="654">
        <v>0</v>
      </c>
      <c r="I208" s="654">
        <v>32</v>
      </c>
      <c r="J208" s="654">
        <v>0</v>
      </c>
      <c r="K208" s="654">
        <v>32</v>
      </c>
      <c r="L208" s="706">
        <v>0</v>
      </c>
      <c r="M208" s="958">
        <v>0.9</v>
      </c>
      <c r="N208" s="653">
        <v>304.70400000000001</v>
      </c>
      <c r="O208" s="709" t="s">
        <v>3679</v>
      </c>
      <c r="P208" s="463" t="s">
        <v>1588</v>
      </c>
      <c r="Q208" s="867">
        <v>0</v>
      </c>
      <c r="R208" s="867">
        <v>0</v>
      </c>
      <c r="S208" s="867">
        <v>0</v>
      </c>
      <c r="T208" s="867">
        <v>0</v>
      </c>
      <c r="U208" s="132" t="s">
        <v>3637</v>
      </c>
      <c r="V208" s="132" t="s">
        <v>3686</v>
      </c>
      <c r="W208" s="498">
        <v>80</v>
      </c>
      <c r="X208" s="132" t="s">
        <v>626</v>
      </c>
      <c r="Y208" s="132"/>
      <c r="Z208" s="132"/>
      <c r="AA208" s="132" t="s">
        <v>3640</v>
      </c>
      <c r="AB208" s="133" t="s">
        <v>1595</v>
      </c>
    </row>
    <row r="209" spans="1:28" ht="24" customHeight="1">
      <c r="A209" s="587"/>
      <c r="B209" s="473" t="s">
        <v>675</v>
      </c>
      <c r="C209" s="500" t="s">
        <v>3687</v>
      </c>
      <c r="D209" s="705" t="s">
        <v>3688</v>
      </c>
      <c r="E209" s="654">
        <v>60</v>
      </c>
      <c r="F209" s="654">
        <v>0</v>
      </c>
      <c r="G209" s="654">
        <v>0</v>
      </c>
      <c r="H209" s="654">
        <v>60</v>
      </c>
      <c r="I209" s="654">
        <v>34</v>
      </c>
      <c r="J209" s="654">
        <v>0</v>
      </c>
      <c r="K209" s="654">
        <v>0</v>
      </c>
      <c r="L209" s="706">
        <v>34</v>
      </c>
      <c r="M209" s="958">
        <v>0.95299999999999996</v>
      </c>
      <c r="N209" s="653">
        <v>194.73602</v>
      </c>
      <c r="O209" s="709" t="s">
        <v>3651</v>
      </c>
      <c r="P209" s="463" t="s">
        <v>1588</v>
      </c>
      <c r="Q209" s="867">
        <v>0</v>
      </c>
      <c r="R209" s="867">
        <v>0</v>
      </c>
      <c r="S209" s="867">
        <v>0</v>
      </c>
      <c r="T209" s="867">
        <v>0</v>
      </c>
      <c r="U209" s="132" t="s">
        <v>3637</v>
      </c>
      <c r="V209" s="132" t="s">
        <v>2123</v>
      </c>
      <c r="W209" s="498">
        <v>940</v>
      </c>
      <c r="X209" s="132" t="s">
        <v>626</v>
      </c>
      <c r="Y209" s="132"/>
      <c r="Z209" s="132" t="s">
        <v>3645</v>
      </c>
      <c r="AA209" s="132" t="s">
        <v>3640</v>
      </c>
      <c r="AB209" s="133" t="s">
        <v>1595</v>
      </c>
    </row>
    <row r="210" spans="1:28" ht="24" customHeight="1">
      <c r="A210" s="587"/>
      <c r="B210" s="473" t="s">
        <v>675</v>
      </c>
      <c r="C210" s="500" t="s">
        <v>3689</v>
      </c>
      <c r="D210" s="705" t="s">
        <v>3690</v>
      </c>
      <c r="E210" s="654">
        <v>100</v>
      </c>
      <c r="F210" s="654">
        <v>0</v>
      </c>
      <c r="G210" s="654">
        <v>0</v>
      </c>
      <c r="H210" s="654">
        <v>100</v>
      </c>
      <c r="I210" s="654">
        <v>63</v>
      </c>
      <c r="J210" s="654">
        <v>0</v>
      </c>
      <c r="K210" s="654">
        <v>0</v>
      </c>
      <c r="L210" s="706">
        <v>63</v>
      </c>
      <c r="M210" s="958">
        <v>0.94</v>
      </c>
      <c r="N210" s="653">
        <v>543.04740000000004</v>
      </c>
      <c r="O210" s="709" t="s">
        <v>3636</v>
      </c>
      <c r="P210" s="132" t="s">
        <v>3636</v>
      </c>
      <c r="Q210" s="867">
        <v>0</v>
      </c>
      <c r="R210" s="867">
        <v>0</v>
      </c>
      <c r="S210" s="867">
        <v>0</v>
      </c>
      <c r="T210" s="867">
        <v>0</v>
      </c>
      <c r="U210" s="132" t="s">
        <v>3637</v>
      </c>
      <c r="V210" s="483" t="s">
        <v>3691</v>
      </c>
      <c r="W210" s="498">
        <v>2705</v>
      </c>
      <c r="X210" s="132" t="s">
        <v>626</v>
      </c>
      <c r="Y210" s="132" t="s">
        <v>3336</v>
      </c>
      <c r="Z210" s="132"/>
      <c r="AA210" s="132" t="s">
        <v>3640</v>
      </c>
      <c r="AB210" s="133" t="s">
        <v>1595</v>
      </c>
    </row>
    <row r="211" spans="1:28" ht="24" customHeight="1">
      <c r="A211" s="587"/>
      <c r="B211" s="473" t="s">
        <v>675</v>
      </c>
      <c r="C211" s="500" t="s">
        <v>3692</v>
      </c>
      <c r="D211" s="705" t="s">
        <v>3693</v>
      </c>
      <c r="E211" s="654">
        <v>100</v>
      </c>
      <c r="F211" s="654">
        <v>0</v>
      </c>
      <c r="G211" s="654">
        <v>0</v>
      </c>
      <c r="H211" s="654">
        <v>100</v>
      </c>
      <c r="I211" s="654">
        <v>60</v>
      </c>
      <c r="J211" s="654">
        <v>0</v>
      </c>
      <c r="K211" s="654">
        <v>0</v>
      </c>
      <c r="L211" s="706">
        <v>60</v>
      </c>
      <c r="M211" s="958">
        <v>0.94</v>
      </c>
      <c r="N211" s="653">
        <v>361.52399999999994</v>
      </c>
      <c r="O211" s="709" t="s">
        <v>3694</v>
      </c>
      <c r="P211" s="132" t="s">
        <v>3694</v>
      </c>
      <c r="Q211" s="867">
        <v>0</v>
      </c>
      <c r="R211" s="867">
        <v>0</v>
      </c>
      <c r="S211" s="867">
        <v>0</v>
      </c>
      <c r="T211" s="867">
        <v>0</v>
      </c>
      <c r="U211" s="132" t="s">
        <v>3637</v>
      </c>
      <c r="V211" s="132" t="s">
        <v>3695</v>
      </c>
      <c r="W211" s="498">
        <v>1167</v>
      </c>
      <c r="X211" s="132" t="s">
        <v>626</v>
      </c>
      <c r="Y211" s="132" t="s">
        <v>3336</v>
      </c>
      <c r="Z211" s="132"/>
      <c r="AA211" s="132" t="s">
        <v>3640</v>
      </c>
      <c r="AB211" s="133" t="s">
        <v>1595</v>
      </c>
    </row>
    <row r="212" spans="1:28" ht="24" customHeight="1">
      <c r="A212" s="586" t="s">
        <v>1844</v>
      </c>
      <c r="B212" s="473" t="s">
        <v>2201</v>
      </c>
      <c r="C212" s="500" t="s">
        <v>2251</v>
      </c>
      <c r="D212" s="705" t="s">
        <v>3696</v>
      </c>
      <c r="E212" s="654">
        <v>13000</v>
      </c>
      <c r="F212" s="654">
        <v>0</v>
      </c>
      <c r="G212" s="716" t="s">
        <v>1588</v>
      </c>
      <c r="H212" s="654">
        <v>13000</v>
      </c>
      <c r="I212" s="654">
        <v>11128</v>
      </c>
      <c r="J212" s="654">
        <v>0</v>
      </c>
      <c r="K212" s="654">
        <v>0</v>
      </c>
      <c r="L212" s="706">
        <v>11128</v>
      </c>
      <c r="M212" s="958">
        <v>0.92952612393681655</v>
      </c>
      <c r="N212" s="653">
        <v>851.29200000000003</v>
      </c>
      <c r="O212" s="714" t="s">
        <v>3697</v>
      </c>
      <c r="P212" s="463" t="s">
        <v>1588</v>
      </c>
      <c r="Q212" s="867">
        <v>0</v>
      </c>
      <c r="R212" s="867">
        <v>150</v>
      </c>
      <c r="S212" s="867">
        <v>0</v>
      </c>
      <c r="T212" s="867">
        <v>0</v>
      </c>
      <c r="U212" s="132" t="s">
        <v>3698</v>
      </c>
      <c r="V212" s="132" t="s">
        <v>3699</v>
      </c>
      <c r="W212" s="498">
        <v>47487</v>
      </c>
      <c r="X212" s="132" t="s">
        <v>2193</v>
      </c>
      <c r="Y212" s="132" t="s">
        <v>3336</v>
      </c>
      <c r="Z212" s="483" t="s">
        <v>1588</v>
      </c>
      <c r="AA212" s="132" t="s">
        <v>1534</v>
      </c>
      <c r="AB212" s="133" t="s">
        <v>1596</v>
      </c>
    </row>
    <row r="213" spans="1:28" ht="24" customHeight="1">
      <c r="A213" s="587"/>
      <c r="B213" s="473" t="s">
        <v>2201</v>
      </c>
      <c r="C213" s="500" t="s">
        <v>329</v>
      </c>
      <c r="D213" s="705" t="s">
        <v>3700</v>
      </c>
      <c r="E213" s="654">
        <v>2000</v>
      </c>
      <c r="F213" s="654">
        <v>0</v>
      </c>
      <c r="G213" s="716" t="s">
        <v>1588</v>
      </c>
      <c r="H213" s="654">
        <v>2000</v>
      </c>
      <c r="I213" s="654">
        <v>1579</v>
      </c>
      <c r="J213" s="654">
        <v>0</v>
      </c>
      <c r="K213" s="654">
        <v>0</v>
      </c>
      <c r="L213" s="706">
        <v>1579</v>
      </c>
      <c r="M213" s="958">
        <v>0.97936371453138427</v>
      </c>
      <c r="N213" s="653">
        <v>179.84809999999999</v>
      </c>
      <c r="O213" s="714" t="s">
        <v>3701</v>
      </c>
      <c r="P213" s="463" t="s">
        <v>1588</v>
      </c>
      <c r="Q213" s="867">
        <v>0</v>
      </c>
      <c r="R213" s="867">
        <v>0</v>
      </c>
      <c r="S213" s="867">
        <v>0</v>
      </c>
      <c r="T213" s="867">
        <v>0</v>
      </c>
      <c r="U213" s="132" t="s">
        <v>3702</v>
      </c>
      <c r="V213" s="483" t="s">
        <v>3703</v>
      </c>
      <c r="W213" s="498">
        <v>13493</v>
      </c>
      <c r="X213" s="132" t="s">
        <v>2193</v>
      </c>
      <c r="Y213" s="132" t="s">
        <v>3336</v>
      </c>
      <c r="Z213" s="483" t="s">
        <v>1588</v>
      </c>
      <c r="AA213" s="132" t="s">
        <v>1534</v>
      </c>
      <c r="AB213" s="133" t="s">
        <v>1596</v>
      </c>
    </row>
    <row r="214" spans="1:28" ht="24" customHeight="1">
      <c r="A214" s="587"/>
      <c r="B214" s="473" t="s">
        <v>2201</v>
      </c>
      <c r="C214" s="500" t="s">
        <v>330</v>
      </c>
      <c r="D214" s="705" t="s">
        <v>3704</v>
      </c>
      <c r="E214" s="654">
        <v>2600</v>
      </c>
      <c r="F214" s="654">
        <v>0</v>
      </c>
      <c r="G214" s="716" t="s">
        <v>1588</v>
      </c>
      <c r="H214" s="654">
        <v>2600</v>
      </c>
      <c r="I214" s="654">
        <v>2449</v>
      </c>
      <c r="J214" s="654">
        <v>0</v>
      </c>
      <c r="K214" s="654">
        <v>0</v>
      </c>
      <c r="L214" s="706">
        <v>2449</v>
      </c>
      <c r="M214" s="958">
        <v>0.98992805755395674</v>
      </c>
      <c r="N214" s="653">
        <v>336.98239999999998</v>
      </c>
      <c r="O214" s="714" t="s">
        <v>3705</v>
      </c>
      <c r="P214" s="463" t="s">
        <v>1588</v>
      </c>
      <c r="Q214" s="867">
        <v>0</v>
      </c>
      <c r="R214" s="867">
        <v>0</v>
      </c>
      <c r="S214" s="867">
        <v>0</v>
      </c>
      <c r="T214" s="867">
        <v>0</v>
      </c>
      <c r="U214" s="132" t="s">
        <v>3706</v>
      </c>
      <c r="V214" s="483" t="s">
        <v>3707</v>
      </c>
      <c r="W214" s="498">
        <v>2.2200000000000002</v>
      </c>
      <c r="X214" s="132" t="s">
        <v>2199</v>
      </c>
      <c r="Y214" s="132" t="s">
        <v>3336</v>
      </c>
      <c r="Z214" s="132" t="s">
        <v>3708</v>
      </c>
      <c r="AA214" s="132" t="s">
        <v>1534</v>
      </c>
      <c r="AB214" s="133" t="s">
        <v>1596</v>
      </c>
    </row>
    <row r="215" spans="1:28" ht="24" customHeight="1">
      <c r="A215" s="587"/>
      <c r="B215" s="473" t="s">
        <v>2201</v>
      </c>
      <c r="C215" s="500" t="s">
        <v>331</v>
      </c>
      <c r="D215" s="705" t="s">
        <v>3709</v>
      </c>
      <c r="E215" s="654">
        <v>300</v>
      </c>
      <c r="F215" s="654">
        <v>0</v>
      </c>
      <c r="G215" s="716" t="s">
        <v>1588</v>
      </c>
      <c r="H215" s="654">
        <v>300</v>
      </c>
      <c r="I215" s="654">
        <v>130</v>
      </c>
      <c r="J215" s="654">
        <v>0</v>
      </c>
      <c r="K215" s="654">
        <v>0</v>
      </c>
      <c r="L215" s="706">
        <v>130</v>
      </c>
      <c r="M215" s="958">
        <v>0.97360980207351555</v>
      </c>
      <c r="N215" s="653">
        <v>13.429</v>
      </c>
      <c r="O215" s="714" t="s">
        <v>3490</v>
      </c>
      <c r="P215" s="463" t="s">
        <v>1588</v>
      </c>
      <c r="Q215" s="867">
        <v>0</v>
      </c>
      <c r="R215" s="867">
        <v>0</v>
      </c>
      <c r="S215" s="867">
        <v>0</v>
      </c>
      <c r="T215" s="867">
        <v>0</v>
      </c>
      <c r="U215" s="132" t="s">
        <v>3710</v>
      </c>
      <c r="V215" s="483" t="s">
        <v>3711</v>
      </c>
      <c r="W215" s="498">
        <v>2045</v>
      </c>
      <c r="X215" s="132" t="s">
        <v>2199</v>
      </c>
      <c r="Y215" s="132" t="s">
        <v>3336</v>
      </c>
      <c r="Z215" s="132" t="s">
        <v>3712</v>
      </c>
      <c r="AA215" s="132" t="s">
        <v>1534</v>
      </c>
      <c r="AB215" s="133" t="s">
        <v>1596</v>
      </c>
    </row>
    <row r="216" spans="1:28" ht="24" customHeight="1">
      <c r="A216" s="587"/>
      <c r="B216" s="473" t="s">
        <v>2201</v>
      </c>
      <c r="C216" s="500" t="s">
        <v>332</v>
      </c>
      <c r="D216" s="705" t="s">
        <v>3713</v>
      </c>
      <c r="E216" s="654">
        <v>3600</v>
      </c>
      <c r="F216" s="716" t="s">
        <v>1588</v>
      </c>
      <c r="G216" s="654">
        <v>3600</v>
      </c>
      <c r="H216" s="654">
        <v>0</v>
      </c>
      <c r="I216" s="654">
        <v>3012</v>
      </c>
      <c r="J216" s="654">
        <v>0</v>
      </c>
      <c r="K216" s="654">
        <v>3012</v>
      </c>
      <c r="L216" s="706">
        <v>0</v>
      </c>
      <c r="M216" s="958">
        <v>0.98831775700934577</v>
      </c>
      <c r="N216" s="653">
        <v>637.03800000000001</v>
      </c>
      <c r="O216" s="714" t="s">
        <v>3714</v>
      </c>
      <c r="P216" s="463" t="s">
        <v>1588</v>
      </c>
      <c r="Q216" s="867">
        <v>0</v>
      </c>
      <c r="R216" s="867">
        <v>0</v>
      </c>
      <c r="S216" s="867">
        <v>0</v>
      </c>
      <c r="T216" s="867">
        <v>0</v>
      </c>
      <c r="U216" s="132" t="s">
        <v>3715</v>
      </c>
      <c r="V216" s="483" t="s">
        <v>3716</v>
      </c>
      <c r="W216" s="498">
        <v>19966</v>
      </c>
      <c r="X216" s="132" t="s">
        <v>2199</v>
      </c>
      <c r="Y216" s="132" t="s">
        <v>3336</v>
      </c>
      <c r="Z216" s="483" t="s">
        <v>1588</v>
      </c>
      <c r="AA216" s="132" t="s">
        <v>1534</v>
      </c>
      <c r="AB216" s="133" t="s">
        <v>1596</v>
      </c>
    </row>
    <row r="217" spans="1:28" ht="24" customHeight="1">
      <c r="A217" s="587"/>
      <c r="B217" s="473" t="s">
        <v>2201</v>
      </c>
      <c r="C217" s="500" t="s">
        <v>333</v>
      </c>
      <c r="D217" s="705" t="s">
        <v>3717</v>
      </c>
      <c r="E217" s="654">
        <v>900</v>
      </c>
      <c r="F217" s="716" t="s">
        <v>1588</v>
      </c>
      <c r="G217" s="716" t="s">
        <v>1588</v>
      </c>
      <c r="H217" s="654">
        <v>900</v>
      </c>
      <c r="I217" s="654">
        <v>609</v>
      </c>
      <c r="J217" s="654">
        <v>0</v>
      </c>
      <c r="K217" s="654">
        <v>0</v>
      </c>
      <c r="L217" s="706">
        <v>609</v>
      </c>
      <c r="M217" s="958">
        <v>0.98460057747834462</v>
      </c>
      <c r="N217" s="653">
        <v>62.300700000000013</v>
      </c>
      <c r="O217" s="714" t="s">
        <v>3718</v>
      </c>
      <c r="P217" s="463" t="s">
        <v>1588</v>
      </c>
      <c r="Q217" s="867">
        <v>0</v>
      </c>
      <c r="R217" s="867">
        <v>0</v>
      </c>
      <c r="S217" s="867">
        <v>0</v>
      </c>
      <c r="T217" s="867">
        <v>0</v>
      </c>
      <c r="U217" s="132" t="s">
        <v>3719</v>
      </c>
      <c r="V217" s="483" t="s">
        <v>3716</v>
      </c>
      <c r="W217" s="498">
        <v>6487</v>
      </c>
      <c r="X217" s="132" t="s">
        <v>2199</v>
      </c>
      <c r="Y217" s="132" t="s">
        <v>3336</v>
      </c>
      <c r="Z217" s="483" t="s">
        <v>1588</v>
      </c>
      <c r="AA217" s="132" t="s">
        <v>1534</v>
      </c>
      <c r="AB217" s="133" t="s">
        <v>1596</v>
      </c>
    </row>
    <row r="218" spans="1:28" ht="24" customHeight="1">
      <c r="A218" s="587"/>
      <c r="B218" s="473" t="s">
        <v>2201</v>
      </c>
      <c r="C218" s="500" t="s">
        <v>334</v>
      </c>
      <c r="D218" s="705" t="s">
        <v>3720</v>
      </c>
      <c r="E218" s="654">
        <v>1000</v>
      </c>
      <c r="F218" s="716" t="s">
        <v>1588</v>
      </c>
      <c r="G218" s="716" t="s">
        <v>1588</v>
      </c>
      <c r="H218" s="654">
        <v>1000</v>
      </c>
      <c r="I218" s="654">
        <v>550</v>
      </c>
      <c r="J218" s="654">
        <v>0</v>
      </c>
      <c r="K218" s="654">
        <v>0</v>
      </c>
      <c r="L218" s="706">
        <v>550</v>
      </c>
      <c r="M218" s="958">
        <v>0.98949579831932777</v>
      </c>
      <c r="N218" s="653">
        <v>51.81</v>
      </c>
      <c r="O218" s="714" t="s">
        <v>3701</v>
      </c>
      <c r="P218" s="463" t="s">
        <v>1588</v>
      </c>
      <c r="Q218" s="867">
        <v>0</v>
      </c>
      <c r="R218" s="867">
        <v>0</v>
      </c>
      <c r="S218" s="867">
        <v>0</v>
      </c>
      <c r="T218" s="867">
        <v>0</v>
      </c>
      <c r="U218" s="132" t="s">
        <v>3721</v>
      </c>
      <c r="V218" s="483" t="s">
        <v>3722</v>
      </c>
      <c r="W218" s="498">
        <v>13810</v>
      </c>
      <c r="X218" s="132" t="s">
        <v>2199</v>
      </c>
      <c r="Y218" s="132" t="s">
        <v>3336</v>
      </c>
      <c r="Z218" s="132" t="s">
        <v>3708</v>
      </c>
      <c r="AA218" s="132" t="s">
        <v>1534</v>
      </c>
      <c r="AB218" s="133" t="s">
        <v>1596</v>
      </c>
    </row>
    <row r="219" spans="1:28" ht="24" customHeight="1">
      <c r="A219" s="587"/>
      <c r="B219" s="473" t="s">
        <v>675</v>
      </c>
      <c r="C219" s="500" t="s">
        <v>3723</v>
      </c>
      <c r="D219" s="705" t="s">
        <v>3724</v>
      </c>
      <c r="E219" s="654">
        <v>500</v>
      </c>
      <c r="F219" s="654">
        <v>0</v>
      </c>
      <c r="G219" s="654">
        <v>0</v>
      </c>
      <c r="H219" s="654">
        <v>500</v>
      </c>
      <c r="I219" s="654">
        <v>246</v>
      </c>
      <c r="J219" s="654">
        <v>0</v>
      </c>
      <c r="K219" s="654">
        <v>0</v>
      </c>
      <c r="L219" s="706">
        <f t="shared" ref="L219:L224" si="17">I219</f>
        <v>246</v>
      </c>
      <c r="M219" s="958">
        <v>0.95764705882352952</v>
      </c>
      <c r="N219" s="653">
        <v>169.61844705882356</v>
      </c>
      <c r="O219" s="714" t="s">
        <v>3725</v>
      </c>
      <c r="P219" s="462" t="s">
        <v>1588</v>
      </c>
      <c r="Q219" s="867">
        <v>0</v>
      </c>
      <c r="R219" s="867">
        <v>0</v>
      </c>
      <c r="S219" s="867">
        <v>0</v>
      </c>
      <c r="T219" s="867">
        <v>0</v>
      </c>
      <c r="U219" s="477" t="s">
        <v>3726</v>
      </c>
      <c r="V219" s="504" t="s">
        <v>3727</v>
      </c>
      <c r="W219" s="498">
        <v>962</v>
      </c>
      <c r="X219" s="132" t="s">
        <v>2199</v>
      </c>
      <c r="Y219" s="132" t="s">
        <v>3336</v>
      </c>
      <c r="Z219" s="132" t="s">
        <v>3728</v>
      </c>
      <c r="AA219" s="132" t="s">
        <v>1534</v>
      </c>
      <c r="AB219" s="133" t="s">
        <v>1596</v>
      </c>
    </row>
    <row r="220" spans="1:28" ht="24" customHeight="1">
      <c r="A220" s="587"/>
      <c r="B220" s="473" t="s">
        <v>675</v>
      </c>
      <c r="C220" s="500" t="s">
        <v>3729</v>
      </c>
      <c r="D220" s="705" t="s">
        <v>3730</v>
      </c>
      <c r="E220" s="654">
        <v>350</v>
      </c>
      <c r="F220" s="654">
        <v>0</v>
      </c>
      <c r="G220" s="654">
        <v>350</v>
      </c>
      <c r="H220" s="654">
        <v>0</v>
      </c>
      <c r="I220" s="654">
        <v>148</v>
      </c>
      <c r="J220" s="654">
        <v>0</v>
      </c>
      <c r="K220" s="654">
        <v>0</v>
      </c>
      <c r="L220" s="706">
        <f t="shared" si="17"/>
        <v>148</v>
      </c>
      <c r="M220" s="958">
        <v>0.95764705882352952</v>
      </c>
      <c r="N220" s="653">
        <v>102.04687058823532</v>
      </c>
      <c r="O220" s="714" t="s">
        <v>3725</v>
      </c>
      <c r="P220" s="462" t="s">
        <v>1588</v>
      </c>
      <c r="Q220" s="867">
        <v>0</v>
      </c>
      <c r="R220" s="867">
        <v>0</v>
      </c>
      <c r="S220" s="867">
        <v>0</v>
      </c>
      <c r="T220" s="867">
        <v>0</v>
      </c>
      <c r="U220" s="477" t="s">
        <v>3726</v>
      </c>
      <c r="V220" s="504" t="s">
        <v>3727</v>
      </c>
      <c r="W220" s="498">
        <v>491</v>
      </c>
      <c r="X220" s="132" t="s">
        <v>2199</v>
      </c>
      <c r="Y220" s="132" t="s">
        <v>3232</v>
      </c>
      <c r="Z220" s="483" t="s">
        <v>1588</v>
      </c>
      <c r="AA220" s="132" t="s">
        <v>1534</v>
      </c>
      <c r="AB220" s="133" t="s">
        <v>1596</v>
      </c>
    </row>
    <row r="221" spans="1:28" ht="24" customHeight="1">
      <c r="A221" s="587"/>
      <c r="B221" s="473" t="s">
        <v>675</v>
      </c>
      <c r="C221" s="500" t="s">
        <v>3731</v>
      </c>
      <c r="D221" s="705" t="s">
        <v>3732</v>
      </c>
      <c r="E221" s="654">
        <v>210</v>
      </c>
      <c r="F221" s="654">
        <v>0</v>
      </c>
      <c r="G221" s="654">
        <v>210</v>
      </c>
      <c r="H221" s="654">
        <v>0</v>
      </c>
      <c r="I221" s="654">
        <v>70</v>
      </c>
      <c r="J221" s="654">
        <v>0</v>
      </c>
      <c r="K221" s="654">
        <v>0</v>
      </c>
      <c r="L221" s="706">
        <f t="shared" si="17"/>
        <v>70</v>
      </c>
      <c r="M221" s="958">
        <v>0.95764705882352952</v>
      </c>
      <c r="N221" s="653">
        <v>48.265411764705888</v>
      </c>
      <c r="O221" s="714" t="s">
        <v>3725</v>
      </c>
      <c r="P221" s="462" t="s">
        <v>1588</v>
      </c>
      <c r="Q221" s="867">
        <v>0</v>
      </c>
      <c r="R221" s="867">
        <v>0</v>
      </c>
      <c r="S221" s="867">
        <v>0</v>
      </c>
      <c r="T221" s="867">
        <v>0</v>
      </c>
      <c r="U221" s="477" t="s">
        <v>3726</v>
      </c>
      <c r="V221" s="504" t="s">
        <v>3727</v>
      </c>
      <c r="W221" s="498">
        <v>446</v>
      </c>
      <c r="X221" s="132" t="s">
        <v>2199</v>
      </c>
      <c r="Y221" s="132" t="s">
        <v>3232</v>
      </c>
      <c r="Z221" s="132" t="s">
        <v>3733</v>
      </c>
      <c r="AA221" s="132" t="s">
        <v>1534</v>
      </c>
      <c r="AB221" s="133" t="s">
        <v>1596</v>
      </c>
    </row>
    <row r="222" spans="1:28" ht="24" customHeight="1">
      <c r="A222" s="587"/>
      <c r="B222" s="473" t="s">
        <v>675</v>
      </c>
      <c r="C222" s="500" t="s">
        <v>3734</v>
      </c>
      <c r="D222" s="705" t="s">
        <v>3735</v>
      </c>
      <c r="E222" s="654">
        <v>30</v>
      </c>
      <c r="F222" s="654">
        <v>0</v>
      </c>
      <c r="G222" s="654">
        <v>0</v>
      </c>
      <c r="H222" s="654">
        <v>30</v>
      </c>
      <c r="I222" s="654">
        <v>9</v>
      </c>
      <c r="J222" s="654">
        <v>0</v>
      </c>
      <c r="K222" s="654">
        <v>0</v>
      </c>
      <c r="L222" s="706">
        <f t="shared" si="17"/>
        <v>9</v>
      </c>
      <c r="M222" s="958">
        <v>0.94117647058823517</v>
      </c>
      <c r="N222" s="653">
        <v>8.4705882352941178</v>
      </c>
      <c r="O222" s="714" t="s">
        <v>3736</v>
      </c>
      <c r="P222" s="462" t="s">
        <v>1588</v>
      </c>
      <c r="Q222" s="867">
        <v>0</v>
      </c>
      <c r="R222" s="867">
        <v>0</v>
      </c>
      <c r="S222" s="867">
        <v>0</v>
      </c>
      <c r="T222" s="867">
        <v>0</v>
      </c>
      <c r="U222" s="477" t="s">
        <v>3726</v>
      </c>
      <c r="V222" s="504" t="s">
        <v>3727</v>
      </c>
      <c r="W222" s="498">
        <v>197</v>
      </c>
      <c r="X222" s="132" t="s">
        <v>2199</v>
      </c>
      <c r="Y222" s="132" t="s">
        <v>3336</v>
      </c>
      <c r="Z222" s="132" t="s">
        <v>1588</v>
      </c>
      <c r="AA222" s="132" t="s">
        <v>1534</v>
      </c>
      <c r="AB222" s="133" t="s">
        <v>1596</v>
      </c>
    </row>
    <row r="223" spans="1:28" ht="24" customHeight="1">
      <c r="A223" s="587"/>
      <c r="B223" s="473" t="s">
        <v>675</v>
      </c>
      <c r="C223" s="500" t="s">
        <v>2117</v>
      </c>
      <c r="D223" s="705" t="s">
        <v>3737</v>
      </c>
      <c r="E223" s="654">
        <v>30</v>
      </c>
      <c r="F223" s="654">
        <v>0</v>
      </c>
      <c r="G223" s="716" t="s">
        <v>1588</v>
      </c>
      <c r="H223" s="654">
        <v>30</v>
      </c>
      <c r="I223" s="654">
        <v>3</v>
      </c>
      <c r="J223" s="654">
        <v>0</v>
      </c>
      <c r="K223" s="654">
        <v>0</v>
      </c>
      <c r="L223" s="706">
        <f t="shared" si="17"/>
        <v>3</v>
      </c>
      <c r="M223" s="958">
        <v>0.95</v>
      </c>
      <c r="N223" s="653">
        <v>2.85</v>
      </c>
      <c r="O223" s="714" t="s">
        <v>3718</v>
      </c>
      <c r="P223" s="462" t="s">
        <v>1588</v>
      </c>
      <c r="Q223" s="867">
        <v>0</v>
      </c>
      <c r="R223" s="867">
        <v>0</v>
      </c>
      <c r="S223" s="867">
        <v>0</v>
      </c>
      <c r="T223" s="867">
        <v>0</v>
      </c>
      <c r="U223" s="477" t="s">
        <v>3726</v>
      </c>
      <c r="V223" s="504" t="s">
        <v>3738</v>
      </c>
      <c r="W223" s="498">
        <v>254</v>
      </c>
      <c r="X223" s="132" t="s">
        <v>2199</v>
      </c>
      <c r="Y223" s="132" t="s">
        <v>3336</v>
      </c>
      <c r="Z223" s="132" t="s">
        <v>3739</v>
      </c>
      <c r="AA223" s="132" t="s">
        <v>1534</v>
      </c>
      <c r="AB223" s="133" t="s">
        <v>1596</v>
      </c>
    </row>
    <row r="224" spans="1:28" ht="24" customHeight="1">
      <c r="A224" s="587"/>
      <c r="B224" s="473" t="s">
        <v>675</v>
      </c>
      <c r="C224" s="500" t="s">
        <v>3740</v>
      </c>
      <c r="D224" s="705" t="s">
        <v>3741</v>
      </c>
      <c r="E224" s="654">
        <v>40</v>
      </c>
      <c r="F224" s="654">
        <v>0</v>
      </c>
      <c r="G224" s="654" t="s">
        <v>1588</v>
      </c>
      <c r="H224" s="716">
        <v>40</v>
      </c>
      <c r="I224" s="654">
        <v>28</v>
      </c>
      <c r="J224" s="654">
        <v>0</v>
      </c>
      <c r="K224" s="654">
        <v>0</v>
      </c>
      <c r="L224" s="706">
        <f t="shared" si="17"/>
        <v>28</v>
      </c>
      <c r="M224" s="958">
        <v>0.9</v>
      </c>
      <c r="N224" s="653">
        <v>50.4</v>
      </c>
      <c r="O224" s="714" t="s">
        <v>3742</v>
      </c>
      <c r="P224" s="462" t="s">
        <v>1588</v>
      </c>
      <c r="Q224" s="867">
        <v>0</v>
      </c>
      <c r="R224" s="867">
        <v>0</v>
      </c>
      <c r="S224" s="867">
        <v>0</v>
      </c>
      <c r="T224" s="867">
        <v>0</v>
      </c>
      <c r="U224" s="477" t="s">
        <v>3726</v>
      </c>
      <c r="V224" s="504" t="s">
        <v>3589</v>
      </c>
      <c r="W224" s="498">
        <v>208</v>
      </c>
      <c r="X224" s="132" t="s">
        <v>2199</v>
      </c>
      <c r="Y224" s="132" t="s">
        <v>3232</v>
      </c>
      <c r="Z224" s="132" t="s">
        <v>3743</v>
      </c>
      <c r="AA224" s="132" t="s">
        <v>1534</v>
      </c>
      <c r="AB224" s="133" t="s">
        <v>1596</v>
      </c>
    </row>
    <row r="225" spans="1:28" ht="24" customHeight="1">
      <c r="A225" s="587"/>
      <c r="B225" s="473" t="s">
        <v>675</v>
      </c>
      <c r="C225" s="500" t="s">
        <v>3744</v>
      </c>
      <c r="D225" s="705" t="s">
        <v>3745</v>
      </c>
      <c r="E225" s="654">
        <v>40</v>
      </c>
      <c r="F225" s="654">
        <v>0</v>
      </c>
      <c r="G225" s="654">
        <v>40</v>
      </c>
      <c r="H225" s="716" t="s">
        <v>1588</v>
      </c>
      <c r="I225" s="654">
        <v>7</v>
      </c>
      <c r="J225" s="654">
        <v>0</v>
      </c>
      <c r="K225" s="654">
        <v>7</v>
      </c>
      <c r="L225" s="706">
        <v>0</v>
      </c>
      <c r="M225" s="958">
        <v>0.9</v>
      </c>
      <c r="N225" s="653">
        <v>12.6</v>
      </c>
      <c r="O225" s="714" t="s">
        <v>3742</v>
      </c>
      <c r="P225" s="462" t="s">
        <v>1588</v>
      </c>
      <c r="Q225" s="867">
        <v>0</v>
      </c>
      <c r="R225" s="867">
        <v>0</v>
      </c>
      <c r="S225" s="867">
        <v>0</v>
      </c>
      <c r="T225" s="867">
        <v>0</v>
      </c>
      <c r="U225" s="477" t="s">
        <v>3726</v>
      </c>
      <c r="V225" s="504" t="s">
        <v>3746</v>
      </c>
      <c r="W225" s="498">
        <v>95</v>
      </c>
      <c r="X225" s="132" t="s">
        <v>2199</v>
      </c>
      <c r="Y225" s="132" t="s">
        <v>3232</v>
      </c>
      <c r="Z225" s="132" t="s">
        <v>3743</v>
      </c>
      <c r="AA225" s="132" t="s">
        <v>1534</v>
      </c>
      <c r="AB225" s="133" t="s">
        <v>1596</v>
      </c>
    </row>
    <row r="226" spans="1:28" ht="24" customHeight="1">
      <c r="A226" s="587"/>
      <c r="B226" s="473" t="s">
        <v>675</v>
      </c>
      <c r="C226" s="500" t="s">
        <v>3747</v>
      </c>
      <c r="D226" s="705" t="s">
        <v>3748</v>
      </c>
      <c r="E226" s="654">
        <v>25</v>
      </c>
      <c r="F226" s="654">
        <v>0</v>
      </c>
      <c r="G226" s="716" t="s">
        <v>1588</v>
      </c>
      <c r="H226" s="654">
        <v>25</v>
      </c>
      <c r="I226" s="654">
        <v>0</v>
      </c>
      <c r="J226" s="654">
        <v>0</v>
      </c>
      <c r="K226" s="654">
        <v>0</v>
      </c>
      <c r="L226" s="706">
        <v>0</v>
      </c>
      <c r="M226" s="958">
        <v>0.94117647058823517</v>
      </c>
      <c r="N226" s="653">
        <v>0</v>
      </c>
      <c r="O226" s="714" t="s">
        <v>3419</v>
      </c>
      <c r="P226" s="462" t="s">
        <v>1588</v>
      </c>
      <c r="Q226" s="867">
        <v>0</v>
      </c>
      <c r="R226" s="867">
        <v>0</v>
      </c>
      <c r="S226" s="867">
        <v>0</v>
      </c>
      <c r="T226" s="867">
        <v>0</v>
      </c>
      <c r="U226" s="477" t="s">
        <v>3726</v>
      </c>
      <c r="V226" s="504" t="s">
        <v>3738</v>
      </c>
      <c r="W226" s="498">
        <v>243</v>
      </c>
      <c r="X226" s="132" t="s">
        <v>2199</v>
      </c>
      <c r="Y226" s="132" t="s">
        <v>3336</v>
      </c>
      <c r="Z226" s="132" t="s">
        <v>3749</v>
      </c>
      <c r="AA226" s="132" t="s">
        <v>1534</v>
      </c>
      <c r="AB226" s="133" t="s">
        <v>1596</v>
      </c>
    </row>
    <row r="227" spans="1:28" ht="24" customHeight="1">
      <c r="A227" s="587"/>
      <c r="B227" s="473" t="s">
        <v>675</v>
      </c>
      <c r="C227" s="500" t="s">
        <v>3750</v>
      </c>
      <c r="D227" s="705" t="s">
        <v>3751</v>
      </c>
      <c r="E227" s="654">
        <v>36</v>
      </c>
      <c r="F227" s="654">
        <v>0</v>
      </c>
      <c r="G227" s="654">
        <v>36</v>
      </c>
      <c r="H227" s="716" t="s">
        <v>1588</v>
      </c>
      <c r="I227" s="654">
        <v>0</v>
      </c>
      <c r="J227" s="654">
        <v>0</v>
      </c>
      <c r="K227" s="654">
        <v>0</v>
      </c>
      <c r="L227" s="706">
        <v>0</v>
      </c>
      <c r="M227" s="958">
        <v>0.9</v>
      </c>
      <c r="N227" s="653">
        <v>0</v>
      </c>
      <c r="O227" s="714" t="s">
        <v>3752</v>
      </c>
      <c r="P227" s="462" t="s">
        <v>1588</v>
      </c>
      <c r="Q227" s="867">
        <v>0</v>
      </c>
      <c r="R227" s="867">
        <v>0</v>
      </c>
      <c r="S227" s="867">
        <v>0</v>
      </c>
      <c r="T227" s="867">
        <v>0</v>
      </c>
      <c r="U227" s="477" t="s">
        <v>3726</v>
      </c>
      <c r="V227" s="504" t="s">
        <v>3753</v>
      </c>
      <c r="W227" s="498">
        <v>120</v>
      </c>
      <c r="X227" s="132" t="s">
        <v>2199</v>
      </c>
      <c r="Y227" s="132" t="s">
        <v>3232</v>
      </c>
      <c r="Z227" s="132" t="s">
        <v>3754</v>
      </c>
      <c r="AA227" s="132" t="s">
        <v>1534</v>
      </c>
      <c r="AB227" s="133" t="s">
        <v>1596</v>
      </c>
    </row>
    <row r="228" spans="1:28" ht="24" customHeight="1">
      <c r="A228" s="587"/>
      <c r="B228" s="473" t="s">
        <v>675</v>
      </c>
      <c r="C228" s="500" t="s">
        <v>3755</v>
      </c>
      <c r="D228" s="705" t="s">
        <v>3756</v>
      </c>
      <c r="E228" s="654">
        <v>23</v>
      </c>
      <c r="F228" s="654">
        <v>0</v>
      </c>
      <c r="G228" s="654" t="s">
        <v>1588</v>
      </c>
      <c r="H228" s="716">
        <v>23</v>
      </c>
      <c r="I228" s="654">
        <v>14</v>
      </c>
      <c r="J228" s="654">
        <v>0</v>
      </c>
      <c r="K228" s="654">
        <v>0</v>
      </c>
      <c r="L228" s="706">
        <v>14</v>
      </c>
      <c r="M228" s="958">
        <v>0.9</v>
      </c>
      <c r="N228" s="653">
        <v>25.2</v>
      </c>
      <c r="O228" s="714" t="s">
        <v>3757</v>
      </c>
      <c r="P228" s="462" t="s">
        <v>1588</v>
      </c>
      <c r="Q228" s="867">
        <v>0</v>
      </c>
      <c r="R228" s="867">
        <v>0</v>
      </c>
      <c r="S228" s="867">
        <v>0</v>
      </c>
      <c r="T228" s="867">
        <v>0</v>
      </c>
      <c r="U228" s="477" t="s">
        <v>3726</v>
      </c>
      <c r="V228" s="504" t="s">
        <v>3758</v>
      </c>
      <c r="W228" s="498">
        <v>189</v>
      </c>
      <c r="X228" s="132" t="s">
        <v>2199</v>
      </c>
      <c r="Y228" s="132" t="s">
        <v>3232</v>
      </c>
      <c r="Z228" s="132" t="s">
        <v>3759</v>
      </c>
      <c r="AA228" s="132" t="s">
        <v>1534</v>
      </c>
      <c r="AB228" s="133" t="s">
        <v>1596</v>
      </c>
    </row>
    <row r="229" spans="1:28" ht="24" customHeight="1">
      <c r="A229" s="587"/>
      <c r="B229" s="473" t="s">
        <v>675</v>
      </c>
      <c r="C229" s="500" t="s">
        <v>3760</v>
      </c>
      <c r="D229" s="705" t="s">
        <v>3761</v>
      </c>
      <c r="E229" s="654">
        <v>23</v>
      </c>
      <c r="F229" s="654">
        <v>0</v>
      </c>
      <c r="G229" s="654" t="s">
        <v>1588</v>
      </c>
      <c r="H229" s="716">
        <v>23</v>
      </c>
      <c r="I229" s="654">
        <v>0</v>
      </c>
      <c r="J229" s="654">
        <v>0</v>
      </c>
      <c r="K229" s="654">
        <v>0</v>
      </c>
      <c r="L229" s="706">
        <v>0</v>
      </c>
      <c r="M229" s="958">
        <v>0.9</v>
      </c>
      <c r="N229" s="653">
        <v>0</v>
      </c>
      <c r="O229" s="714" t="s">
        <v>3757</v>
      </c>
      <c r="P229" s="462" t="s">
        <v>1588</v>
      </c>
      <c r="Q229" s="867">
        <v>0</v>
      </c>
      <c r="R229" s="867">
        <v>0</v>
      </c>
      <c r="S229" s="867">
        <v>0</v>
      </c>
      <c r="T229" s="867">
        <v>0</v>
      </c>
      <c r="U229" s="477" t="s">
        <v>3726</v>
      </c>
      <c r="V229" s="504" t="s">
        <v>3762</v>
      </c>
      <c r="W229" s="498">
        <v>166</v>
      </c>
      <c r="X229" s="132" t="s">
        <v>2199</v>
      </c>
      <c r="Y229" s="132" t="s">
        <v>3232</v>
      </c>
      <c r="Z229" s="132" t="s">
        <v>3708</v>
      </c>
      <c r="AA229" s="132" t="s">
        <v>1534</v>
      </c>
      <c r="AB229" s="133" t="s">
        <v>1596</v>
      </c>
    </row>
    <row r="230" spans="1:28" ht="24" customHeight="1">
      <c r="A230" s="587"/>
      <c r="B230" s="473" t="s">
        <v>675</v>
      </c>
      <c r="C230" s="500" t="s">
        <v>2143</v>
      </c>
      <c r="D230" s="705" t="s">
        <v>3763</v>
      </c>
      <c r="E230" s="654">
        <v>32</v>
      </c>
      <c r="F230" s="654">
        <v>0</v>
      </c>
      <c r="G230" s="654" t="s">
        <v>1588</v>
      </c>
      <c r="H230" s="716">
        <v>32</v>
      </c>
      <c r="I230" s="654">
        <v>0</v>
      </c>
      <c r="J230" s="654">
        <v>0</v>
      </c>
      <c r="K230" s="654">
        <v>0</v>
      </c>
      <c r="L230" s="706">
        <v>0</v>
      </c>
      <c r="M230" s="958">
        <v>0.95</v>
      </c>
      <c r="N230" s="653">
        <v>0</v>
      </c>
      <c r="O230" s="714" t="s">
        <v>3757</v>
      </c>
      <c r="P230" s="462" t="s">
        <v>1588</v>
      </c>
      <c r="Q230" s="867">
        <v>0</v>
      </c>
      <c r="R230" s="867">
        <v>0</v>
      </c>
      <c r="S230" s="867">
        <v>0</v>
      </c>
      <c r="T230" s="867">
        <v>0</v>
      </c>
      <c r="U230" s="477" t="s">
        <v>3726</v>
      </c>
      <c r="V230" s="504" t="s">
        <v>3764</v>
      </c>
      <c r="W230" s="498">
        <v>223</v>
      </c>
      <c r="X230" s="132" t="s">
        <v>2199</v>
      </c>
      <c r="Y230" s="132" t="s">
        <v>3232</v>
      </c>
      <c r="Z230" s="132" t="s">
        <v>3765</v>
      </c>
      <c r="AA230" s="132" t="s">
        <v>1534</v>
      </c>
      <c r="AB230" s="133" t="s">
        <v>1596</v>
      </c>
    </row>
    <row r="231" spans="1:28" ht="24" customHeight="1">
      <c r="A231" s="587"/>
      <c r="B231" s="473" t="s">
        <v>675</v>
      </c>
      <c r="C231" s="500" t="s">
        <v>3766</v>
      </c>
      <c r="D231" s="705" t="s">
        <v>3767</v>
      </c>
      <c r="E231" s="654">
        <f>SUM(F231:H231)</f>
        <v>80</v>
      </c>
      <c r="F231" s="654">
        <v>0</v>
      </c>
      <c r="G231" s="716" t="s">
        <v>1588</v>
      </c>
      <c r="H231" s="654">
        <v>80</v>
      </c>
      <c r="I231" s="654">
        <v>57</v>
      </c>
      <c r="J231" s="654">
        <v>0</v>
      </c>
      <c r="K231" s="654">
        <v>0</v>
      </c>
      <c r="L231" s="706">
        <v>57</v>
      </c>
      <c r="M231" s="958">
        <v>0.95</v>
      </c>
      <c r="N231" s="653">
        <v>43.32</v>
      </c>
      <c r="O231" s="709" t="s">
        <v>3274</v>
      </c>
      <c r="P231" s="462" t="s">
        <v>1588</v>
      </c>
      <c r="Q231" s="867">
        <v>0</v>
      </c>
      <c r="R231" s="867">
        <v>0</v>
      </c>
      <c r="S231" s="867">
        <v>0</v>
      </c>
      <c r="T231" s="867">
        <v>0</v>
      </c>
      <c r="U231" s="477" t="s">
        <v>3726</v>
      </c>
      <c r="V231" s="499" t="s">
        <v>3768</v>
      </c>
      <c r="W231" s="498">
        <v>921</v>
      </c>
      <c r="X231" s="132" t="s">
        <v>2199</v>
      </c>
      <c r="Y231" s="132" t="s">
        <v>3232</v>
      </c>
      <c r="Z231" s="132" t="s">
        <v>3743</v>
      </c>
      <c r="AA231" s="132" t="s">
        <v>1534</v>
      </c>
      <c r="AB231" s="133" t="s">
        <v>1596</v>
      </c>
    </row>
    <row r="232" spans="1:28" ht="24" customHeight="1">
      <c r="A232" s="587"/>
      <c r="B232" s="473" t="s">
        <v>675</v>
      </c>
      <c r="C232" s="500" t="s">
        <v>2397</v>
      </c>
      <c r="D232" s="705" t="s">
        <v>3769</v>
      </c>
      <c r="E232" s="654">
        <v>70</v>
      </c>
      <c r="F232" s="654">
        <v>0</v>
      </c>
      <c r="G232" s="654" t="s">
        <v>1588</v>
      </c>
      <c r="H232" s="716">
        <v>70</v>
      </c>
      <c r="I232" s="654">
        <v>20</v>
      </c>
      <c r="J232" s="654">
        <v>0</v>
      </c>
      <c r="K232" s="654">
        <v>0</v>
      </c>
      <c r="L232" s="706">
        <v>20</v>
      </c>
      <c r="M232" s="958">
        <v>0.95</v>
      </c>
      <c r="N232" s="653">
        <v>17.100000000000001</v>
      </c>
      <c r="O232" s="709" t="s">
        <v>3752</v>
      </c>
      <c r="P232" s="462" t="s">
        <v>1588</v>
      </c>
      <c r="Q232" s="867">
        <v>0</v>
      </c>
      <c r="R232" s="867">
        <v>0</v>
      </c>
      <c r="S232" s="867">
        <v>0</v>
      </c>
      <c r="T232" s="867">
        <v>0</v>
      </c>
      <c r="U232" s="477" t="s">
        <v>3726</v>
      </c>
      <c r="V232" s="499" t="s">
        <v>3770</v>
      </c>
      <c r="W232" s="498">
        <v>508</v>
      </c>
      <c r="X232" s="132" t="s">
        <v>2199</v>
      </c>
      <c r="Y232" s="132" t="s">
        <v>3336</v>
      </c>
      <c r="Z232" s="132" t="s">
        <v>3771</v>
      </c>
      <c r="AA232" s="132" t="s">
        <v>1534</v>
      </c>
      <c r="AB232" s="133" t="s">
        <v>1596</v>
      </c>
    </row>
    <row r="233" spans="1:28" ht="24" customHeight="1">
      <c r="A233" s="587"/>
      <c r="B233" s="473" t="s">
        <v>675</v>
      </c>
      <c r="C233" s="500" t="s">
        <v>3772</v>
      </c>
      <c r="D233" s="705" t="s">
        <v>3773</v>
      </c>
      <c r="E233" s="654">
        <v>35</v>
      </c>
      <c r="F233" s="654">
        <v>0</v>
      </c>
      <c r="G233" s="654">
        <v>35</v>
      </c>
      <c r="H233" s="716" t="s">
        <v>1588</v>
      </c>
      <c r="I233" s="654">
        <v>0</v>
      </c>
      <c r="J233" s="654">
        <v>0</v>
      </c>
      <c r="K233" s="654">
        <v>0</v>
      </c>
      <c r="L233" s="706">
        <v>0</v>
      </c>
      <c r="M233" s="958">
        <v>0.95</v>
      </c>
      <c r="N233" s="653">
        <v>0</v>
      </c>
      <c r="O233" s="709" t="s">
        <v>3774</v>
      </c>
      <c r="P233" s="462" t="s">
        <v>1588</v>
      </c>
      <c r="Q233" s="867">
        <v>0</v>
      </c>
      <c r="R233" s="867">
        <v>0</v>
      </c>
      <c r="S233" s="867">
        <v>0</v>
      </c>
      <c r="T233" s="867">
        <v>0</v>
      </c>
      <c r="U233" s="477" t="s">
        <v>3726</v>
      </c>
      <c r="V233" s="499" t="s">
        <v>3775</v>
      </c>
      <c r="W233" s="498">
        <v>116</v>
      </c>
      <c r="X233" s="132" t="s">
        <v>2199</v>
      </c>
      <c r="Y233" s="132" t="s">
        <v>3232</v>
      </c>
      <c r="Z233" s="132" t="s">
        <v>3776</v>
      </c>
      <c r="AA233" s="132" t="s">
        <v>1534</v>
      </c>
      <c r="AB233" s="133" t="s">
        <v>1596</v>
      </c>
    </row>
    <row r="234" spans="1:28" ht="24" customHeight="1">
      <c r="A234" s="587"/>
      <c r="B234" s="473" t="s">
        <v>675</v>
      </c>
      <c r="C234" s="500" t="s">
        <v>3777</v>
      </c>
      <c r="D234" s="705" t="s">
        <v>3778</v>
      </c>
      <c r="E234" s="654">
        <v>20</v>
      </c>
      <c r="F234" s="654">
        <v>0</v>
      </c>
      <c r="G234" s="654">
        <v>20</v>
      </c>
      <c r="H234" s="716" t="s">
        <v>1588</v>
      </c>
      <c r="I234" s="654">
        <v>0</v>
      </c>
      <c r="J234" s="654">
        <v>0</v>
      </c>
      <c r="K234" s="654">
        <v>0</v>
      </c>
      <c r="L234" s="706">
        <v>0</v>
      </c>
      <c r="M234" s="958">
        <v>0.94186046511627908</v>
      </c>
      <c r="N234" s="653">
        <v>0</v>
      </c>
      <c r="O234" s="709" t="s">
        <v>3774</v>
      </c>
      <c r="P234" s="462" t="s">
        <v>1588</v>
      </c>
      <c r="Q234" s="867">
        <v>0</v>
      </c>
      <c r="R234" s="867">
        <v>0</v>
      </c>
      <c r="S234" s="867">
        <v>0</v>
      </c>
      <c r="T234" s="867">
        <v>0</v>
      </c>
      <c r="U234" s="477" t="s">
        <v>3726</v>
      </c>
      <c r="V234" s="499" t="s">
        <v>3779</v>
      </c>
      <c r="W234" s="498">
        <v>164</v>
      </c>
      <c r="X234" s="132" t="s">
        <v>2199</v>
      </c>
      <c r="Y234" s="132" t="s">
        <v>3232</v>
      </c>
      <c r="Z234" s="132" t="s">
        <v>1588</v>
      </c>
      <c r="AA234" s="132" t="s">
        <v>1534</v>
      </c>
      <c r="AB234" s="133" t="s">
        <v>1596</v>
      </c>
    </row>
    <row r="235" spans="1:28" ht="24" customHeight="1">
      <c r="A235" s="587"/>
      <c r="B235" s="473" t="s">
        <v>675</v>
      </c>
      <c r="C235" s="500" t="s">
        <v>3780</v>
      </c>
      <c r="D235" s="705" t="s">
        <v>3781</v>
      </c>
      <c r="E235" s="654">
        <f>SUM(F235:H235)</f>
        <v>80</v>
      </c>
      <c r="F235" s="654">
        <v>0</v>
      </c>
      <c r="G235" s="716" t="s">
        <v>1588</v>
      </c>
      <c r="H235" s="654">
        <v>80</v>
      </c>
      <c r="I235" s="654">
        <v>80</v>
      </c>
      <c r="J235" s="654">
        <v>0</v>
      </c>
      <c r="K235" s="654">
        <v>0</v>
      </c>
      <c r="L235" s="706">
        <v>80</v>
      </c>
      <c r="M235" s="958">
        <v>0.94285714285714273</v>
      </c>
      <c r="N235" s="653">
        <v>60.342857142857135</v>
      </c>
      <c r="O235" s="709" t="s">
        <v>3274</v>
      </c>
      <c r="P235" s="462" t="s">
        <v>1588</v>
      </c>
      <c r="Q235" s="867">
        <v>0</v>
      </c>
      <c r="R235" s="867">
        <v>0</v>
      </c>
      <c r="S235" s="867">
        <v>0</v>
      </c>
      <c r="T235" s="867">
        <v>0</v>
      </c>
      <c r="U235" s="477" t="s">
        <v>3726</v>
      </c>
      <c r="V235" s="499" t="s">
        <v>3782</v>
      </c>
      <c r="W235" s="498">
        <v>360</v>
      </c>
      <c r="X235" s="132" t="s">
        <v>2199</v>
      </c>
      <c r="Y235" s="132" t="s">
        <v>3232</v>
      </c>
      <c r="Z235" s="132"/>
      <c r="AA235" s="132" t="s">
        <v>1534</v>
      </c>
      <c r="AB235" s="133" t="s">
        <v>1596</v>
      </c>
    </row>
    <row r="236" spans="1:28" ht="24" customHeight="1">
      <c r="A236" s="587"/>
      <c r="B236" s="473" t="s">
        <v>675</v>
      </c>
      <c r="C236" s="500" t="s">
        <v>3783</v>
      </c>
      <c r="D236" s="705" t="s">
        <v>3784</v>
      </c>
      <c r="E236" s="654">
        <f>SUM(F236:H236)</f>
        <v>60</v>
      </c>
      <c r="F236" s="654">
        <v>0</v>
      </c>
      <c r="G236" s="654">
        <v>60</v>
      </c>
      <c r="H236" s="716" t="s">
        <v>1588</v>
      </c>
      <c r="I236" s="654">
        <v>60</v>
      </c>
      <c r="J236" s="654">
        <v>0</v>
      </c>
      <c r="K236" s="654">
        <v>60</v>
      </c>
      <c r="L236" s="706">
        <v>0</v>
      </c>
      <c r="M236" s="958">
        <v>0.94615384615384612</v>
      </c>
      <c r="N236" s="653">
        <v>39.738461538461536</v>
      </c>
      <c r="O236" s="709" t="s">
        <v>3752</v>
      </c>
      <c r="P236" s="462" t="s">
        <v>1588</v>
      </c>
      <c r="Q236" s="867">
        <v>0</v>
      </c>
      <c r="R236" s="867">
        <v>0</v>
      </c>
      <c r="S236" s="867">
        <v>0</v>
      </c>
      <c r="T236" s="867">
        <v>0</v>
      </c>
      <c r="U236" s="477" t="s">
        <v>3726</v>
      </c>
      <c r="V236" s="499" t="s">
        <v>3785</v>
      </c>
      <c r="W236" s="498">
        <v>345</v>
      </c>
      <c r="X236" s="132" t="s">
        <v>2199</v>
      </c>
      <c r="Y236" s="132" t="s">
        <v>3232</v>
      </c>
      <c r="Z236" s="132" t="s">
        <v>1588</v>
      </c>
      <c r="AA236" s="132" t="s">
        <v>1534</v>
      </c>
      <c r="AB236" s="133" t="s">
        <v>1596</v>
      </c>
    </row>
    <row r="237" spans="1:28" ht="24" customHeight="1">
      <c r="A237" s="587"/>
      <c r="B237" s="473" t="s">
        <v>675</v>
      </c>
      <c r="C237" s="500" t="s">
        <v>2169</v>
      </c>
      <c r="D237" s="705" t="s">
        <v>3786</v>
      </c>
      <c r="E237" s="654">
        <f>SUM(F237:H237)</f>
        <v>50</v>
      </c>
      <c r="F237" s="654">
        <v>0</v>
      </c>
      <c r="G237" s="716" t="s">
        <v>1588</v>
      </c>
      <c r="H237" s="654">
        <v>50</v>
      </c>
      <c r="I237" s="654">
        <v>50</v>
      </c>
      <c r="J237" s="654">
        <v>0</v>
      </c>
      <c r="K237" s="654">
        <v>0</v>
      </c>
      <c r="L237" s="706">
        <v>50</v>
      </c>
      <c r="M237" s="958">
        <v>0.94</v>
      </c>
      <c r="N237" s="653">
        <v>39.479999999999997</v>
      </c>
      <c r="O237" s="709" t="s">
        <v>3419</v>
      </c>
      <c r="P237" s="462" t="s">
        <v>1588</v>
      </c>
      <c r="Q237" s="867">
        <v>0</v>
      </c>
      <c r="R237" s="867">
        <v>0</v>
      </c>
      <c r="S237" s="867">
        <v>0</v>
      </c>
      <c r="T237" s="867">
        <v>0</v>
      </c>
      <c r="U237" s="477" t="s">
        <v>3726</v>
      </c>
      <c r="V237" s="499" t="s">
        <v>3787</v>
      </c>
      <c r="W237" s="498">
        <v>414</v>
      </c>
      <c r="X237" s="132" t="s">
        <v>2199</v>
      </c>
      <c r="Y237" s="132" t="s">
        <v>3336</v>
      </c>
      <c r="Z237" s="132" t="s">
        <v>3708</v>
      </c>
      <c r="AA237" s="132" t="s">
        <v>1534</v>
      </c>
      <c r="AB237" s="133" t="s">
        <v>1596</v>
      </c>
    </row>
    <row r="238" spans="1:28" ht="24" customHeight="1">
      <c r="A238" s="587"/>
      <c r="B238" s="473" t="s">
        <v>675</v>
      </c>
      <c r="C238" s="500" t="s">
        <v>3788</v>
      </c>
      <c r="D238" s="705" t="s">
        <v>3789</v>
      </c>
      <c r="E238" s="654">
        <v>16</v>
      </c>
      <c r="F238" s="654">
        <v>0</v>
      </c>
      <c r="G238" s="716">
        <v>16</v>
      </c>
      <c r="H238" s="654" t="s">
        <v>1588</v>
      </c>
      <c r="I238" s="654">
        <v>0</v>
      </c>
      <c r="J238" s="654">
        <v>0</v>
      </c>
      <c r="K238" s="654">
        <v>0</v>
      </c>
      <c r="L238" s="706">
        <v>0</v>
      </c>
      <c r="M238" s="958">
        <v>0.95</v>
      </c>
      <c r="N238" s="653">
        <v>0</v>
      </c>
      <c r="O238" s="709" t="s">
        <v>3757</v>
      </c>
      <c r="P238" s="462" t="s">
        <v>1588</v>
      </c>
      <c r="Q238" s="867">
        <v>0</v>
      </c>
      <c r="R238" s="867">
        <v>0</v>
      </c>
      <c r="S238" s="867">
        <v>0</v>
      </c>
      <c r="T238" s="867">
        <v>0</v>
      </c>
      <c r="U238" s="477" t="s">
        <v>3726</v>
      </c>
      <c r="V238" s="499" t="s">
        <v>3790</v>
      </c>
      <c r="W238" s="498">
        <v>68</v>
      </c>
      <c r="X238" s="132" t="s">
        <v>2199</v>
      </c>
      <c r="Y238" s="132" t="s">
        <v>3232</v>
      </c>
      <c r="Z238" s="132" t="s">
        <v>1588</v>
      </c>
      <c r="AA238" s="132" t="s">
        <v>1534</v>
      </c>
      <c r="AB238" s="133" t="s">
        <v>1596</v>
      </c>
    </row>
    <row r="239" spans="1:28" ht="24" customHeight="1">
      <c r="A239" s="587"/>
      <c r="B239" s="473" t="s">
        <v>675</v>
      </c>
      <c r="C239" s="500" t="s">
        <v>3791</v>
      </c>
      <c r="D239" s="705" t="s">
        <v>3792</v>
      </c>
      <c r="E239" s="654">
        <v>90</v>
      </c>
      <c r="F239" s="654">
        <v>0</v>
      </c>
      <c r="G239" s="654">
        <v>0</v>
      </c>
      <c r="H239" s="654">
        <v>90</v>
      </c>
      <c r="I239" s="654">
        <v>71</v>
      </c>
      <c r="J239" s="654">
        <v>0</v>
      </c>
      <c r="K239" s="654">
        <v>0</v>
      </c>
      <c r="L239" s="706">
        <v>71</v>
      </c>
      <c r="M239" s="958">
        <v>0.94705882352941173</v>
      </c>
      <c r="N239" s="653">
        <v>60.51705882352941</v>
      </c>
      <c r="O239" s="709" t="s">
        <v>3718</v>
      </c>
      <c r="P239" s="462" t="s">
        <v>1588</v>
      </c>
      <c r="Q239" s="867">
        <v>0</v>
      </c>
      <c r="R239" s="867">
        <v>0</v>
      </c>
      <c r="S239" s="867">
        <v>0</v>
      </c>
      <c r="T239" s="867">
        <v>0</v>
      </c>
      <c r="U239" s="477" t="s">
        <v>3726</v>
      </c>
      <c r="V239" s="499" t="s">
        <v>3793</v>
      </c>
      <c r="W239" s="498">
        <v>386</v>
      </c>
      <c r="X239" s="132" t="s">
        <v>2199</v>
      </c>
      <c r="Y239" s="132" t="s">
        <v>3161</v>
      </c>
      <c r="Z239" s="132" t="s">
        <v>3794</v>
      </c>
      <c r="AA239" s="132" t="s">
        <v>1534</v>
      </c>
      <c r="AB239" s="133" t="s">
        <v>1596</v>
      </c>
    </row>
    <row r="240" spans="1:28" ht="24" customHeight="1">
      <c r="A240" s="587"/>
      <c r="B240" s="473" t="s">
        <v>675</v>
      </c>
      <c r="C240" s="500" t="s">
        <v>3734</v>
      </c>
      <c r="D240" s="705" t="s">
        <v>3795</v>
      </c>
      <c r="E240" s="654">
        <v>120</v>
      </c>
      <c r="F240" s="654">
        <v>0</v>
      </c>
      <c r="G240" s="654">
        <v>0</v>
      </c>
      <c r="H240" s="654">
        <v>120</v>
      </c>
      <c r="I240" s="654">
        <v>33</v>
      </c>
      <c r="J240" s="654">
        <v>0</v>
      </c>
      <c r="K240" s="654">
        <v>0</v>
      </c>
      <c r="L240" s="706">
        <v>33</v>
      </c>
      <c r="M240" s="958">
        <v>0.94705882352941173</v>
      </c>
      <c r="N240" s="653">
        <v>28.127647058823527</v>
      </c>
      <c r="O240" s="709" t="s">
        <v>3718</v>
      </c>
      <c r="P240" s="462" t="s">
        <v>1588</v>
      </c>
      <c r="Q240" s="867">
        <v>0</v>
      </c>
      <c r="R240" s="867">
        <v>0</v>
      </c>
      <c r="S240" s="867">
        <v>0</v>
      </c>
      <c r="T240" s="867">
        <v>0</v>
      </c>
      <c r="U240" s="477" t="s">
        <v>3726</v>
      </c>
      <c r="V240" s="499" t="s">
        <v>2162</v>
      </c>
      <c r="W240" s="498">
        <v>830</v>
      </c>
      <c r="X240" s="132" t="s">
        <v>2199</v>
      </c>
      <c r="Y240" s="132" t="s">
        <v>3336</v>
      </c>
      <c r="Z240" s="132" t="s">
        <v>1588</v>
      </c>
      <c r="AA240" s="132" t="s">
        <v>1534</v>
      </c>
      <c r="AB240" s="133" t="s">
        <v>1596</v>
      </c>
    </row>
    <row r="241" spans="1:28" ht="24" customHeight="1">
      <c r="A241" s="587"/>
      <c r="B241" s="473" t="s">
        <v>675</v>
      </c>
      <c r="C241" s="500" t="s">
        <v>3796</v>
      </c>
      <c r="D241" s="705" t="s">
        <v>3797</v>
      </c>
      <c r="E241" s="654">
        <v>100</v>
      </c>
      <c r="F241" s="654">
        <v>0</v>
      </c>
      <c r="G241" s="654">
        <v>0</v>
      </c>
      <c r="H241" s="654">
        <v>100</v>
      </c>
      <c r="I241" s="654">
        <v>42</v>
      </c>
      <c r="J241" s="654">
        <v>0</v>
      </c>
      <c r="K241" s="654">
        <v>0</v>
      </c>
      <c r="L241" s="706">
        <v>42</v>
      </c>
      <c r="M241" s="958">
        <v>0.97140221402214022</v>
      </c>
      <c r="N241" s="653">
        <v>12.647656826568268</v>
      </c>
      <c r="O241" s="709" t="s">
        <v>3798</v>
      </c>
      <c r="P241" s="463" t="s">
        <v>1588</v>
      </c>
      <c r="Q241" s="867">
        <v>0</v>
      </c>
      <c r="R241" s="867">
        <v>0</v>
      </c>
      <c r="S241" s="867">
        <v>0</v>
      </c>
      <c r="T241" s="867">
        <v>0</v>
      </c>
      <c r="U241" s="132" t="s">
        <v>3726</v>
      </c>
      <c r="V241" s="132" t="s">
        <v>3799</v>
      </c>
      <c r="W241" s="498">
        <v>2077</v>
      </c>
      <c r="X241" s="132" t="s">
        <v>2199</v>
      </c>
      <c r="Y241" s="132" t="s">
        <v>3336</v>
      </c>
      <c r="Z241" s="132" t="s">
        <v>3800</v>
      </c>
      <c r="AA241" s="132" t="s">
        <v>1534</v>
      </c>
      <c r="AB241" s="133" t="s">
        <v>1596</v>
      </c>
    </row>
    <row r="242" spans="1:28" ht="24" customHeight="1">
      <c r="A242" s="587"/>
      <c r="B242" s="473" t="s">
        <v>675</v>
      </c>
      <c r="C242" s="500" t="s">
        <v>2037</v>
      </c>
      <c r="D242" s="705" t="s">
        <v>3801</v>
      </c>
      <c r="E242" s="654">
        <v>120</v>
      </c>
      <c r="F242" s="654">
        <v>0</v>
      </c>
      <c r="G242" s="654">
        <v>0</v>
      </c>
      <c r="H242" s="654">
        <v>120</v>
      </c>
      <c r="I242" s="654">
        <v>40</v>
      </c>
      <c r="J242" s="654">
        <v>0</v>
      </c>
      <c r="K242" s="654">
        <v>0</v>
      </c>
      <c r="L242" s="706">
        <v>40</v>
      </c>
      <c r="M242" s="958">
        <v>0.97236614853195169</v>
      </c>
      <c r="N242" s="653">
        <v>12.446286701208981</v>
      </c>
      <c r="O242" s="709" t="s">
        <v>3412</v>
      </c>
      <c r="P242" s="463" t="s">
        <v>1588</v>
      </c>
      <c r="Q242" s="867">
        <v>0</v>
      </c>
      <c r="R242" s="867">
        <v>0</v>
      </c>
      <c r="S242" s="867">
        <v>0</v>
      </c>
      <c r="T242" s="867">
        <v>0</v>
      </c>
      <c r="U242" s="132" t="s">
        <v>3726</v>
      </c>
      <c r="V242" s="132" t="s">
        <v>3802</v>
      </c>
      <c r="W242" s="498">
        <v>1628</v>
      </c>
      <c r="X242" s="132" t="s">
        <v>2199</v>
      </c>
      <c r="Y242" s="132" t="s">
        <v>3336</v>
      </c>
      <c r="Z242" s="132" t="s">
        <v>3708</v>
      </c>
      <c r="AA242" s="132" t="s">
        <v>1534</v>
      </c>
      <c r="AB242" s="133" t="s">
        <v>1596</v>
      </c>
    </row>
    <row r="243" spans="1:28" ht="24" customHeight="1">
      <c r="A243" s="586" t="s">
        <v>1847</v>
      </c>
      <c r="B243" s="473" t="s">
        <v>2201</v>
      </c>
      <c r="C243" s="500" t="s">
        <v>2029</v>
      </c>
      <c r="D243" s="705" t="s">
        <v>3803</v>
      </c>
      <c r="E243" s="654">
        <v>6500</v>
      </c>
      <c r="F243" s="654">
        <v>0</v>
      </c>
      <c r="G243" s="654">
        <v>0</v>
      </c>
      <c r="H243" s="654">
        <v>6500</v>
      </c>
      <c r="I243" s="654">
        <v>7801</v>
      </c>
      <c r="J243" s="654">
        <v>0</v>
      </c>
      <c r="K243" s="654">
        <v>0</v>
      </c>
      <c r="L243" s="706">
        <v>7801</v>
      </c>
      <c r="M243" s="958">
        <v>0.98296334537945274</v>
      </c>
      <c r="N243" s="653">
        <v>1485.3103999999998</v>
      </c>
      <c r="O243" s="709" t="s">
        <v>3215</v>
      </c>
      <c r="P243" s="463" t="s">
        <v>1588</v>
      </c>
      <c r="Q243" s="867">
        <v>0</v>
      </c>
      <c r="R243" s="867">
        <v>0</v>
      </c>
      <c r="S243" s="867">
        <v>17</v>
      </c>
      <c r="T243" s="867">
        <v>0</v>
      </c>
      <c r="U243" s="132" t="s">
        <v>3804</v>
      </c>
      <c r="V243" s="500" t="s">
        <v>3805</v>
      </c>
      <c r="W243" s="498">
        <v>18118</v>
      </c>
      <c r="X243" s="132" t="s">
        <v>3205</v>
      </c>
      <c r="Y243" s="132" t="s">
        <v>3336</v>
      </c>
      <c r="Z243" s="132" t="s">
        <v>3806</v>
      </c>
      <c r="AA243" s="132" t="s">
        <v>1534</v>
      </c>
      <c r="AB243" s="133" t="s">
        <v>1596</v>
      </c>
    </row>
    <row r="244" spans="1:28" ht="24" customHeight="1">
      <c r="A244" s="587"/>
      <c r="B244" s="473" t="s">
        <v>2201</v>
      </c>
      <c r="C244" s="500" t="s">
        <v>2030</v>
      </c>
      <c r="D244" s="705" t="s">
        <v>3807</v>
      </c>
      <c r="E244" s="654">
        <v>6200</v>
      </c>
      <c r="F244" s="654">
        <v>0</v>
      </c>
      <c r="G244" s="654">
        <v>0</v>
      </c>
      <c r="H244" s="654">
        <v>6200</v>
      </c>
      <c r="I244" s="654">
        <v>4738</v>
      </c>
      <c r="J244" s="654">
        <v>0</v>
      </c>
      <c r="K244" s="654">
        <v>0</v>
      </c>
      <c r="L244" s="706">
        <v>4738</v>
      </c>
      <c r="M244" s="958">
        <v>0.95876887340301975</v>
      </c>
      <c r="N244" s="653">
        <v>782.24379999999996</v>
      </c>
      <c r="O244" s="709" t="s">
        <v>2255</v>
      </c>
      <c r="P244" s="463" t="s">
        <v>1588</v>
      </c>
      <c r="Q244" s="867">
        <v>0</v>
      </c>
      <c r="R244" s="867">
        <v>0</v>
      </c>
      <c r="S244" s="867">
        <v>0</v>
      </c>
      <c r="T244" s="867">
        <v>0</v>
      </c>
      <c r="U244" s="132" t="s">
        <v>3808</v>
      </c>
      <c r="V244" s="500" t="s">
        <v>3805</v>
      </c>
      <c r="W244" s="498">
        <v>22318</v>
      </c>
      <c r="X244" s="132" t="s">
        <v>3205</v>
      </c>
      <c r="Y244" s="132" t="s">
        <v>3336</v>
      </c>
      <c r="Z244" s="132" t="s">
        <v>2383</v>
      </c>
      <c r="AA244" s="132" t="s">
        <v>1534</v>
      </c>
      <c r="AB244" s="133" t="s">
        <v>1596</v>
      </c>
    </row>
    <row r="245" spans="1:28" ht="24" customHeight="1">
      <c r="A245" s="587"/>
      <c r="B245" s="473" t="s">
        <v>2201</v>
      </c>
      <c r="C245" s="500" t="s">
        <v>1600</v>
      </c>
      <c r="D245" s="705" t="s">
        <v>3809</v>
      </c>
      <c r="E245" s="654">
        <v>1300</v>
      </c>
      <c r="F245" s="654">
        <v>0</v>
      </c>
      <c r="G245" s="654">
        <v>1300</v>
      </c>
      <c r="H245" s="654">
        <v>0</v>
      </c>
      <c r="I245" s="654">
        <v>891</v>
      </c>
      <c r="J245" s="654">
        <v>0</v>
      </c>
      <c r="K245" s="654">
        <v>891</v>
      </c>
      <c r="L245" s="706">
        <v>0</v>
      </c>
      <c r="M245" s="958">
        <v>0.92913385826771644</v>
      </c>
      <c r="N245" s="653">
        <v>63.082799999999992</v>
      </c>
      <c r="O245" s="709" t="s">
        <v>3810</v>
      </c>
      <c r="P245" s="463" t="s">
        <v>1588</v>
      </c>
      <c r="Q245" s="867">
        <v>0</v>
      </c>
      <c r="R245" s="867">
        <v>0</v>
      </c>
      <c r="S245" s="867">
        <v>0</v>
      </c>
      <c r="T245" s="867">
        <v>0</v>
      </c>
      <c r="U245" s="132" t="s">
        <v>3811</v>
      </c>
      <c r="V245" s="500" t="s">
        <v>3812</v>
      </c>
      <c r="W245" s="498">
        <v>5735</v>
      </c>
      <c r="X245" s="132" t="s">
        <v>3205</v>
      </c>
      <c r="Y245" s="132" t="s">
        <v>3336</v>
      </c>
      <c r="Z245" s="132" t="s">
        <v>3806</v>
      </c>
      <c r="AA245" s="132" t="s">
        <v>1534</v>
      </c>
      <c r="AB245" s="133" t="s">
        <v>1596</v>
      </c>
    </row>
    <row r="246" spans="1:28" ht="24" customHeight="1">
      <c r="A246" s="587"/>
      <c r="B246" s="473" t="s">
        <v>2201</v>
      </c>
      <c r="C246" s="500" t="s">
        <v>182</v>
      </c>
      <c r="D246" s="705" t="s">
        <v>3813</v>
      </c>
      <c r="E246" s="654">
        <v>5000</v>
      </c>
      <c r="F246" s="654">
        <v>0</v>
      </c>
      <c r="G246" s="654">
        <v>0</v>
      </c>
      <c r="H246" s="654">
        <v>5000</v>
      </c>
      <c r="I246" s="654">
        <v>3320</v>
      </c>
      <c r="J246" s="654">
        <v>0</v>
      </c>
      <c r="K246" s="654">
        <v>0</v>
      </c>
      <c r="L246" s="706">
        <v>3320</v>
      </c>
      <c r="M246" s="958">
        <v>0.95005096839959224</v>
      </c>
      <c r="N246" s="653">
        <v>309.42399999999998</v>
      </c>
      <c r="O246" s="709" t="s">
        <v>3538</v>
      </c>
      <c r="P246" s="463" t="s">
        <v>1588</v>
      </c>
      <c r="Q246" s="867">
        <v>0</v>
      </c>
      <c r="R246" s="867">
        <v>0</v>
      </c>
      <c r="S246" s="867">
        <v>0</v>
      </c>
      <c r="T246" s="867">
        <v>0</v>
      </c>
      <c r="U246" s="132" t="s">
        <v>3814</v>
      </c>
      <c r="V246" s="500" t="s">
        <v>3815</v>
      </c>
      <c r="W246" s="498">
        <v>12100</v>
      </c>
      <c r="X246" s="132" t="s">
        <v>3205</v>
      </c>
      <c r="Y246" s="132" t="s">
        <v>3336</v>
      </c>
      <c r="Z246" s="132" t="s">
        <v>2383</v>
      </c>
      <c r="AA246" s="132" t="s">
        <v>1534</v>
      </c>
      <c r="AB246" s="133" t="s">
        <v>1596</v>
      </c>
    </row>
    <row r="247" spans="1:28" ht="24" customHeight="1">
      <c r="A247" s="587"/>
      <c r="B247" s="473" t="s">
        <v>2201</v>
      </c>
      <c r="C247" s="500" t="s">
        <v>181</v>
      </c>
      <c r="D247" s="705" t="s">
        <v>3816</v>
      </c>
      <c r="E247" s="654">
        <v>1000</v>
      </c>
      <c r="F247" s="654">
        <v>0</v>
      </c>
      <c r="G247" s="654">
        <v>0</v>
      </c>
      <c r="H247" s="654">
        <v>1000</v>
      </c>
      <c r="I247" s="654">
        <v>249</v>
      </c>
      <c r="J247" s="654">
        <v>0</v>
      </c>
      <c r="K247" s="654">
        <v>0</v>
      </c>
      <c r="L247" s="706">
        <v>249</v>
      </c>
      <c r="M247" s="958">
        <v>0.97653806047966629</v>
      </c>
      <c r="N247" s="653">
        <v>46.637700000000002</v>
      </c>
      <c r="O247" s="709" t="s">
        <v>3347</v>
      </c>
      <c r="P247" s="463" t="s">
        <v>1588</v>
      </c>
      <c r="Q247" s="867">
        <v>0</v>
      </c>
      <c r="R247" s="867">
        <v>0</v>
      </c>
      <c r="S247" s="867">
        <v>0</v>
      </c>
      <c r="T247" s="867">
        <v>0</v>
      </c>
      <c r="U247" s="132" t="s">
        <v>3817</v>
      </c>
      <c r="V247" s="500" t="s">
        <v>3818</v>
      </c>
      <c r="W247" s="498">
        <v>15202</v>
      </c>
      <c r="X247" s="132" t="s">
        <v>3205</v>
      </c>
      <c r="Y247" s="132" t="s">
        <v>3336</v>
      </c>
      <c r="Z247" s="132" t="s">
        <v>1999</v>
      </c>
      <c r="AA247" s="132" t="s">
        <v>1534</v>
      </c>
      <c r="AB247" s="133" t="s">
        <v>1596</v>
      </c>
    </row>
    <row r="248" spans="1:28" ht="24" customHeight="1">
      <c r="A248" s="587"/>
      <c r="B248" s="473" t="s">
        <v>675</v>
      </c>
      <c r="C248" s="500" t="s">
        <v>3819</v>
      </c>
      <c r="D248" s="705" t="s">
        <v>3820</v>
      </c>
      <c r="E248" s="654">
        <v>330</v>
      </c>
      <c r="F248" s="654">
        <v>0</v>
      </c>
      <c r="G248" s="654">
        <v>330</v>
      </c>
      <c r="H248" s="654">
        <v>0</v>
      </c>
      <c r="I248" s="654">
        <v>349</v>
      </c>
      <c r="J248" s="654">
        <v>0</v>
      </c>
      <c r="K248" s="654">
        <v>349</v>
      </c>
      <c r="L248" s="706">
        <v>0</v>
      </c>
      <c r="M248" s="958">
        <v>0.9</v>
      </c>
      <c r="N248" s="653">
        <v>25</v>
      </c>
      <c r="O248" s="709" t="s">
        <v>3810</v>
      </c>
      <c r="P248" s="463" t="s">
        <v>1588</v>
      </c>
      <c r="Q248" s="867">
        <v>0</v>
      </c>
      <c r="R248" s="867">
        <v>0</v>
      </c>
      <c r="S248" s="867">
        <v>0</v>
      </c>
      <c r="T248" s="867">
        <v>0</v>
      </c>
      <c r="U248" s="132" t="s">
        <v>3821</v>
      </c>
      <c r="V248" s="500" t="s">
        <v>3822</v>
      </c>
      <c r="W248" s="498">
        <v>542</v>
      </c>
      <c r="X248" s="132" t="s">
        <v>3205</v>
      </c>
      <c r="Y248" s="132" t="s">
        <v>3232</v>
      </c>
      <c r="Z248" s="132" t="s">
        <v>3823</v>
      </c>
      <c r="AA248" s="132" t="s">
        <v>1534</v>
      </c>
      <c r="AB248" s="133" t="s">
        <v>1596</v>
      </c>
    </row>
    <row r="249" spans="1:28" ht="24" customHeight="1">
      <c r="A249" s="587"/>
      <c r="B249" s="473" t="s">
        <v>675</v>
      </c>
      <c r="C249" s="500" t="s">
        <v>3824</v>
      </c>
      <c r="D249" s="705" t="s">
        <v>3825</v>
      </c>
      <c r="E249" s="654">
        <v>65</v>
      </c>
      <c r="F249" s="654">
        <v>0</v>
      </c>
      <c r="G249" s="654">
        <v>65</v>
      </c>
      <c r="H249" s="654">
        <v>0</v>
      </c>
      <c r="I249" s="654">
        <v>62</v>
      </c>
      <c r="J249" s="654">
        <v>0</v>
      </c>
      <c r="K249" s="654">
        <v>62</v>
      </c>
      <c r="L249" s="706">
        <v>0</v>
      </c>
      <c r="M249" s="958">
        <v>0.9</v>
      </c>
      <c r="N249" s="653">
        <v>1</v>
      </c>
      <c r="O249" s="709" t="s">
        <v>3810</v>
      </c>
      <c r="P249" s="463" t="s">
        <v>1588</v>
      </c>
      <c r="Q249" s="867">
        <v>0</v>
      </c>
      <c r="R249" s="867">
        <v>0</v>
      </c>
      <c r="S249" s="867">
        <v>0</v>
      </c>
      <c r="T249" s="867">
        <v>0</v>
      </c>
      <c r="U249" s="132" t="s">
        <v>3821</v>
      </c>
      <c r="V249" s="500" t="s">
        <v>3826</v>
      </c>
      <c r="W249" s="498">
        <v>502</v>
      </c>
      <c r="X249" s="132" t="s">
        <v>3205</v>
      </c>
      <c r="Y249" s="132" t="s">
        <v>3232</v>
      </c>
      <c r="Z249" s="132" t="s">
        <v>3827</v>
      </c>
      <c r="AA249" s="132" t="s">
        <v>1534</v>
      </c>
      <c r="AB249" s="133" t="s">
        <v>1596</v>
      </c>
    </row>
    <row r="250" spans="1:28" ht="24" customHeight="1">
      <c r="A250" s="582" t="s">
        <v>1848</v>
      </c>
      <c r="B250" s="473" t="s">
        <v>2239</v>
      </c>
      <c r="C250" s="500" t="s">
        <v>2248</v>
      </c>
      <c r="D250" s="705" t="s">
        <v>3828</v>
      </c>
      <c r="E250" s="654">
        <v>12000</v>
      </c>
      <c r="F250" s="654">
        <v>0</v>
      </c>
      <c r="G250" s="654">
        <v>12000</v>
      </c>
      <c r="H250" s="654">
        <v>0</v>
      </c>
      <c r="I250" s="654">
        <v>16538</v>
      </c>
      <c r="J250" s="654">
        <v>0</v>
      </c>
      <c r="K250" s="654">
        <v>16538</v>
      </c>
      <c r="L250" s="706">
        <v>0</v>
      </c>
      <c r="M250" s="958">
        <v>0.95489690721649489</v>
      </c>
      <c r="N250" s="653">
        <v>1225.4657999999997</v>
      </c>
      <c r="O250" s="709" t="s">
        <v>623</v>
      </c>
      <c r="P250" s="463" t="s">
        <v>1588</v>
      </c>
      <c r="Q250" s="867">
        <v>90</v>
      </c>
      <c r="R250" s="867">
        <v>150</v>
      </c>
      <c r="S250" s="867">
        <v>0</v>
      </c>
      <c r="T250" s="867">
        <v>0</v>
      </c>
      <c r="U250" s="132" t="s">
        <v>3829</v>
      </c>
      <c r="V250" s="483" t="s">
        <v>3830</v>
      </c>
      <c r="W250" s="498">
        <v>28246</v>
      </c>
      <c r="X250" s="132" t="s">
        <v>3831</v>
      </c>
      <c r="Y250" s="132" t="s">
        <v>3336</v>
      </c>
      <c r="Z250" s="132" t="s">
        <v>3832</v>
      </c>
      <c r="AA250" s="132" t="s">
        <v>2263</v>
      </c>
      <c r="AB250" s="133" t="s">
        <v>1595</v>
      </c>
    </row>
    <row r="251" spans="1:28" ht="24" customHeight="1">
      <c r="A251" s="587"/>
      <c r="B251" s="473" t="s">
        <v>2239</v>
      </c>
      <c r="C251" s="500" t="s">
        <v>3833</v>
      </c>
      <c r="D251" s="705" t="s">
        <v>3834</v>
      </c>
      <c r="E251" s="654">
        <v>2000</v>
      </c>
      <c r="F251" s="654">
        <v>0</v>
      </c>
      <c r="G251" s="654">
        <v>0</v>
      </c>
      <c r="H251" s="654">
        <v>2000</v>
      </c>
      <c r="I251" s="654">
        <v>2164</v>
      </c>
      <c r="J251" s="654">
        <v>0</v>
      </c>
      <c r="K251" s="654">
        <v>0</v>
      </c>
      <c r="L251" s="706">
        <v>2164</v>
      </c>
      <c r="M251" s="958">
        <v>0.88827838827838823</v>
      </c>
      <c r="N251" s="653">
        <v>104.95399999999999</v>
      </c>
      <c r="O251" s="709" t="s">
        <v>3651</v>
      </c>
      <c r="P251" s="463" t="s">
        <v>1588</v>
      </c>
      <c r="Q251" s="867">
        <v>0</v>
      </c>
      <c r="R251" s="867">
        <v>0</v>
      </c>
      <c r="S251" s="867">
        <v>0</v>
      </c>
      <c r="T251" s="867">
        <v>0</v>
      </c>
      <c r="U251" s="505" t="s">
        <v>3829</v>
      </c>
      <c r="V251" s="132" t="s">
        <v>3835</v>
      </c>
      <c r="W251" s="498">
        <v>10208</v>
      </c>
      <c r="X251" s="506" t="s">
        <v>3831</v>
      </c>
      <c r="Y251" s="132" t="s">
        <v>3836</v>
      </c>
      <c r="Z251" s="132" t="s">
        <v>3832</v>
      </c>
      <c r="AA251" s="132" t="s">
        <v>2263</v>
      </c>
      <c r="AB251" s="133" t="s">
        <v>1595</v>
      </c>
    </row>
    <row r="252" spans="1:28" ht="24" customHeight="1">
      <c r="A252" s="587"/>
      <c r="B252" s="473" t="s">
        <v>3837</v>
      </c>
      <c r="C252" s="500" t="s">
        <v>3838</v>
      </c>
      <c r="D252" s="705" t="s">
        <v>3839</v>
      </c>
      <c r="E252" s="654">
        <v>35</v>
      </c>
      <c r="F252" s="654">
        <v>0</v>
      </c>
      <c r="G252" s="654">
        <v>0</v>
      </c>
      <c r="H252" s="654">
        <v>35</v>
      </c>
      <c r="I252" s="654">
        <v>35</v>
      </c>
      <c r="J252" s="654">
        <v>0</v>
      </c>
      <c r="K252" s="654">
        <v>0</v>
      </c>
      <c r="L252" s="706">
        <v>35</v>
      </c>
      <c r="M252" s="958"/>
      <c r="N252" s="653">
        <v>0</v>
      </c>
      <c r="O252" s="709" t="s">
        <v>3774</v>
      </c>
      <c r="P252" s="463" t="s">
        <v>1588</v>
      </c>
      <c r="Q252" s="867">
        <v>0</v>
      </c>
      <c r="R252" s="867">
        <v>0</v>
      </c>
      <c r="S252" s="867">
        <v>0</v>
      </c>
      <c r="T252" s="867">
        <v>0</v>
      </c>
      <c r="U252" s="132" t="s">
        <v>3829</v>
      </c>
      <c r="V252" s="483" t="s">
        <v>3840</v>
      </c>
      <c r="W252" s="498">
        <v>200</v>
      </c>
      <c r="X252" s="132" t="s">
        <v>3831</v>
      </c>
      <c r="Y252" s="132" t="s">
        <v>3836</v>
      </c>
      <c r="Z252" s="132" t="s">
        <v>1787</v>
      </c>
      <c r="AA252" s="132" t="s">
        <v>2263</v>
      </c>
      <c r="AB252" s="133" t="s">
        <v>1595</v>
      </c>
    </row>
    <row r="253" spans="1:28" ht="24" customHeight="1">
      <c r="A253" s="587"/>
      <c r="B253" s="473" t="s">
        <v>3837</v>
      </c>
      <c r="C253" s="500" t="s">
        <v>3841</v>
      </c>
      <c r="D253" s="705" t="s">
        <v>3842</v>
      </c>
      <c r="E253" s="654">
        <v>35</v>
      </c>
      <c r="F253" s="654">
        <v>0</v>
      </c>
      <c r="G253" s="654">
        <v>0</v>
      </c>
      <c r="H253" s="654">
        <v>35</v>
      </c>
      <c r="I253" s="654">
        <v>35</v>
      </c>
      <c r="J253" s="654">
        <v>0</v>
      </c>
      <c r="K253" s="654">
        <v>0</v>
      </c>
      <c r="L253" s="706">
        <v>35</v>
      </c>
      <c r="M253" s="958"/>
      <c r="N253" s="653">
        <v>0</v>
      </c>
      <c r="O253" s="709" t="s">
        <v>3774</v>
      </c>
      <c r="P253" s="463" t="s">
        <v>1588</v>
      </c>
      <c r="Q253" s="867">
        <v>0</v>
      </c>
      <c r="R253" s="867">
        <v>0</v>
      </c>
      <c r="S253" s="867">
        <v>0</v>
      </c>
      <c r="T253" s="867">
        <v>0</v>
      </c>
      <c r="U253" s="132" t="s">
        <v>3829</v>
      </c>
      <c r="V253" s="483" t="s">
        <v>3843</v>
      </c>
      <c r="W253" s="498">
        <v>200</v>
      </c>
      <c r="X253" s="132" t="s">
        <v>3831</v>
      </c>
      <c r="Y253" s="132" t="s">
        <v>3836</v>
      </c>
      <c r="Z253" s="132"/>
      <c r="AA253" s="132" t="s">
        <v>3844</v>
      </c>
      <c r="AB253" s="133" t="s">
        <v>1595</v>
      </c>
    </row>
    <row r="254" spans="1:28" ht="24" customHeight="1">
      <c r="A254" s="587"/>
      <c r="B254" s="473" t="s">
        <v>3837</v>
      </c>
      <c r="C254" s="500" t="s">
        <v>3845</v>
      </c>
      <c r="D254" s="705" t="s">
        <v>3846</v>
      </c>
      <c r="E254" s="654">
        <v>35</v>
      </c>
      <c r="F254" s="654">
        <v>0</v>
      </c>
      <c r="G254" s="654">
        <v>35</v>
      </c>
      <c r="H254" s="654">
        <v>0</v>
      </c>
      <c r="I254" s="654">
        <v>35</v>
      </c>
      <c r="J254" s="654">
        <v>0</v>
      </c>
      <c r="K254" s="654">
        <v>0</v>
      </c>
      <c r="L254" s="706">
        <v>35</v>
      </c>
      <c r="M254" s="958"/>
      <c r="N254" s="653">
        <v>0</v>
      </c>
      <c r="O254" s="709" t="s">
        <v>3774</v>
      </c>
      <c r="P254" s="463" t="s">
        <v>1588</v>
      </c>
      <c r="Q254" s="867">
        <v>0</v>
      </c>
      <c r="R254" s="867">
        <v>0</v>
      </c>
      <c r="S254" s="867">
        <v>0</v>
      </c>
      <c r="T254" s="867">
        <v>0</v>
      </c>
      <c r="U254" s="132" t="s">
        <v>3829</v>
      </c>
      <c r="V254" s="483" t="s">
        <v>3847</v>
      </c>
      <c r="W254" s="498">
        <v>120</v>
      </c>
      <c r="X254" s="132" t="s">
        <v>3831</v>
      </c>
      <c r="Y254" s="132" t="s">
        <v>3836</v>
      </c>
      <c r="Z254" s="132" t="s">
        <v>3848</v>
      </c>
      <c r="AA254" s="132" t="s">
        <v>3844</v>
      </c>
      <c r="AB254" s="133" t="s">
        <v>1595</v>
      </c>
    </row>
    <row r="255" spans="1:28" ht="24" customHeight="1">
      <c r="A255" s="587"/>
      <c r="B255" s="473" t="s">
        <v>3837</v>
      </c>
      <c r="C255" s="500" t="s">
        <v>3849</v>
      </c>
      <c r="D255" s="705" t="s">
        <v>3850</v>
      </c>
      <c r="E255" s="654">
        <v>35</v>
      </c>
      <c r="F255" s="654">
        <v>0</v>
      </c>
      <c r="G255" s="654">
        <v>35</v>
      </c>
      <c r="H255" s="654">
        <v>0</v>
      </c>
      <c r="I255" s="654">
        <v>35</v>
      </c>
      <c r="J255" s="654">
        <v>0</v>
      </c>
      <c r="K255" s="654">
        <v>0</v>
      </c>
      <c r="L255" s="706">
        <v>35</v>
      </c>
      <c r="M255" s="958"/>
      <c r="N255" s="653">
        <v>0</v>
      </c>
      <c r="O255" s="709" t="s">
        <v>3774</v>
      </c>
      <c r="P255" s="463" t="s">
        <v>1588</v>
      </c>
      <c r="Q255" s="867">
        <v>0</v>
      </c>
      <c r="R255" s="867">
        <v>0</v>
      </c>
      <c r="S255" s="867">
        <v>0</v>
      </c>
      <c r="T255" s="867">
        <v>0</v>
      </c>
      <c r="U255" s="132" t="s">
        <v>3829</v>
      </c>
      <c r="V255" s="483" t="s">
        <v>3840</v>
      </c>
      <c r="W255" s="498">
        <v>200</v>
      </c>
      <c r="X255" s="132" t="s">
        <v>3831</v>
      </c>
      <c r="Y255" s="132" t="s">
        <v>3836</v>
      </c>
      <c r="Z255" s="132"/>
      <c r="AA255" s="132" t="s">
        <v>3844</v>
      </c>
      <c r="AB255" s="133" t="s">
        <v>1595</v>
      </c>
    </row>
    <row r="256" spans="1:28" ht="24" customHeight="1">
      <c r="A256" s="587"/>
      <c r="B256" s="473" t="s">
        <v>3837</v>
      </c>
      <c r="C256" s="500" t="s">
        <v>3851</v>
      </c>
      <c r="D256" s="705" t="s">
        <v>3852</v>
      </c>
      <c r="E256" s="654">
        <v>35</v>
      </c>
      <c r="F256" s="654">
        <v>0</v>
      </c>
      <c r="G256" s="654">
        <v>0</v>
      </c>
      <c r="H256" s="654">
        <v>35</v>
      </c>
      <c r="I256" s="654">
        <v>35</v>
      </c>
      <c r="J256" s="654">
        <v>0</v>
      </c>
      <c r="K256" s="654">
        <v>0</v>
      </c>
      <c r="L256" s="706">
        <v>35</v>
      </c>
      <c r="M256" s="958"/>
      <c r="N256" s="653">
        <v>0</v>
      </c>
      <c r="O256" s="709" t="s">
        <v>3774</v>
      </c>
      <c r="P256" s="463" t="s">
        <v>1588</v>
      </c>
      <c r="Q256" s="867">
        <v>0</v>
      </c>
      <c r="R256" s="867">
        <v>0</v>
      </c>
      <c r="S256" s="867">
        <v>0</v>
      </c>
      <c r="T256" s="867">
        <v>0</v>
      </c>
      <c r="U256" s="132" t="s">
        <v>3829</v>
      </c>
      <c r="V256" s="132" t="s">
        <v>3853</v>
      </c>
      <c r="W256" s="498">
        <v>191</v>
      </c>
      <c r="X256" s="132" t="s">
        <v>3831</v>
      </c>
      <c r="Y256" s="132" t="s">
        <v>3836</v>
      </c>
      <c r="Z256" s="132" t="s">
        <v>3854</v>
      </c>
      <c r="AA256" s="132" t="s">
        <v>3844</v>
      </c>
      <c r="AB256" s="133" t="s">
        <v>1595</v>
      </c>
    </row>
    <row r="257" spans="1:28" ht="24" customHeight="1">
      <c r="A257" s="585"/>
      <c r="B257" s="473" t="s">
        <v>3837</v>
      </c>
      <c r="C257" s="500" t="s">
        <v>3855</v>
      </c>
      <c r="D257" s="705" t="s">
        <v>3856</v>
      </c>
      <c r="E257" s="654">
        <v>40</v>
      </c>
      <c r="F257" s="654">
        <v>0</v>
      </c>
      <c r="G257" s="654">
        <v>0</v>
      </c>
      <c r="H257" s="654">
        <v>40</v>
      </c>
      <c r="I257" s="654">
        <v>40</v>
      </c>
      <c r="J257" s="654">
        <v>0</v>
      </c>
      <c r="K257" s="654">
        <v>0</v>
      </c>
      <c r="L257" s="706">
        <v>40</v>
      </c>
      <c r="M257" s="958"/>
      <c r="N257" s="653">
        <v>0</v>
      </c>
      <c r="O257" s="709" t="s">
        <v>3774</v>
      </c>
      <c r="P257" s="463" t="s">
        <v>1588</v>
      </c>
      <c r="Q257" s="867">
        <v>0</v>
      </c>
      <c r="R257" s="867">
        <v>0</v>
      </c>
      <c r="S257" s="867">
        <v>0</v>
      </c>
      <c r="T257" s="867">
        <v>0</v>
      </c>
      <c r="U257" s="132" t="s">
        <v>3829</v>
      </c>
      <c r="V257" s="132" t="s">
        <v>3857</v>
      </c>
      <c r="W257" s="498">
        <v>191</v>
      </c>
      <c r="X257" s="132" t="s">
        <v>3831</v>
      </c>
      <c r="Y257" s="132" t="s">
        <v>3836</v>
      </c>
      <c r="Z257" s="132"/>
      <c r="AA257" s="132" t="s">
        <v>3844</v>
      </c>
      <c r="AB257" s="133" t="s">
        <v>1595</v>
      </c>
    </row>
    <row r="258" spans="1:28" ht="24" customHeight="1">
      <c r="A258" s="583" t="s">
        <v>1849</v>
      </c>
      <c r="B258" s="458" t="s">
        <v>5939</v>
      </c>
      <c r="C258" s="458"/>
      <c r="D258" s="510"/>
      <c r="E258" s="498" t="s">
        <v>6303</v>
      </c>
      <c r="F258" s="498">
        <v>0</v>
      </c>
      <c r="G258" s="498" t="s">
        <v>6304</v>
      </c>
      <c r="H258" s="498" t="s">
        <v>6305</v>
      </c>
      <c r="I258" s="498" t="s">
        <v>6306</v>
      </c>
      <c r="J258" s="498">
        <v>0</v>
      </c>
      <c r="K258" s="498" t="s">
        <v>7552</v>
      </c>
      <c r="L258" s="668" t="s">
        <v>6308</v>
      </c>
      <c r="M258" s="956"/>
      <c r="N258" s="498" t="s">
        <v>7397</v>
      </c>
      <c r="O258" s="669" t="s">
        <v>1588</v>
      </c>
      <c r="P258" s="463" t="s">
        <v>1588</v>
      </c>
      <c r="Q258" s="852">
        <f>Q259+Q332</f>
        <v>1042.7</v>
      </c>
      <c r="R258" s="852">
        <f>R259+R332</f>
        <v>293.51</v>
      </c>
      <c r="S258" s="852">
        <f>S259+S332</f>
        <v>903.69999999999993</v>
      </c>
      <c r="T258" s="852">
        <f>T259+T332</f>
        <v>2531.87</v>
      </c>
      <c r="U258" s="463" t="s">
        <v>7532</v>
      </c>
      <c r="V258" s="463"/>
      <c r="W258" s="498">
        <f>W259+W332</f>
        <v>1054524.8999999999</v>
      </c>
      <c r="X258" s="463"/>
      <c r="Y258" s="463"/>
      <c r="Z258" s="463"/>
      <c r="AA258" s="463"/>
      <c r="AB258" s="459"/>
    </row>
    <row r="259" spans="1:28" ht="24" customHeight="1">
      <c r="A259" s="582" t="s">
        <v>1674</v>
      </c>
      <c r="B259" s="453" t="s">
        <v>5938</v>
      </c>
      <c r="C259" s="579"/>
      <c r="D259" s="579"/>
      <c r="E259" s="498" t="s">
        <v>6144</v>
      </c>
      <c r="F259" s="498">
        <v>0</v>
      </c>
      <c r="G259" s="498" t="s">
        <v>6145</v>
      </c>
      <c r="H259" s="498" t="s">
        <v>6146</v>
      </c>
      <c r="I259" s="498" t="s">
        <v>6147</v>
      </c>
      <c r="J259" s="498">
        <v>0</v>
      </c>
      <c r="K259" s="498" t="s">
        <v>7553</v>
      </c>
      <c r="L259" s="668" t="s">
        <v>6149</v>
      </c>
      <c r="M259" s="956"/>
      <c r="N259" s="498" t="s">
        <v>6150</v>
      </c>
      <c r="O259" s="669" t="s">
        <v>1588</v>
      </c>
      <c r="P259" s="463" t="s">
        <v>1588</v>
      </c>
      <c r="Q259" s="852">
        <f>SUM(Q260:Q331)</f>
        <v>847.03000000000009</v>
      </c>
      <c r="R259" s="852">
        <f>SUM(R260:R331)</f>
        <v>265.18</v>
      </c>
      <c r="S259" s="852">
        <f>SUM(S260:S331)</f>
        <v>859.69999999999993</v>
      </c>
      <c r="T259" s="852">
        <f>SUM(T260:T331)</f>
        <v>2353.87</v>
      </c>
      <c r="U259" s="463"/>
      <c r="V259" s="463"/>
      <c r="W259" s="498">
        <f>SUM(W260:W331)</f>
        <v>492210</v>
      </c>
      <c r="X259" s="463"/>
      <c r="Y259" s="463"/>
      <c r="Z259" s="463"/>
      <c r="AA259" s="463"/>
      <c r="AB259" s="459"/>
    </row>
    <row r="260" spans="1:28" ht="24" customHeight="1">
      <c r="A260" s="582" t="s">
        <v>1850</v>
      </c>
      <c r="B260" s="612" t="s">
        <v>2201</v>
      </c>
      <c r="C260" s="701" t="s">
        <v>2384</v>
      </c>
      <c r="D260" s="510" t="s">
        <v>3858</v>
      </c>
      <c r="E260" s="498">
        <f t="shared" ref="E260:E281" si="18">SUM(F260:H260)</f>
        <v>100000</v>
      </c>
      <c r="F260" s="498">
        <v>0</v>
      </c>
      <c r="G260" s="498">
        <v>100000</v>
      </c>
      <c r="H260" s="498">
        <v>0</v>
      </c>
      <c r="I260" s="498">
        <f t="shared" ref="I260:I277" si="19">SUM(J260:L260)</f>
        <v>81183</v>
      </c>
      <c r="J260" s="498">
        <v>0</v>
      </c>
      <c r="K260" s="498">
        <v>81183</v>
      </c>
      <c r="L260" s="668">
        <v>0</v>
      </c>
      <c r="M260" s="1818">
        <v>0.95115995115995111</v>
      </c>
      <c r="N260" s="653">
        <v>6324.1557000000003</v>
      </c>
      <c r="O260" s="669" t="s">
        <v>1535</v>
      </c>
      <c r="P260" s="463" t="s">
        <v>1588</v>
      </c>
      <c r="Q260" s="1820">
        <v>147.69999999999999</v>
      </c>
      <c r="R260" s="1820">
        <v>0</v>
      </c>
      <c r="S260" s="1820">
        <v>199</v>
      </c>
      <c r="T260" s="1820">
        <v>23.2</v>
      </c>
      <c r="U260" s="1801" t="s">
        <v>3859</v>
      </c>
      <c r="V260" s="463" t="s">
        <v>3860</v>
      </c>
      <c r="W260" s="498">
        <v>36302</v>
      </c>
      <c r="X260" s="463" t="s">
        <v>1532</v>
      </c>
      <c r="Y260" s="1801" t="s">
        <v>3327</v>
      </c>
      <c r="Z260" s="1801" t="s">
        <v>3861</v>
      </c>
      <c r="AA260" s="1801" t="s">
        <v>1534</v>
      </c>
      <c r="AB260" s="1802" t="s">
        <v>1534</v>
      </c>
    </row>
    <row r="261" spans="1:28" ht="24" customHeight="1">
      <c r="A261" s="584"/>
      <c r="B261" s="614" t="s">
        <v>2201</v>
      </c>
      <c r="C261" s="701" t="s">
        <v>2384</v>
      </c>
      <c r="D261" s="510" t="s">
        <v>3858</v>
      </c>
      <c r="E261" s="498">
        <f t="shared" si="18"/>
        <v>50000</v>
      </c>
      <c r="F261" s="498">
        <v>0</v>
      </c>
      <c r="G261" s="498">
        <v>0</v>
      </c>
      <c r="H261" s="498">
        <v>50000</v>
      </c>
      <c r="I261" s="498">
        <f t="shared" si="19"/>
        <v>40592</v>
      </c>
      <c r="J261" s="498">
        <v>0</v>
      </c>
      <c r="K261" s="498">
        <v>0</v>
      </c>
      <c r="L261" s="668">
        <v>40592</v>
      </c>
      <c r="M261" s="1819"/>
      <c r="N261" s="653">
        <v>0</v>
      </c>
      <c r="O261" s="669" t="s">
        <v>3862</v>
      </c>
      <c r="P261" s="463" t="s">
        <v>1588</v>
      </c>
      <c r="Q261" s="1820"/>
      <c r="R261" s="1820"/>
      <c r="S261" s="1820"/>
      <c r="T261" s="1820"/>
      <c r="U261" s="1801"/>
      <c r="V261" s="463" t="s">
        <v>3863</v>
      </c>
      <c r="W261" s="498">
        <v>51606</v>
      </c>
      <c r="X261" s="463" t="s">
        <v>1532</v>
      </c>
      <c r="Y261" s="1801"/>
      <c r="Z261" s="1801"/>
      <c r="AA261" s="1801"/>
      <c r="AB261" s="1802"/>
    </row>
    <row r="262" spans="1:28" ht="24" customHeight="1">
      <c r="A262" s="584"/>
      <c r="B262" s="614" t="s">
        <v>2201</v>
      </c>
      <c r="C262" s="458" t="s">
        <v>2119</v>
      </c>
      <c r="D262" s="510" t="s">
        <v>3864</v>
      </c>
      <c r="E262" s="498">
        <f t="shared" si="18"/>
        <v>4000</v>
      </c>
      <c r="F262" s="498">
        <v>0</v>
      </c>
      <c r="G262" s="498">
        <v>0</v>
      </c>
      <c r="H262" s="498">
        <v>4000</v>
      </c>
      <c r="I262" s="498">
        <f t="shared" si="19"/>
        <v>724</v>
      </c>
      <c r="J262" s="498">
        <v>0</v>
      </c>
      <c r="K262" s="498">
        <v>0</v>
      </c>
      <c r="L262" s="668">
        <v>724</v>
      </c>
      <c r="M262" s="956">
        <v>0.95163806552262087</v>
      </c>
      <c r="N262" s="653">
        <v>88.327999999999989</v>
      </c>
      <c r="O262" s="669" t="s">
        <v>3865</v>
      </c>
      <c r="P262" s="463" t="s">
        <v>1588</v>
      </c>
      <c r="Q262" s="852">
        <v>0</v>
      </c>
      <c r="R262" s="852">
        <v>0</v>
      </c>
      <c r="S262" s="852">
        <v>0</v>
      </c>
      <c r="T262" s="852">
        <v>0</v>
      </c>
      <c r="U262" s="463" t="s">
        <v>7457</v>
      </c>
      <c r="V262" s="463" t="s">
        <v>2120</v>
      </c>
      <c r="W262" s="498">
        <v>18718</v>
      </c>
      <c r="X262" s="463" t="s">
        <v>1532</v>
      </c>
      <c r="Y262" s="463" t="s">
        <v>4034</v>
      </c>
      <c r="Z262" s="463"/>
      <c r="AA262" s="463" t="s">
        <v>1999</v>
      </c>
      <c r="AB262" s="459" t="s">
        <v>1999</v>
      </c>
    </row>
    <row r="263" spans="1:28" ht="24" customHeight="1">
      <c r="A263" s="584"/>
      <c r="B263" s="460" t="s">
        <v>2201</v>
      </c>
      <c r="C263" s="458" t="s">
        <v>1601</v>
      </c>
      <c r="D263" s="510" t="s">
        <v>3866</v>
      </c>
      <c r="E263" s="498">
        <f t="shared" si="18"/>
        <v>1900</v>
      </c>
      <c r="F263" s="498">
        <v>0</v>
      </c>
      <c r="G263" s="498">
        <v>0</v>
      </c>
      <c r="H263" s="498">
        <v>1900</v>
      </c>
      <c r="I263" s="498">
        <f t="shared" si="19"/>
        <v>348</v>
      </c>
      <c r="J263" s="498">
        <v>0</v>
      </c>
      <c r="K263" s="498">
        <v>0</v>
      </c>
      <c r="L263" s="668">
        <v>348</v>
      </c>
      <c r="M263" s="956">
        <v>0.98099999999999998</v>
      </c>
      <c r="N263" s="653">
        <v>22.08</v>
      </c>
      <c r="O263" s="669" t="s">
        <v>3867</v>
      </c>
      <c r="P263" s="463" t="s">
        <v>1588</v>
      </c>
      <c r="Q263" s="852">
        <v>0</v>
      </c>
      <c r="R263" s="852">
        <v>0</v>
      </c>
      <c r="S263" s="852">
        <v>0</v>
      </c>
      <c r="T263" s="852">
        <v>0</v>
      </c>
      <c r="U263" s="463" t="s">
        <v>7457</v>
      </c>
      <c r="V263" s="463" t="s">
        <v>3868</v>
      </c>
      <c r="W263" s="498">
        <v>19478</v>
      </c>
      <c r="X263" s="463" t="s">
        <v>1532</v>
      </c>
      <c r="Y263" s="463" t="s">
        <v>4034</v>
      </c>
      <c r="Z263" s="463" t="s">
        <v>3861</v>
      </c>
      <c r="AA263" s="463" t="s">
        <v>1999</v>
      </c>
      <c r="AB263" s="459" t="s">
        <v>3869</v>
      </c>
    </row>
    <row r="264" spans="1:28" ht="24" customHeight="1">
      <c r="A264" s="589"/>
      <c r="B264" s="507" t="s">
        <v>675</v>
      </c>
      <c r="C264" s="500" t="s">
        <v>3870</v>
      </c>
      <c r="D264" s="705" t="s">
        <v>3871</v>
      </c>
      <c r="E264" s="498">
        <f t="shared" si="18"/>
        <v>58</v>
      </c>
      <c r="F264" s="498">
        <v>0</v>
      </c>
      <c r="G264" s="498">
        <v>58</v>
      </c>
      <c r="H264" s="498">
        <v>0</v>
      </c>
      <c r="I264" s="498">
        <f t="shared" si="19"/>
        <v>50</v>
      </c>
      <c r="J264" s="498">
        <v>0</v>
      </c>
      <c r="K264" s="498">
        <v>50</v>
      </c>
      <c r="L264" s="668">
        <v>0</v>
      </c>
      <c r="M264" s="962">
        <v>0.86206896551724133</v>
      </c>
      <c r="N264" s="653">
        <v>249.68620689655171</v>
      </c>
      <c r="O264" s="717" t="s">
        <v>3872</v>
      </c>
      <c r="P264" s="508" t="s">
        <v>1588</v>
      </c>
      <c r="Q264" s="869">
        <v>0</v>
      </c>
      <c r="R264" s="869">
        <v>0</v>
      </c>
      <c r="S264" s="869">
        <v>0</v>
      </c>
      <c r="T264" s="869">
        <v>0</v>
      </c>
      <c r="U264" s="508" t="s">
        <v>2253</v>
      </c>
      <c r="V264" s="508" t="s">
        <v>3873</v>
      </c>
      <c r="W264" s="663">
        <v>203</v>
      </c>
      <c r="X264" s="508" t="s">
        <v>2243</v>
      </c>
      <c r="Y264" s="508"/>
      <c r="Z264" s="508" t="s">
        <v>3874</v>
      </c>
      <c r="AA264" s="508" t="s">
        <v>1595</v>
      </c>
      <c r="AB264" s="509" t="s">
        <v>1595</v>
      </c>
    </row>
    <row r="265" spans="1:28" ht="24" customHeight="1">
      <c r="A265" s="589"/>
      <c r="B265" s="507" t="s">
        <v>675</v>
      </c>
      <c r="C265" s="500" t="s">
        <v>3875</v>
      </c>
      <c r="D265" s="705" t="s">
        <v>3876</v>
      </c>
      <c r="E265" s="498">
        <f t="shared" si="18"/>
        <v>50</v>
      </c>
      <c r="F265" s="498">
        <v>0</v>
      </c>
      <c r="G265" s="498">
        <v>50</v>
      </c>
      <c r="H265" s="498">
        <v>0</v>
      </c>
      <c r="I265" s="498">
        <f t="shared" si="19"/>
        <v>38</v>
      </c>
      <c r="J265" s="498">
        <v>0</v>
      </c>
      <c r="K265" s="498">
        <v>38</v>
      </c>
      <c r="L265" s="668">
        <v>0</v>
      </c>
      <c r="M265" s="962">
        <v>0.76</v>
      </c>
      <c r="N265" s="653">
        <v>220.12336000000002</v>
      </c>
      <c r="O265" s="717" t="s">
        <v>3877</v>
      </c>
      <c r="P265" s="508" t="s">
        <v>1588</v>
      </c>
      <c r="Q265" s="869">
        <v>0</v>
      </c>
      <c r="R265" s="869">
        <v>0</v>
      </c>
      <c r="S265" s="869">
        <v>0</v>
      </c>
      <c r="T265" s="869">
        <v>0</v>
      </c>
      <c r="U265" s="508" t="s">
        <v>3878</v>
      </c>
      <c r="V265" s="508" t="s">
        <v>3879</v>
      </c>
      <c r="W265" s="663">
        <v>154</v>
      </c>
      <c r="X265" s="508" t="s">
        <v>2243</v>
      </c>
      <c r="Y265" s="508"/>
      <c r="Z265" s="508" t="s">
        <v>3874</v>
      </c>
      <c r="AA265" s="508" t="s">
        <v>1595</v>
      </c>
      <c r="AB265" s="509" t="s">
        <v>1595</v>
      </c>
    </row>
    <row r="266" spans="1:28" ht="24" customHeight="1">
      <c r="A266" s="589"/>
      <c r="B266" s="507" t="s">
        <v>675</v>
      </c>
      <c r="C266" s="500" t="s">
        <v>3880</v>
      </c>
      <c r="D266" s="705" t="s">
        <v>3881</v>
      </c>
      <c r="E266" s="498">
        <f t="shared" si="18"/>
        <v>30</v>
      </c>
      <c r="F266" s="498">
        <v>0</v>
      </c>
      <c r="G266" s="498">
        <v>30</v>
      </c>
      <c r="H266" s="498">
        <v>0</v>
      </c>
      <c r="I266" s="498">
        <f t="shared" si="19"/>
        <v>30</v>
      </c>
      <c r="J266" s="498">
        <v>0</v>
      </c>
      <c r="K266" s="498">
        <v>30</v>
      </c>
      <c r="L266" s="668">
        <v>0</v>
      </c>
      <c r="M266" s="962">
        <v>1</v>
      </c>
      <c r="N266" s="653">
        <v>289.63600000000002</v>
      </c>
      <c r="O266" s="717" t="s">
        <v>3882</v>
      </c>
      <c r="P266" s="508" t="s">
        <v>1588</v>
      </c>
      <c r="Q266" s="869">
        <v>0</v>
      </c>
      <c r="R266" s="869">
        <v>0</v>
      </c>
      <c r="S266" s="869">
        <v>0</v>
      </c>
      <c r="T266" s="869">
        <v>0</v>
      </c>
      <c r="U266" s="508" t="s">
        <v>3878</v>
      </c>
      <c r="V266" s="508" t="s">
        <v>3883</v>
      </c>
      <c r="W266" s="663">
        <v>145</v>
      </c>
      <c r="X266" s="508" t="s">
        <v>2243</v>
      </c>
      <c r="Y266" s="508"/>
      <c r="Z266" s="508" t="s">
        <v>3874</v>
      </c>
      <c r="AA266" s="508" t="s">
        <v>1595</v>
      </c>
      <c r="AB266" s="509" t="s">
        <v>1595</v>
      </c>
    </row>
    <row r="267" spans="1:28" ht="24" customHeight="1">
      <c r="A267" s="589"/>
      <c r="B267" s="507" t="s">
        <v>675</v>
      </c>
      <c r="C267" s="500" t="s">
        <v>3884</v>
      </c>
      <c r="D267" s="705" t="s">
        <v>3885</v>
      </c>
      <c r="E267" s="498">
        <f t="shared" si="18"/>
        <v>50</v>
      </c>
      <c r="F267" s="498">
        <v>0</v>
      </c>
      <c r="G267" s="498">
        <v>50</v>
      </c>
      <c r="H267" s="498">
        <v>0</v>
      </c>
      <c r="I267" s="498">
        <f t="shared" si="19"/>
        <v>38</v>
      </c>
      <c r="J267" s="498">
        <v>0</v>
      </c>
      <c r="K267" s="498">
        <v>38</v>
      </c>
      <c r="L267" s="668">
        <v>0</v>
      </c>
      <c r="M267" s="962">
        <v>0.76</v>
      </c>
      <c r="N267" s="653">
        <v>220.12336000000002</v>
      </c>
      <c r="O267" s="717" t="s">
        <v>3886</v>
      </c>
      <c r="P267" s="508" t="s">
        <v>1588</v>
      </c>
      <c r="Q267" s="869">
        <v>0</v>
      </c>
      <c r="R267" s="869">
        <v>0</v>
      </c>
      <c r="S267" s="869">
        <v>0</v>
      </c>
      <c r="T267" s="869">
        <v>0</v>
      </c>
      <c r="U267" s="508" t="s">
        <v>3878</v>
      </c>
      <c r="V267" s="508" t="s">
        <v>3887</v>
      </c>
      <c r="W267" s="663">
        <v>195</v>
      </c>
      <c r="X267" s="508" t="s">
        <v>2243</v>
      </c>
      <c r="Y267" s="508"/>
      <c r="Z267" s="508" t="s">
        <v>3874</v>
      </c>
      <c r="AA267" s="508" t="s">
        <v>1595</v>
      </c>
      <c r="AB267" s="509" t="s">
        <v>1595</v>
      </c>
    </row>
    <row r="268" spans="1:28" ht="24" customHeight="1">
      <c r="A268" s="589"/>
      <c r="B268" s="507" t="s">
        <v>675</v>
      </c>
      <c r="C268" s="500" t="s">
        <v>3888</v>
      </c>
      <c r="D268" s="705" t="s">
        <v>3889</v>
      </c>
      <c r="E268" s="498">
        <f t="shared" si="18"/>
        <v>50</v>
      </c>
      <c r="F268" s="498">
        <v>0</v>
      </c>
      <c r="G268" s="498">
        <v>50</v>
      </c>
      <c r="H268" s="498">
        <v>0</v>
      </c>
      <c r="I268" s="498">
        <f t="shared" si="19"/>
        <v>33</v>
      </c>
      <c r="J268" s="498">
        <v>0</v>
      </c>
      <c r="K268" s="498">
        <v>33</v>
      </c>
      <c r="L268" s="668">
        <v>0</v>
      </c>
      <c r="M268" s="962">
        <v>0.66</v>
      </c>
      <c r="N268" s="653">
        <v>191.15976000000001</v>
      </c>
      <c r="O268" s="717" t="str">
        <f>O267</f>
        <v>토양식 모관유공관법</v>
      </c>
      <c r="P268" s="508" t="s">
        <v>1588</v>
      </c>
      <c r="Q268" s="869">
        <v>0</v>
      </c>
      <c r="R268" s="869">
        <v>0</v>
      </c>
      <c r="S268" s="869">
        <v>0</v>
      </c>
      <c r="T268" s="869">
        <v>0</v>
      </c>
      <c r="U268" s="508" t="s">
        <v>3878</v>
      </c>
      <c r="V268" s="508" t="s">
        <v>3890</v>
      </c>
      <c r="W268" s="663">
        <v>94</v>
      </c>
      <c r="X268" s="508" t="s">
        <v>2243</v>
      </c>
      <c r="Y268" s="508"/>
      <c r="Z268" s="508" t="s">
        <v>3874</v>
      </c>
      <c r="AA268" s="508" t="s">
        <v>1595</v>
      </c>
      <c r="AB268" s="509" t="s">
        <v>1595</v>
      </c>
    </row>
    <row r="269" spans="1:28" ht="24" customHeight="1">
      <c r="A269" s="589"/>
      <c r="B269" s="507" t="s">
        <v>675</v>
      </c>
      <c r="C269" s="500" t="s">
        <v>3891</v>
      </c>
      <c r="D269" s="705" t="s">
        <v>3892</v>
      </c>
      <c r="E269" s="498">
        <f t="shared" si="18"/>
        <v>150</v>
      </c>
      <c r="F269" s="498">
        <v>0</v>
      </c>
      <c r="G269" s="498">
        <v>150</v>
      </c>
      <c r="H269" s="498">
        <v>0</v>
      </c>
      <c r="I269" s="498">
        <f t="shared" si="19"/>
        <v>150</v>
      </c>
      <c r="J269" s="498">
        <v>0</v>
      </c>
      <c r="K269" s="498">
        <v>150</v>
      </c>
      <c r="L269" s="668">
        <v>0</v>
      </c>
      <c r="M269" s="962">
        <v>1</v>
      </c>
      <c r="N269" s="653">
        <v>289.63600000000002</v>
      </c>
      <c r="O269" s="717" t="s">
        <v>3893</v>
      </c>
      <c r="P269" s="508" t="s">
        <v>1588</v>
      </c>
      <c r="Q269" s="869">
        <v>0</v>
      </c>
      <c r="R269" s="869">
        <v>0</v>
      </c>
      <c r="S269" s="869">
        <v>0</v>
      </c>
      <c r="T269" s="869">
        <v>0</v>
      </c>
      <c r="U269" s="508" t="s">
        <v>3878</v>
      </c>
      <c r="V269" s="508" t="s">
        <v>3894</v>
      </c>
      <c r="W269" s="663">
        <v>200</v>
      </c>
      <c r="X269" s="508" t="s">
        <v>2243</v>
      </c>
      <c r="Y269" s="508"/>
      <c r="Z269" s="508" t="s">
        <v>3874</v>
      </c>
      <c r="AA269" s="508" t="s">
        <v>1595</v>
      </c>
      <c r="AB269" s="509" t="s">
        <v>1595</v>
      </c>
    </row>
    <row r="270" spans="1:28" ht="24" customHeight="1">
      <c r="A270" s="589"/>
      <c r="B270" s="507" t="s">
        <v>675</v>
      </c>
      <c r="C270" s="500" t="s">
        <v>3895</v>
      </c>
      <c r="D270" s="705" t="s">
        <v>3896</v>
      </c>
      <c r="E270" s="498">
        <f t="shared" si="18"/>
        <v>200</v>
      </c>
      <c r="F270" s="498">
        <v>0</v>
      </c>
      <c r="G270" s="498">
        <v>200</v>
      </c>
      <c r="H270" s="498">
        <v>0</v>
      </c>
      <c r="I270" s="498">
        <f t="shared" si="19"/>
        <v>200</v>
      </c>
      <c r="J270" s="498">
        <v>0</v>
      </c>
      <c r="K270" s="498">
        <v>200</v>
      </c>
      <c r="L270" s="668">
        <v>0</v>
      </c>
      <c r="M270" s="962">
        <v>1</v>
      </c>
      <c r="N270" s="653">
        <v>289.63600000000002</v>
      </c>
      <c r="O270" s="717" t="s">
        <v>3893</v>
      </c>
      <c r="P270" s="508" t="s">
        <v>1588</v>
      </c>
      <c r="Q270" s="869">
        <v>0</v>
      </c>
      <c r="R270" s="869">
        <v>0</v>
      </c>
      <c r="S270" s="869">
        <v>0</v>
      </c>
      <c r="T270" s="869">
        <v>0</v>
      </c>
      <c r="U270" s="508" t="s">
        <v>3878</v>
      </c>
      <c r="V270" s="508" t="s">
        <v>3897</v>
      </c>
      <c r="W270" s="663">
        <v>200</v>
      </c>
      <c r="X270" s="508" t="s">
        <v>2243</v>
      </c>
      <c r="Y270" s="508"/>
      <c r="Z270" s="508" t="s">
        <v>3874</v>
      </c>
      <c r="AA270" s="508" t="s">
        <v>1595</v>
      </c>
      <c r="AB270" s="509" t="s">
        <v>1595</v>
      </c>
    </row>
    <row r="271" spans="1:28" ht="24" customHeight="1">
      <c r="A271" s="589"/>
      <c r="B271" s="507" t="s">
        <v>675</v>
      </c>
      <c r="C271" s="500" t="s">
        <v>3898</v>
      </c>
      <c r="D271" s="705" t="s">
        <v>3899</v>
      </c>
      <c r="E271" s="498">
        <f t="shared" si="18"/>
        <v>50</v>
      </c>
      <c r="F271" s="498">
        <v>0</v>
      </c>
      <c r="G271" s="498">
        <v>50</v>
      </c>
      <c r="H271" s="498">
        <v>0</v>
      </c>
      <c r="I271" s="498">
        <f t="shared" si="19"/>
        <v>45</v>
      </c>
      <c r="J271" s="498">
        <v>0</v>
      </c>
      <c r="K271" s="498">
        <v>45</v>
      </c>
      <c r="L271" s="668">
        <v>0</v>
      </c>
      <c r="M271" s="962">
        <v>0.9</v>
      </c>
      <c r="N271" s="653">
        <v>260.67239999999998</v>
      </c>
      <c r="O271" s="717" t="s">
        <v>3900</v>
      </c>
      <c r="P271" s="508" t="s">
        <v>1588</v>
      </c>
      <c r="Q271" s="869">
        <v>0</v>
      </c>
      <c r="R271" s="869">
        <v>0</v>
      </c>
      <c r="S271" s="869">
        <v>0</v>
      </c>
      <c r="T271" s="869">
        <v>0</v>
      </c>
      <c r="U271" s="508" t="s">
        <v>3878</v>
      </c>
      <c r="V271" s="508" t="s">
        <v>3901</v>
      </c>
      <c r="W271" s="663">
        <v>208</v>
      </c>
      <c r="X271" s="508" t="s">
        <v>2243</v>
      </c>
      <c r="Y271" s="508"/>
      <c r="Z271" s="508" t="s">
        <v>3874</v>
      </c>
      <c r="AA271" s="508" t="s">
        <v>1595</v>
      </c>
      <c r="AB271" s="509" t="s">
        <v>1595</v>
      </c>
    </row>
    <row r="272" spans="1:28" ht="24" customHeight="1">
      <c r="A272" s="589"/>
      <c r="B272" s="507" t="s">
        <v>675</v>
      </c>
      <c r="C272" s="500" t="s">
        <v>3902</v>
      </c>
      <c r="D272" s="705" t="s">
        <v>3903</v>
      </c>
      <c r="E272" s="498">
        <f t="shared" si="18"/>
        <v>50</v>
      </c>
      <c r="F272" s="498">
        <v>0</v>
      </c>
      <c r="G272" s="498">
        <v>50</v>
      </c>
      <c r="H272" s="498">
        <v>0</v>
      </c>
      <c r="I272" s="498">
        <f t="shared" si="19"/>
        <v>38</v>
      </c>
      <c r="J272" s="498">
        <v>0</v>
      </c>
      <c r="K272" s="498">
        <v>38</v>
      </c>
      <c r="L272" s="668">
        <v>0</v>
      </c>
      <c r="M272" s="962">
        <v>0.76</v>
      </c>
      <c r="N272" s="653">
        <v>220.12336000000002</v>
      </c>
      <c r="O272" s="717" t="s">
        <v>3900</v>
      </c>
      <c r="P272" s="508" t="s">
        <v>1588</v>
      </c>
      <c r="Q272" s="869">
        <v>0</v>
      </c>
      <c r="R272" s="869">
        <v>0</v>
      </c>
      <c r="S272" s="869">
        <v>0</v>
      </c>
      <c r="T272" s="869">
        <v>0</v>
      </c>
      <c r="U272" s="508" t="s">
        <v>3878</v>
      </c>
      <c r="V272" s="508" t="s">
        <v>3904</v>
      </c>
      <c r="W272" s="663">
        <v>194</v>
      </c>
      <c r="X272" s="508" t="s">
        <v>2243</v>
      </c>
      <c r="Y272" s="508"/>
      <c r="Z272" s="508" t="s">
        <v>3874</v>
      </c>
      <c r="AA272" s="508" t="s">
        <v>1595</v>
      </c>
      <c r="AB272" s="509" t="s">
        <v>1595</v>
      </c>
    </row>
    <row r="273" spans="1:28" ht="24" customHeight="1">
      <c r="A273" s="589"/>
      <c r="B273" s="507" t="s">
        <v>675</v>
      </c>
      <c r="C273" s="500" t="s">
        <v>3905</v>
      </c>
      <c r="D273" s="705" t="s">
        <v>3906</v>
      </c>
      <c r="E273" s="498">
        <f t="shared" si="18"/>
        <v>50</v>
      </c>
      <c r="F273" s="498">
        <v>0</v>
      </c>
      <c r="G273" s="498">
        <v>50</v>
      </c>
      <c r="H273" s="498">
        <v>0</v>
      </c>
      <c r="I273" s="498">
        <f t="shared" si="19"/>
        <v>33</v>
      </c>
      <c r="J273" s="498">
        <v>0</v>
      </c>
      <c r="K273" s="498">
        <v>33</v>
      </c>
      <c r="L273" s="668">
        <v>0</v>
      </c>
      <c r="M273" s="962">
        <v>0.66</v>
      </c>
      <c r="N273" s="653">
        <v>191.15976000000001</v>
      </c>
      <c r="O273" s="717" t="s">
        <v>3900</v>
      </c>
      <c r="P273" s="508" t="s">
        <v>1588</v>
      </c>
      <c r="Q273" s="869">
        <v>0</v>
      </c>
      <c r="R273" s="869">
        <v>0</v>
      </c>
      <c r="S273" s="869">
        <v>0</v>
      </c>
      <c r="T273" s="869">
        <v>0</v>
      </c>
      <c r="U273" s="508" t="s">
        <v>3878</v>
      </c>
      <c r="V273" s="508" t="s">
        <v>3907</v>
      </c>
      <c r="W273" s="663">
        <v>171</v>
      </c>
      <c r="X273" s="508" t="s">
        <v>2243</v>
      </c>
      <c r="Y273" s="508"/>
      <c r="Z273" s="508" t="s">
        <v>3874</v>
      </c>
      <c r="AA273" s="508" t="s">
        <v>1595</v>
      </c>
      <c r="AB273" s="509" t="s">
        <v>1595</v>
      </c>
    </row>
    <row r="274" spans="1:28" ht="24" customHeight="1">
      <c r="A274" s="589"/>
      <c r="B274" s="507" t="s">
        <v>675</v>
      </c>
      <c r="C274" s="500" t="s">
        <v>3908</v>
      </c>
      <c r="D274" s="705" t="s">
        <v>3909</v>
      </c>
      <c r="E274" s="498">
        <f t="shared" si="18"/>
        <v>50</v>
      </c>
      <c r="F274" s="498">
        <v>0</v>
      </c>
      <c r="G274" s="498">
        <v>50</v>
      </c>
      <c r="H274" s="498">
        <v>0</v>
      </c>
      <c r="I274" s="498">
        <f t="shared" si="19"/>
        <v>32</v>
      </c>
      <c r="J274" s="498">
        <v>0</v>
      </c>
      <c r="K274" s="498">
        <v>32</v>
      </c>
      <c r="L274" s="668">
        <v>0</v>
      </c>
      <c r="M274" s="962">
        <v>0.64</v>
      </c>
      <c r="N274" s="653">
        <v>185.36704</v>
      </c>
      <c r="O274" s="717" t="str">
        <f>O267</f>
        <v>토양식 모관유공관법</v>
      </c>
      <c r="P274" s="508" t="s">
        <v>1588</v>
      </c>
      <c r="Q274" s="869">
        <v>0</v>
      </c>
      <c r="R274" s="869">
        <v>0</v>
      </c>
      <c r="S274" s="869">
        <v>0</v>
      </c>
      <c r="T274" s="869">
        <v>0</v>
      </c>
      <c r="U274" s="508" t="s">
        <v>3878</v>
      </c>
      <c r="V274" s="508" t="s">
        <v>3910</v>
      </c>
      <c r="W274" s="663">
        <v>172</v>
      </c>
      <c r="X274" s="508" t="s">
        <v>2243</v>
      </c>
      <c r="Y274" s="508"/>
      <c r="Z274" s="508" t="s">
        <v>3874</v>
      </c>
      <c r="AA274" s="508" t="s">
        <v>1595</v>
      </c>
      <c r="AB274" s="509" t="s">
        <v>1595</v>
      </c>
    </row>
    <row r="275" spans="1:28" ht="24" customHeight="1">
      <c r="A275" s="589"/>
      <c r="B275" s="507" t="s">
        <v>675</v>
      </c>
      <c r="C275" s="500" t="s">
        <v>3911</v>
      </c>
      <c r="D275" s="705" t="s">
        <v>3912</v>
      </c>
      <c r="E275" s="498">
        <f t="shared" si="18"/>
        <v>50</v>
      </c>
      <c r="F275" s="498">
        <v>0</v>
      </c>
      <c r="G275" s="498">
        <v>50</v>
      </c>
      <c r="H275" s="498">
        <v>0</v>
      </c>
      <c r="I275" s="498">
        <f t="shared" si="19"/>
        <v>43</v>
      </c>
      <c r="J275" s="498">
        <v>0</v>
      </c>
      <c r="K275" s="498">
        <v>43</v>
      </c>
      <c r="L275" s="668">
        <v>0</v>
      </c>
      <c r="M275" s="962">
        <v>0.86</v>
      </c>
      <c r="N275" s="653">
        <v>249.08696</v>
      </c>
      <c r="O275" s="717" t="str">
        <f>O274</f>
        <v>토양식 모관유공관법</v>
      </c>
      <c r="P275" s="508" t="s">
        <v>1588</v>
      </c>
      <c r="Q275" s="869">
        <v>0</v>
      </c>
      <c r="R275" s="869">
        <v>0</v>
      </c>
      <c r="S275" s="869">
        <v>0</v>
      </c>
      <c r="T275" s="869">
        <v>0</v>
      </c>
      <c r="U275" s="508" t="s">
        <v>3878</v>
      </c>
      <c r="V275" s="508" t="s">
        <v>3910</v>
      </c>
      <c r="W275" s="663">
        <v>212</v>
      </c>
      <c r="X275" s="508" t="s">
        <v>2243</v>
      </c>
      <c r="Y275" s="508"/>
      <c r="Z275" s="508" t="s">
        <v>3874</v>
      </c>
      <c r="AA275" s="508" t="s">
        <v>1595</v>
      </c>
      <c r="AB275" s="509" t="s">
        <v>1595</v>
      </c>
    </row>
    <row r="276" spans="1:28" ht="24" customHeight="1">
      <c r="A276" s="589"/>
      <c r="B276" s="507" t="s">
        <v>675</v>
      </c>
      <c r="C276" s="500" t="s">
        <v>3913</v>
      </c>
      <c r="D276" s="705" t="s">
        <v>3914</v>
      </c>
      <c r="E276" s="498">
        <f t="shared" si="18"/>
        <v>200</v>
      </c>
      <c r="F276" s="498">
        <v>0</v>
      </c>
      <c r="G276" s="498">
        <v>200</v>
      </c>
      <c r="H276" s="498">
        <v>0</v>
      </c>
      <c r="I276" s="498">
        <f t="shared" si="19"/>
        <v>200</v>
      </c>
      <c r="J276" s="498">
        <v>0</v>
      </c>
      <c r="K276" s="498">
        <v>200</v>
      </c>
      <c r="L276" s="668">
        <v>0</v>
      </c>
      <c r="M276" s="962">
        <v>1</v>
      </c>
      <c r="N276" s="653">
        <v>289.63600000000002</v>
      </c>
      <c r="O276" s="717" t="s">
        <v>3893</v>
      </c>
      <c r="P276" s="508" t="s">
        <v>1588</v>
      </c>
      <c r="Q276" s="869">
        <v>0</v>
      </c>
      <c r="R276" s="869">
        <v>0</v>
      </c>
      <c r="S276" s="869">
        <v>0</v>
      </c>
      <c r="T276" s="869">
        <v>0</v>
      </c>
      <c r="U276" s="508" t="s">
        <v>3878</v>
      </c>
      <c r="V276" s="508" t="s">
        <v>3915</v>
      </c>
      <c r="W276" s="663">
        <v>364</v>
      </c>
      <c r="X276" s="508" t="s">
        <v>2243</v>
      </c>
      <c r="Y276" s="508"/>
      <c r="Z276" s="508" t="s">
        <v>3874</v>
      </c>
      <c r="AA276" s="508" t="s">
        <v>1595</v>
      </c>
      <c r="AB276" s="509" t="s">
        <v>1595</v>
      </c>
    </row>
    <row r="277" spans="1:28" ht="24" customHeight="1">
      <c r="A277" s="589"/>
      <c r="B277" s="507" t="s">
        <v>675</v>
      </c>
      <c r="C277" s="500" t="s">
        <v>3916</v>
      </c>
      <c r="D277" s="705" t="s">
        <v>3917</v>
      </c>
      <c r="E277" s="498">
        <f t="shared" si="18"/>
        <v>70</v>
      </c>
      <c r="F277" s="498">
        <v>0</v>
      </c>
      <c r="G277" s="498">
        <v>70</v>
      </c>
      <c r="H277" s="498">
        <v>0</v>
      </c>
      <c r="I277" s="498">
        <f t="shared" si="19"/>
        <v>53</v>
      </c>
      <c r="J277" s="498">
        <v>0</v>
      </c>
      <c r="K277" s="498">
        <v>53</v>
      </c>
      <c r="L277" s="668">
        <v>0</v>
      </c>
      <c r="M277" s="962">
        <v>0.75714285714285712</v>
      </c>
      <c r="N277" s="653">
        <v>219.29582857142859</v>
      </c>
      <c r="O277" s="717" t="s">
        <v>3900</v>
      </c>
      <c r="P277" s="508" t="s">
        <v>1588</v>
      </c>
      <c r="Q277" s="869">
        <v>0</v>
      </c>
      <c r="R277" s="869">
        <v>0</v>
      </c>
      <c r="S277" s="869">
        <v>0</v>
      </c>
      <c r="T277" s="869">
        <v>0</v>
      </c>
      <c r="U277" s="508" t="s">
        <v>3878</v>
      </c>
      <c r="V277" s="508" t="s">
        <v>3918</v>
      </c>
      <c r="W277" s="663">
        <v>172</v>
      </c>
      <c r="X277" s="508" t="s">
        <v>2243</v>
      </c>
      <c r="Y277" s="508"/>
      <c r="Z277" s="508" t="s">
        <v>3874</v>
      </c>
      <c r="AA277" s="508" t="s">
        <v>1595</v>
      </c>
      <c r="AB277" s="509" t="s">
        <v>1595</v>
      </c>
    </row>
    <row r="278" spans="1:28" ht="24" customHeight="1">
      <c r="A278" s="589"/>
      <c r="B278" s="507" t="s">
        <v>675</v>
      </c>
      <c r="C278" s="500" t="s">
        <v>3919</v>
      </c>
      <c r="D278" s="705" t="s">
        <v>3920</v>
      </c>
      <c r="E278" s="498">
        <f t="shared" si="18"/>
        <v>50</v>
      </c>
      <c r="F278" s="498">
        <v>0</v>
      </c>
      <c r="G278" s="498">
        <v>50</v>
      </c>
      <c r="H278" s="498">
        <v>0</v>
      </c>
      <c r="I278" s="498">
        <f t="shared" ref="I278:I287" si="20">SUM(J278:L278)</f>
        <v>33</v>
      </c>
      <c r="J278" s="498">
        <v>0</v>
      </c>
      <c r="K278" s="498">
        <v>33</v>
      </c>
      <c r="L278" s="668">
        <v>0</v>
      </c>
      <c r="M278" s="962">
        <v>0.66</v>
      </c>
      <c r="N278" s="653">
        <v>191.15976000000001</v>
      </c>
      <c r="O278" s="717" t="s">
        <v>3900</v>
      </c>
      <c r="P278" s="508" t="s">
        <v>1588</v>
      </c>
      <c r="Q278" s="869">
        <v>0</v>
      </c>
      <c r="R278" s="869">
        <v>0</v>
      </c>
      <c r="S278" s="869">
        <v>0</v>
      </c>
      <c r="T278" s="869">
        <v>0</v>
      </c>
      <c r="U278" s="508" t="s">
        <v>3878</v>
      </c>
      <c r="V278" s="508" t="s">
        <v>3918</v>
      </c>
      <c r="W278" s="663">
        <v>200</v>
      </c>
      <c r="X278" s="508" t="s">
        <v>2243</v>
      </c>
      <c r="Y278" s="508"/>
      <c r="Z278" s="508" t="s">
        <v>3874</v>
      </c>
      <c r="AA278" s="508" t="s">
        <v>1595</v>
      </c>
      <c r="AB278" s="509" t="s">
        <v>1595</v>
      </c>
    </row>
    <row r="279" spans="1:28" ht="24" customHeight="1">
      <c r="A279" s="589"/>
      <c r="B279" s="507" t="s">
        <v>675</v>
      </c>
      <c r="C279" s="500" t="s">
        <v>3921</v>
      </c>
      <c r="D279" s="705" t="s">
        <v>3922</v>
      </c>
      <c r="E279" s="498">
        <f t="shared" si="18"/>
        <v>200</v>
      </c>
      <c r="F279" s="498">
        <v>0</v>
      </c>
      <c r="G279" s="498">
        <v>200</v>
      </c>
      <c r="H279" s="498">
        <v>0</v>
      </c>
      <c r="I279" s="498">
        <f t="shared" si="20"/>
        <v>170</v>
      </c>
      <c r="J279" s="498">
        <v>0</v>
      </c>
      <c r="K279" s="498">
        <v>170</v>
      </c>
      <c r="L279" s="668">
        <v>0</v>
      </c>
      <c r="M279" s="962">
        <v>0.85</v>
      </c>
      <c r="N279" s="653">
        <v>246.19060000000002</v>
      </c>
      <c r="O279" s="717" t="str">
        <f>O276</f>
        <v>고도접촉산화법</v>
      </c>
      <c r="P279" s="508" t="s">
        <v>1588</v>
      </c>
      <c r="Q279" s="869">
        <v>0</v>
      </c>
      <c r="R279" s="869">
        <v>0</v>
      </c>
      <c r="S279" s="869">
        <v>0</v>
      </c>
      <c r="T279" s="869">
        <v>0</v>
      </c>
      <c r="U279" s="508" t="s">
        <v>3878</v>
      </c>
      <c r="V279" s="508" t="s">
        <v>3923</v>
      </c>
      <c r="W279" s="663">
        <v>250</v>
      </c>
      <c r="X279" s="508" t="s">
        <v>2243</v>
      </c>
      <c r="Y279" s="508"/>
      <c r="Z279" s="508" t="s">
        <v>3874</v>
      </c>
      <c r="AA279" s="508" t="s">
        <v>1595</v>
      </c>
      <c r="AB279" s="509" t="s">
        <v>1595</v>
      </c>
    </row>
    <row r="280" spans="1:28" ht="24" customHeight="1">
      <c r="A280" s="589"/>
      <c r="B280" s="507" t="s">
        <v>675</v>
      </c>
      <c r="C280" s="500" t="s">
        <v>3924</v>
      </c>
      <c r="D280" s="705" t="s">
        <v>3925</v>
      </c>
      <c r="E280" s="498">
        <f t="shared" si="18"/>
        <v>30</v>
      </c>
      <c r="F280" s="498">
        <v>0</v>
      </c>
      <c r="G280" s="498">
        <v>0</v>
      </c>
      <c r="H280" s="498">
        <v>30</v>
      </c>
      <c r="I280" s="498">
        <f t="shared" si="20"/>
        <v>30</v>
      </c>
      <c r="J280" s="498">
        <v>0</v>
      </c>
      <c r="K280" s="498">
        <v>0</v>
      </c>
      <c r="L280" s="668">
        <v>30</v>
      </c>
      <c r="M280" s="962">
        <v>1</v>
      </c>
      <c r="N280" s="653">
        <v>289.63600000000002</v>
      </c>
      <c r="O280" s="717" t="s">
        <v>3926</v>
      </c>
      <c r="P280" s="508" t="s">
        <v>1588</v>
      </c>
      <c r="Q280" s="869">
        <v>0</v>
      </c>
      <c r="R280" s="869">
        <v>0</v>
      </c>
      <c r="S280" s="869">
        <v>0</v>
      </c>
      <c r="T280" s="869">
        <v>0</v>
      </c>
      <c r="U280" s="508" t="s">
        <v>3878</v>
      </c>
      <c r="V280" s="508" t="s">
        <v>3927</v>
      </c>
      <c r="W280" s="663">
        <v>226</v>
      </c>
      <c r="X280" s="508" t="s">
        <v>2243</v>
      </c>
      <c r="Y280" s="508"/>
      <c r="Z280" s="508" t="s">
        <v>3874</v>
      </c>
      <c r="AA280" s="508" t="s">
        <v>1595</v>
      </c>
      <c r="AB280" s="509" t="s">
        <v>1595</v>
      </c>
    </row>
    <row r="281" spans="1:28" ht="24" customHeight="1">
      <c r="A281" s="589"/>
      <c r="B281" s="507" t="s">
        <v>675</v>
      </c>
      <c r="C281" s="500" t="s">
        <v>3928</v>
      </c>
      <c r="D281" s="705" t="s">
        <v>3929</v>
      </c>
      <c r="E281" s="498">
        <f t="shared" si="18"/>
        <v>30</v>
      </c>
      <c r="F281" s="498">
        <v>0</v>
      </c>
      <c r="G281" s="498">
        <v>0</v>
      </c>
      <c r="H281" s="498">
        <v>30</v>
      </c>
      <c r="I281" s="498">
        <f t="shared" si="20"/>
        <v>28</v>
      </c>
      <c r="J281" s="498">
        <v>0</v>
      </c>
      <c r="K281" s="498">
        <v>0</v>
      </c>
      <c r="L281" s="668">
        <v>28</v>
      </c>
      <c r="M281" s="962">
        <v>0.93333333333333324</v>
      </c>
      <c r="N281" s="653">
        <v>270.32693333333327</v>
      </c>
      <c r="O281" s="717" t="s">
        <v>3926</v>
      </c>
      <c r="P281" s="508" t="s">
        <v>1588</v>
      </c>
      <c r="Q281" s="869">
        <v>0</v>
      </c>
      <c r="R281" s="869">
        <v>0</v>
      </c>
      <c r="S281" s="869">
        <v>0</v>
      </c>
      <c r="T281" s="869">
        <v>0</v>
      </c>
      <c r="U281" s="508" t="s">
        <v>3878</v>
      </c>
      <c r="V281" s="508" t="s">
        <v>3927</v>
      </c>
      <c r="W281" s="663">
        <v>265</v>
      </c>
      <c r="X281" s="508" t="s">
        <v>2243</v>
      </c>
      <c r="Y281" s="508"/>
      <c r="Z281" s="508" t="s">
        <v>3874</v>
      </c>
      <c r="AA281" s="508" t="s">
        <v>1595</v>
      </c>
      <c r="AB281" s="509" t="s">
        <v>1595</v>
      </c>
    </row>
    <row r="282" spans="1:28" ht="24" customHeight="1">
      <c r="A282" s="590" t="s">
        <v>1851</v>
      </c>
      <c r="B282" s="510" t="s">
        <v>2201</v>
      </c>
      <c r="C282" s="718" t="s">
        <v>2385</v>
      </c>
      <c r="D282" s="510" t="s">
        <v>3930</v>
      </c>
      <c r="E282" s="498">
        <f t="shared" ref="E282:E306" si="21">SUM(F282:H282)</f>
        <v>130000</v>
      </c>
      <c r="F282" s="498">
        <v>0</v>
      </c>
      <c r="G282" s="498">
        <v>130000</v>
      </c>
      <c r="H282" s="498">
        <v>0</v>
      </c>
      <c r="I282" s="498">
        <f t="shared" si="20"/>
        <v>116777</v>
      </c>
      <c r="J282" s="498">
        <v>0</v>
      </c>
      <c r="K282" s="498">
        <v>116777</v>
      </c>
      <c r="L282" s="668">
        <v>0</v>
      </c>
      <c r="M282" s="956">
        <v>0.97350993377483441</v>
      </c>
      <c r="N282" s="653">
        <v>8583.1095000000005</v>
      </c>
      <c r="O282" s="720" t="s">
        <v>1535</v>
      </c>
      <c r="P282" s="479" t="s">
        <v>1588</v>
      </c>
      <c r="Q282" s="870">
        <v>372</v>
      </c>
      <c r="R282" s="870">
        <v>250</v>
      </c>
      <c r="S282" s="870">
        <v>261</v>
      </c>
      <c r="T282" s="870">
        <v>2244</v>
      </c>
      <c r="U282" s="479" t="s">
        <v>2254</v>
      </c>
      <c r="V282" s="511">
        <v>34683</v>
      </c>
      <c r="W282" s="498">
        <v>59097</v>
      </c>
      <c r="X282" s="479" t="s">
        <v>2193</v>
      </c>
      <c r="Y282" s="479" t="s">
        <v>3327</v>
      </c>
      <c r="Z282" s="479" t="s">
        <v>3931</v>
      </c>
      <c r="AA282" s="479" t="s">
        <v>1534</v>
      </c>
      <c r="AB282" s="512" t="s">
        <v>3932</v>
      </c>
    </row>
    <row r="283" spans="1:28" ht="24" customHeight="1">
      <c r="A283" s="591"/>
      <c r="B283" s="510" t="s">
        <v>675</v>
      </c>
      <c r="C283" s="718" t="s">
        <v>3933</v>
      </c>
      <c r="D283" s="510" t="s">
        <v>3934</v>
      </c>
      <c r="E283" s="498">
        <f t="shared" si="21"/>
        <v>150</v>
      </c>
      <c r="F283" s="498">
        <v>0</v>
      </c>
      <c r="G283" s="498">
        <v>150</v>
      </c>
      <c r="H283" s="498">
        <v>0</v>
      </c>
      <c r="I283" s="498">
        <f t="shared" si="20"/>
        <v>84</v>
      </c>
      <c r="J283" s="498">
        <v>0</v>
      </c>
      <c r="K283" s="498">
        <v>84</v>
      </c>
      <c r="L283" s="668">
        <v>0</v>
      </c>
      <c r="M283" s="963">
        <v>0.95334934341627919</v>
      </c>
      <c r="N283" s="653">
        <v>373.5394330386797</v>
      </c>
      <c r="O283" s="720" t="s">
        <v>3221</v>
      </c>
      <c r="P283" s="479" t="s">
        <v>1588</v>
      </c>
      <c r="Q283" s="870">
        <v>0</v>
      </c>
      <c r="R283" s="870">
        <v>0</v>
      </c>
      <c r="S283" s="870">
        <v>0</v>
      </c>
      <c r="T283" s="870">
        <v>0</v>
      </c>
      <c r="U283" s="479" t="s">
        <v>7458</v>
      </c>
      <c r="V283" s="511" t="s">
        <v>3935</v>
      </c>
      <c r="W283" s="498">
        <v>360</v>
      </c>
      <c r="X283" s="479" t="s">
        <v>2363</v>
      </c>
      <c r="Y283" s="479" t="s">
        <v>3936</v>
      </c>
      <c r="Z283" s="479" t="s">
        <v>3937</v>
      </c>
      <c r="AA283" s="479" t="s">
        <v>3938</v>
      </c>
      <c r="AB283" s="512" t="s">
        <v>1596</v>
      </c>
    </row>
    <row r="284" spans="1:28" ht="24" customHeight="1">
      <c r="A284" s="591"/>
      <c r="B284" s="510" t="s">
        <v>675</v>
      </c>
      <c r="C284" s="718" t="s">
        <v>3939</v>
      </c>
      <c r="D284" s="510" t="s">
        <v>3940</v>
      </c>
      <c r="E284" s="498">
        <f>SUM(F284:H284)</f>
        <v>130</v>
      </c>
      <c r="F284" s="498">
        <v>0</v>
      </c>
      <c r="G284" s="498">
        <v>130</v>
      </c>
      <c r="H284" s="498">
        <v>0</v>
      </c>
      <c r="I284" s="498">
        <f t="shared" si="20"/>
        <v>68</v>
      </c>
      <c r="J284" s="498">
        <v>0</v>
      </c>
      <c r="K284" s="498">
        <v>68</v>
      </c>
      <c r="L284" s="668">
        <v>0</v>
      </c>
      <c r="M284" s="963">
        <v>0.97521572410941515</v>
      </c>
      <c r="N284" s="653">
        <v>1094.8441366982852</v>
      </c>
      <c r="O284" s="720" t="s">
        <v>3221</v>
      </c>
      <c r="P284" s="479" t="s">
        <v>1588</v>
      </c>
      <c r="Q284" s="870">
        <v>0</v>
      </c>
      <c r="R284" s="870">
        <v>0</v>
      </c>
      <c r="S284" s="870">
        <v>0</v>
      </c>
      <c r="T284" s="870">
        <v>0</v>
      </c>
      <c r="U284" s="479" t="s">
        <v>7458</v>
      </c>
      <c r="V284" s="511" t="s">
        <v>3941</v>
      </c>
      <c r="W284" s="498">
        <v>300</v>
      </c>
      <c r="X284" s="479" t="s">
        <v>2363</v>
      </c>
      <c r="Y284" s="479" t="s">
        <v>3936</v>
      </c>
      <c r="Z284" s="479" t="s">
        <v>3942</v>
      </c>
      <c r="AA284" s="479" t="s">
        <v>3938</v>
      </c>
      <c r="AB284" s="512" t="s">
        <v>1596</v>
      </c>
    </row>
    <row r="285" spans="1:28" ht="24" customHeight="1">
      <c r="A285" s="591"/>
      <c r="B285" s="510" t="s">
        <v>675</v>
      </c>
      <c r="C285" s="718" t="s">
        <v>3943</v>
      </c>
      <c r="D285" s="510" t="s">
        <v>3944</v>
      </c>
      <c r="E285" s="498">
        <f>SUM(F285:H285)</f>
        <v>100</v>
      </c>
      <c r="F285" s="498">
        <v>0</v>
      </c>
      <c r="G285" s="498">
        <v>100</v>
      </c>
      <c r="H285" s="498">
        <v>0</v>
      </c>
      <c r="I285" s="498">
        <f t="shared" si="20"/>
        <v>56</v>
      </c>
      <c r="J285" s="498">
        <v>0</v>
      </c>
      <c r="K285" s="498">
        <v>56</v>
      </c>
      <c r="L285" s="668">
        <v>0</v>
      </c>
      <c r="M285" s="963">
        <v>0.89149457472873639</v>
      </c>
      <c r="N285" s="653">
        <v>254.31130836541823</v>
      </c>
      <c r="O285" s="720" t="s">
        <v>3221</v>
      </c>
      <c r="P285" s="479" t="s">
        <v>1588</v>
      </c>
      <c r="Q285" s="870">
        <v>0</v>
      </c>
      <c r="R285" s="870">
        <v>0</v>
      </c>
      <c r="S285" s="870">
        <v>0</v>
      </c>
      <c r="T285" s="870">
        <v>0</v>
      </c>
      <c r="U285" s="479" t="s">
        <v>7458</v>
      </c>
      <c r="V285" s="511" t="s">
        <v>3945</v>
      </c>
      <c r="W285" s="498">
        <v>326</v>
      </c>
      <c r="X285" s="479" t="s">
        <v>2363</v>
      </c>
      <c r="Y285" s="479" t="s">
        <v>3936</v>
      </c>
      <c r="Z285" s="479"/>
      <c r="AA285" s="479" t="s">
        <v>3938</v>
      </c>
      <c r="AB285" s="512" t="s">
        <v>1596</v>
      </c>
    </row>
    <row r="286" spans="1:28" ht="24" customHeight="1">
      <c r="A286" s="591"/>
      <c r="B286" s="510" t="s">
        <v>675</v>
      </c>
      <c r="C286" s="718" t="s">
        <v>3946</v>
      </c>
      <c r="D286" s="510" t="s">
        <v>3947</v>
      </c>
      <c r="E286" s="498">
        <f>SUM(F286:H286)</f>
        <v>200</v>
      </c>
      <c r="F286" s="498">
        <v>0</v>
      </c>
      <c r="G286" s="498">
        <v>0</v>
      </c>
      <c r="H286" s="498">
        <v>200</v>
      </c>
      <c r="I286" s="498">
        <f t="shared" si="20"/>
        <v>175</v>
      </c>
      <c r="J286" s="498">
        <v>0</v>
      </c>
      <c r="K286" s="498">
        <v>0</v>
      </c>
      <c r="L286" s="668">
        <v>175</v>
      </c>
      <c r="M286" s="963">
        <v>0.95229467358973097</v>
      </c>
      <c r="N286" s="653">
        <v>1004.6639765007826</v>
      </c>
      <c r="O286" s="720" t="s">
        <v>3948</v>
      </c>
      <c r="P286" s="477" t="s">
        <v>3949</v>
      </c>
      <c r="Q286" s="870">
        <v>0</v>
      </c>
      <c r="R286" s="870">
        <v>0</v>
      </c>
      <c r="S286" s="870">
        <v>0</v>
      </c>
      <c r="T286" s="870">
        <v>0</v>
      </c>
      <c r="U286" s="479" t="s">
        <v>7458</v>
      </c>
      <c r="V286" s="511" t="s">
        <v>3950</v>
      </c>
      <c r="W286" s="498">
        <v>330</v>
      </c>
      <c r="X286" s="479" t="s">
        <v>2363</v>
      </c>
      <c r="Y286" s="479" t="s">
        <v>3936</v>
      </c>
      <c r="Z286" s="479"/>
      <c r="AA286" s="479" t="s">
        <v>3640</v>
      </c>
      <c r="AB286" s="512" t="s">
        <v>1596</v>
      </c>
    </row>
    <row r="287" spans="1:28" ht="24" customHeight="1">
      <c r="A287" s="591"/>
      <c r="B287" s="510" t="s">
        <v>675</v>
      </c>
      <c r="C287" s="718" t="s">
        <v>3951</v>
      </c>
      <c r="D287" s="510" t="s">
        <v>3952</v>
      </c>
      <c r="E287" s="498">
        <f>SUM(F287:H287)</f>
        <v>200</v>
      </c>
      <c r="F287" s="498">
        <v>0</v>
      </c>
      <c r="G287" s="498">
        <v>200</v>
      </c>
      <c r="H287" s="498">
        <v>0</v>
      </c>
      <c r="I287" s="498">
        <f t="shared" si="20"/>
        <v>186</v>
      </c>
      <c r="J287" s="498">
        <v>0</v>
      </c>
      <c r="K287" s="498">
        <v>186</v>
      </c>
      <c r="L287" s="668">
        <v>0</v>
      </c>
      <c r="M287" s="963">
        <v>0.95278807679890376</v>
      </c>
      <c r="N287" s="653">
        <v>1782.569354946319</v>
      </c>
      <c r="O287" s="720" t="s">
        <v>3221</v>
      </c>
      <c r="P287" s="479" t="s">
        <v>1588</v>
      </c>
      <c r="Q287" s="870">
        <v>0</v>
      </c>
      <c r="R287" s="870">
        <v>0</v>
      </c>
      <c r="S287" s="870">
        <v>0</v>
      </c>
      <c r="T287" s="870">
        <v>0</v>
      </c>
      <c r="U287" s="479" t="s">
        <v>7458</v>
      </c>
      <c r="V287" s="511" t="s">
        <v>3953</v>
      </c>
      <c r="W287" s="498">
        <v>400</v>
      </c>
      <c r="X287" s="479" t="s">
        <v>2363</v>
      </c>
      <c r="Y287" s="479" t="s">
        <v>3936</v>
      </c>
      <c r="Z287" s="479" t="s">
        <v>3954</v>
      </c>
      <c r="AA287" s="479" t="s">
        <v>3640</v>
      </c>
      <c r="AB287" s="512" t="s">
        <v>1596</v>
      </c>
    </row>
    <row r="288" spans="1:28" ht="24" customHeight="1">
      <c r="A288" s="591"/>
      <c r="B288" s="510" t="s">
        <v>675</v>
      </c>
      <c r="C288" s="718" t="s">
        <v>3955</v>
      </c>
      <c r="D288" s="510" t="s">
        <v>3956</v>
      </c>
      <c r="E288" s="498">
        <f t="shared" si="21"/>
        <v>200</v>
      </c>
      <c r="F288" s="498">
        <v>0</v>
      </c>
      <c r="G288" s="498">
        <v>200</v>
      </c>
      <c r="H288" s="498">
        <v>0</v>
      </c>
      <c r="I288" s="498">
        <f t="shared" ref="I288:I312" si="22">SUM(J288:L288)</f>
        <v>186</v>
      </c>
      <c r="J288" s="498">
        <v>0</v>
      </c>
      <c r="K288" s="498">
        <v>186</v>
      </c>
      <c r="L288" s="668">
        <v>0</v>
      </c>
      <c r="M288" s="963">
        <v>0.92792100796610388</v>
      </c>
      <c r="N288" s="653">
        <v>1077.2555114226247</v>
      </c>
      <c r="O288" s="720" t="s">
        <v>3221</v>
      </c>
      <c r="P288" s="479" t="s">
        <v>1588</v>
      </c>
      <c r="Q288" s="870">
        <v>0</v>
      </c>
      <c r="R288" s="870">
        <v>0</v>
      </c>
      <c r="S288" s="870">
        <v>0</v>
      </c>
      <c r="T288" s="870">
        <v>0</v>
      </c>
      <c r="U288" s="479" t="s">
        <v>7458</v>
      </c>
      <c r="V288" s="511" t="s">
        <v>3957</v>
      </c>
      <c r="W288" s="498">
        <v>250</v>
      </c>
      <c r="X288" s="479" t="s">
        <v>2363</v>
      </c>
      <c r="Y288" s="479" t="s">
        <v>3936</v>
      </c>
      <c r="Z288" s="479" t="s">
        <v>3958</v>
      </c>
      <c r="AA288" s="479" t="s">
        <v>3938</v>
      </c>
      <c r="AB288" s="512" t="s">
        <v>1596</v>
      </c>
    </row>
    <row r="289" spans="1:28" ht="24" customHeight="1">
      <c r="A289" s="591"/>
      <c r="B289" s="510" t="s">
        <v>675</v>
      </c>
      <c r="C289" s="718" t="s">
        <v>3959</v>
      </c>
      <c r="D289" s="510" t="s">
        <v>3960</v>
      </c>
      <c r="E289" s="498">
        <f t="shared" si="21"/>
        <v>200</v>
      </c>
      <c r="F289" s="498">
        <v>0</v>
      </c>
      <c r="G289" s="498">
        <v>200</v>
      </c>
      <c r="H289" s="498">
        <v>0</v>
      </c>
      <c r="I289" s="498">
        <f t="shared" si="22"/>
        <v>186</v>
      </c>
      <c r="J289" s="498">
        <v>0</v>
      </c>
      <c r="K289" s="498">
        <v>186</v>
      </c>
      <c r="L289" s="668">
        <v>0</v>
      </c>
      <c r="M289" s="963">
        <v>0.97046101680179087</v>
      </c>
      <c r="N289" s="653">
        <v>1343.2034478231571</v>
      </c>
      <c r="O289" s="720" t="s">
        <v>3961</v>
      </c>
      <c r="P289" s="479" t="s">
        <v>1588</v>
      </c>
      <c r="Q289" s="870">
        <v>0</v>
      </c>
      <c r="R289" s="870">
        <v>0</v>
      </c>
      <c r="S289" s="870">
        <v>0</v>
      </c>
      <c r="T289" s="870">
        <v>0</v>
      </c>
      <c r="U289" s="479" t="s">
        <v>7458</v>
      </c>
      <c r="V289" s="511" t="s">
        <v>3962</v>
      </c>
      <c r="W289" s="498">
        <v>400</v>
      </c>
      <c r="X289" s="479" t="s">
        <v>2363</v>
      </c>
      <c r="Y289" s="479" t="s">
        <v>3936</v>
      </c>
      <c r="Z289" s="479" t="s">
        <v>3963</v>
      </c>
      <c r="AA289" s="479" t="s">
        <v>3938</v>
      </c>
      <c r="AB289" s="512" t="s">
        <v>1596</v>
      </c>
    </row>
    <row r="290" spans="1:28" ht="24" customHeight="1">
      <c r="A290" s="591"/>
      <c r="B290" s="510" t="s">
        <v>675</v>
      </c>
      <c r="C290" s="718" t="s">
        <v>3964</v>
      </c>
      <c r="D290" s="510" t="s">
        <v>3965</v>
      </c>
      <c r="E290" s="498">
        <f t="shared" si="21"/>
        <v>100</v>
      </c>
      <c r="F290" s="498">
        <v>0</v>
      </c>
      <c r="G290" s="498">
        <v>100</v>
      </c>
      <c r="H290" s="498">
        <v>0</v>
      </c>
      <c r="I290" s="498">
        <f t="shared" si="22"/>
        <v>83</v>
      </c>
      <c r="J290" s="498">
        <v>0</v>
      </c>
      <c r="K290" s="498">
        <v>83</v>
      </c>
      <c r="L290" s="668">
        <v>0</v>
      </c>
      <c r="M290" s="963">
        <v>0.9560273047783362</v>
      </c>
      <c r="N290" s="653">
        <v>421.37636412372166</v>
      </c>
      <c r="O290" s="720" t="s">
        <v>3221</v>
      </c>
      <c r="P290" s="479" t="s">
        <v>1588</v>
      </c>
      <c r="Q290" s="870">
        <v>0</v>
      </c>
      <c r="R290" s="870">
        <v>0</v>
      </c>
      <c r="S290" s="870">
        <v>0</v>
      </c>
      <c r="T290" s="870">
        <v>0</v>
      </c>
      <c r="U290" s="479" t="s">
        <v>7458</v>
      </c>
      <c r="V290" s="511" t="s">
        <v>3966</v>
      </c>
      <c r="W290" s="498">
        <v>200</v>
      </c>
      <c r="X290" s="479" t="s">
        <v>2363</v>
      </c>
      <c r="Y290" s="479" t="s">
        <v>3936</v>
      </c>
      <c r="Z290" s="479"/>
      <c r="AA290" s="479" t="s">
        <v>3938</v>
      </c>
      <c r="AB290" s="512" t="s">
        <v>1596</v>
      </c>
    </row>
    <row r="291" spans="1:28" ht="24" customHeight="1">
      <c r="A291" s="591"/>
      <c r="B291" s="510" t="s">
        <v>675</v>
      </c>
      <c r="C291" s="718" t="s">
        <v>3967</v>
      </c>
      <c r="D291" s="510" t="s">
        <v>3968</v>
      </c>
      <c r="E291" s="498">
        <f t="shared" si="21"/>
        <v>1200</v>
      </c>
      <c r="F291" s="498">
        <v>0</v>
      </c>
      <c r="G291" s="498">
        <v>1200</v>
      </c>
      <c r="H291" s="498">
        <v>0</v>
      </c>
      <c r="I291" s="498">
        <f t="shared" si="22"/>
        <v>984</v>
      </c>
      <c r="J291" s="498">
        <v>0</v>
      </c>
      <c r="K291" s="498">
        <v>984</v>
      </c>
      <c r="L291" s="668">
        <v>0</v>
      </c>
      <c r="M291" s="963">
        <v>0.96092217817650738</v>
      </c>
      <c r="N291" s="653">
        <v>7258.1796126851659</v>
      </c>
      <c r="O291" s="720" t="s">
        <v>3221</v>
      </c>
      <c r="P291" s="479" t="s">
        <v>1588</v>
      </c>
      <c r="Q291" s="870">
        <v>0</v>
      </c>
      <c r="R291" s="870">
        <v>0</v>
      </c>
      <c r="S291" s="870">
        <v>0</v>
      </c>
      <c r="T291" s="870">
        <v>0</v>
      </c>
      <c r="U291" s="479" t="s">
        <v>7458</v>
      </c>
      <c r="V291" s="511" t="s">
        <v>3969</v>
      </c>
      <c r="W291" s="498">
        <v>637</v>
      </c>
      <c r="X291" s="479" t="s">
        <v>2363</v>
      </c>
      <c r="Y291" s="479" t="s">
        <v>3936</v>
      </c>
      <c r="Z291" s="479" t="s">
        <v>3970</v>
      </c>
      <c r="AA291" s="479" t="s">
        <v>3938</v>
      </c>
      <c r="AB291" s="512" t="s">
        <v>1596</v>
      </c>
    </row>
    <row r="292" spans="1:28" ht="24" customHeight="1">
      <c r="A292" s="591"/>
      <c r="B292" s="510" t="s">
        <v>675</v>
      </c>
      <c r="C292" s="718" t="s">
        <v>3971</v>
      </c>
      <c r="D292" s="510" t="s">
        <v>3972</v>
      </c>
      <c r="E292" s="498">
        <f t="shared" si="21"/>
        <v>25</v>
      </c>
      <c r="F292" s="498">
        <v>0</v>
      </c>
      <c r="G292" s="498">
        <v>25</v>
      </c>
      <c r="H292" s="498">
        <v>0</v>
      </c>
      <c r="I292" s="498">
        <f t="shared" si="22"/>
        <v>26</v>
      </c>
      <c r="J292" s="498">
        <v>0</v>
      </c>
      <c r="K292" s="498">
        <v>26</v>
      </c>
      <c r="L292" s="668">
        <v>0</v>
      </c>
      <c r="M292" s="963">
        <v>0.85003379618909958</v>
      </c>
      <c r="N292" s="653">
        <v>133.87349429495382</v>
      </c>
      <c r="O292" s="720" t="s">
        <v>3961</v>
      </c>
      <c r="P292" s="479" t="s">
        <v>1588</v>
      </c>
      <c r="Q292" s="870">
        <v>0</v>
      </c>
      <c r="R292" s="870">
        <v>0</v>
      </c>
      <c r="S292" s="870">
        <v>0</v>
      </c>
      <c r="T292" s="870">
        <v>0</v>
      </c>
      <c r="U292" s="479" t="s">
        <v>7458</v>
      </c>
      <c r="V292" s="511" t="s">
        <v>3973</v>
      </c>
      <c r="W292" s="498">
        <v>188</v>
      </c>
      <c r="X292" s="479" t="s">
        <v>2363</v>
      </c>
      <c r="Y292" s="479" t="s">
        <v>3936</v>
      </c>
      <c r="Z292" s="479" t="s">
        <v>3974</v>
      </c>
      <c r="AA292" s="479" t="s">
        <v>3938</v>
      </c>
      <c r="AB292" s="512" t="s">
        <v>1596</v>
      </c>
    </row>
    <row r="293" spans="1:28" ht="24" customHeight="1">
      <c r="A293" s="591"/>
      <c r="B293" s="510" t="s">
        <v>675</v>
      </c>
      <c r="C293" s="718" t="s">
        <v>3975</v>
      </c>
      <c r="D293" s="510" t="s">
        <v>3976</v>
      </c>
      <c r="E293" s="498">
        <f t="shared" si="21"/>
        <v>25</v>
      </c>
      <c r="F293" s="498">
        <v>0</v>
      </c>
      <c r="G293" s="498">
        <v>25</v>
      </c>
      <c r="H293" s="498">
        <v>0</v>
      </c>
      <c r="I293" s="498">
        <f t="shared" si="22"/>
        <v>16</v>
      </c>
      <c r="J293" s="498">
        <v>0</v>
      </c>
      <c r="K293" s="498">
        <v>16</v>
      </c>
      <c r="L293" s="668">
        <v>0</v>
      </c>
      <c r="M293" s="963">
        <v>0.93259239929781268</v>
      </c>
      <c r="N293" s="653">
        <v>97.766769859720725</v>
      </c>
      <c r="O293" s="720" t="s">
        <v>3961</v>
      </c>
      <c r="P293" s="479" t="s">
        <v>1588</v>
      </c>
      <c r="Q293" s="870">
        <v>0</v>
      </c>
      <c r="R293" s="870">
        <v>0</v>
      </c>
      <c r="S293" s="870">
        <v>0</v>
      </c>
      <c r="T293" s="870">
        <v>0</v>
      </c>
      <c r="U293" s="479" t="s">
        <v>7458</v>
      </c>
      <c r="V293" s="511" t="s">
        <v>3973</v>
      </c>
      <c r="W293" s="498">
        <v>196</v>
      </c>
      <c r="X293" s="479" t="s">
        <v>2363</v>
      </c>
      <c r="Y293" s="479" t="s">
        <v>3936</v>
      </c>
      <c r="Z293" s="479" t="s">
        <v>3977</v>
      </c>
      <c r="AA293" s="479" t="s">
        <v>3938</v>
      </c>
      <c r="AB293" s="512" t="s">
        <v>1596</v>
      </c>
    </row>
    <row r="294" spans="1:28" ht="24" customHeight="1">
      <c r="A294" s="591"/>
      <c r="B294" s="510" t="s">
        <v>675</v>
      </c>
      <c r="C294" s="718" t="s">
        <v>3978</v>
      </c>
      <c r="D294" s="510" t="s">
        <v>3979</v>
      </c>
      <c r="E294" s="498">
        <f t="shared" si="21"/>
        <v>30</v>
      </c>
      <c r="F294" s="498">
        <v>0</v>
      </c>
      <c r="G294" s="498">
        <v>0</v>
      </c>
      <c r="H294" s="498">
        <v>30</v>
      </c>
      <c r="I294" s="498">
        <f t="shared" si="22"/>
        <v>8</v>
      </c>
      <c r="J294" s="498">
        <v>0</v>
      </c>
      <c r="K294" s="498">
        <v>0</v>
      </c>
      <c r="L294" s="668">
        <v>8</v>
      </c>
      <c r="M294" s="963">
        <v>0.92799661849100157</v>
      </c>
      <c r="N294" s="653">
        <v>52.971902976703355</v>
      </c>
      <c r="O294" s="720" t="s">
        <v>3980</v>
      </c>
      <c r="P294" s="477" t="s">
        <v>3981</v>
      </c>
      <c r="Q294" s="870">
        <v>0</v>
      </c>
      <c r="R294" s="870">
        <v>0</v>
      </c>
      <c r="S294" s="870">
        <v>0</v>
      </c>
      <c r="T294" s="870">
        <v>0</v>
      </c>
      <c r="U294" s="479" t="s">
        <v>7458</v>
      </c>
      <c r="V294" s="511" t="s">
        <v>3982</v>
      </c>
      <c r="W294" s="498">
        <v>373</v>
      </c>
      <c r="X294" s="479" t="s">
        <v>2363</v>
      </c>
      <c r="Y294" s="479" t="s">
        <v>3936</v>
      </c>
      <c r="Z294" s="479" t="s">
        <v>3983</v>
      </c>
      <c r="AA294" s="479" t="s">
        <v>3938</v>
      </c>
      <c r="AB294" s="512" t="s">
        <v>1596</v>
      </c>
    </row>
    <row r="295" spans="1:28" ht="24" customHeight="1">
      <c r="A295" s="591"/>
      <c r="B295" s="510" t="s">
        <v>675</v>
      </c>
      <c r="C295" s="718" t="s">
        <v>3984</v>
      </c>
      <c r="D295" s="510" t="s">
        <v>3985</v>
      </c>
      <c r="E295" s="498">
        <f t="shared" si="21"/>
        <v>25</v>
      </c>
      <c r="F295" s="498">
        <v>0</v>
      </c>
      <c r="G295" s="498">
        <v>25</v>
      </c>
      <c r="H295" s="498">
        <v>0</v>
      </c>
      <c r="I295" s="498">
        <f t="shared" si="22"/>
        <v>15</v>
      </c>
      <c r="J295" s="498">
        <v>0</v>
      </c>
      <c r="K295" s="498">
        <v>15</v>
      </c>
      <c r="L295" s="668">
        <v>0</v>
      </c>
      <c r="M295" s="963">
        <v>0.89432580732480971</v>
      </c>
      <c r="N295" s="653">
        <v>66.850742306803596</v>
      </c>
      <c r="O295" s="720" t="s">
        <v>3961</v>
      </c>
      <c r="P295" s="479" t="s">
        <v>1588</v>
      </c>
      <c r="Q295" s="870">
        <v>0</v>
      </c>
      <c r="R295" s="870">
        <v>0</v>
      </c>
      <c r="S295" s="870">
        <v>0</v>
      </c>
      <c r="T295" s="870">
        <v>0</v>
      </c>
      <c r="U295" s="479" t="s">
        <v>7458</v>
      </c>
      <c r="V295" s="511" t="s">
        <v>3986</v>
      </c>
      <c r="W295" s="498">
        <v>226</v>
      </c>
      <c r="X295" s="479" t="s">
        <v>2363</v>
      </c>
      <c r="Y295" s="479" t="s">
        <v>3936</v>
      </c>
      <c r="Z295" s="479" t="s">
        <v>3987</v>
      </c>
      <c r="AA295" s="479" t="s">
        <v>3938</v>
      </c>
      <c r="AB295" s="512" t="s">
        <v>1596</v>
      </c>
    </row>
    <row r="296" spans="1:28" ht="24" customHeight="1">
      <c r="A296" s="591"/>
      <c r="B296" s="510" t="s">
        <v>675</v>
      </c>
      <c r="C296" s="718" t="s">
        <v>3988</v>
      </c>
      <c r="D296" s="510" t="s">
        <v>3989</v>
      </c>
      <c r="E296" s="498">
        <f t="shared" si="21"/>
        <v>35</v>
      </c>
      <c r="F296" s="498">
        <v>0</v>
      </c>
      <c r="G296" s="498">
        <v>35</v>
      </c>
      <c r="H296" s="498">
        <v>0</v>
      </c>
      <c r="I296" s="498">
        <f t="shared" si="22"/>
        <v>33</v>
      </c>
      <c r="J296" s="498">
        <v>0</v>
      </c>
      <c r="K296" s="498">
        <v>33</v>
      </c>
      <c r="L296" s="668">
        <v>0</v>
      </c>
      <c r="M296" s="963">
        <v>0.94995680202033628</v>
      </c>
      <c r="N296" s="653">
        <v>186.70688476108194</v>
      </c>
      <c r="O296" s="720" t="s">
        <v>3961</v>
      </c>
      <c r="P296" s="479" t="s">
        <v>1588</v>
      </c>
      <c r="Q296" s="870">
        <v>0</v>
      </c>
      <c r="R296" s="870">
        <v>0</v>
      </c>
      <c r="S296" s="870">
        <v>0</v>
      </c>
      <c r="T296" s="870">
        <v>0</v>
      </c>
      <c r="U296" s="479" t="s">
        <v>7458</v>
      </c>
      <c r="V296" s="511" t="s">
        <v>3990</v>
      </c>
      <c r="W296" s="498">
        <v>252</v>
      </c>
      <c r="X296" s="479" t="s">
        <v>2363</v>
      </c>
      <c r="Y296" s="479" t="s">
        <v>3936</v>
      </c>
      <c r="Z296" s="479" t="s">
        <v>3991</v>
      </c>
      <c r="AA296" s="479" t="s">
        <v>3938</v>
      </c>
      <c r="AB296" s="512" t="s">
        <v>1596</v>
      </c>
    </row>
    <row r="297" spans="1:28" ht="24" customHeight="1">
      <c r="A297" s="591"/>
      <c r="B297" s="510" t="s">
        <v>675</v>
      </c>
      <c r="C297" s="718" t="s">
        <v>3992</v>
      </c>
      <c r="D297" s="510" t="s">
        <v>3993</v>
      </c>
      <c r="E297" s="498">
        <f t="shared" si="21"/>
        <v>45</v>
      </c>
      <c r="F297" s="498">
        <v>0</v>
      </c>
      <c r="G297" s="498">
        <v>0</v>
      </c>
      <c r="H297" s="498">
        <v>45</v>
      </c>
      <c r="I297" s="498">
        <f t="shared" si="22"/>
        <v>42</v>
      </c>
      <c r="J297" s="498">
        <v>0</v>
      </c>
      <c r="K297" s="498">
        <v>0</v>
      </c>
      <c r="L297" s="668">
        <v>42</v>
      </c>
      <c r="M297" s="963">
        <v>0.97945196486482933</v>
      </c>
      <c r="N297" s="653">
        <v>511.45610372490569</v>
      </c>
      <c r="O297" s="720" t="s">
        <v>3994</v>
      </c>
      <c r="P297" s="479" t="s">
        <v>1588</v>
      </c>
      <c r="Q297" s="870">
        <v>0</v>
      </c>
      <c r="R297" s="870">
        <v>0</v>
      </c>
      <c r="S297" s="870">
        <v>0</v>
      </c>
      <c r="T297" s="870">
        <v>0</v>
      </c>
      <c r="U297" s="479" t="s">
        <v>7458</v>
      </c>
      <c r="V297" s="511" t="s">
        <v>3995</v>
      </c>
      <c r="W297" s="498">
        <v>208</v>
      </c>
      <c r="X297" s="479" t="s">
        <v>2363</v>
      </c>
      <c r="Y297" s="479" t="s">
        <v>3936</v>
      </c>
      <c r="Z297" s="479"/>
      <c r="AA297" s="479" t="s">
        <v>3938</v>
      </c>
      <c r="AB297" s="512" t="s">
        <v>1596</v>
      </c>
    </row>
    <row r="298" spans="1:28" ht="24" customHeight="1">
      <c r="A298" s="591"/>
      <c r="B298" s="510" t="s">
        <v>675</v>
      </c>
      <c r="C298" s="718" t="s">
        <v>3996</v>
      </c>
      <c r="D298" s="510" t="s">
        <v>3997</v>
      </c>
      <c r="E298" s="498">
        <f t="shared" si="21"/>
        <v>50</v>
      </c>
      <c r="F298" s="498">
        <v>0</v>
      </c>
      <c r="G298" s="498">
        <v>0</v>
      </c>
      <c r="H298" s="498">
        <v>50</v>
      </c>
      <c r="I298" s="498">
        <f t="shared" si="22"/>
        <v>48</v>
      </c>
      <c r="J298" s="498">
        <v>0</v>
      </c>
      <c r="K298" s="498">
        <v>0</v>
      </c>
      <c r="L298" s="668">
        <v>48</v>
      </c>
      <c r="M298" s="963">
        <v>0.93619988063588511</v>
      </c>
      <c r="N298" s="653">
        <v>323.08445120720518</v>
      </c>
      <c r="O298" s="720" t="s">
        <v>3998</v>
      </c>
      <c r="P298" s="477" t="s">
        <v>3999</v>
      </c>
      <c r="Q298" s="870">
        <v>0</v>
      </c>
      <c r="R298" s="870">
        <v>0</v>
      </c>
      <c r="S298" s="870">
        <v>0</v>
      </c>
      <c r="T298" s="870">
        <v>0</v>
      </c>
      <c r="U298" s="479" t="s">
        <v>7458</v>
      </c>
      <c r="V298" s="511" t="s">
        <v>3995</v>
      </c>
      <c r="W298" s="498">
        <v>251</v>
      </c>
      <c r="X298" s="479" t="s">
        <v>2363</v>
      </c>
      <c r="Y298" s="479" t="s">
        <v>3936</v>
      </c>
      <c r="Z298" s="479" t="s">
        <v>4000</v>
      </c>
      <c r="AA298" s="479" t="s">
        <v>3938</v>
      </c>
      <c r="AB298" s="512" t="s">
        <v>1596</v>
      </c>
    </row>
    <row r="299" spans="1:28" ht="24" customHeight="1">
      <c r="A299" s="591"/>
      <c r="B299" s="510" t="s">
        <v>675</v>
      </c>
      <c r="C299" s="718" t="s">
        <v>4001</v>
      </c>
      <c r="D299" s="510" t="s">
        <v>4002</v>
      </c>
      <c r="E299" s="498">
        <f t="shared" si="21"/>
        <v>30</v>
      </c>
      <c r="F299" s="498">
        <v>0</v>
      </c>
      <c r="G299" s="498">
        <v>30</v>
      </c>
      <c r="H299" s="498">
        <v>0</v>
      </c>
      <c r="I299" s="498">
        <f t="shared" si="22"/>
        <v>32</v>
      </c>
      <c r="J299" s="498">
        <v>0</v>
      </c>
      <c r="K299" s="498">
        <v>32</v>
      </c>
      <c r="L299" s="668">
        <v>0</v>
      </c>
      <c r="M299" s="963">
        <v>0.94538582302483232</v>
      </c>
      <c r="N299" s="653">
        <v>132.22821588329271</v>
      </c>
      <c r="O299" s="720" t="s">
        <v>3961</v>
      </c>
      <c r="P299" s="479" t="s">
        <v>1588</v>
      </c>
      <c r="Q299" s="870">
        <v>0</v>
      </c>
      <c r="R299" s="870">
        <v>0</v>
      </c>
      <c r="S299" s="870">
        <v>0</v>
      </c>
      <c r="T299" s="870">
        <v>0</v>
      </c>
      <c r="U299" s="479" t="s">
        <v>7458</v>
      </c>
      <c r="V299" s="511" t="s">
        <v>4003</v>
      </c>
      <c r="W299" s="498">
        <v>192</v>
      </c>
      <c r="X299" s="479" t="s">
        <v>2363</v>
      </c>
      <c r="Y299" s="479" t="s">
        <v>3936</v>
      </c>
      <c r="Z299" s="479" t="s">
        <v>4004</v>
      </c>
      <c r="AA299" s="479" t="s">
        <v>3938</v>
      </c>
      <c r="AB299" s="512" t="s">
        <v>1596</v>
      </c>
    </row>
    <row r="300" spans="1:28" ht="24" customHeight="1">
      <c r="A300" s="591"/>
      <c r="B300" s="510" t="s">
        <v>675</v>
      </c>
      <c r="C300" s="718" t="s">
        <v>4005</v>
      </c>
      <c r="D300" s="510" t="s">
        <v>4006</v>
      </c>
      <c r="E300" s="498">
        <f t="shared" si="21"/>
        <v>20</v>
      </c>
      <c r="F300" s="498">
        <v>0</v>
      </c>
      <c r="G300" s="498">
        <v>0</v>
      </c>
      <c r="H300" s="498">
        <v>20</v>
      </c>
      <c r="I300" s="498">
        <f t="shared" si="22"/>
        <v>17</v>
      </c>
      <c r="J300" s="498">
        <v>0</v>
      </c>
      <c r="K300" s="498">
        <v>0</v>
      </c>
      <c r="L300" s="668">
        <v>17</v>
      </c>
      <c r="M300" s="963">
        <v>0.96884762151926718</v>
      </c>
      <c r="N300" s="653">
        <v>138.34595021642946</v>
      </c>
      <c r="O300" s="720" t="s">
        <v>4007</v>
      </c>
      <c r="P300" s="479" t="s">
        <v>1588</v>
      </c>
      <c r="Q300" s="870">
        <v>0</v>
      </c>
      <c r="R300" s="870">
        <v>0</v>
      </c>
      <c r="S300" s="870">
        <v>0</v>
      </c>
      <c r="T300" s="870">
        <v>0</v>
      </c>
      <c r="U300" s="479" t="s">
        <v>7458</v>
      </c>
      <c r="V300" s="511" t="s">
        <v>4008</v>
      </c>
      <c r="W300" s="498">
        <v>180</v>
      </c>
      <c r="X300" s="479" t="s">
        <v>2363</v>
      </c>
      <c r="Y300" s="479" t="s">
        <v>3936</v>
      </c>
      <c r="Z300" s="479" t="s">
        <v>4009</v>
      </c>
      <c r="AA300" s="479" t="s">
        <v>3938</v>
      </c>
      <c r="AB300" s="512" t="s">
        <v>1596</v>
      </c>
    </row>
    <row r="301" spans="1:28" ht="24" customHeight="1">
      <c r="A301" s="591"/>
      <c r="B301" s="510" t="s">
        <v>675</v>
      </c>
      <c r="C301" s="718" t="s">
        <v>4010</v>
      </c>
      <c r="D301" s="510" t="s">
        <v>4011</v>
      </c>
      <c r="E301" s="498">
        <f t="shared" si="21"/>
        <v>20</v>
      </c>
      <c r="F301" s="498">
        <v>0</v>
      </c>
      <c r="G301" s="498">
        <v>20</v>
      </c>
      <c r="H301" s="498">
        <v>0</v>
      </c>
      <c r="I301" s="498">
        <f t="shared" si="22"/>
        <v>8</v>
      </c>
      <c r="J301" s="498">
        <v>0</v>
      </c>
      <c r="K301" s="498">
        <v>8</v>
      </c>
      <c r="L301" s="668">
        <v>0</v>
      </c>
      <c r="M301" s="963">
        <v>0.93782903146136543</v>
      </c>
      <c r="N301" s="653">
        <v>54.129616037887082</v>
      </c>
      <c r="O301" s="720" t="s">
        <v>4012</v>
      </c>
      <c r="P301" s="479" t="s">
        <v>1588</v>
      </c>
      <c r="Q301" s="870">
        <v>0</v>
      </c>
      <c r="R301" s="870">
        <v>0</v>
      </c>
      <c r="S301" s="870">
        <v>0</v>
      </c>
      <c r="T301" s="870">
        <v>0</v>
      </c>
      <c r="U301" s="479" t="s">
        <v>7458</v>
      </c>
      <c r="V301" s="511" t="s">
        <v>3986</v>
      </c>
      <c r="W301" s="498">
        <v>184</v>
      </c>
      <c r="X301" s="479" t="s">
        <v>2363</v>
      </c>
      <c r="Y301" s="479" t="s">
        <v>3936</v>
      </c>
      <c r="Z301" s="479" t="s">
        <v>3958</v>
      </c>
      <c r="AA301" s="479" t="s">
        <v>3938</v>
      </c>
      <c r="AB301" s="512" t="s">
        <v>1596</v>
      </c>
    </row>
    <row r="302" spans="1:28" ht="24" customHeight="1">
      <c r="A302" s="591"/>
      <c r="B302" s="510" t="s">
        <v>675</v>
      </c>
      <c r="C302" s="718" t="s">
        <v>4013</v>
      </c>
      <c r="D302" s="510" t="s">
        <v>4014</v>
      </c>
      <c r="E302" s="498">
        <f t="shared" si="21"/>
        <v>18</v>
      </c>
      <c r="F302" s="498">
        <v>0</v>
      </c>
      <c r="G302" s="498">
        <v>0</v>
      </c>
      <c r="H302" s="498">
        <v>18</v>
      </c>
      <c r="I302" s="498">
        <f t="shared" si="22"/>
        <v>15</v>
      </c>
      <c r="J302" s="498">
        <v>0</v>
      </c>
      <c r="K302" s="498">
        <v>0</v>
      </c>
      <c r="L302" s="668">
        <v>15</v>
      </c>
      <c r="M302" s="963">
        <v>0.97611149390178942</v>
      </c>
      <c r="N302" s="653">
        <v>167.66667130751037</v>
      </c>
      <c r="O302" s="720" t="s">
        <v>4015</v>
      </c>
      <c r="P302" s="479" t="s">
        <v>1588</v>
      </c>
      <c r="Q302" s="870">
        <v>0</v>
      </c>
      <c r="R302" s="870">
        <v>0</v>
      </c>
      <c r="S302" s="870">
        <v>0</v>
      </c>
      <c r="T302" s="870">
        <v>0</v>
      </c>
      <c r="U302" s="479" t="s">
        <v>7458</v>
      </c>
      <c r="V302" s="511" t="s">
        <v>4016</v>
      </c>
      <c r="W302" s="498">
        <v>185</v>
      </c>
      <c r="X302" s="479" t="s">
        <v>2363</v>
      </c>
      <c r="Y302" s="479" t="s">
        <v>3936</v>
      </c>
      <c r="Z302" s="479" t="s">
        <v>4017</v>
      </c>
      <c r="AA302" s="479" t="s">
        <v>3640</v>
      </c>
      <c r="AB302" s="512" t="s">
        <v>1596</v>
      </c>
    </row>
    <row r="303" spans="1:28" ht="24" customHeight="1">
      <c r="A303" s="591"/>
      <c r="B303" s="510" t="s">
        <v>675</v>
      </c>
      <c r="C303" s="718" t="s">
        <v>4018</v>
      </c>
      <c r="D303" s="510" t="s">
        <v>4019</v>
      </c>
      <c r="E303" s="498">
        <f t="shared" si="21"/>
        <v>7</v>
      </c>
      <c r="F303" s="498">
        <v>0</v>
      </c>
      <c r="G303" s="498">
        <v>7</v>
      </c>
      <c r="H303" s="498">
        <v>0</v>
      </c>
      <c r="I303" s="498">
        <f t="shared" si="22"/>
        <v>6</v>
      </c>
      <c r="J303" s="498">
        <v>0</v>
      </c>
      <c r="K303" s="498">
        <v>6</v>
      </c>
      <c r="L303" s="668">
        <v>0</v>
      </c>
      <c r="M303" s="963">
        <v>1</v>
      </c>
      <c r="N303" s="653">
        <v>41.073500000000003</v>
      </c>
      <c r="O303" s="720" t="s">
        <v>4020</v>
      </c>
      <c r="P303" s="479" t="s">
        <v>1588</v>
      </c>
      <c r="Q303" s="870">
        <v>0</v>
      </c>
      <c r="R303" s="870">
        <v>0</v>
      </c>
      <c r="S303" s="870">
        <v>0</v>
      </c>
      <c r="T303" s="870">
        <v>0</v>
      </c>
      <c r="U303" s="479" t="s">
        <v>7458</v>
      </c>
      <c r="V303" s="511" t="s">
        <v>3950</v>
      </c>
      <c r="W303" s="498">
        <v>194</v>
      </c>
      <c r="X303" s="479" t="s">
        <v>2363</v>
      </c>
      <c r="Y303" s="479" t="s">
        <v>3936</v>
      </c>
      <c r="Z303" s="479" t="s">
        <v>3970</v>
      </c>
      <c r="AA303" s="479" t="s">
        <v>3938</v>
      </c>
      <c r="AB303" s="512" t="s">
        <v>1596</v>
      </c>
    </row>
    <row r="304" spans="1:28" ht="24" customHeight="1">
      <c r="A304" s="591"/>
      <c r="B304" s="510" t="s">
        <v>675</v>
      </c>
      <c r="C304" s="718" t="s">
        <v>4021</v>
      </c>
      <c r="D304" s="510" t="s">
        <v>4022</v>
      </c>
      <c r="E304" s="498">
        <f t="shared" si="21"/>
        <v>30</v>
      </c>
      <c r="F304" s="498">
        <v>0</v>
      </c>
      <c r="G304" s="498">
        <v>30</v>
      </c>
      <c r="H304" s="498">
        <v>0</v>
      </c>
      <c r="I304" s="498">
        <f t="shared" si="22"/>
        <v>26</v>
      </c>
      <c r="J304" s="498">
        <v>0</v>
      </c>
      <c r="K304" s="498">
        <v>26</v>
      </c>
      <c r="L304" s="668">
        <v>0</v>
      </c>
      <c r="M304" s="963">
        <v>0.98028859034715055</v>
      </c>
      <c r="N304" s="653">
        <v>652.78593577525169</v>
      </c>
      <c r="O304" s="720" t="s">
        <v>4023</v>
      </c>
      <c r="P304" s="479" t="s">
        <v>1588</v>
      </c>
      <c r="Q304" s="870">
        <v>0</v>
      </c>
      <c r="R304" s="870">
        <v>0</v>
      </c>
      <c r="S304" s="870">
        <v>0</v>
      </c>
      <c r="T304" s="870">
        <v>0</v>
      </c>
      <c r="U304" s="479" t="s">
        <v>7458</v>
      </c>
      <c r="V304" s="511" t="s">
        <v>3995</v>
      </c>
      <c r="W304" s="498">
        <v>235</v>
      </c>
      <c r="X304" s="479" t="s">
        <v>2363</v>
      </c>
      <c r="Y304" s="479" t="s">
        <v>3936</v>
      </c>
      <c r="Z304" s="479" t="s">
        <v>4024</v>
      </c>
      <c r="AA304" s="479" t="s">
        <v>3938</v>
      </c>
      <c r="AB304" s="512" t="s">
        <v>1596</v>
      </c>
    </row>
    <row r="305" spans="1:28" ht="24" customHeight="1">
      <c r="A305" s="591"/>
      <c r="B305" s="510" t="s">
        <v>675</v>
      </c>
      <c r="C305" s="718" t="s">
        <v>4025</v>
      </c>
      <c r="D305" s="510" t="s">
        <v>4026</v>
      </c>
      <c r="E305" s="498">
        <f t="shared" si="21"/>
        <v>30</v>
      </c>
      <c r="F305" s="498">
        <v>0</v>
      </c>
      <c r="G305" s="498">
        <v>30</v>
      </c>
      <c r="H305" s="498">
        <v>0</v>
      </c>
      <c r="I305" s="498">
        <f t="shared" si="22"/>
        <v>17</v>
      </c>
      <c r="J305" s="498">
        <v>0</v>
      </c>
      <c r="K305" s="498">
        <v>17</v>
      </c>
      <c r="L305" s="668">
        <v>0</v>
      </c>
      <c r="M305" s="963">
        <v>0.97655186351259349</v>
      </c>
      <c r="N305" s="653">
        <v>254.03295901451165</v>
      </c>
      <c r="O305" s="720" t="s">
        <v>3961</v>
      </c>
      <c r="P305" s="479" t="s">
        <v>1588</v>
      </c>
      <c r="Q305" s="870">
        <v>0</v>
      </c>
      <c r="R305" s="870">
        <v>0</v>
      </c>
      <c r="S305" s="870">
        <v>0</v>
      </c>
      <c r="T305" s="870">
        <v>0</v>
      </c>
      <c r="U305" s="479" t="s">
        <v>7458</v>
      </c>
      <c r="V305" s="511" t="s">
        <v>3941</v>
      </c>
      <c r="W305" s="498">
        <v>163</v>
      </c>
      <c r="X305" s="479" t="s">
        <v>2363</v>
      </c>
      <c r="Y305" s="479" t="s">
        <v>3936</v>
      </c>
      <c r="Z305" s="479" t="s">
        <v>4027</v>
      </c>
      <c r="AA305" s="479" t="s">
        <v>3938</v>
      </c>
      <c r="AB305" s="512" t="s">
        <v>1596</v>
      </c>
    </row>
    <row r="306" spans="1:28" ht="24" customHeight="1">
      <c r="A306" s="591"/>
      <c r="B306" s="510" t="s">
        <v>675</v>
      </c>
      <c r="C306" s="718" t="s">
        <v>4028</v>
      </c>
      <c r="D306" s="510" t="s">
        <v>4029</v>
      </c>
      <c r="E306" s="498">
        <f t="shared" si="21"/>
        <v>18</v>
      </c>
      <c r="F306" s="498">
        <v>0</v>
      </c>
      <c r="G306" s="498">
        <v>18</v>
      </c>
      <c r="H306" s="498">
        <v>0</v>
      </c>
      <c r="I306" s="498">
        <f t="shared" si="22"/>
        <v>13</v>
      </c>
      <c r="J306" s="498">
        <v>0</v>
      </c>
      <c r="K306" s="498">
        <v>13</v>
      </c>
      <c r="L306" s="668">
        <v>0</v>
      </c>
      <c r="M306" s="963">
        <v>0.95454267397474812</v>
      </c>
      <c r="N306" s="653">
        <v>161.36010950550147</v>
      </c>
      <c r="O306" s="720" t="s">
        <v>4012</v>
      </c>
      <c r="P306" s="479" t="s">
        <v>1588</v>
      </c>
      <c r="Q306" s="870">
        <v>0</v>
      </c>
      <c r="R306" s="870">
        <v>0</v>
      </c>
      <c r="S306" s="870">
        <v>0</v>
      </c>
      <c r="T306" s="870">
        <v>0</v>
      </c>
      <c r="U306" s="479" t="s">
        <v>7458</v>
      </c>
      <c r="V306" s="511" t="s">
        <v>4008</v>
      </c>
      <c r="W306" s="498">
        <v>193</v>
      </c>
      <c r="X306" s="479" t="s">
        <v>2363</v>
      </c>
      <c r="Y306" s="479" t="s">
        <v>3936</v>
      </c>
      <c r="Z306" s="479" t="s">
        <v>4027</v>
      </c>
      <c r="AA306" s="479" t="s">
        <v>3938</v>
      </c>
      <c r="AB306" s="512" t="s">
        <v>1596</v>
      </c>
    </row>
    <row r="307" spans="1:28" ht="24" customHeight="1">
      <c r="A307" s="582" t="s">
        <v>1852</v>
      </c>
      <c r="B307" s="460" t="s">
        <v>2201</v>
      </c>
      <c r="C307" s="458" t="s">
        <v>1852</v>
      </c>
      <c r="D307" s="510" t="s">
        <v>4030</v>
      </c>
      <c r="E307" s="498">
        <f t="shared" ref="E307:E313" si="23">SUM(F307:H307)</f>
        <v>75000</v>
      </c>
      <c r="F307" s="498">
        <v>0</v>
      </c>
      <c r="G307" s="498">
        <v>75000</v>
      </c>
      <c r="H307" s="498">
        <v>0</v>
      </c>
      <c r="I307" s="498">
        <f t="shared" si="22"/>
        <v>74898</v>
      </c>
      <c r="J307" s="498">
        <v>0</v>
      </c>
      <c r="K307" s="498">
        <v>74898</v>
      </c>
      <c r="L307" s="668">
        <v>0</v>
      </c>
      <c r="M307" s="956">
        <v>0.9371688115064345</v>
      </c>
      <c r="N307" s="653">
        <v>9272.3723999999984</v>
      </c>
      <c r="O307" s="669" t="s">
        <v>1535</v>
      </c>
      <c r="P307" s="463" t="s">
        <v>1588</v>
      </c>
      <c r="Q307" s="852">
        <v>183.1</v>
      </c>
      <c r="R307" s="852">
        <v>0</v>
      </c>
      <c r="S307" s="852">
        <v>150</v>
      </c>
      <c r="T307" s="852">
        <v>0</v>
      </c>
      <c r="U307" s="463" t="s">
        <v>2256</v>
      </c>
      <c r="V307" s="463" t="s">
        <v>2121</v>
      </c>
      <c r="W307" s="498">
        <v>56631</v>
      </c>
      <c r="X307" s="463" t="s">
        <v>2276</v>
      </c>
      <c r="Y307" s="463" t="s">
        <v>1533</v>
      </c>
      <c r="Z307" s="463" t="s">
        <v>1602</v>
      </c>
      <c r="AA307" s="463" t="s">
        <v>1915</v>
      </c>
      <c r="AB307" s="459" t="s">
        <v>1587</v>
      </c>
    </row>
    <row r="308" spans="1:28" ht="24" customHeight="1">
      <c r="A308" s="584"/>
      <c r="B308" s="460" t="s">
        <v>2201</v>
      </c>
      <c r="C308" s="458" t="s">
        <v>1998</v>
      </c>
      <c r="D308" s="510" t="s">
        <v>4031</v>
      </c>
      <c r="E308" s="498">
        <f t="shared" si="23"/>
        <v>12000</v>
      </c>
      <c r="F308" s="498">
        <v>0</v>
      </c>
      <c r="G308" s="498">
        <v>12000</v>
      </c>
      <c r="H308" s="498">
        <v>0</v>
      </c>
      <c r="I308" s="498">
        <f t="shared" si="22"/>
        <v>8505</v>
      </c>
      <c r="J308" s="498">
        <v>0</v>
      </c>
      <c r="K308" s="498">
        <v>8505</v>
      </c>
      <c r="L308" s="668">
        <v>0</v>
      </c>
      <c r="M308" s="956">
        <v>0.93523809523809531</v>
      </c>
      <c r="N308" s="653">
        <v>835.19100000000014</v>
      </c>
      <c r="O308" s="669" t="s">
        <v>1535</v>
      </c>
      <c r="P308" s="463" t="s">
        <v>4032</v>
      </c>
      <c r="Q308" s="852">
        <v>0</v>
      </c>
      <c r="R308" s="852">
        <v>0</v>
      </c>
      <c r="S308" s="852">
        <v>0</v>
      </c>
      <c r="T308" s="852">
        <v>0</v>
      </c>
      <c r="U308" s="463" t="s">
        <v>7460</v>
      </c>
      <c r="V308" s="463" t="s">
        <v>4033</v>
      </c>
      <c r="W308" s="498">
        <v>42091</v>
      </c>
      <c r="X308" s="463" t="s">
        <v>2276</v>
      </c>
      <c r="Y308" s="463" t="s">
        <v>4034</v>
      </c>
      <c r="Z308" s="463" t="s">
        <v>565</v>
      </c>
      <c r="AA308" s="463" t="s">
        <v>1915</v>
      </c>
      <c r="AB308" s="459" t="s">
        <v>1587</v>
      </c>
    </row>
    <row r="309" spans="1:28" ht="24" customHeight="1">
      <c r="A309" s="584"/>
      <c r="B309" s="460" t="s">
        <v>675</v>
      </c>
      <c r="C309" s="458" t="s">
        <v>4035</v>
      </c>
      <c r="D309" s="510" t="s">
        <v>4036</v>
      </c>
      <c r="E309" s="498">
        <f t="shared" si="23"/>
        <v>110</v>
      </c>
      <c r="F309" s="498">
        <v>0</v>
      </c>
      <c r="G309" s="498">
        <v>110</v>
      </c>
      <c r="H309" s="498">
        <v>0</v>
      </c>
      <c r="I309" s="498">
        <f t="shared" si="22"/>
        <v>92.3</v>
      </c>
      <c r="J309" s="498">
        <v>0</v>
      </c>
      <c r="K309" s="498">
        <v>92.3</v>
      </c>
      <c r="L309" s="668">
        <v>0</v>
      </c>
      <c r="M309" s="956">
        <v>0.94</v>
      </c>
      <c r="N309" s="653">
        <v>506.9</v>
      </c>
      <c r="O309" s="669" t="s">
        <v>4037</v>
      </c>
      <c r="P309" s="463" t="s">
        <v>1588</v>
      </c>
      <c r="Q309" s="852">
        <v>0</v>
      </c>
      <c r="R309" s="852">
        <v>0</v>
      </c>
      <c r="S309" s="852">
        <v>0</v>
      </c>
      <c r="T309" s="852">
        <v>0</v>
      </c>
      <c r="U309" s="463" t="s">
        <v>7461</v>
      </c>
      <c r="V309" s="463" t="s">
        <v>4038</v>
      </c>
      <c r="W309" s="498">
        <v>400</v>
      </c>
      <c r="X309" s="463" t="s">
        <v>2193</v>
      </c>
      <c r="Y309" s="463" t="s">
        <v>1588</v>
      </c>
      <c r="Z309" s="463" t="s">
        <v>566</v>
      </c>
      <c r="AA309" s="463" t="s">
        <v>4039</v>
      </c>
      <c r="AB309" s="459" t="s">
        <v>1587</v>
      </c>
    </row>
    <row r="310" spans="1:28" ht="24" customHeight="1">
      <c r="A310" s="584"/>
      <c r="B310" s="460" t="s">
        <v>675</v>
      </c>
      <c r="C310" s="458" t="s">
        <v>4040</v>
      </c>
      <c r="D310" s="510" t="s">
        <v>4041</v>
      </c>
      <c r="E310" s="498">
        <f t="shared" si="23"/>
        <v>70</v>
      </c>
      <c r="F310" s="498">
        <v>0</v>
      </c>
      <c r="G310" s="498">
        <v>70</v>
      </c>
      <c r="H310" s="498">
        <v>0</v>
      </c>
      <c r="I310" s="498">
        <f t="shared" si="22"/>
        <v>62</v>
      </c>
      <c r="J310" s="498">
        <v>0</v>
      </c>
      <c r="K310" s="498">
        <v>62</v>
      </c>
      <c r="L310" s="668">
        <v>0</v>
      </c>
      <c r="M310" s="956">
        <v>0.94</v>
      </c>
      <c r="N310" s="653">
        <v>272.25783999999999</v>
      </c>
      <c r="O310" s="669" t="s">
        <v>3461</v>
      </c>
      <c r="P310" s="463" t="s">
        <v>1588</v>
      </c>
      <c r="Q310" s="852">
        <v>0</v>
      </c>
      <c r="R310" s="852">
        <v>0</v>
      </c>
      <c r="S310" s="852">
        <v>0</v>
      </c>
      <c r="T310" s="852">
        <v>0</v>
      </c>
      <c r="U310" s="463" t="s">
        <v>7461</v>
      </c>
      <c r="V310" s="513" t="s">
        <v>4042</v>
      </c>
      <c r="W310" s="498">
        <v>276</v>
      </c>
      <c r="X310" s="463" t="s">
        <v>2193</v>
      </c>
      <c r="Y310" s="463" t="s">
        <v>1588</v>
      </c>
      <c r="Z310" s="463" t="s">
        <v>568</v>
      </c>
      <c r="AA310" s="463" t="s">
        <v>4039</v>
      </c>
      <c r="AB310" s="459" t="s">
        <v>1587</v>
      </c>
    </row>
    <row r="311" spans="1:28" ht="24" customHeight="1">
      <c r="A311" s="584"/>
      <c r="B311" s="460" t="s">
        <v>675</v>
      </c>
      <c r="C311" s="458" t="s">
        <v>4043</v>
      </c>
      <c r="D311" s="510" t="s">
        <v>4044</v>
      </c>
      <c r="E311" s="498">
        <f t="shared" si="23"/>
        <v>60</v>
      </c>
      <c r="F311" s="498">
        <v>0</v>
      </c>
      <c r="G311" s="498">
        <v>60</v>
      </c>
      <c r="H311" s="498">
        <v>0</v>
      </c>
      <c r="I311" s="498">
        <f t="shared" si="22"/>
        <v>94.2</v>
      </c>
      <c r="J311" s="498">
        <v>0</v>
      </c>
      <c r="K311" s="498">
        <v>94.2</v>
      </c>
      <c r="L311" s="668">
        <v>0</v>
      </c>
      <c r="M311" s="956">
        <v>0.94</v>
      </c>
      <c r="N311" s="653">
        <v>272.25783999999999</v>
      </c>
      <c r="O311" s="669" t="s">
        <v>4045</v>
      </c>
      <c r="P311" s="463" t="s">
        <v>1588</v>
      </c>
      <c r="Q311" s="852">
        <v>0</v>
      </c>
      <c r="R311" s="852">
        <v>0</v>
      </c>
      <c r="S311" s="852">
        <v>0</v>
      </c>
      <c r="T311" s="852">
        <v>0</v>
      </c>
      <c r="U311" s="463" t="s">
        <v>7461</v>
      </c>
      <c r="V311" s="513" t="s">
        <v>4042</v>
      </c>
      <c r="W311" s="498">
        <v>243</v>
      </c>
      <c r="X311" s="463" t="s">
        <v>2193</v>
      </c>
      <c r="Y311" s="463" t="s">
        <v>1588</v>
      </c>
      <c r="Z311" s="463" t="s">
        <v>1588</v>
      </c>
      <c r="AA311" s="463" t="s">
        <v>4039</v>
      </c>
      <c r="AB311" s="459" t="s">
        <v>1587</v>
      </c>
    </row>
    <row r="312" spans="1:28" ht="24" customHeight="1">
      <c r="A312" s="584"/>
      <c r="B312" s="460" t="s">
        <v>675</v>
      </c>
      <c r="C312" s="458" t="s">
        <v>4046</v>
      </c>
      <c r="D312" s="510" t="s">
        <v>4047</v>
      </c>
      <c r="E312" s="498">
        <f t="shared" si="23"/>
        <v>150</v>
      </c>
      <c r="F312" s="498">
        <v>0</v>
      </c>
      <c r="G312" s="498">
        <v>150</v>
      </c>
      <c r="H312" s="498">
        <v>0</v>
      </c>
      <c r="I312" s="498">
        <f t="shared" si="22"/>
        <v>314</v>
      </c>
      <c r="J312" s="498">
        <v>0</v>
      </c>
      <c r="K312" s="498">
        <v>314</v>
      </c>
      <c r="L312" s="668">
        <v>0</v>
      </c>
      <c r="M312" s="956">
        <v>0.94</v>
      </c>
      <c r="N312" s="653">
        <v>272.25783999999999</v>
      </c>
      <c r="O312" s="669" t="s">
        <v>4037</v>
      </c>
      <c r="P312" s="463" t="s">
        <v>1588</v>
      </c>
      <c r="Q312" s="852">
        <v>0</v>
      </c>
      <c r="R312" s="852">
        <v>0</v>
      </c>
      <c r="S312" s="852">
        <v>0</v>
      </c>
      <c r="T312" s="852">
        <v>0</v>
      </c>
      <c r="U312" s="463" t="s">
        <v>7461</v>
      </c>
      <c r="V312" s="513" t="s">
        <v>4042</v>
      </c>
      <c r="W312" s="498">
        <v>166</v>
      </c>
      <c r="X312" s="463" t="s">
        <v>2193</v>
      </c>
      <c r="Y312" s="463" t="s">
        <v>1588</v>
      </c>
      <c r="Z312" s="463" t="s">
        <v>567</v>
      </c>
      <c r="AA312" s="463" t="s">
        <v>4039</v>
      </c>
      <c r="AB312" s="459" t="s">
        <v>1587</v>
      </c>
    </row>
    <row r="313" spans="1:28" ht="24" customHeight="1">
      <c r="A313" s="583"/>
      <c r="B313" s="460" t="s">
        <v>675</v>
      </c>
      <c r="C313" s="458" t="s">
        <v>4048</v>
      </c>
      <c r="D313" s="510" t="s">
        <v>4049</v>
      </c>
      <c r="E313" s="498">
        <f t="shared" si="23"/>
        <v>100</v>
      </c>
      <c r="F313" s="498">
        <v>0</v>
      </c>
      <c r="G313" s="498">
        <v>100</v>
      </c>
      <c r="H313" s="498">
        <v>0</v>
      </c>
      <c r="I313" s="498">
        <f>SUM(J313:L313)</f>
        <v>81.599999999999994</v>
      </c>
      <c r="J313" s="498">
        <v>0</v>
      </c>
      <c r="K313" s="498">
        <v>81.599999999999994</v>
      </c>
      <c r="L313" s="668">
        <v>0</v>
      </c>
      <c r="M313" s="956">
        <v>0.94</v>
      </c>
      <c r="N313" s="653">
        <v>272.25783999999999</v>
      </c>
      <c r="O313" s="669" t="s">
        <v>4045</v>
      </c>
      <c r="P313" s="463" t="s">
        <v>1588</v>
      </c>
      <c r="Q313" s="852">
        <v>0</v>
      </c>
      <c r="R313" s="852">
        <v>0</v>
      </c>
      <c r="S313" s="852">
        <v>0</v>
      </c>
      <c r="T313" s="852">
        <v>0</v>
      </c>
      <c r="U313" s="463" t="s">
        <v>7461</v>
      </c>
      <c r="V313" s="513" t="s">
        <v>4042</v>
      </c>
      <c r="W313" s="498">
        <v>167</v>
      </c>
      <c r="X313" s="463" t="s">
        <v>2193</v>
      </c>
      <c r="Y313" s="463" t="s">
        <v>1588</v>
      </c>
      <c r="Z313" s="463" t="s">
        <v>4050</v>
      </c>
      <c r="AA313" s="463" t="s">
        <v>4039</v>
      </c>
      <c r="AB313" s="459" t="s">
        <v>1587</v>
      </c>
    </row>
    <row r="314" spans="1:28" ht="24" customHeight="1">
      <c r="A314" s="588" t="s">
        <v>1854</v>
      </c>
      <c r="B314" s="510" t="s">
        <v>2201</v>
      </c>
      <c r="C314" s="718" t="s">
        <v>2387</v>
      </c>
      <c r="D314" s="510" t="s">
        <v>4052</v>
      </c>
      <c r="E314" s="498">
        <f>F314+G314+H314</f>
        <v>30000</v>
      </c>
      <c r="F314" s="578">
        <v>0</v>
      </c>
      <c r="G314" s="498">
        <v>30000</v>
      </c>
      <c r="H314" s="578">
        <v>0</v>
      </c>
      <c r="I314" s="498">
        <f>SUM(J314:L314)</f>
        <v>28225</v>
      </c>
      <c r="J314" s="578">
        <v>0</v>
      </c>
      <c r="K314" s="498">
        <v>28225</v>
      </c>
      <c r="L314" s="719">
        <v>0</v>
      </c>
      <c r="M314" s="956">
        <v>0.88434163701067614</v>
      </c>
      <c r="N314" s="653">
        <v>1402.7825</v>
      </c>
      <c r="O314" s="720" t="s">
        <v>1535</v>
      </c>
      <c r="P314" s="479" t="s">
        <v>1588</v>
      </c>
      <c r="Q314" s="870">
        <v>1.03</v>
      </c>
      <c r="R314" s="870">
        <v>15.18</v>
      </c>
      <c r="S314" s="870">
        <v>109.8</v>
      </c>
      <c r="T314" s="870">
        <v>46.67</v>
      </c>
      <c r="U314" s="479" t="s">
        <v>7462</v>
      </c>
      <c r="V314" s="479" t="s">
        <v>4053</v>
      </c>
      <c r="W314" s="498">
        <v>27660</v>
      </c>
      <c r="X314" s="479" t="s">
        <v>1532</v>
      </c>
      <c r="Y314" s="479"/>
      <c r="Z314" s="479" t="s">
        <v>4054</v>
      </c>
      <c r="AA314" s="479" t="s">
        <v>1589</v>
      </c>
      <c r="AB314" s="512" t="s">
        <v>1589</v>
      </c>
    </row>
    <row r="315" spans="1:28" ht="24" customHeight="1">
      <c r="A315" s="582" t="s">
        <v>1855</v>
      </c>
      <c r="B315" s="510" t="s">
        <v>2201</v>
      </c>
      <c r="C315" s="458" t="s">
        <v>2388</v>
      </c>
      <c r="D315" s="510" t="s">
        <v>4055</v>
      </c>
      <c r="E315" s="498">
        <f>F315+G315+H315</f>
        <v>46000</v>
      </c>
      <c r="F315" s="498">
        <v>0</v>
      </c>
      <c r="G315" s="498">
        <v>46000</v>
      </c>
      <c r="H315" s="498">
        <v>0</v>
      </c>
      <c r="I315" s="498">
        <f>SUM(J315:L315)</f>
        <v>46000</v>
      </c>
      <c r="J315" s="498">
        <v>0</v>
      </c>
      <c r="K315" s="498">
        <v>46000</v>
      </c>
      <c r="L315" s="668">
        <v>0</v>
      </c>
      <c r="M315" s="956">
        <v>0.87533875338753386</v>
      </c>
      <c r="N315" s="653">
        <v>1485.8</v>
      </c>
      <c r="O315" s="669" t="s">
        <v>1535</v>
      </c>
      <c r="P315" s="463" t="s">
        <v>1588</v>
      </c>
      <c r="Q315" s="852">
        <v>90</v>
      </c>
      <c r="R315" s="852">
        <v>0</v>
      </c>
      <c r="S315" s="852">
        <v>102</v>
      </c>
      <c r="T315" s="852">
        <v>40</v>
      </c>
      <c r="U315" s="463" t="s">
        <v>2257</v>
      </c>
      <c r="V315" s="463" t="s">
        <v>4056</v>
      </c>
      <c r="W315" s="498">
        <v>115299</v>
      </c>
      <c r="X315" s="463" t="s">
        <v>1532</v>
      </c>
      <c r="Y315" s="463"/>
      <c r="Z315" s="463"/>
      <c r="AA315" s="463"/>
      <c r="AB315" s="459" t="s">
        <v>1537</v>
      </c>
    </row>
    <row r="316" spans="1:28" ht="24" customHeight="1">
      <c r="A316" s="590" t="s">
        <v>1976</v>
      </c>
      <c r="B316" s="510" t="s">
        <v>2201</v>
      </c>
      <c r="C316" s="718" t="s">
        <v>4057</v>
      </c>
      <c r="D316" s="510" t="s">
        <v>4058</v>
      </c>
      <c r="E316" s="498">
        <f t="shared" ref="E316:E331" si="24">SUM(F316:H316)</f>
        <v>25000</v>
      </c>
      <c r="F316" s="497">
        <v>0</v>
      </c>
      <c r="G316" s="497">
        <v>25000</v>
      </c>
      <c r="H316" s="497">
        <v>0</v>
      </c>
      <c r="I316" s="498">
        <f t="shared" ref="I316:I338" si="25">SUM(J316:L316)</f>
        <v>22948</v>
      </c>
      <c r="J316" s="497">
        <v>0</v>
      </c>
      <c r="K316" s="497">
        <v>22948</v>
      </c>
      <c r="L316" s="721">
        <v>0</v>
      </c>
      <c r="M316" s="956">
        <v>0.94166666666666665</v>
      </c>
      <c r="N316" s="653">
        <v>3630.3735999999999</v>
      </c>
      <c r="O316" s="720" t="s">
        <v>4059</v>
      </c>
      <c r="P316" s="479" t="s">
        <v>1588</v>
      </c>
      <c r="Q316" s="870">
        <v>0</v>
      </c>
      <c r="R316" s="870">
        <v>0</v>
      </c>
      <c r="S316" s="870">
        <v>37.9</v>
      </c>
      <c r="T316" s="870">
        <v>0</v>
      </c>
      <c r="U316" s="479" t="s">
        <v>4060</v>
      </c>
      <c r="V316" s="479" t="s">
        <v>4061</v>
      </c>
      <c r="W316" s="498">
        <v>31670</v>
      </c>
      <c r="X316" s="479" t="s">
        <v>2276</v>
      </c>
      <c r="Y316" s="479" t="s">
        <v>636</v>
      </c>
      <c r="Z316" s="479" t="s">
        <v>580</v>
      </c>
      <c r="AA316" s="479"/>
      <c r="AB316" s="512" t="s">
        <v>4051</v>
      </c>
    </row>
    <row r="317" spans="1:28" ht="24" customHeight="1">
      <c r="A317" s="591"/>
      <c r="B317" s="510" t="s">
        <v>2201</v>
      </c>
      <c r="C317" s="718" t="s">
        <v>1603</v>
      </c>
      <c r="D317" s="510" t="s">
        <v>4062</v>
      </c>
      <c r="E317" s="497">
        <f t="shared" si="24"/>
        <v>6300</v>
      </c>
      <c r="F317" s="497">
        <v>0</v>
      </c>
      <c r="G317" s="497">
        <v>0</v>
      </c>
      <c r="H317" s="497">
        <v>6300</v>
      </c>
      <c r="I317" s="497">
        <f t="shared" si="25"/>
        <v>4047</v>
      </c>
      <c r="J317" s="497">
        <v>0</v>
      </c>
      <c r="K317" s="497">
        <v>0</v>
      </c>
      <c r="L317" s="721">
        <v>4047</v>
      </c>
      <c r="M317" s="956">
        <v>0.93494897959183676</v>
      </c>
      <c r="N317" s="653">
        <v>296.64510000000001</v>
      </c>
      <c r="O317" s="720" t="s">
        <v>3651</v>
      </c>
      <c r="P317" s="479" t="s">
        <v>1588</v>
      </c>
      <c r="Q317" s="870">
        <v>53.2</v>
      </c>
      <c r="R317" s="870">
        <v>0</v>
      </c>
      <c r="S317" s="870">
        <v>0</v>
      </c>
      <c r="T317" s="870">
        <v>0</v>
      </c>
      <c r="U317" s="516" t="s">
        <v>4063</v>
      </c>
      <c r="V317" s="479" t="s">
        <v>4064</v>
      </c>
      <c r="W317" s="498">
        <v>16801</v>
      </c>
      <c r="X317" s="479" t="s">
        <v>2276</v>
      </c>
      <c r="Y317" s="515" t="s">
        <v>3161</v>
      </c>
      <c r="Z317" s="479"/>
      <c r="AA317" s="479"/>
      <c r="AB317" s="512" t="s">
        <v>4051</v>
      </c>
    </row>
    <row r="318" spans="1:28" ht="24" customHeight="1">
      <c r="A318" s="591"/>
      <c r="B318" s="510" t="s">
        <v>675</v>
      </c>
      <c r="C318" s="718" t="s">
        <v>4065</v>
      </c>
      <c r="D318" s="510" t="s">
        <v>4066</v>
      </c>
      <c r="E318" s="497">
        <f t="shared" si="24"/>
        <v>60</v>
      </c>
      <c r="F318" s="497">
        <v>0</v>
      </c>
      <c r="G318" s="497">
        <v>60</v>
      </c>
      <c r="H318" s="497">
        <v>0</v>
      </c>
      <c r="I318" s="497">
        <f t="shared" si="25"/>
        <v>60</v>
      </c>
      <c r="J318" s="497">
        <v>0</v>
      </c>
      <c r="K318" s="497">
        <v>60</v>
      </c>
      <c r="L318" s="721">
        <v>0</v>
      </c>
      <c r="M318" s="956">
        <v>0.93</v>
      </c>
      <c r="N318" s="653">
        <v>6.64</v>
      </c>
      <c r="O318" s="720" t="s">
        <v>4067</v>
      </c>
      <c r="P318" s="479" t="s">
        <v>1588</v>
      </c>
      <c r="Q318" s="870">
        <v>0</v>
      </c>
      <c r="R318" s="870">
        <v>0</v>
      </c>
      <c r="S318" s="870">
        <v>0</v>
      </c>
      <c r="T318" s="870">
        <v>0</v>
      </c>
      <c r="U318" s="479" t="s">
        <v>4068</v>
      </c>
      <c r="V318" s="479">
        <v>2002.6</v>
      </c>
      <c r="W318" s="498">
        <v>336</v>
      </c>
      <c r="X318" s="479" t="s">
        <v>2276</v>
      </c>
      <c r="Y318" s="479" t="s">
        <v>1533</v>
      </c>
      <c r="Z318" s="479"/>
      <c r="AA318" s="479"/>
      <c r="AB318" s="512" t="s">
        <v>4051</v>
      </c>
    </row>
    <row r="319" spans="1:28" ht="24" customHeight="1">
      <c r="A319" s="591"/>
      <c r="B319" s="510" t="s">
        <v>675</v>
      </c>
      <c r="C319" s="718" t="s">
        <v>4069</v>
      </c>
      <c r="D319" s="510" t="s">
        <v>4070</v>
      </c>
      <c r="E319" s="497">
        <f t="shared" si="24"/>
        <v>60</v>
      </c>
      <c r="F319" s="497">
        <v>0</v>
      </c>
      <c r="G319" s="497">
        <v>60</v>
      </c>
      <c r="H319" s="497">
        <v>0</v>
      </c>
      <c r="I319" s="497">
        <f t="shared" si="25"/>
        <v>0</v>
      </c>
      <c r="J319" s="497">
        <v>0</v>
      </c>
      <c r="K319" s="497">
        <v>0</v>
      </c>
      <c r="L319" s="721">
        <v>0</v>
      </c>
      <c r="M319" s="956">
        <v>0.96</v>
      </c>
      <c r="N319" s="653">
        <v>15.59</v>
      </c>
      <c r="O319" s="720" t="s">
        <v>4067</v>
      </c>
      <c r="P319" s="479" t="s">
        <v>1588</v>
      </c>
      <c r="Q319" s="870">
        <v>0</v>
      </c>
      <c r="R319" s="870">
        <v>0</v>
      </c>
      <c r="S319" s="870">
        <v>0</v>
      </c>
      <c r="T319" s="870">
        <v>0</v>
      </c>
      <c r="U319" s="479" t="s">
        <v>4068</v>
      </c>
      <c r="V319" s="479">
        <v>2001.2</v>
      </c>
      <c r="W319" s="498">
        <v>444</v>
      </c>
      <c r="X319" s="479" t="s">
        <v>2276</v>
      </c>
      <c r="Y319" s="479" t="s">
        <v>1533</v>
      </c>
      <c r="Z319" s="479"/>
      <c r="AA319" s="479"/>
      <c r="AB319" s="512" t="s">
        <v>4051</v>
      </c>
    </row>
    <row r="320" spans="1:28" ht="24" customHeight="1">
      <c r="A320" s="591"/>
      <c r="B320" s="510" t="s">
        <v>675</v>
      </c>
      <c r="C320" s="718" t="s">
        <v>4071</v>
      </c>
      <c r="D320" s="510" t="s">
        <v>4072</v>
      </c>
      <c r="E320" s="497">
        <f t="shared" si="24"/>
        <v>330</v>
      </c>
      <c r="F320" s="497">
        <v>0</v>
      </c>
      <c r="G320" s="497">
        <v>330</v>
      </c>
      <c r="H320" s="497">
        <v>0</v>
      </c>
      <c r="I320" s="497">
        <f t="shared" si="25"/>
        <v>0</v>
      </c>
      <c r="J320" s="497">
        <v>0</v>
      </c>
      <c r="K320" s="497">
        <v>0</v>
      </c>
      <c r="L320" s="721">
        <v>0</v>
      </c>
      <c r="M320" s="956">
        <v>0.94</v>
      </c>
      <c r="N320" s="653">
        <v>10</v>
      </c>
      <c r="O320" s="720" t="s">
        <v>4073</v>
      </c>
      <c r="P320" s="479" t="s">
        <v>1588</v>
      </c>
      <c r="Q320" s="871">
        <v>0</v>
      </c>
      <c r="R320" s="871">
        <v>0</v>
      </c>
      <c r="S320" s="870">
        <v>0</v>
      </c>
      <c r="T320" s="870">
        <v>0</v>
      </c>
      <c r="U320" s="479" t="s">
        <v>4068</v>
      </c>
      <c r="V320" s="479">
        <v>2000.1</v>
      </c>
      <c r="W320" s="498">
        <v>710</v>
      </c>
      <c r="X320" s="479" t="s">
        <v>2276</v>
      </c>
      <c r="Y320" s="479" t="s">
        <v>1533</v>
      </c>
      <c r="Z320" s="479"/>
      <c r="AA320" s="479"/>
      <c r="AB320" s="512" t="s">
        <v>4051</v>
      </c>
    </row>
    <row r="321" spans="1:28" ht="24" customHeight="1">
      <c r="A321" s="591"/>
      <c r="B321" s="510" t="s">
        <v>675</v>
      </c>
      <c r="C321" s="718" t="s">
        <v>4074</v>
      </c>
      <c r="D321" s="510" t="s">
        <v>4075</v>
      </c>
      <c r="E321" s="497">
        <f t="shared" si="24"/>
        <v>70</v>
      </c>
      <c r="F321" s="497">
        <v>0</v>
      </c>
      <c r="G321" s="497">
        <v>70</v>
      </c>
      <c r="H321" s="497">
        <v>0</v>
      </c>
      <c r="I321" s="497">
        <f t="shared" si="25"/>
        <v>0</v>
      </c>
      <c r="J321" s="497">
        <v>0</v>
      </c>
      <c r="K321" s="497">
        <v>0</v>
      </c>
      <c r="L321" s="721">
        <v>0</v>
      </c>
      <c r="M321" s="956">
        <v>0.96</v>
      </c>
      <c r="N321" s="653">
        <v>10.130000000000001</v>
      </c>
      <c r="O321" s="720" t="s">
        <v>4073</v>
      </c>
      <c r="P321" s="479" t="s">
        <v>1588</v>
      </c>
      <c r="Q321" s="870">
        <v>0</v>
      </c>
      <c r="R321" s="870">
        <v>0</v>
      </c>
      <c r="S321" s="870">
        <v>0</v>
      </c>
      <c r="T321" s="870">
        <v>0</v>
      </c>
      <c r="U321" s="479" t="s">
        <v>4068</v>
      </c>
      <c r="V321" s="479">
        <v>1996.7</v>
      </c>
      <c r="W321" s="498">
        <v>103</v>
      </c>
      <c r="X321" s="479" t="s">
        <v>2276</v>
      </c>
      <c r="Y321" s="479" t="s">
        <v>1533</v>
      </c>
      <c r="Z321" s="479"/>
      <c r="AA321" s="479"/>
      <c r="AB321" s="512" t="s">
        <v>4051</v>
      </c>
    </row>
    <row r="322" spans="1:28" ht="24" customHeight="1">
      <c r="A322" s="591"/>
      <c r="B322" s="510" t="s">
        <v>675</v>
      </c>
      <c r="C322" s="718" t="s">
        <v>4076</v>
      </c>
      <c r="D322" s="510" t="s">
        <v>4077</v>
      </c>
      <c r="E322" s="497">
        <f t="shared" si="24"/>
        <v>200</v>
      </c>
      <c r="F322" s="497">
        <v>0</v>
      </c>
      <c r="G322" s="497">
        <v>200</v>
      </c>
      <c r="H322" s="497">
        <v>0</v>
      </c>
      <c r="I322" s="497">
        <f t="shared" si="25"/>
        <v>180</v>
      </c>
      <c r="J322" s="497">
        <v>0</v>
      </c>
      <c r="K322" s="497">
        <v>180</v>
      </c>
      <c r="L322" s="721">
        <v>0</v>
      </c>
      <c r="M322" s="956">
        <v>0.93</v>
      </c>
      <c r="N322" s="653">
        <v>12.05</v>
      </c>
      <c r="O322" s="720" t="s">
        <v>4073</v>
      </c>
      <c r="P322" s="479" t="s">
        <v>1588</v>
      </c>
      <c r="Q322" s="870">
        <v>0</v>
      </c>
      <c r="R322" s="870">
        <v>0</v>
      </c>
      <c r="S322" s="870">
        <v>0</v>
      </c>
      <c r="T322" s="870">
        <v>0</v>
      </c>
      <c r="U322" s="479" t="s">
        <v>4068</v>
      </c>
      <c r="V322" s="479">
        <v>1995.7</v>
      </c>
      <c r="W322" s="498">
        <v>287</v>
      </c>
      <c r="X322" s="479" t="s">
        <v>2276</v>
      </c>
      <c r="Y322" s="479" t="s">
        <v>1533</v>
      </c>
      <c r="Z322" s="479"/>
      <c r="AA322" s="479"/>
      <c r="AB322" s="512" t="s">
        <v>4051</v>
      </c>
    </row>
    <row r="323" spans="1:28" ht="24" customHeight="1">
      <c r="A323" s="591"/>
      <c r="B323" s="510" t="s">
        <v>675</v>
      </c>
      <c r="C323" s="718" t="s">
        <v>4078</v>
      </c>
      <c r="D323" s="510" t="s">
        <v>4079</v>
      </c>
      <c r="E323" s="497">
        <f t="shared" si="24"/>
        <v>60</v>
      </c>
      <c r="F323" s="497">
        <v>0</v>
      </c>
      <c r="G323" s="497">
        <v>0</v>
      </c>
      <c r="H323" s="497">
        <v>60</v>
      </c>
      <c r="I323" s="497">
        <f t="shared" si="25"/>
        <v>60</v>
      </c>
      <c r="J323" s="497">
        <v>0</v>
      </c>
      <c r="K323" s="497">
        <v>0</v>
      </c>
      <c r="L323" s="721">
        <v>60</v>
      </c>
      <c r="M323" s="956">
        <v>0.85</v>
      </c>
      <c r="N323" s="653">
        <v>3.72</v>
      </c>
      <c r="O323" s="720" t="s">
        <v>4080</v>
      </c>
      <c r="P323" s="479" t="s">
        <v>1588</v>
      </c>
      <c r="Q323" s="870">
        <v>0</v>
      </c>
      <c r="R323" s="870">
        <v>0</v>
      </c>
      <c r="S323" s="870">
        <v>0</v>
      </c>
      <c r="T323" s="870">
        <v>0</v>
      </c>
      <c r="U323" s="479" t="s">
        <v>4068</v>
      </c>
      <c r="V323" s="479">
        <v>2002.6</v>
      </c>
      <c r="W323" s="498">
        <v>332</v>
      </c>
      <c r="X323" s="479" t="s">
        <v>2276</v>
      </c>
      <c r="Y323" s="479" t="s">
        <v>1533</v>
      </c>
      <c r="Z323" s="479"/>
      <c r="AA323" s="479"/>
      <c r="AB323" s="512" t="s">
        <v>4051</v>
      </c>
    </row>
    <row r="324" spans="1:28" ht="24" customHeight="1">
      <c r="A324" s="591"/>
      <c r="B324" s="510" t="s">
        <v>675</v>
      </c>
      <c r="C324" s="718" t="s">
        <v>4081</v>
      </c>
      <c r="D324" s="510" t="s">
        <v>4082</v>
      </c>
      <c r="E324" s="497">
        <f t="shared" si="24"/>
        <v>150</v>
      </c>
      <c r="F324" s="497">
        <v>0</v>
      </c>
      <c r="G324" s="497">
        <v>0</v>
      </c>
      <c r="H324" s="497">
        <v>150</v>
      </c>
      <c r="I324" s="497">
        <f t="shared" si="25"/>
        <v>110</v>
      </c>
      <c r="J324" s="497">
        <v>0</v>
      </c>
      <c r="K324" s="497">
        <v>0</v>
      </c>
      <c r="L324" s="721">
        <v>110</v>
      </c>
      <c r="M324" s="956">
        <v>0.94</v>
      </c>
      <c r="N324" s="653">
        <v>8.8000000000000007</v>
      </c>
      <c r="O324" s="720" t="s">
        <v>4080</v>
      </c>
      <c r="P324" s="479" t="s">
        <v>1588</v>
      </c>
      <c r="Q324" s="870">
        <v>0</v>
      </c>
      <c r="R324" s="870">
        <v>0</v>
      </c>
      <c r="S324" s="870">
        <v>0</v>
      </c>
      <c r="T324" s="870">
        <v>0</v>
      </c>
      <c r="U324" s="479" t="s">
        <v>4068</v>
      </c>
      <c r="V324" s="479">
        <v>1993.1</v>
      </c>
      <c r="W324" s="498">
        <v>165</v>
      </c>
      <c r="X324" s="479" t="s">
        <v>2276</v>
      </c>
      <c r="Y324" s="479" t="s">
        <v>1533</v>
      </c>
      <c r="Z324" s="479"/>
      <c r="AA324" s="479"/>
      <c r="AB324" s="512" t="s">
        <v>4051</v>
      </c>
    </row>
    <row r="325" spans="1:28" ht="24" customHeight="1">
      <c r="A325" s="591"/>
      <c r="B325" s="510" t="s">
        <v>675</v>
      </c>
      <c r="C325" s="718" t="s">
        <v>4083</v>
      </c>
      <c r="D325" s="510" t="s">
        <v>4084</v>
      </c>
      <c r="E325" s="497">
        <f t="shared" si="24"/>
        <v>60</v>
      </c>
      <c r="F325" s="497">
        <v>0</v>
      </c>
      <c r="G325" s="497">
        <v>60</v>
      </c>
      <c r="H325" s="497">
        <v>0</v>
      </c>
      <c r="I325" s="497">
        <f t="shared" si="25"/>
        <v>50</v>
      </c>
      <c r="J325" s="497">
        <v>0</v>
      </c>
      <c r="K325" s="497">
        <v>50</v>
      </c>
      <c r="L325" s="721">
        <v>0</v>
      </c>
      <c r="M325" s="956">
        <v>0.95</v>
      </c>
      <c r="N325" s="653">
        <v>5.2</v>
      </c>
      <c r="O325" s="720" t="s">
        <v>4067</v>
      </c>
      <c r="P325" s="479" t="s">
        <v>1588</v>
      </c>
      <c r="Q325" s="870">
        <v>0</v>
      </c>
      <c r="R325" s="870">
        <v>0</v>
      </c>
      <c r="S325" s="870">
        <v>0</v>
      </c>
      <c r="T325" s="870">
        <v>0</v>
      </c>
      <c r="U325" s="479" t="s">
        <v>4068</v>
      </c>
      <c r="V325" s="479">
        <v>2001.2</v>
      </c>
      <c r="W325" s="498">
        <v>595</v>
      </c>
      <c r="X325" s="479" t="s">
        <v>2276</v>
      </c>
      <c r="Y325" s="479" t="s">
        <v>1533</v>
      </c>
      <c r="Z325" s="479"/>
      <c r="AA325" s="479"/>
      <c r="AB325" s="512" t="s">
        <v>4051</v>
      </c>
    </row>
    <row r="326" spans="1:28" ht="24" customHeight="1">
      <c r="A326" s="591"/>
      <c r="B326" s="510" t="s">
        <v>675</v>
      </c>
      <c r="C326" s="718" t="s">
        <v>4085</v>
      </c>
      <c r="D326" s="510" t="s">
        <v>4086</v>
      </c>
      <c r="E326" s="497">
        <f t="shared" si="24"/>
        <v>200</v>
      </c>
      <c r="F326" s="497">
        <v>0</v>
      </c>
      <c r="G326" s="497">
        <v>200</v>
      </c>
      <c r="H326" s="497">
        <v>0</v>
      </c>
      <c r="I326" s="497">
        <f t="shared" si="25"/>
        <v>0</v>
      </c>
      <c r="J326" s="497">
        <v>0</v>
      </c>
      <c r="K326" s="497">
        <v>0</v>
      </c>
      <c r="L326" s="721">
        <v>0</v>
      </c>
      <c r="M326" s="956">
        <v>0.9</v>
      </c>
      <c r="N326" s="653">
        <v>16.07</v>
      </c>
      <c r="O326" s="720" t="s">
        <v>4073</v>
      </c>
      <c r="P326" s="479" t="s">
        <v>1588</v>
      </c>
      <c r="Q326" s="870">
        <v>0</v>
      </c>
      <c r="R326" s="870">
        <v>0</v>
      </c>
      <c r="S326" s="870">
        <v>0</v>
      </c>
      <c r="T326" s="870">
        <v>0</v>
      </c>
      <c r="U326" s="479" t="s">
        <v>4068</v>
      </c>
      <c r="V326" s="479">
        <v>1994.12</v>
      </c>
      <c r="W326" s="498">
        <v>259</v>
      </c>
      <c r="X326" s="479" t="s">
        <v>2276</v>
      </c>
      <c r="Y326" s="479" t="s">
        <v>1533</v>
      </c>
      <c r="Z326" s="479"/>
      <c r="AA326" s="479"/>
      <c r="AB326" s="512" t="s">
        <v>4051</v>
      </c>
    </row>
    <row r="327" spans="1:28" ht="24" customHeight="1">
      <c r="A327" s="591"/>
      <c r="B327" s="510" t="s">
        <v>675</v>
      </c>
      <c r="C327" s="718" t="s">
        <v>4087</v>
      </c>
      <c r="D327" s="510" t="s">
        <v>4088</v>
      </c>
      <c r="E327" s="497">
        <f t="shared" si="24"/>
        <v>70</v>
      </c>
      <c r="F327" s="497">
        <v>0</v>
      </c>
      <c r="G327" s="497">
        <v>0</v>
      </c>
      <c r="H327" s="497">
        <v>70</v>
      </c>
      <c r="I327" s="497">
        <f t="shared" si="25"/>
        <v>0</v>
      </c>
      <c r="J327" s="497">
        <v>0</v>
      </c>
      <c r="K327" s="497">
        <v>0</v>
      </c>
      <c r="L327" s="721">
        <v>0</v>
      </c>
      <c r="M327" s="956">
        <v>0.95</v>
      </c>
      <c r="N327" s="653">
        <v>3.91</v>
      </c>
      <c r="O327" s="720" t="s">
        <v>4089</v>
      </c>
      <c r="P327" s="479" t="s">
        <v>1588</v>
      </c>
      <c r="Q327" s="870">
        <v>0</v>
      </c>
      <c r="R327" s="870">
        <v>0</v>
      </c>
      <c r="S327" s="870">
        <v>0</v>
      </c>
      <c r="T327" s="870">
        <v>0</v>
      </c>
      <c r="U327" s="479" t="s">
        <v>4068</v>
      </c>
      <c r="V327" s="479">
        <v>1995.5</v>
      </c>
      <c r="W327" s="498">
        <v>85</v>
      </c>
      <c r="X327" s="479" t="s">
        <v>2276</v>
      </c>
      <c r="Y327" s="479" t="s">
        <v>1533</v>
      </c>
      <c r="Z327" s="479"/>
      <c r="AA327" s="479"/>
      <c r="AB327" s="512" t="s">
        <v>4051</v>
      </c>
    </row>
    <row r="328" spans="1:28" ht="24" customHeight="1">
      <c r="A328" s="591"/>
      <c r="B328" s="510" t="s">
        <v>675</v>
      </c>
      <c r="C328" s="718" t="s">
        <v>4090</v>
      </c>
      <c r="D328" s="510" t="s">
        <v>4091</v>
      </c>
      <c r="E328" s="497">
        <f t="shared" si="24"/>
        <v>60</v>
      </c>
      <c r="F328" s="497">
        <v>0</v>
      </c>
      <c r="G328" s="497">
        <v>0</v>
      </c>
      <c r="H328" s="497">
        <v>60</v>
      </c>
      <c r="I328" s="497">
        <f t="shared" si="25"/>
        <v>0</v>
      </c>
      <c r="J328" s="497">
        <v>0</v>
      </c>
      <c r="K328" s="497">
        <v>0</v>
      </c>
      <c r="L328" s="721">
        <v>0</v>
      </c>
      <c r="M328" s="956">
        <v>0.96</v>
      </c>
      <c r="N328" s="653">
        <v>9.67</v>
      </c>
      <c r="O328" s="720" t="s">
        <v>4080</v>
      </c>
      <c r="P328" s="479" t="s">
        <v>1588</v>
      </c>
      <c r="Q328" s="870">
        <v>0</v>
      </c>
      <c r="R328" s="870">
        <v>0</v>
      </c>
      <c r="S328" s="870">
        <v>0</v>
      </c>
      <c r="T328" s="870">
        <v>0</v>
      </c>
      <c r="U328" s="479" t="s">
        <v>4068</v>
      </c>
      <c r="V328" s="479">
        <v>2001.4</v>
      </c>
      <c r="W328" s="498">
        <v>355</v>
      </c>
      <c r="X328" s="479" t="s">
        <v>2276</v>
      </c>
      <c r="Y328" s="479" t="s">
        <v>1533</v>
      </c>
      <c r="Z328" s="479"/>
      <c r="AA328" s="479"/>
      <c r="AB328" s="512" t="s">
        <v>4051</v>
      </c>
    </row>
    <row r="329" spans="1:28" ht="24" customHeight="1">
      <c r="A329" s="591"/>
      <c r="B329" s="510" t="s">
        <v>675</v>
      </c>
      <c r="C329" s="718" t="s">
        <v>4092</v>
      </c>
      <c r="D329" s="510" t="s">
        <v>4093</v>
      </c>
      <c r="E329" s="497">
        <f t="shared" si="24"/>
        <v>60</v>
      </c>
      <c r="F329" s="497">
        <v>0</v>
      </c>
      <c r="G329" s="497">
        <v>60</v>
      </c>
      <c r="H329" s="497">
        <v>0</v>
      </c>
      <c r="I329" s="497">
        <f t="shared" si="25"/>
        <v>60</v>
      </c>
      <c r="J329" s="497">
        <v>0</v>
      </c>
      <c r="K329" s="497">
        <v>60</v>
      </c>
      <c r="L329" s="721">
        <v>0</v>
      </c>
      <c r="M329" s="956">
        <v>0.82</v>
      </c>
      <c r="N329" s="653">
        <v>9.64</v>
      </c>
      <c r="O329" s="720" t="s">
        <v>4094</v>
      </c>
      <c r="P329" s="479" t="s">
        <v>1588</v>
      </c>
      <c r="Q329" s="870">
        <v>0</v>
      </c>
      <c r="R329" s="870">
        <v>0</v>
      </c>
      <c r="S329" s="870">
        <v>0</v>
      </c>
      <c r="T329" s="870">
        <v>0</v>
      </c>
      <c r="U329" s="479" t="s">
        <v>4068</v>
      </c>
      <c r="V329" s="479">
        <v>1998.11</v>
      </c>
      <c r="W329" s="498">
        <v>288</v>
      </c>
      <c r="X329" s="479" t="s">
        <v>2276</v>
      </c>
      <c r="Y329" s="479" t="s">
        <v>1533</v>
      </c>
      <c r="Z329" s="479"/>
      <c r="AA329" s="479"/>
      <c r="AB329" s="512" t="s">
        <v>4051</v>
      </c>
    </row>
    <row r="330" spans="1:28" ht="24" customHeight="1">
      <c r="A330" s="591"/>
      <c r="B330" s="510" t="s">
        <v>675</v>
      </c>
      <c r="C330" s="718" t="s">
        <v>4095</v>
      </c>
      <c r="D330" s="510" t="s">
        <v>4096</v>
      </c>
      <c r="E330" s="497">
        <f t="shared" si="24"/>
        <v>60</v>
      </c>
      <c r="F330" s="497">
        <v>0</v>
      </c>
      <c r="G330" s="497">
        <v>60</v>
      </c>
      <c r="H330" s="497">
        <v>0</v>
      </c>
      <c r="I330" s="497">
        <f t="shared" si="25"/>
        <v>60</v>
      </c>
      <c r="J330" s="497">
        <v>0</v>
      </c>
      <c r="K330" s="497">
        <v>60</v>
      </c>
      <c r="L330" s="721">
        <v>0</v>
      </c>
      <c r="M330" s="956">
        <v>0.75</v>
      </c>
      <c r="N330" s="653">
        <v>1.4</v>
      </c>
      <c r="O330" s="720" t="s">
        <v>4094</v>
      </c>
      <c r="P330" s="479" t="s">
        <v>1588</v>
      </c>
      <c r="Q330" s="870">
        <v>0</v>
      </c>
      <c r="R330" s="870">
        <v>0</v>
      </c>
      <c r="S330" s="870">
        <v>0</v>
      </c>
      <c r="T330" s="870">
        <v>0</v>
      </c>
      <c r="U330" s="479" t="s">
        <v>4068</v>
      </c>
      <c r="V330" s="479">
        <v>1993.1</v>
      </c>
      <c r="W330" s="498">
        <v>392</v>
      </c>
      <c r="X330" s="479" t="s">
        <v>2276</v>
      </c>
      <c r="Y330" s="479" t="s">
        <v>1533</v>
      </c>
      <c r="Z330" s="479"/>
      <c r="AA330" s="479"/>
      <c r="AB330" s="512" t="s">
        <v>4051</v>
      </c>
    </row>
    <row r="331" spans="1:28" ht="24" customHeight="1">
      <c r="A331" s="588"/>
      <c r="B331" s="510" t="s">
        <v>675</v>
      </c>
      <c r="C331" s="718" t="s">
        <v>4097</v>
      </c>
      <c r="D331" s="510" t="s">
        <v>4098</v>
      </c>
      <c r="E331" s="497">
        <f t="shared" si="24"/>
        <v>170</v>
      </c>
      <c r="F331" s="497">
        <v>0</v>
      </c>
      <c r="G331" s="497">
        <v>0</v>
      </c>
      <c r="H331" s="497">
        <v>170</v>
      </c>
      <c r="I331" s="497">
        <f t="shared" si="25"/>
        <v>0</v>
      </c>
      <c r="J331" s="497">
        <v>0</v>
      </c>
      <c r="K331" s="497">
        <v>0</v>
      </c>
      <c r="L331" s="721">
        <v>0</v>
      </c>
      <c r="M331" s="956">
        <v>0</v>
      </c>
      <c r="N331" s="653" t="s">
        <v>4099</v>
      </c>
      <c r="O331" s="720" t="s">
        <v>4100</v>
      </c>
      <c r="P331" s="479" t="s">
        <v>1588</v>
      </c>
      <c r="Q331" s="870">
        <v>0</v>
      </c>
      <c r="R331" s="870">
        <v>0</v>
      </c>
      <c r="S331" s="870">
        <v>0</v>
      </c>
      <c r="T331" s="870">
        <v>0</v>
      </c>
      <c r="U331" s="479" t="s">
        <v>4068</v>
      </c>
      <c r="V331" s="479" t="s">
        <v>2152</v>
      </c>
      <c r="W331" s="498">
        <v>1206</v>
      </c>
      <c r="X331" s="479" t="s">
        <v>2276</v>
      </c>
      <c r="Y331" s="479" t="s">
        <v>1533</v>
      </c>
      <c r="Z331" s="479"/>
      <c r="AA331" s="479"/>
      <c r="AB331" s="512" t="s">
        <v>4051</v>
      </c>
    </row>
    <row r="332" spans="1:28" ht="24" customHeight="1">
      <c r="A332" s="584" t="s">
        <v>1616</v>
      </c>
      <c r="B332" s="458" t="s">
        <v>5940</v>
      </c>
      <c r="C332" s="579"/>
      <c r="D332" s="579"/>
      <c r="E332" s="498" t="s">
        <v>6154</v>
      </c>
      <c r="F332" s="498">
        <v>0</v>
      </c>
      <c r="G332" s="498" t="s">
        <v>6155</v>
      </c>
      <c r="H332" s="498" t="s">
        <v>6156</v>
      </c>
      <c r="I332" s="498" t="s">
        <v>6157</v>
      </c>
      <c r="J332" s="498">
        <v>0</v>
      </c>
      <c r="K332" s="498" t="s">
        <v>6158</v>
      </c>
      <c r="L332" s="668" t="s">
        <v>6159</v>
      </c>
      <c r="M332" s="956"/>
      <c r="N332" s="659" t="s">
        <v>7396</v>
      </c>
      <c r="O332" s="669" t="s">
        <v>1588</v>
      </c>
      <c r="P332" s="463" t="s">
        <v>1588</v>
      </c>
      <c r="Q332" s="852">
        <f>SUM(Q333:Q482)</f>
        <v>195.67000000000002</v>
      </c>
      <c r="R332" s="852">
        <f>SUM(R333:R482)</f>
        <v>28.33</v>
      </c>
      <c r="S332" s="852">
        <f>SUM(S333:S482)</f>
        <v>44</v>
      </c>
      <c r="T332" s="852">
        <f>SUM(T333:T482)</f>
        <v>178</v>
      </c>
      <c r="U332" s="463"/>
      <c r="V332" s="463"/>
      <c r="W332" s="498">
        <f>SUM(W333:W482)</f>
        <v>562314.9</v>
      </c>
      <c r="X332" s="463"/>
      <c r="Y332" s="463"/>
      <c r="Z332" s="463"/>
      <c r="AA332" s="463"/>
      <c r="AB332" s="459"/>
    </row>
    <row r="333" spans="1:28" ht="24" customHeight="1">
      <c r="A333" s="590" t="s">
        <v>1856</v>
      </c>
      <c r="B333" s="510" t="s">
        <v>2239</v>
      </c>
      <c r="C333" s="718" t="s">
        <v>2390</v>
      </c>
      <c r="D333" s="510" t="s">
        <v>4101</v>
      </c>
      <c r="E333" s="497">
        <f t="shared" ref="E333:E347" si="26">SUM(F333:H333)</f>
        <v>11000</v>
      </c>
      <c r="F333" s="497">
        <v>0</v>
      </c>
      <c r="G333" s="497">
        <v>0</v>
      </c>
      <c r="H333" s="497">
        <v>11000</v>
      </c>
      <c r="I333" s="497">
        <f t="shared" si="25"/>
        <v>11641</v>
      </c>
      <c r="J333" s="497">
        <v>0</v>
      </c>
      <c r="K333" s="497">
        <v>0</v>
      </c>
      <c r="L333" s="497">
        <v>11641</v>
      </c>
      <c r="M333" s="956">
        <v>0.93457943925233644</v>
      </c>
      <c r="N333" s="653">
        <v>349.23000000000008</v>
      </c>
      <c r="O333" s="720" t="s">
        <v>733</v>
      </c>
      <c r="P333" s="479" t="s">
        <v>4102</v>
      </c>
      <c r="Q333" s="872">
        <v>39.67</v>
      </c>
      <c r="R333" s="872">
        <v>28.33</v>
      </c>
      <c r="S333" s="872">
        <v>44</v>
      </c>
      <c r="T333" s="872">
        <v>0</v>
      </c>
      <c r="U333" s="479" t="s">
        <v>2258</v>
      </c>
      <c r="V333" s="517" t="s">
        <v>2055</v>
      </c>
      <c r="W333" s="498">
        <v>311139</v>
      </c>
      <c r="X333" s="479" t="s">
        <v>2276</v>
      </c>
      <c r="Y333" s="479" t="s">
        <v>636</v>
      </c>
      <c r="Z333" s="479" t="s">
        <v>4103</v>
      </c>
      <c r="AA333" s="479" t="s">
        <v>1595</v>
      </c>
      <c r="AB333" s="512" t="s">
        <v>1595</v>
      </c>
    </row>
    <row r="334" spans="1:28" ht="24" customHeight="1">
      <c r="A334" s="591"/>
      <c r="B334" s="510" t="s">
        <v>3837</v>
      </c>
      <c r="C334" s="718" t="s">
        <v>4104</v>
      </c>
      <c r="D334" s="510" t="s">
        <v>4105</v>
      </c>
      <c r="E334" s="497">
        <f t="shared" si="26"/>
        <v>200</v>
      </c>
      <c r="F334" s="497">
        <v>0</v>
      </c>
      <c r="G334" s="497">
        <v>200</v>
      </c>
      <c r="H334" s="497">
        <v>0</v>
      </c>
      <c r="I334" s="497">
        <f t="shared" si="25"/>
        <v>160</v>
      </c>
      <c r="J334" s="497">
        <v>0</v>
      </c>
      <c r="K334" s="497">
        <v>160</v>
      </c>
      <c r="L334" s="497">
        <v>0</v>
      </c>
      <c r="M334" s="959">
        <v>0.92840909090909096</v>
      </c>
      <c r="N334" s="653">
        <v>13.071999999999999</v>
      </c>
      <c r="O334" s="722" t="s">
        <v>4106</v>
      </c>
      <c r="P334" s="479" t="s">
        <v>1588</v>
      </c>
      <c r="Q334" s="872">
        <v>0</v>
      </c>
      <c r="R334" s="872">
        <v>0</v>
      </c>
      <c r="S334" s="872">
        <v>0</v>
      </c>
      <c r="T334" s="872">
        <v>0</v>
      </c>
      <c r="U334" s="479" t="s">
        <v>2258</v>
      </c>
      <c r="V334" s="517" t="s">
        <v>4107</v>
      </c>
      <c r="W334" s="498">
        <v>240</v>
      </c>
      <c r="X334" s="479" t="s">
        <v>2276</v>
      </c>
      <c r="Y334" s="479" t="s">
        <v>636</v>
      </c>
      <c r="Z334" s="479" t="s">
        <v>4103</v>
      </c>
      <c r="AA334" s="479" t="s">
        <v>1595</v>
      </c>
      <c r="AB334" s="512" t="s">
        <v>1595</v>
      </c>
    </row>
    <row r="335" spans="1:28" ht="24" customHeight="1">
      <c r="A335" s="591"/>
      <c r="B335" s="510" t="s">
        <v>3837</v>
      </c>
      <c r="C335" s="718" t="s">
        <v>4108</v>
      </c>
      <c r="D335" s="510" t="s">
        <v>4109</v>
      </c>
      <c r="E335" s="497">
        <f t="shared" si="26"/>
        <v>40</v>
      </c>
      <c r="F335" s="497">
        <v>0</v>
      </c>
      <c r="G335" s="497">
        <v>40</v>
      </c>
      <c r="H335" s="497">
        <v>0</v>
      </c>
      <c r="I335" s="497">
        <f t="shared" si="25"/>
        <v>32</v>
      </c>
      <c r="J335" s="497">
        <v>0</v>
      </c>
      <c r="K335" s="497">
        <v>32</v>
      </c>
      <c r="L335" s="497">
        <v>0</v>
      </c>
      <c r="M335" s="959">
        <v>0.90059642147117291</v>
      </c>
      <c r="N335" s="653">
        <v>1.4496</v>
      </c>
      <c r="O335" s="722" t="s">
        <v>4106</v>
      </c>
      <c r="P335" s="479" t="s">
        <v>1588</v>
      </c>
      <c r="Q335" s="872">
        <v>0</v>
      </c>
      <c r="R335" s="872">
        <v>0</v>
      </c>
      <c r="S335" s="872">
        <v>0</v>
      </c>
      <c r="T335" s="872">
        <v>0</v>
      </c>
      <c r="U335" s="479" t="s">
        <v>2258</v>
      </c>
      <c r="V335" s="517" t="s">
        <v>4110</v>
      </c>
      <c r="W335" s="498">
        <v>117</v>
      </c>
      <c r="X335" s="479" t="s">
        <v>2276</v>
      </c>
      <c r="Y335" s="479" t="s">
        <v>636</v>
      </c>
      <c r="Z335" s="479" t="s">
        <v>4103</v>
      </c>
      <c r="AA335" s="479" t="s">
        <v>1595</v>
      </c>
      <c r="AB335" s="512" t="s">
        <v>1595</v>
      </c>
    </row>
    <row r="336" spans="1:28" ht="24" customHeight="1">
      <c r="A336" s="591"/>
      <c r="B336" s="510" t="s">
        <v>3837</v>
      </c>
      <c r="C336" s="718" t="s">
        <v>4111</v>
      </c>
      <c r="D336" s="510" t="s">
        <v>4112</v>
      </c>
      <c r="E336" s="497">
        <f t="shared" si="26"/>
        <v>150</v>
      </c>
      <c r="F336" s="497">
        <v>0</v>
      </c>
      <c r="G336" s="497">
        <v>150</v>
      </c>
      <c r="H336" s="497">
        <v>0</v>
      </c>
      <c r="I336" s="497">
        <f t="shared" si="25"/>
        <v>120</v>
      </c>
      <c r="J336" s="497">
        <v>0</v>
      </c>
      <c r="K336" s="497">
        <v>120</v>
      </c>
      <c r="L336" s="497">
        <v>0</v>
      </c>
      <c r="M336" s="959">
        <v>0.93703703703703711</v>
      </c>
      <c r="N336" s="653">
        <v>9.1080000000000005</v>
      </c>
      <c r="O336" s="722" t="s">
        <v>4106</v>
      </c>
      <c r="P336" s="479" t="s">
        <v>1588</v>
      </c>
      <c r="Q336" s="872">
        <v>0</v>
      </c>
      <c r="R336" s="872">
        <v>0</v>
      </c>
      <c r="S336" s="872">
        <v>0</v>
      </c>
      <c r="T336" s="872">
        <v>0</v>
      </c>
      <c r="U336" s="479" t="s">
        <v>2258</v>
      </c>
      <c r="V336" s="517" t="s">
        <v>643</v>
      </c>
      <c r="W336" s="498">
        <v>212</v>
      </c>
      <c r="X336" s="479" t="s">
        <v>2276</v>
      </c>
      <c r="Y336" s="479" t="s">
        <v>636</v>
      </c>
      <c r="Z336" s="479" t="s">
        <v>4103</v>
      </c>
      <c r="AA336" s="479" t="s">
        <v>1595</v>
      </c>
      <c r="AB336" s="512" t="s">
        <v>1595</v>
      </c>
    </row>
    <row r="337" spans="1:28" ht="24" customHeight="1">
      <c r="A337" s="591"/>
      <c r="B337" s="510" t="s">
        <v>3837</v>
      </c>
      <c r="C337" s="718" t="s">
        <v>4113</v>
      </c>
      <c r="D337" s="510" t="s">
        <v>4114</v>
      </c>
      <c r="E337" s="497">
        <f t="shared" si="26"/>
        <v>75</v>
      </c>
      <c r="F337" s="497">
        <v>0</v>
      </c>
      <c r="G337" s="497">
        <v>75</v>
      </c>
      <c r="H337" s="497">
        <v>0</v>
      </c>
      <c r="I337" s="497">
        <f t="shared" si="25"/>
        <v>60</v>
      </c>
      <c r="J337" s="497">
        <v>0</v>
      </c>
      <c r="K337" s="497">
        <v>60</v>
      </c>
      <c r="L337" s="497">
        <v>0</v>
      </c>
      <c r="M337" s="959">
        <v>0.92</v>
      </c>
      <c r="N337" s="653">
        <v>4.1399999999999997</v>
      </c>
      <c r="O337" s="722" t="s">
        <v>4106</v>
      </c>
      <c r="P337" s="479" t="s">
        <v>698</v>
      </c>
      <c r="Q337" s="872">
        <v>0</v>
      </c>
      <c r="R337" s="872">
        <v>0</v>
      </c>
      <c r="S337" s="872">
        <v>0</v>
      </c>
      <c r="T337" s="872">
        <v>0</v>
      </c>
      <c r="U337" s="479" t="s">
        <v>2258</v>
      </c>
      <c r="V337" s="517" t="s">
        <v>4115</v>
      </c>
      <c r="W337" s="498">
        <v>477</v>
      </c>
      <c r="X337" s="479" t="s">
        <v>2276</v>
      </c>
      <c r="Y337" s="479" t="s">
        <v>636</v>
      </c>
      <c r="Z337" s="479" t="s">
        <v>4103</v>
      </c>
      <c r="AA337" s="479" t="s">
        <v>1595</v>
      </c>
      <c r="AB337" s="512" t="s">
        <v>1595</v>
      </c>
    </row>
    <row r="338" spans="1:28" ht="24" customHeight="1">
      <c r="A338" s="591"/>
      <c r="B338" s="510" t="s">
        <v>3837</v>
      </c>
      <c r="C338" s="718" t="s">
        <v>4116</v>
      </c>
      <c r="D338" s="510" t="s">
        <v>4117</v>
      </c>
      <c r="E338" s="497">
        <f t="shared" si="26"/>
        <v>300</v>
      </c>
      <c r="F338" s="497">
        <v>0</v>
      </c>
      <c r="G338" s="497">
        <v>300</v>
      </c>
      <c r="H338" s="497">
        <v>0</v>
      </c>
      <c r="I338" s="497">
        <f t="shared" si="25"/>
        <v>240</v>
      </c>
      <c r="J338" s="497">
        <v>0</v>
      </c>
      <c r="K338" s="497">
        <v>240</v>
      </c>
      <c r="L338" s="497">
        <v>0</v>
      </c>
      <c r="M338" s="959">
        <v>0.87393526405451449</v>
      </c>
      <c r="N338" s="653">
        <v>12.311999999999999</v>
      </c>
      <c r="O338" s="722" t="s">
        <v>4106</v>
      </c>
      <c r="P338" s="479" t="s">
        <v>1588</v>
      </c>
      <c r="Q338" s="872">
        <v>0</v>
      </c>
      <c r="R338" s="872">
        <v>0</v>
      </c>
      <c r="S338" s="872">
        <v>0</v>
      </c>
      <c r="T338" s="872">
        <v>0</v>
      </c>
      <c r="U338" s="479" t="s">
        <v>2258</v>
      </c>
      <c r="V338" s="517" t="s">
        <v>4118</v>
      </c>
      <c r="W338" s="498">
        <v>244</v>
      </c>
      <c r="X338" s="479" t="s">
        <v>2276</v>
      </c>
      <c r="Y338" s="479" t="s">
        <v>636</v>
      </c>
      <c r="Z338" s="479" t="s">
        <v>4103</v>
      </c>
      <c r="AA338" s="479" t="s">
        <v>1595</v>
      </c>
      <c r="AB338" s="512" t="s">
        <v>1595</v>
      </c>
    </row>
    <row r="339" spans="1:28" ht="24" customHeight="1">
      <c r="A339" s="591"/>
      <c r="B339" s="510" t="s">
        <v>3837</v>
      </c>
      <c r="C339" s="718" t="s">
        <v>4119</v>
      </c>
      <c r="D339" s="510" t="s">
        <v>4120</v>
      </c>
      <c r="E339" s="497">
        <f t="shared" si="26"/>
        <v>250</v>
      </c>
      <c r="F339" s="497">
        <v>0</v>
      </c>
      <c r="G339" s="497">
        <v>250</v>
      </c>
      <c r="H339" s="497">
        <v>0</v>
      </c>
      <c r="I339" s="497">
        <f t="shared" ref="I339:I376" si="27">SUM(J339:L339)</f>
        <v>200</v>
      </c>
      <c r="J339" s="497">
        <v>0</v>
      </c>
      <c r="K339" s="497">
        <v>200</v>
      </c>
      <c r="L339" s="497">
        <v>0</v>
      </c>
      <c r="M339" s="959">
        <v>0.93911248710010331</v>
      </c>
      <c r="N339" s="653">
        <v>18.2</v>
      </c>
      <c r="O339" s="722" t="s">
        <v>4106</v>
      </c>
      <c r="P339" s="479" t="s">
        <v>1588</v>
      </c>
      <c r="Q339" s="872">
        <v>0</v>
      </c>
      <c r="R339" s="872">
        <v>0</v>
      </c>
      <c r="S339" s="872">
        <v>0</v>
      </c>
      <c r="T339" s="872">
        <v>0</v>
      </c>
      <c r="U339" s="479" t="s">
        <v>2258</v>
      </c>
      <c r="V339" s="517" t="s">
        <v>4121</v>
      </c>
      <c r="W339" s="498">
        <v>284</v>
      </c>
      <c r="X339" s="479" t="s">
        <v>2276</v>
      </c>
      <c r="Y339" s="479" t="s">
        <v>636</v>
      </c>
      <c r="Z339" s="479" t="s">
        <v>4103</v>
      </c>
      <c r="AA339" s="479" t="s">
        <v>1595</v>
      </c>
      <c r="AB339" s="512" t="s">
        <v>1595</v>
      </c>
    </row>
    <row r="340" spans="1:28" ht="24" customHeight="1">
      <c r="A340" s="591"/>
      <c r="B340" s="510" t="s">
        <v>3837</v>
      </c>
      <c r="C340" s="718" t="s">
        <v>4122</v>
      </c>
      <c r="D340" s="510" t="s">
        <v>4123</v>
      </c>
      <c r="E340" s="497">
        <f t="shared" si="26"/>
        <v>40</v>
      </c>
      <c r="F340" s="497">
        <v>0</v>
      </c>
      <c r="G340" s="497">
        <v>40</v>
      </c>
      <c r="H340" s="497">
        <v>0</v>
      </c>
      <c r="I340" s="497">
        <f t="shared" si="27"/>
        <v>32</v>
      </c>
      <c r="J340" s="497">
        <v>0</v>
      </c>
      <c r="K340" s="497">
        <v>32</v>
      </c>
      <c r="L340" s="497">
        <v>0</v>
      </c>
      <c r="M340" s="959">
        <v>0.89873417721518989</v>
      </c>
      <c r="N340" s="653">
        <v>1.5903999999999998</v>
      </c>
      <c r="O340" s="722" t="s">
        <v>4106</v>
      </c>
      <c r="P340" s="479" t="s">
        <v>1588</v>
      </c>
      <c r="Q340" s="872">
        <v>0</v>
      </c>
      <c r="R340" s="872">
        <v>0</v>
      </c>
      <c r="S340" s="872">
        <v>0</v>
      </c>
      <c r="T340" s="872">
        <v>0</v>
      </c>
      <c r="U340" s="479" t="s">
        <v>2258</v>
      </c>
      <c r="V340" s="517" t="s">
        <v>4124</v>
      </c>
      <c r="W340" s="498">
        <v>160</v>
      </c>
      <c r="X340" s="479" t="s">
        <v>2276</v>
      </c>
      <c r="Y340" s="479" t="s">
        <v>636</v>
      </c>
      <c r="Z340" s="479" t="s">
        <v>4103</v>
      </c>
      <c r="AA340" s="479" t="s">
        <v>1595</v>
      </c>
      <c r="AB340" s="512" t="s">
        <v>1595</v>
      </c>
    </row>
    <row r="341" spans="1:28" ht="24" customHeight="1">
      <c r="A341" s="591"/>
      <c r="B341" s="510" t="s">
        <v>3837</v>
      </c>
      <c r="C341" s="718" t="s">
        <v>4125</v>
      </c>
      <c r="D341" s="510" t="s">
        <v>4126</v>
      </c>
      <c r="E341" s="497">
        <f t="shared" si="26"/>
        <v>35</v>
      </c>
      <c r="F341" s="497">
        <v>0</v>
      </c>
      <c r="G341" s="497">
        <v>35</v>
      </c>
      <c r="H341" s="497">
        <v>0</v>
      </c>
      <c r="I341" s="497">
        <f t="shared" si="27"/>
        <v>28</v>
      </c>
      <c r="J341" s="497">
        <v>0</v>
      </c>
      <c r="K341" s="497">
        <v>28</v>
      </c>
      <c r="L341" s="497">
        <v>0</v>
      </c>
      <c r="M341" s="959">
        <v>0.83823529411764708</v>
      </c>
      <c r="N341" s="653">
        <v>0.79800000000000004</v>
      </c>
      <c r="O341" s="722" t="s">
        <v>4106</v>
      </c>
      <c r="P341" s="479" t="s">
        <v>1588</v>
      </c>
      <c r="Q341" s="872">
        <v>0</v>
      </c>
      <c r="R341" s="872">
        <v>0</v>
      </c>
      <c r="S341" s="872">
        <v>0</v>
      </c>
      <c r="T341" s="872">
        <v>0</v>
      </c>
      <c r="U341" s="479" t="s">
        <v>2258</v>
      </c>
      <c r="V341" s="517" t="s">
        <v>4127</v>
      </c>
      <c r="W341" s="498">
        <v>167</v>
      </c>
      <c r="X341" s="479" t="s">
        <v>2276</v>
      </c>
      <c r="Y341" s="479" t="s">
        <v>636</v>
      </c>
      <c r="Z341" s="479" t="s">
        <v>4103</v>
      </c>
      <c r="AA341" s="479" t="s">
        <v>1595</v>
      </c>
      <c r="AB341" s="512" t="s">
        <v>1595</v>
      </c>
    </row>
    <row r="342" spans="1:28" ht="24" customHeight="1">
      <c r="A342" s="591"/>
      <c r="B342" s="510" t="s">
        <v>3837</v>
      </c>
      <c r="C342" s="718" t="s">
        <v>4128</v>
      </c>
      <c r="D342" s="510" t="s">
        <v>4129</v>
      </c>
      <c r="E342" s="497">
        <f t="shared" si="26"/>
        <v>60</v>
      </c>
      <c r="F342" s="497">
        <v>0</v>
      </c>
      <c r="G342" s="497">
        <v>60</v>
      </c>
      <c r="H342" s="497">
        <v>0</v>
      </c>
      <c r="I342" s="497">
        <f t="shared" si="27"/>
        <v>48</v>
      </c>
      <c r="J342" s="497">
        <v>0</v>
      </c>
      <c r="K342" s="497">
        <v>48</v>
      </c>
      <c r="L342" s="497">
        <v>0</v>
      </c>
      <c r="M342" s="959">
        <v>0.95871559633027525</v>
      </c>
      <c r="N342" s="653">
        <v>5.016</v>
      </c>
      <c r="O342" s="722" t="s">
        <v>4130</v>
      </c>
      <c r="P342" s="479" t="s">
        <v>1588</v>
      </c>
      <c r="Q342" s="872">
        <v>0</v>
      </c>
      <c r="R342" s="872">
        <v>0</v>
      </c>
      <c r="S342" s="872">
        <v>0</v>
      </c>
      <c r="T342" s="872">
        <v>0</v>
      </c>
      <c r="U342" s="479" t="s">
        <v>2258</v>
      </c>
      <c r="V342" s="517" t="s">
        <v>4131</v>
      </c>
      <c r="W342" s="498">
        <v>225</v>
      </c>
      <c r="X342" s="479" t="s">
        <v>2276</v>
      </c>
      <c r="Y342" s="479" t="s">
        <v>636</v>
      </c>
      <c r="Z342" s="479" t="s">
        <v>4103</v>
      </c>
      <c r="AA342" s="479" t="s">
        <v>1595</v>
      </c>
      <c r="AB342" s="512" t="s">
        <v>1595</v>
      </c>
    </row>
    <row r="343" spans="1:28" ht="24" customHeight="1">
      <c r="A343" s="591"/>
      <c r="B343" s="510" t="s">
        <v>3837</v>
      </c>
      <c r="C343" s="718" t="s">
        <v>4132</v>
      </c>
      <c r="D343" s="510" t="s">
        <v>4133</v>
      </c>
      <c r="E343" s="497">
        <f t="shared" si="26"/>
        <v>105</v>
      </c>
      <c r="F343" s="497">
        <v>0</v>
      </c>
      <c r="G343" s="497">
        <v>105</v>
      </c>
      <c r="H343" s="497">
        <v>0</v>
      </c>
      <c r="I343" s="497">
        <f t="shared" si="27"/>
        <v>105</v>
      </c>
      <c r="J343" s="497">
        <v>0</v>
      </c>
      <c r="K343" s="497">
        <v>105</v>
      </c>
      <c r="L343" s="497">
        <v>0</v>
      </c>
      <c r="M343" s="959">
        <v>0.88888888888888884</v>
      </c>
      <c r="N343" s="653">
        <v>2.6040000000000001</v>
      </c>
      <c r="O343" s="722" t="s">
        <v>4106</v>
      </c>
      <c r="P343" s="479" t="s">
        <v>1588</v>
      </c>
      <c r="Q343" s="872">
        <v>0</v>
      </c>
      <c r="R343" s="872">
        <v>0</v>
      </c>
      <c r="S343" s="872">
        <v>0</v>
      </c>
      <c r="T343" s="872">
        <v>0</v>
      </c>
      <c r="U343" s="479" t="s">
        <v>2258</v>
      </c>
      <c r="V343" s="517" t="s">
        <v>4134</v>
      </c>
      <c r="W343" s="498">
        <v>325</v>
      </c>
      <c r="X343" s="479" t="s">
        <v>2276</v>
      </c>
      <c r="Y343" s="479" t="s">
        <v>636</v>
      </c>
      <c r="Z343" s="479" t="s">
        <v>4103</v>
      </c>
      <c r="AA343" s="479" t="s">
        <v>1595</v>
      </c>
      <c r="AB343" s="512" t="s">
        <v>1595</v>
      </c>
    </row>
    <row r="344" spans="1:28" ht="24" customHeight="1">
      <c r="A344" s="591"/>
      <c r="B344" s="510" t="s">
        <v>3837</v>
      </c>
      <c r="C344" s="718" t="s">
        <v>4135</v>
      </c>
      <c r="D344" s="510" t="s">
        <v>4136</v>
      </c>
      <c r="E344" s="497">
        <f t="shared" si="26"/>
        <v>360</v>
      </c>
      <c r="F344" s="497">
        <v>0</v>
      </c>
      <c r="G344" s="497">
        <v>360</v>
      </c>
      <c r="H344" s="497">
        <v>0</v>
      </c>
      <c r="I344" s="497">
        <f t="shared" si="27"/>
        <v>288</v>
      </c>
      <c r="J344" s="497">
        <v>0</v>
      </c>
      <c r="K344" s="497">
        <v>288</v>
      </c>
      <c r="L344" s="497">
        <v>0</v>
      </c>
      <c r="M344" s="959">
        <v>0.92964824120603007</v>
      </c>
      <c r="N344" s="653">
        <v>26.64</v>
      </c>
      <c r="O344" s="722" t="s">
        <v>4106</v>
      </c>
      <c r="P344" s="479" t="s">
        <v>1588</v>
      </c>
      <c r="Q344" s="872">
        <v>0</v>
      </c>
      <c r="R344" s="872">
        <v>0</v>
      </c>
      <c r="S344" s="872">
        <v>0</v>
      </c>
      <c r="T344" s="872">
        <v>0</v>
      </c>
      <c r="U344" s="479" t="s">
        <v>2258</v>
      </c>
      <c r="V344" s="517" t="s">
        <v>4137</v>
      </c>
      <c r="W344" s="498">
        <v>353</v>
      </c>
      <c r="X344" s="479" t="s">
        <v>2276</v>
      </c>
      <c r="Y344" s="479" t="s">
        <v>636</v>
      </c>
      <c r="Z344" s="479" t="s">
        <v>4103</v>
      </c>
      <c r="AA344" s="479" t="s">
        <v>1595</v>
      </c>
      <c r="AB344" s="512" t="s">
        <v>1595</v>
      </c>
    </row>
    <row r="345" spans="1:28" ht="24" customHeight="1">
      <c r="A345" s="591"/>
      <c r="B345" s="510" t="s">
        <v>3837</v>
      </c>
      <c r="C345" s="718" t="s">
        <v>4138</v>
      </c>
      <c r="D345" s="510" t="s">
        <v>4139</v>
      </c>
      <c r="E345" s="497">
        <f t="shared" si="26"/>
        <v>200</v>
      </c>
      <c r="F345" s="497">
        <v>0</v>
      </c>
      <c r="G345" s="497">
        <v>200</v>
      </c>
      <c r="H345" s="497">
        <v>0</v>
      </c>
      <c r="I345" s="497">
        <f t="shared" si="27"/>
        <v>160</v>
      </c>
      <c r="J345" s="497">
        <v>0</v>
      </c>
      <c r="K345" s="497">
        <v>160</v>
      </c>
      <c r="L345" s="497">
        <v>0</v>
      </c>
      <c r="M345" s="959">
        <v>0.94052863436123346</v>
      </c>
      <c r="N345" s="653">
        <v>13.664</v>
      </c>
      <c r="O345" s="722" t="s">
        <v>4106</v>
      </c>
      <c r="P345" s="479" t="s">
        <v>1588</v>
      </c>
      <c r="Q345" s="872">
        <v>0</v>
      </c>
      <c r="R345" s="872">
        <v>0</v>
      </c>
      <c r="S345" s="872">
        <v>0</v>
      </c>
      <c r="T345" s="872">
        <v>0</v>
      </c>
      <c r="U345" s="479" t="s">
        <v>2258</v>
      </c>
      <c r="V345" s="517" t="s">
        <v>4140</v>
      </c>
      <c r="W345" s="498">
        <v>167</v>
      </c>
      <c r="X345" s="479" t="s">
        <v>2276</v>
      </c>
      <c r="Y345" s="479" t="s">
        <v>636</v>
      </c>
      <c r="Z345" s="479" t="s">
        <v>4103</v>
      </c>
      <c r="AA345" s="479" t="s">
        <v>1595</v>
      </c>
      <c r="AB345" s="512" t="s">
        <v>1595</v>
      </c>
    </row>
    <row r="346" spans="1:28" ht="24" customHeight="1">
      <c r="A346" s="591"/>
      <c r="B346" s="510" t="s">
        <v>3837</v>
      </c>
      <c r="C346" s="718" t="s">
        <v>4141</v>
      </c>
      <c r="D346" s="510" t="s">
        <v>4142</v>
      </c>
      <c r="E346" s="497">
        <f t="shared" si="26"/>
        <v>30</v>
      </c>
      <c r="F346" s="497">
        <v>0</v>
      </c>
      <c r="G346" s="497">
        <v>30</v>
      </c>
      <c r="H346" s="497">
        <v>0</v>
      </c>
      <c r="I346" s="497">
        <f t="shared" si="27"/>
        <v>24</v>
      </c>
      <c r="J346" s="497">
        <v>0</v>
      </c>
      <c r="K346" s="497">
        <v>24</v>
      </c>
      <c r="L346" s="497">
        <v>0</v>
      </c>
      <c r="M346" s="959">
        <v>0.89365351629502565</v>
      </c>
      <c r="N346" s="653">
        <v>1.2503999999999997</v>
      </c>
      <c r="O346" s="722" t="s">
        <v>4106</v>
      </c>
      <c r="P346" s="479" t="s">
        <v>1588</v>
      </c>
      <c r="Q346" s="872">
        <v>0</v>
      </c>
      <c r="R346" s="872">
        <v>0</v>
      </c>
      <c r="S346" s="872">
        <v>0</v>
      </c>
      <c r="T346" s="872">
        <v>0</v>
      </c>
      <c r="U346" s="479" t="s">
        <v>2258</v>
      </c>
      <c r="V346" s="517" t="s">
        <v>4143</v>
      </c>
      <c r="W346" s="498">
        <v>94</v>
      </c>
      <c r="X346" s="479" t="s">
        <v>2276</v>
      </c>
      <c r="Y346" s="479" t="s">
        <v>636</v>
      </c>
      <c r="Z346" s="479" t="s">
        <v>4103</v>
      </c>
      <c r="AA346" s="479" t="s">
        <v>1595</v>
      </c>
      <c r="AB346" s="512" t="s">
        <v>1595</v>
      </c>
    </row>
    <row r="347" spans="1:28" ht="24" customHeight="1">
      <c r="A347" s="591"/>
      <c r="B347" s="510" t="s">
        <v>3837</v>
      </c>
      <c r="C347" s="718" t="s">
        <v>4144</v>
      </c>
      <c r="D347" s="510" t="s">
        <v>4145</v>
      </c>
      <c r="E347" s="497">
        <f t="shared" si="26"/>
        <v>270</v>
      </c>
      <c r="F347" s="497">
        <v>0</v>
      </c>
      <c r="G347" s="497">
        <v>270</v>
      </c>
      <c r="H347" s="497">
        <v>0</v>
      </c>
      <c r="I347" s="497">
        <f t="shared" si="27"/>
        <v>216</v>
      </c>
      <c r="J347" s="497">
        <v>0</v>
      </c>
      <c r="K347" s="497">
        <v>216</v>
      </c>
      <c r="L347" s="497">
        <v>0</v>
      </c>
      <c r="M347" s="959">
        <v>0.85877862595419852</v>
      </c>
      <c r="N347" s="653">
        <v>4.8600000000000003</v>
      </c>
      <c r="O347" s="722" t="s">
        <v>4106</v>
      </c>
      <c r="P347" s="479" t="s">
        <v>1588</v>
      </c>
      <c r="Q347" s="872">
        <v>0</v>
      </c>
      <c r="R347" s="872">
        <v>0</v>
      </c>
      <c r="S347" s="872">
        <v>0</v>
      </c>
      <c r="T347" s="872">
        <v>0</v>
      </c>
      <c r="U347" s="479" t="s">
        <v>2258</v>
      </c>
      <c r="V347" s="517" t="s">
        <v>4146</v>
      </c>
      <c r="W347" s="498">
        <v>232</v>
      </c>
      <c r="X347" s="479" t="s">
        <v>2276</v>
      </c>
      <c r="Y347" s="479" t="s">
        <v>636</v>
      </c>
      <c r="Z347" s="479" t="s">
        <v>4147</v>
      </c>
      <c r="AA347" s="479" t="s">
        <v>1595</v>
      </c>
      <c r="AB347" s="512" t="s">
        <v>1595</v>
      </c>
    </row>
    <row r="348" spans="1:28" ht="24" customHeight="1">
      <c r="A348" s="582" t="s">
        <v>1857</v>
      </c>
      <c r="B348" s="460" t="s">
        <v>2201</v>
      </c>
      <c r="C348" s="458" t="s">
        <v>518</v>
      </c>
      <c r="D348" s="510" t="s">
        <v>4148</v>
      </c>
      <c r="E348" s="497">
        <f t="shared" ref="E348:E390" si="28">SUM(F348:H348)</f>
        <v>7200</v>
      </c>
      <c r="F348" s="497">
        <v>0</v>
      </c>
      <c r="G348" s="497">
        <v>0</v>
      </c>
      <c r="H348" s="497">
        <v>7200</v>
      </c>
      <c r="I348" s="497">
        <f t="shared" si="27"/>
        <v>6206</v>
      </c>
      <c r="J348" s="497">
        <v>0</v>
      </c>
      <c r="K348" s="497">
        <v>0</v>
      </c>
      <c r="L348" s="497">
        <v>6206</v>
      </c>
      <c r="M348" s="956">
        <v>0.90924956369982546</v>
      </c>
      <c r="N348" s="653">
        <v>323.33259999999996</v>
      </c>
      <c r="O348" s="669" t="s">
        <v>3742</v>
      </c>
      <c r="P348" s="463" t="s">
        <v>1588</v>
      </c>
      <c r="Q348" s="852">
        <v>0</v>
      </c>
      <c r="R348" s="852">
        <v>0</v>
      </c>
      <c r="S348" s="852">
        <v>0</v>
      </c>
      <c r="T348" s="852">
        <v>0</v>
      </c>
      <c r="U348" s="463" t="s">
        <v>4149</v>
      </c>
      <c r="V348" s="463" t="s">
        <v>4150</v>
      </c>
      <c r="W348" s="498">
        <v>29482</v>
      </c>
      <c r="X348" s="463" t="s">
        <v>2276</v>
      </c>
      <c r="Y348" s="463" t="s">
        <v>1533</v>
      </c>
      <c r="Z348" s="463" t="s">
        <v>570</v>
      </c>
      <c r="AA348" s="463" t="s">
        <v>1615</v>
      </c>
      <c r="AB348" s="459" t="s">
        <v>1534</v>
      </c>
    </row>
    <row r="349" spans="1:28" ht="24" customHeight="1">
      <c r="A349" s="584"/>
      <c r="B349" s="460" t="s">
        <v>2201</v>
      </c>
      <c r="C349" s="458" t="s">
        <v>519</v>
      </c>
      <c r="D349" s="510" t="s">
        <v>4151</v>
      </c>
      <c r="E349" s="497">
        <f t="shared" si="28"/>
        <v>1500</v>
      </c>
      <c r="F349" s="497">
        <v>0</v>
      </c>
      <c r="G349" s="497">
        <v>1500</v>
      </c>
      <c r="H349" s="497">
        <v>0</v>
      </c>
      <c r="I349" s="497">
        <f t="shared" si="27"/>
        <v>1229</v>
      </c>
      <c r="J349" s="497">
        <v>0</v>
      </c>
      <c r="K349" s="497">
        <v>1229</v>
      </c>
      <c r="L349" s="497">
        <v>0</v>
      </c>
      <c r="M349" s="956">
        <v>0.88732394366197187</v>
      </c>
      <c r="N349" s="653">
        <v>147.11130000000003</v>
      </c>
      <c r="O349" s="669" t="s">
        <v>3742</v>
      </c>
      <c r="P349" s="463" t="s">
        <v>1588</v>
      </c>
      <c r="Q349" s="852">
        <v>0</v>
      </c>
      <c r="R349" s="852">
        <v>0</v>
      </c>
      <c r="S349" s="852">
        <v>0</v>
      </c>
      <c r="T349" s="852">
        <v>0</v>
      </c>
      <c r="U349" s="463" t="s">
        <v>4149</v>
      </c>
      <c r="V349" s="463" t="s">
        <v>4150</v>
      </c>
      <c r="W349" s="498">
        <v>8950</v>
      </c>
      <c r="X349" s="463" t="s">
        <v>2276</v>
      </c>
      <c r="Y349" s="463" t="s">
        <v>1533</v>
      </c>
      <c r="Z349" s="463" t="s">
        <v>571</v>
      </c>
      <c r="AA349" s="463" t="s">
        <v>1615</v>
      </c>
      <c r="AB349" s="459" t="s">
        <v>1534</v>
      </c>
    </row>
    <row r="350" spans="1:28" ht="24" customHeight="1">
      <c r="A350" s="584"/>
      <c r="B350" s="460" t="s">
        <v>675</v>
      </c>
      <c r="C350" s="458" t="s">
        <v>2168</v>
      </c>
      <c r="D350" s="510" t="s">
        <v>4152</v>
      </c>
      <c r="E350" s="497">
        <f t="shared" si="28"/>
        <v>40</v>
      </c>
      <c r="F350" s="497">
        <v>0</v>
      </c>
      <c r="G350" s="497">
        <v>40</v>
      </c>
      <c r="H350" s="497">
        <v>0</v>
      </c>
      <c r="I350" s="497">
        <f t="shared" si="27"/>
        <v>37</v>
      </c>
      <c r="J350" s="497">
        <v>0</v>
      </c>
      <c r="K350" s="497">
        <v>37</v>
      </c>
      <c r="L350" s="497">
        <v>0</v>
      </c>
      <c r="M350" s="956">
        <v>0.86799999999999999</v>
      </c>
      <c r="N350" s="653">
        <v>214.8</v>
      </c>
      <c r="O350" s="669" t="s">
        <v>4153</v>
      </c>
      <c r="P350" s="463" t="s">
        <v>1588</v>
      </c>
      <c r="Q350" s="852">
        <v>0</v>
      </c>
      <c r="R350" s="852">
        <v>0</v>
      </c>
      <c r="S350" s="852">
        <v>0</v>
      </c>
      <c r="T350" s="852">
        <v>0</v>
      </c>
      <c r="U350" s="463" t="s">
        <v>4154</v>
      </c>
      <c r="V350" s="463" t="s">
        <v>3589</v>
      </c>
      <c r="W350" s="498">
        <v>72</v>
      </c>
      <c r="X350" s="463" t="s">
        <v>1532</v>
      </c>
      <c r="Y350" s="463" t="s">
        <v>1533</v>
      </c>
      <c r="Z350" s="463" t="s">
        <v>4155</v>
      </c>
      <c r="AA350" s="463" t="s">
        <v>1615</v>
      </c>
      <c r="AB350" s="459" t="s">
        <v>1534</v>
      </c>
    </row>
    <row r="351" spans="1:28" ht="24" customHeight="1">
      <c r="A351" s="584"/>
      <c r="B351" s="460" t="s">
        <v>675</v>
      </c>
      <c r="C351" s="458" t="s">
        <v>4156</v>
      </c>
      <c r="D351" s="510" t="s">
        <v>4157</v>
      </c>
      <c r="E351" s="497">
        <f t="shared" si="28"/>
        <v>600</v>
      </c>
      <c r="F351" s="497">
        <v>0</v>
      </c>
      <c r="G351" s="497">
        <v>600</v>
      </c>
      <c r="H351" s="497">
        <v>0</v>
      </c>
      <c r="I351" s="497">
        <f t="shared" si="27"/>
        <v>318</v>
      </c>
      <c r="J351" s="497">
        <v>0</v>
      </c>
      <c r="K351" s="497">
        <v>318</v>
      </c>
      <c r="L351" s="497">
        <v>0</v>
      </c>
      <c r="M351" s="956">
        <v>0.88700000000000001</v>
      </c>
      <c r="N351" s="653">
        <v>4967.2</v>
      </c>
      <c r="O351" s="669" t="s">
        <v>3347</v>
      </c>
      <c r="P351" s="463" t="s">
        <v>1588</v>
      </c>
      <c r="Q351" s="852">
        <v>0</v>
      </c>
      <c r="R351" s="852">
        <v>0</v>
      </c>
      <c r="S351" s="852">
        <v>0</v>
      </c>
      <c r="T351" s="852">
        <v>0</v>
      </c>
      <c r="U351" s="463" t="s">
        <v>4154</v>
      </c>
      <c r="V351" s="463" t="s">
        <v>4158</v>
      </c>
      <c r="W351" s="498">
        <v>6772</v>
      </c>
      <c r="X351" s="463" t="s">
        <v>1532</v>
      </c>
      <c r="Y351" s="463" t="s">
        <v>1533</v>
      </c>
      <c r="Z351" s="463" t="s">
        <v>4159</v>
      </c>
      <c r="AA351" s="463" t="s">
        <v>1615</v>
      </c>
      <c r="AB351" s="459" t="s">
        <v>1534</v>
      </c>
    </row>
    <row r="352" spans="1:28" ht="24" customHeight="1">
      <c r="A352" s="584"/>
      <c r="B352" s="460" t="s">
        <v>675</v>
      </c>
      <c r="C352" s="458" t="s">
        <v>4160</v>
      </c>
      <c r="D352" s="510" t="s">
        <v>4161</v>
      </c>
      <c r="E352" s="497">
        <f t="shared" si="28"/>
        <v>20</v>
      </c>
      <c r="F352" s="497">
        <v>0</v>
      </c>
      <c r="G352" s="497">
        <v>20</v>
      </c>
      <c r="H352" s="497">
        <v>0</v>
      </c>
      <c r="I352" s="497">
        <f t="shared" si="27"/>
        <v>18</v>
      </c>
      <c r="J352" s="497">
        <v>0</v>
      </c>
      <c r="K352" s="497">
        <v>18</v>
      </c>
      <c r="L352" s="497">
        <v>0</v>
      </c>
      <c r="M352" s="956">
        <v>0.91</v>
      </c>
      <c r="N352" s="653">
        <v>261.7</v>
      </c>
      <c r="O352" s="669" t="s">
        <v>4153</v>
      </c>
      <c r="P352" s="463" t="s">
        <v>1588</v>
      </c>
      <c r="Q352" s="852">
        <v>0</v>
      </c>
      <c r="R352" s="852">
        <v>0</v>
      </c>
      <c r="S352" s="852">
        <v>0</v>
      </c>
      <c r="T352" s="852">
        <v>0</v>
      </c>
      <c r="U352" s="463" t="s">
        <v>4154</v>
      </c>
      <c r="V352" s="463" t="s">
        <v>3840</v>
      </c>
      <c r="W352" s="498">
        <v>122.4</v>
      </c>
      <c r="X352" s="463" t="s">
        <v>1532</v>
      </c>
      <c r="Y352" s="463" t="s">
        <v>1533</v>
      </c>
      <c r="Z352" s="463" t="s">
        <v>4159</v>
      </c>
      <c r="AA352" s="463" t="s">
        <v>1615</v>
      </c>
      <c r="AB352" s="459" t="s">
        <v>1534</v>
      </c>
    </row>
    <row r="353" spans="1:30" ht="24" customHeight="1">
      <c r="A353" s="584"/>
      <c r="B353" s="460" t="s">
        <v>675</v>
      </c>
      <c r="C353" s="458" t="s">
        <v>4162</v>
      </c>
      <c r="D353" s="510" t="s">
        <v>4163</v>
      </c>
      <c r="E353" s="497">
        <f t="shared" si="28"/>
        <v>20</v>
      </c>
      <c r="F353" s="497">
        <v>0</v>
      </c>
      <c r="G353" s="497">
        <v>20</v>
      </c>
      <c r="H353" s="497">
        <v>0</v>
      </c>
      <c r="I353" s="497">
        <f t="shared" si="27"/>
        <v>18</v>
      </c>
      <c r="J353" s="497">
        <v>0</v>
      </c>
      <c r="K353" s="497">
        <v>18</v>
      </c>
      <c r="L353" s="497">
        <v>0</v>
      </c>
      <c r="M353" s="956">
        <v>0.82299999999999995</v>
      </c>
      <c r="N353" s="653">
        <v>148.30000000000001</v>
      </c>
      <c r="O353" s="669" t="s">
        <v>4164</v>
      </c>
      <c r="P353" s="463" t="s">
        <v>1588</v>
      </c>
      <c r="Q353" s="852">
        <v>0</v>
      </c>
      <c r="R353" s="852">
        <v>0</v>
      </c>
      <c r="S353" s="852">
        <v>0</v>
      </c>
      <c r="T353" s="852">
        <v>0</v>
      </c>
      <c r="U353" s="463" t="s">
        <v>4154</v>
      </c>
      <c r="V353" s="463" t="s">
        <v>4165</v>
      </c>
      <c r="W353" s="498">
        <v>181.5</v>
      </c>
      <c r="X353" s="463" t="s">
        <v>1532</v>
      </c>
      <c r="Y353" s="463" t="s">
        <v>1533</v>
      </c>
      <c r="Z353" s="463" t="s">
        <v>4159</v>
      </c>
      <c r="AA353" s="463" t="s">
        <v>1615</v>
      </c>
      <c r="AB353" s="459" t="s">
        <v>1534</v>
      </c>
    </row>
    <row r="354" spans="1:30" ht="24" customHeight="1">
      <c r="A354" s="584"/>
      <c r="B354" s="460" t="s">
        <v>675</v>
      </c>
      <c r="C354" s="458" t="s">
        <v>4166</v>
      </c>
      <c r="D354" s="510" t="s">
        <v>4167</v>
      </c>
      <c r="E354" s="497">
        <f t="shared" si="28"/>
        <v>250</v>
      </c>
      <c r="F354" s="497">
        <v>0</v>
      </c>
      <c r="G354" s="497">
        <v>250</v>
      </c>
      <c r="H354" s="497">
        <v>0</v>
      </c>
      <c r="I354" s="497">
        <f t="shared" si="27"/>
        <v>225</v>
      </c>
      <c r="J354" s="497">
        <v>0</v>
      </c>
      <c r="K354" s="497">
        <v>225</v>
      </c>
      <c r="L354" s="497">
        <v>0</v>
      </c>
      <c r="M354" s="956">
        <v>0.95799999999999996</v>
      </c>
      <c r="N354" s="653">
        <v>4418</v>
      </c>
      <c r="O354" s="669" t="s">
        <v>3742</v>
      </c>
      <c r="P354" s="463" t="s">
        <v>1588</v>
      </c>
      <c r="Q354" s="852">
        <v>0</v>
      </c>
      <c r="R354" s="852">
        <v>0</v>
      </c>
      <c r="S354" s="852">
        <v>0</v>
      </c>
      <c r="T354" s="852">
        <v>0</v>
      </c>
      <c r="U354" s="463" t="s">
        <v>4154</v>
      </c>
      <c r="V354" s="463" t="s">
        <v>4168</v>
      </c>
      <c r="W354" s="498">
        <v>475</v>
      </c>
      <c r="X354" s="463" t="s">
        <v>1532</v>
      </c>
      <c r="Y354" s="463" t="s">
        <v>1533</v>
      </c>
      <c r="Z354" s="463" t="s">
        <v>571</v>
      </c>
      <c r="AA354" s="463" t="s">
        <v>1615</v>
      </c>
      <c r="AB354" s="459" t="s">
        <v>1534</v>
      </c>
    </row>
    <row r="355" spans="1:30" ht="24" customHeight="1">
      <c r="A355" s="584"/>
      <c r="B355" s="460" t="s">
        <v>675</v>
      </c>
      <c r="C355" s="458" t="s">
        <v>4169</v>
      </c>
      <c r="D355" s="510" t="s">
        <v>4170</v>
      </c>
      <c r="E355" s="497">
        <f t="shared" si="28"/>
        <v>30</v>
      </c>
      <c r="F355" s="497">
        <v>0</v>
      </c>
      <c r="G355" s="497">
        <v>30</v>
      </c>
      <c r="H355" s="497">
        <v>0</v>
      </c>
      <c r="I355" s="497">
        <f t="shared" si="27"/>
        <v>26</v>
      </c>
      <c r="J355" s="497">
        <v>0</v>
      </c>
      <c r="K355" s="497">
        <v>26</v>
      </c>
      <c r="L355" s="497">
        <v>0</v>
      </c>
      <c r="M355" s="956">
        <v>0.85499999999999998</v>
      </c>
      <c r="N355" s="653">
        <v>200</v>
      </c>
      <c r="O355" s="669" t="s">
        <v>4153</v>
      </c>
      <c r="P355" s="463" t="s">
        <v>1588</v>
      </c>
      <c r="Q355" s="852">
        <v>0</v>
      </c>
      <c r="R355" s="852">
        <v>0</v>
      </c>
      <c r="S355" s="852">
        <v>0</v>
      </c>
      <c r="T355" s="852">
        <v>0</v>
      </c>
      <c r="U355" s="463" t="s">
        <v>4154</v>
      </c>
      <c r="V355" s="463" t="s">
        <v>3589</v>
      </c>
      <c r="W355" s="498">
        <v>40</v>
      </c>
      <c r="X355" s="463" t="s">
        <v>1532</v>
      </c>
      <c r="Y355" s="463" t="s">
        <v>1533</v>
      </c>
      <c r="Z355" s="463" t="s">
        <v>572</v>
      </c>
      <c r="AA355" s="463" t="s">
        <v>1615</v>
      </c>
      <c r="AB355" s="459" t="s">
        <v>1534</v>
      </c>
    </row>
    <row r="356" spans="1:30" ht="24" customHeight="1">
      <c r="A356" s="584"/>
      <c r="B356" s="460" t="s">
        <v>675</v>
      </c>
      <c r="C356" s="458" t="s">
        <v>4171</v>
      </c>
      <c r="D356" s="510" t="s">
        <v>4172</v>
      </c>
      <c r="E356" s="497">
        <f t="shared" si="28"/>
        <v>180</v>
      </c>
      <c r="F356" s="497">
        <v>0</v>
      </c>
      <c r="G356" s="497">
        <v>180</v>
      </c>
      <c r="H356" s="497">
        <v>0</v>
      </c>
      <c r="I356" s="497">
        <f t="shared" si="27"/>
        <v>93</v>
      </c>
      <c r="J356" s="497">
        <v>0</v>
      </c>
      <c r="K356" s="497">
        <v>93</v>
      </c>
      <c r="L356" s="497">
        <v>0</v>
      </c>
      <c r="M356" s="956">
        <v>0.872</v>
      </c>
      <c r="N356" s="653">
        <v>613.9</v>
      </c>
      <c r="O356" s="669" t="s">
        <v>3347</v>
      </c>
      <c r="P356" s="463" t="s">
        <v>1588</v>
      </c>
      <c r="Q356" s="852">
        <v>0</v>
      </c>
      <c r="R356" s="852">
        <v>0</v>
      </c>
      <c r="S356" s="852">
        <v>0</v>
      </c>
      <c r="T356" s="852">
        <v>0</v>
      </c>
      <c r="U356" s="463" t="s">
        <v>4154</v>
      </c>
      <c r="V356" s="463" t="s">
        <v>4158</v>
      </c>
      <c r="W356" s="498">
        <v>2060</v>
      </c>
      <c r="X356" s="463" t="s">
        <v>1532</v>
      </c>
      <c r="Y356" s="463" t="s">
        <v>1533</v>
      </c>
      <c r="Z356" s="463" t="s">
        <v>1858</v>
      </c>
      <c r="AA356" s="463" t="s">
        <v>1615</v>
      </c>
      <c r="AB356" s="459" t="s">
        <v>1534</v>
      </c>
    </row>
    <row r="357" spans="1:30" ht="24" customHeight="1">
      <c r="A357" s="584"/>
      <c r="B357" s="460" t="s">
        <v>675</v>
      </c>
      <c r="C357" s="458" t="s">
        <v>4173</v>
      </c>
      <c r="D357" s="510" t="s">
        <v>4174</v>
      </c>
      <c r="E357" s="497">
        <f t="shared" si="28"/>
        <v>40</v>
      </c>
      <c r="F357" s="497">
        <v>0</v>
      </c>
      <c r="G357" s="497">
        <v>40</v>
      </c>
      <c r="H357" s="497">
        <v>0</v>
      </c>
      <c r="I357" s="497">
        <f t="shared" si="27"/>
        <v>36</v>
      </c>
      <c r="J357" s="497">
        <v>0</v>
      </c>
      <c r="K357" s="497">
        <v>36</v>
      </c>
      <c r="L357" s="497">
        <v>0</v>
      </c>
      <c r="M357" s="956">
        <v>0.94700000000000006</v>
      </c>
      <c r="N357" s="653">
        <v>225.7</v>
      </c>
      <c r="O357" s="669" t="s">
        <v>3742</v>
      </c>
      <c r="P357" s="463" t="s">
        <v>1588</v>
      </c>
      <c r="Q357" s="852">
        <v>0</v>
      </c>
      <c r="R357" s="852">
        <v>0</v>
      </c>
      <c r="S357" s="852">
        <v>0</v>
      </c>
      <c r="T357" s="852">
        <v>0</v>
      </c>
      <c r="U357" s="463" t="s">
        <v>4154</v>
      </c>
      <c r="V357" s="463" t="s">
        <v>4175</v>
      </c>
      <c r="W357" s="498">
        <v>132</v>
      </c>
      <c r="X357" s="463" t="s">
        <v>1532</v>
      </c>
      <c r="Y357" s="463" t="s">
        <v>1533</v>
      </c>
      <c r="Z357" s="463" t="s">
        <v>1859</v>
      </c>
      <c r="AA357" s="463" t="s">
        <v>1615</v>
      </c>
      <c r="AB357" s="459" t="s">
        <v>1534</v>
      </c>
    </row>
    <row r="358" spans="1:30" ht="24" customHeight="1">
      <c r="A358" s="584"/>
      <c r="B358" s="460" t="s">
        <v>675</v>
      </c>
      <c r="C358" s="458" t="s">
        <v>4176</v>
      </c>
      <c r="D358" s="510" t="s">
        <v>4177</v>
      </c>
      <c r="E358" s="497">
        <f t="shared" si="28"/>
        <v>20</v>
      </c>
      <c r="F358" s="497">
        <v>0</v>
      </c>
      <c r="G358" s="497">
        <v>20</v>
      </c>
      <c r="H358" s="497">
        <v>0</v>
      </c>
      <c r="I358" s="497">
        <f t="shared" si="27"/>
        <v>16</v>
      </c>
      <c r="J358" s="497">
        <v>0</v>
      </c>
      <c r="K358" s="497">
        <v>16</v>
      </c>
      <c r="L358" s="497">
        <v>0</v>
      </c>
      <c r="M358" s="956">
        <v>0.97599999999999998</v>
      </c>
      <c r="N358" s="653">
        <v>209.7</v>
      </c>
      <c r="O358" s="669" t="s">
        <v>753</v>
      </c>
      <c r="P358" s="463" t="s">
        <v>1588</v>
      </c>
      <c r="Q358" s="852">
        <v>0</v>
      </c>
      <c r="R358" s="852">
        <v>0</v>
      </c>
      <c r="S358" s="852">
        <v>0</v>
      </c>
      <c r="T358" s="852">
        <v>0</v>
      </c>
      <c r="U358" s="463" t="s">
        <v>4154</v>
      </c>
      <c r="V358" s="463" t="s">
        <v>754</v>
      </c>
      <c r="W358" s="498">
        <v>257</v>
      </c>
      <c r="X358" s="463" t="s">
        <v>1532</v>
      </c>
      <c r="Y358" s="463" t="s">
        <v>1533</v>
      </c>
      <c r="Z358" s="463" t="s">
        <v>1859</v>
      </c>
      <c r="AA358" s="463" t="s">
        <v>1615</v>
      </c>
      <c r="AB358" s="459" t="s">
        <v>1534</v>
      </c>
    </row>
    <row r="359" spans="1:30" ht="24" customHeight="1">
      <c r="A359" s="584"/>
      <c r="B359" s="460" t="s">
        <v>675</v>
      </c>
      <c r="C359" s="458" t="s">
        <v>755</v>
      </c>
      <c r="D359" s="510" t="s">
        <v>756</v>
      </c>
      <c r="E359" s="497">
        <f t="shared" si="28"/>
        <v>150</v>
      </c>
      <c r="F359" s="497">
        <v>0</v>
      </c>
      <c r="G359" s="497">
        <v>150</v>
      </c>
      <c r="H359" s="497">
        <v>0</v>
      </c>
      <c r="I359" s="497">
        <f t="shared" si="27"/>
        <v>125</v>
      </c>
      <c r="J359" s="497">
        <v>0</v>
      </c>
      <c r="K359" s="497">
        <v>125</v>
      </c>
      <c r="L359" s="497">
        <v>0</v>
      </c>
      <c r="M359" s="956">
        <v>0.91599999999999993</v>
      </c>
      <c r="N359" s="653">
        <v>375</v>
      </c>
      <c r="O359" s="669" t="s">
        <v>3742</v>
      </c>
      <c r="P359" s="463" t="s">
        <v>1588</v>
      </c>
      <c r="Q359" s="852">
        <v>0</v>
      </c>
      <c r="R359" s="852">
        <v>0</v>
      </c>
      <c r="S359" s="852">
        <v>0</v>
      </c>
      <c r="T359" s="852">
        <v>0</v>
      </c>
      <c r="U359" s="463" t="s">
        <v>4154</v>
      </c>
      <c r="V359" s="463" t="s">
        <v>757</v>
      </c>
      <c r="W359" s="498">
        <v>369</v>
      </c>
      <c r="X359" s="463" t="s">
        <v>1532</v>
      </c>
      <c r="Y359" s="463" t="s">
        <v>1533</v>
      </c>
      <c r="Z359" s="463" t="s">
        <v>573</v>
      </c>
      <c r="AA359" s="463" t="s">
        <v>1615</v>
      </c>
      <c r="AB359" s="459" t="s">
        <v>1534</v>
      </c>
    </row>
    <row r="360" spans="1:30" ht="24" customHeight="1">
      <c r="A360" s="593" t="s">
        <v>1860</v>
      </c>
      <c r="B360" s="460" t="s">
        <v>675</v>
      </c>
      <c r="C360" s="522" t="s">
        <v>758</v>
      </c>
      <c r="D360" s="524" t="s">
        <v>759</v>
      </c>
      <c r="E360" s="497">
        <f t="shared" si="28"/>
        <v>40</v>
      </c>
      <c r="F360" s="497">
        <v>0</v>
      </c>
      <c r="G360" s="497">
        <v>40</v>
      </c>
      <c r="H360" s="497">
        <v>0</v>
      </c>
      <c r="I360" s="497">
        <f t="shared" si="27"/>
        <v>40</v>
      </c>
      <c r="J360" s="497">
        <v>0</v>
      </c>
      <c r="K360" s="497">
        <v>40</v>
      </c>
      <c r="L360" s="497">
        <v>0</v>
      </c>
      <c r="M360" s="957">
        <v>1</v>
      </c>
      <c r="N360" s="653">
        <v>7.2</v>
      </c>
      <c r="O360" s="699" t="s">
        <v>760</v>
      </c>
      <c r="P360" s="462" t="s">
        <v>1588</v>
      </c>
      <c r="Q360" s="854">
        <v>0</v>
      </c>
      <c r="R360" s="854">
        <v>0</v>
      </c>
      <c r="S360" s="854">
        <v>0</v>
      </c>
      <c r="T360" s="854">
        <v>0</v>
      </c>
      <c r="U360" s="462" t="s">
        <v>761</v>
      </c>
      <c r="V360" s="462" t="s">
        <v>762</v>
      </c>
      <c r="W360" s="653">
        <v>108</v>
      </c>
      <c r="X360" s="462" t="s">
        <v>1532</v>
      </c>
      <c r="Y360" s="462"/>
      <c r="Z360" s="462" t="s">
        <v>763</v>
      </c>
      <c r="AA360" s="462" t="s">
        <v>1615</v>
      </c>
      <c r="AB360" s="467" t="s">
        <v>1534</v>
      </c>
      <c r="AC360" s="2" ph="1"/>
      <c r="AD360" s="2" ph="1"/>
    </row>
    <row r="361" spans="1:30" ht="24" customHeight="1">
      <c r="A361" s="594"/>
      <c r="B361" s="460" t="s">
        <v>675</v>
      </c>
      <c r="C361" s="522" t="s">
        <v>764</v>
      </c>
      <c r="D361" s="524" t="s">
        <v>765</v>
      </c>
      <c r="E361" s="497">
        <f t="shared" si="28"/>
        <v>20</v>
      </c>
      <c r="F361" s="497">
        <v>0</v>
      </c>
      <c r="G361" s="497">
        <v>0</v>
      </c>
      <c r="H361" s="497">
        <v>20</v>
      </c>
      <c r="I361" s="497">
        <f t="shared" si="27"/>
        <v>20</v>
      </c>
      <c r="J361" s="497">
        <v>0</v>
      </c>
      <c r="K361" s="497">
        <v>0</v>
      </c>
      <c r="L361" s="497">
        <v>20</v>
      </c>
      <c r="M361" s="957">
        <v>1</v>
      </c>
      <c r="N361" s="653">
        <v>5.2</v>
      </c>
      <c r="O361" s="699" t="s">
        <v>766</v>
      </c>
      <c r="P361" s="462" t="s">
        <v>1588</v>
      </c>
      <c r="Q361" s="854">
        <v>0</v>
      </c>
      <c r="R361" s="854">
        <v>0</v>
      </c>
      <c r="S361" s="854">
        <v>0</v>
      </c>
      <c r="T361" s="854">
        <v>0</v>
      </c>
      <c r="U361" s="462" t="s">
        <v>767</v>
      </c>
      <c r="V361" s="462" t="s">
        <v>768</v>
      </c>
      <c r="W361" s="653">
        <v>200</v>
      </c>
      <c r="X361" s="462" t="s">
        <v>1532</v>
      </c>
      <c r="Y361" s="462"/>
      <c r="Z361" s="462" t="s">
        <v>769</v>
      </c>
      <c r="AA361" s="462" t="s">
        <v>1615</v>
      </c>
      <c r="AB361" s="467" t="s">
        <v>1534</v>
      </c>
    </row>
    <row r="362" spans="1:30" ht="24" customHeight="1">
      <c r="A362" s="594"/>
      <c r="B362" s="460" t="s">
        <v>675</v>
      </c>
      <c r="C362" s="522" t="s">
        <v>770</v>
      </c>
      <c r="D362" s="524" t="s">
        <v>771</v>
      </c>
      <c r="E362" s="497">
        <f t="shared" si="28"/>
        <v>16</v>
      </c>
      <c r="F362" s="497">
        <v>0</v>
      </c>
      <c r="G362" s="497">
        <v>0</v>
      </c>
      <c r="H362" s="497">
        <v>16</v>
      </c>
      <c r="I362" s="497">
        <f t="shared" si="27"/>
        <v>16</v>
      </c>
      <c r="J362" s="497">
        <v>0</v>
      </c>
      <c r="K362" s="497">
        <v>0</v>
      </c>
      <c r="L362" s="497">
        <v>16</v>
      </c>
      <c r="M362" s="957">
        <v>1</v>
      </c>
      <c r="N362" s="653">
        <v>5.3</v>
      </c>
      <c r="O362" s="699" t="s">
        <v>772</v>
      </c>
      <c r="P362" s="462" t="s">
        <v>1588</v>
      </c>
      <c r="Q362" s="854">
        <v>0</v>
      </c>
      <c r="R362" s="854">
        <v>0</v>
      </c>
      <c r="S362" s="854">
        <v>0</v>
      </c>
      <c r="T362" s="854">
        <v>0</v>
      </c>
      <c r="U362" s="462" t="s">
        <v>767</v>
      </c>
      <c r="V362" s="462" t="s">
        <v>773</v>
      </c>
      <c r="W362" s="653">
        <v>82</v>
      </c>
      <c r="X362" s="462" t="s">
        <v>1532</v>
      </c>
      <c r="Y362" s="462"/>
      <c r="Z362" s="462" t="s">
        <v>2259</v>
      </c>
      <c r="AA362" s="462" t="s">
        <v>1615</v>
      </c>
      <c r="AB362" s="467" t="s">
        <v>1534</v>
      </c>
    </row>
    <row r="363" spans="1:30" ht="24" customHeight="1">
      <c r="A363" s="594"/>
      <c r="B363" s="460" t="s">
        <v>675</v>
      </c>
      <c r="C363" s="522" t="s">
        <v>774</v>
      </c>
      <c r="D363" s="524" t="s">
        <v>775</v>
      </c>
      <c r="E363" s="497">
        <f t="shared" si="28"/>
        <v>42</v>
      </c>
      <c r="F363" s="497">
        <v>0</v>
      </c>
      <c r="G363" s="497">
        <v>42</v>
      </c>
      <c r="H363" s="497">
        <v>0</v>
      </c>
      <c r="I363" s="497">
        <f t="shared" si="27"/>
        <v>42</v>
      </c>
      <c r="J363" s="497">
        <v>0</v>
      </c>
      <c r="K363" s="497">
        <v>42</v>
      </c>
      <c r="L363" s="497">
        <v>0</v>
      </c>
      <c r="M363" s="957">
        <v>1</v>
      </c>
      <c r="N363" s="653" t="s">
        <v>7395</v>
      </c>
      <c r="O363" s="699" t="s">
        <v>776</v>
      </c>
      <c r="P363" s="462" t="s">
        <v>1588</v>
      </c>
      <c r="Q363" s="854">
        <v>0</v>
      </c>
      <c r="R363" s="854">
        <v>0</v>
      </c>
      <c r="S363" s="854">
        <v>0</v>
      </c>
      <c r="T363" s="854">
        <v>0</v>
      </c>
      <c r="U363" s="462" t="s">
        <v>767</v>
      </c>
      <c r="V363" s="462" t="s">
        <v>777</v>
      </c>
      <c r="W363" s="653">
        <v>200</v>
      </c>
      <c r="X363" s="462" t="s">
        <v>1532</v>
      </c>
      <c r="Y363" s="462"/>
      <c r="Z363" s="462" t="s">
        <v>1615</v>
      </c>
      <c r="AA363" s="462" t="s">
        <v>1615</v>
      </c>
      <c r="AB363" s="467" t="s">
        <v>1534</v>
      </c>
    </row>
    <row r="364" spans="1:30" ht="24" customHeight="1">
      <c r="A364" s="594"/>
      <c r="B364" s="460" t="s">
        <v>675</v>
      </c>
      <c r="C364" s="522" t="s">
        <v>778</v>
      </c>
      <c r="D364" s="524" t="s">
        <v>779</v>
      </c>
      <c r="E364" s="497">
        <f t="shared" si="28"/>
        <v>20</v>
      </c>
      <c r="F364" s="497">
        <v>0</v>
      </c>
      <c r="G364" s="497">
        <v>0</v>
      </c>
      <c r="H364" s="497">
        <v>20</v>
      </c>
      <c r="I364" s="497">
        <f t="shared" si="27"/>
        <v>20</v>
      </c>
      <c r="J364" s="497">
        <v>0</v>
      </c>
      <c r="K364" s="497">
        <v>0</v>
      </c>
      <c r="L364" s="497">
        <v>20</v>
      </c>
      <c r="M364" s="957">
        <v>1</v>
      </c>
      <c r="N364" s="653">
        <v>8.6</v>
      </c>
      <c r="O364" s="699" t="s">
        <v>780</v>
      </c>
      <c r="P364" s="462" t="s">
        <v>1588</v>
      </c>
      <c r="Q364" s="854">
        <v>0</v>
      </c>
      <c r="R364" s="854">
        <v>0</v>
      </c>
      <c r="S364" s="854">
        <v>0</v>
      </c>
      <c r="T364" s="854">
        <v>0</v>
      </c>
      <c r="U364" s="462" t="s">
        <v>767</v>
      </c>
      <c r="V364" s="462" t="s">
        <v>781</v>
      </c>
      <c r="W364" s="653">
        <v>196</v>
      </c>
      <c r="X364" s="462" t="s">
        <v>1532</v>
      </c>
      <c r="Y364" s="462"/>
      <c r="Z364" s="462" t="s">
        <v>782</v>
      </c>
      <c r="AA364" s="462" t="s">
        <v>1615</v>
      </c>
      <c r="AB364" s="467" t="s">
        <v>1534</v>
      </c>
    </row>
    <row r="365" spans="1:30" ht="24" customHeight="1">
      <c r="A365" s="594"/>
      <c r="B365" s="460" t="s">
        <v>675</v>
      </c>
      <c r="C365" s="522" t="s">
        <v>783</v>
      </c>
      <c r="D365" s="524" t="s">
        <v>784</v>
      </c>
      <c r="E365" s="497">
        <f t="shared" si="28"/>
        <v>40</v>
      </c>
      <c r="F365" s="497">
        <v>0</v>
      </c>
      <c r="G365" s="497">
        <v>0</v>
      </c>
      <c r="H365" s="497">
        <v>40</v>
      </c>
      <c r="I365" s="497">
        <f t="shared" si="27"/>
        <v>40</v>
      </c>
      <c r="J365" s="497">
        <v>0</v>
      </c>
      <c r="K365" s="497">
        <v>0</v>
      </c>
      <c r="L365" s="497">
        <v>40</v>
      </c>
      <c r="M365" s="957">
        <v>1</v>
      </c>
      <c r="N365" s="653">
        <v>16.399999999999999</v>
      </c>
      <c r="O365" s="699" t="s">
        <v>780</v>
      </c>
      <c r="P365" s="462" t="s">
        <v>1588</v>
      </c>
      <c r="Q365" s="854">
        <v>0</v>
      </c>
      <c r="R365" s="854">
        <v>0</v>
      </c>
      <c r="S365" s="854">
        <v>0</v>
      </c>
      <c r="T365" s="854">
        <v>0</v>
      </c>
      <c r="U365" s="462" t="s">
        <v>767</v>
      </c>
      <c r="V365" s="462" t="s">
        <v>785</v>
      </c>
      <c r="W365" s="653">
        <v>145</v>
      </c>
      <c r="X365" s="462" t="s">
        <v>1532</v>
      </c>
      <c r="Y365" s="462"/>
      <c r="Z365" s="462" t="s">
        <v>782</v>
      </c>
      <c r="AA365" s="462" t="s">
        <v>2259</v>
      </c>
      <c r="AB365" s="467" t="s">
        <v>1534</v>
      </c>
    </row>
    <row r="366" spans="1:30" ht="24" customHeight="1">
      <c r="A366" s="594"/>
      <c r="B366" s="460" t="s">
        <v>675</v>
      </c>
      <c r="C366" s="522" t="s">
        <v>786</v>
      </c>
      <c r="D366" s="524" t="s">
        <v>787</v>
      </c>
      <c r="E366" s="497">
        <f t="shared" si="28"/>
        <v>50</v>
      </c>
      <c r="F366" s="497">
        <v>0</v>
      </c>
      <c r="G366" s="497">
        <v>50</v>
      </c>
      <c r="H366" s="497">
        <v>0</v>
      </c>
      <c r="I366" s="497">
        <f t="shared" si="27"/>
        <v>50</v>
      </c>
      <c r="J366" s="497">
        <v>0</v>
      </c>
      <c r="K366" s="497">
        <v>50</v>
      </c>
      <c r="L366" s="497">
        <v>0</v>
      </c>
      <c r="M366" s="957">
        <v>1</v>
      </c>
      <c r="N366" s="653">
        <v>24</v>
      </c>
      <c r="O366" s="699" t="s">
        <v>1408</v>
      </c>
      <c r="P366" s="462" t="s">
        <v>1588</v>
      </c>
      <c r="Q366" s="854">
        <v>0</v>
      </c>
      <c r="R366" s="854">
        <v>0</v>
      </c>
      <c r="S366" s="854">
        <v>0</v>
      </c>
      <c r="T366" s="854">
        <v>0</v>
      </c>
      <c r="U366" s="462" t="s">
        <v>767</v>
      </c>
      <c r="V366" s="462" t="s">
        <v>788</v>
      </c>
      <c r="W366" s="653">
        <v>312</v>
      </c>
      <c r="X366" s="462" t="s">
        <v>1532</v>
      </c>
      <c r="Y366" s="462"/>
      <c r="Z366" s="462" t="s">
        <v>2259</v>
      </c>
      <c r="AA366" s="462" t="s">
        <v>1615</v>
      </c>
      <c r="AB366" s="467" t="s">
        <v>1534</v>
      </c>
    </row>
    <row r="367" spans="1:30" ht="24" customHeight="1">
      <c r="A367" s="594"/>
      <c r="B367" s="460" t="s">
        <v>675</v>
      </c>
      <c r="C367" s="522" t="s">
        <v>789</v>
      </c>
      <c r="D367" s="524" t="s">
        <v>790</v>
      </c>
      <c r="E367" s="497">
        <f t="shared" si="28"/>
        <v>50</v>
      </c>
      <c r="F367" s="497">
        <v>0</v>
      </c>
      <c r="G367" s="497">
        <v>0</v>
      </c>
      <c r="H367" s="497">
        <v>50</v>
      </c>
      <c r="I367" s="497">
        <f t="shared" si="27"/>
        <v>50</v>
      </c>
      <c r="J367" s="497">
        <v>0</v>
      </c>
      <c r="K367" s="497">
        <v>0</v>
      </c>
      <c r="L367" s="497">
        <v>50</v>
      </c>
      <c r="M367" s="957">
        <v>1</v>
      </c>
      <c r="N367" s="653">
        <v>23.5</v>
      </c>
      <c r="O367" s="699" t="s">
        <v>780</v>
      </c>
      <c r="P367" s="462" t="s">
        <v>1588</v>
      </c>
      <c r="Q367" s="854">
        <v>0</v>
      </c>
      <c r="R367" s="854">
        <v>0</v>
      </c>
      <c r="S367" s="854">
        <v>0</v>
      </c>
      <c r="T367" s="854">
        <v>0</v>
      </c>
      <c r="U367" s="462" t="s">
        <v>767</v>
      </c>
      <c r="V367" s="462" t="s">
        <v>785</v>
      </c>
      <c r="W367" s="653">
        <v>135</v>
      </c>
      <c r="X367" s="462" t="s">
        <v>1532</v>
      </c>
      <c r="Y367" s="462"/>
      <c r="Z367" s="462" t="s">
        <v>2259</v>
      </c>
      <c r="AA367" s="462" t="s">
        <v>1615</v>
      </c>
      <c r="AB367" s="467" t="s">
        <v>1534</v>
      </c>
    </row>
    <row r="368" spans="1:30" ht="24" customHeight="1">
      <c r="A368" s="594"/>
      <c r="B368" s="460" t="s">
        <v>675</v>
      </c>
      <c r="C368" s="522" t="s">
        <v>791</v>
      </c>
      <c r="D368" s="524" t="s">
        <v>792</v>
      </c>
      <c r="E368" s="497">
        <f t="shared" si="28"/>
        <v>200</v>
      </c>
      <c r="F368" s="497">
        <v>0</v>
      </c>
      <c r="G368" s="497">
        <v>200</v>
      </c>
      <c r="H368" s="497">
        <v>0</v>
      </c>
      <c r="I368" s="497">
        <f t="shared" si="27"/>
        <v>200</v>
      </c>
      <c r="J368" s="497">
        <v>0</v>
      </c>
      <c r="K368" s="497">
        <v>200</v>
      </c>
      <c r="L368" s="497">
        <v>0</v>
      </c>
      <c r="M368" s="957">
        <v>1</v>
      </c>
      <c r="N368" s="653">
        <v>64</v>
      </c>
      <c r="O368" s="699" t="s">
        <v>3742</v>
      </c>
      <c r="P368" s="462" t="s">
        <v>1588</v>
      </c>
      <c r="Q368" s="854">
        <v>0</v>
      </c>
      <c r="R368" s="854">
        <v>0</v>
      </c>
      <c r="S368" s="854">
        <v>0</v>
      </c>
      <c r="T368" s="854">
        <v>0</v>
      </c>
      <c r="U368" s="462" t="s">
        <v>767</v>
      </c>
      <c r="V368" s="462" t="s">
        <v>793</v>
      </c>
      <c r="W368" s="653">
        <v>285</v>
      </c>
      <c r="X368" s="462" t="s">
        <v>1532</v>
      </c>
      <c r="Y368" s="462"/>
      <c r="Z368" s="462" t="s">
        <v>794</v>
      </c>
      <c r="AA368" s="462" t="s">
        <v>1615</v>
      </c>
      <c r="AB368" s="467" t="s">
        <v>1534</v>
      </c>
    </row>
    <row r="369" spans="1:28" ht="24" customHeight="1">
      <c r="A369" s="594"/>
      <c r="B369" s="460" t="s">
        <v>675</v>
      </c>
      <c r="C369" s="522" t="s">
        <v>3919</v>
      </c>
      <c r="D369" s="524" t="s">
        <v>795</v>
      </c>
      <c r="E369" s="497">
        <f t="shared" si="28"/>
        <v>42</v>
      </c>
      <c r="F369" s="497">
        <v>0</v>
      </c>
      <c r="G369" s="497">
        <v>0</v>
      </c>
      <c r="H369" s="497">
        <v>42</v>
      </c>
      <c r="I369" s="497">
        <f t="shared" si="27"/>
        <v>42</v>
      </c>
      <c r="J369" s="497">
        <v>0</v>
      </c>
      <c r="K369" s="497">
        <v>0</v>
      </c>
      <c r="L369" s="497">
        <v>42</v>
      </c>
      <c r="M369" s="957">
        <v>1</v>
      </c>
      <c r="N369" s="653">
        <v>17.2</v>
      </c>
      <c r="O369" s="699" t="s">
        <v>3419</v>
      </c>
      <c r="P369" s="462" t="s">
        <v>1588</v>
      </c>
      <c r="Q369" s="854">
        <v>0</v>
      </c>
      <c r="R369" s="854">
        <v>0</v>
      </c>
      <c r="S369" s="854">
        <v>0</v>
      </c>
      <c r="T369" s="854">
        <v>0</v>
      </c>
      <c r="U369" s="462" t="s">
        <v>767</v>
      </c>
      <c r="V369" s="462" t="s">
        <v>796</v>
      </c>
      <c r="W369" s="653">
        <v>245</v>
      </c>
      <c r="X369" s="462" t="s">
        <v>1532</v>
      </c>
      <c r="Y369" s="462"/>
      <c r="Z369" s="462" t="s">
        <v>1615</v>
      </c>
      <c r="AA369" s="462" t="s">
        <v>1615</v>
      </c>
      <c r="AB369" s="467" t="s">
        <v>1534</v>
      </c>
    </row>
    <row r="370" spans="1:28" ht="24" customHeight="1">
      <c r="A370" s="594"/>
      <c r="B370" s="460" t="s">
        <v>675</v>
      </c>
      <c r="C370" s="522" t="s">
        <v>797</v>
      </c>
      <c r="D370" s="524" t="s">
        <v>798</v>
      </c>
      <c r="E370" s="497">
        <f t="shared" si="28"/>
        <v>42</v>
      </c>
      <c r="F370" s="497">
        <v>0</v>
      </c>
      <c r="G370" s="497">
        <v>0</v>
      </c>
      <c r="H370" s="497">
        <v>42</v>
      </c>
      <c r="I370" s="497">
        <f t="shared" si="27"/>
        <v>42</v>
      </c>
      <c r="J370" s="497">
        <v>0</v>
      </c>
      <c r="K370" s="497">
        <v>0</v>
      </c>
      <c r="L370" s="497">
        <v>42</v>
      </c>
      <c r="M370" s="957">
        <v>1</v>
      </c>
      <c r="N370" s="653">
        <v>23.5</v>
      </c>
      <c r="O370" s="699" t="s">
        <v>780</v>
      </c>
      <c r="P370" s="462" t="s">
        <v>1588</v>
      </c>
      <c r="Q370" s="854">
        <v>0</v>
      </c>
      <c r="R370" s="854">
        <v>0</v>
      </c>
      <c r="S370" s="854">
        <v>0</v>
      </c>
      <c r="T370" s="854">
        <v>0</v>
      </c>
      <c r="U370" s="462" t="s">
        <v>767</v>
      </c>
      <c r="V370" s="462" t="s">
        <v>2281</v>
      </c>
      <c r="W370" s="653">
        <v>227</v>
      </c>
      <c r="X370" s="462" t="s">
        <v>1532</v>
      </c>
      <c r="Y370" s="462"/>
      <c r="Z370" s="462" t="s">
        <v>2259</v>
      </c>
      <c r="AA370" s="462" t="s">
        <v>1615</v>
      </c>
      <c r="AB370" s="467" t="s">
        <v>1534</v>
      </c>
    </row>
    <row r="371" spans="1:28" ht="24" customHeight="1">
      <c r="A371" s="590" t="s">
        <v>1861</v>
      </c>
      <c r="B371" s="510" t="s">
        <v>675</v>
      </c>
      <c r="C371" s="718" t="s">
        <v>799</v>
      </c>
      <c r="D371" s="510" t="s">
        <v>800</v>
      </c>
      <c r="E371" s="497">
        <f t="shared" si="28"/>
        <v>150</v>
      </c>
      <c r="F371" s="497">
        <v>0</v>
      </c>
      <c r="G371" s="497">
        <v>150</v>
      </c>
      <c r="H371" s="497">
        <v>0</v>
      </c>
      <c r="I371" s="497">
        <f t="shared" si="27"/>
        <v>150</v>
      </c>
      <c r="J371" s="497">
        <v>0</v>
      </c>
      <c r="K371" s="497">
        <v>150</v>
      </c>
      <c r="L371" s="497">
        <v>0</v>
      </c>
      <c r="M371" s="963">
        <v>0.99</v>
      </c>
      <c r="N371" s="653">
        <v>13</v>
      </c>
      <c r="O371" s="720" t="s">
        <v>3221</v>
      </c>
      <c r="P371" s="479" t="s">
        <v>1588</v>
      </c>
      <c r="Q371" s="870">
        <v>0</v>
      </c>
      <c r="R371" s="870">
        <v>0</v>
      </c>
      <c r="S371" s="870">
        <v>0</v>
      </c>
      <c r="T371" s="870">
        <v>0</v>
      </c>
      <c r="U371" s="479" t="s">
        <v>801</v>
      </c>
      <c r="V371" s="479" t="s">
        <v>802</v>
      </c>
      <c r="W371" s="653">
        <v>200</v>
      </c>
      <c r="X371" s="479" t="s">
        <v>1532</v>
      </c>
      <c r="Y371" s="479" t="s">
        <v>1533</v>
      </c>
      <c r="Z371" s="479" t="s">
        <v>2259</v>
      </c>
      <c r="AA371" s="479" t="s">
        <v>803</v>
      </c>
      <c r="AB371" s="512" t="s">
        <v>1615</v>
      </c>
    </row>
    <row r="372" spans="1:28" ht="24" customHeight="1">
      <c r="A372" s="591"/>
      <c r="B372" s="510" t="s">
        <v>675</v>
      </c>
      <c r="C372" s="718" t="s">
        <v>2087</v>
      </c>
      <c r="D372" s="510" t="s">
        <v>804</v>
      </c>
      <c r="E372" s="497">
        <f t="shared" si="28"/>
        <v>250</v>
      </c>
      <c r="F372" s="497">
        <v>0</v>
      </c>
      <c r="G372" s="497">
        <v>250</v>
      </c>
      <c r="H372" s="497">
        <v>0</v>
      </c>
      <c r="I372" s="497">
        <f t="shared" si="27"/>
        <v>120</v>
      </c>
      <c r="J372" s="497">
        <v>0</v>
      </c>
      <c r="K372" s="497">
        <v>120</v>
      </c>
      <c r="L372" s="497">
        <v>0</v>
      </c>
      <c r="M372" s="963">
        <v>0.96</v>
      </c>
      <c r="N372" s="653">
        <v>20</v>
      </c>
      <c r="O372" s="720" t="s">
        <v>3221</v>
      </c>
      <c r="P372" s="479" t="s">
        <v>1588</v>
      </c>
      <c r="Q372" s="870">
        <v>0</v>
      </c>
      <c r="R372" s="870">
        <v>0</v>
      </c>
      <c r="S372" s="870">
        <v>0</v>
      </c>
      <c r="T372" s="870">
        <v>0</v>
      </c>
      <c r="U372" s="479" t="s">
        <v>801</v>
      </c>
      <c r="V372" s="479" t="s">
        <v>805</v>
      </c>
      <c r="W372" s="653">
        <v>265</v>
      </c>
      <c r="X372" s="479" t="s">
        <v>1532</v>
      </c>
      <c r="Y372" s="479" t="s">
        <v>1533</v>
      </c>
      <c r="Z372" s="479"/>
      <c r="AA372" s="479" t="s">
        <v>2261</v>
      </c>
      <c r="AB372" s="512" t="s">
        <v>1615</v>
      </c>
    </row>
    <row r="373" spans="1:28" ht="24" customHeight="1">
      <c r="A373" s="591"/>
      <c r="B373" s="510" t="s">
        <v>675</v>
      </c>
      <c r="C373" s="718" t="s">
        <v>574</v>
      </c>
      <c r="D373" s="510" t="s">
        <v>806</v>
      </c>
      <c r="E373" s="497">
        <f t="shared" si="28"/>
        <v>250</v>
      </c>
      <c r="F373" s="497">
        <v>0</v>
      </c>
      <c r="G373" s="497">
        <v>250</v>
      </c>
      <c r="H373" s="497">
        <v>0</v>
      </c>
      <c r="I373" s="497">
        <f t="shared" si="27"/>
        <v>130</v>
      </c>
      <c r="J373" s="497">
        <v>0</v>
      </c>
      <c r="K373" s="497">
        <v>130</v>
      </c>
      <c r="L373" s="497">
        <v>0</v>
      </c>
      <c r="M373" s="963">
        <v>0.93</v>
      </c>
      <c r="N373" s="653">
        <v>16</v>
      </c>
      <c r="O373" s="720" t="s">
        <v>3221</v>
      </c>
      <c r="P373" s="479" t="s">
        <v>1588</v>
      </c>
      <c r="Q373" s="870">
        <v>0</v>
      </c>
      <c r="R373" s="870">
        <v>0</v>
      </c>
      <c r="S373" s="870">
        <v>0</v>
      </c>
      <c r="T373" s="870">
        <v>0</v>
      </c>
      <c r="U373" s="479" t="s">
        <v>801</v>
      </c>
      <c r="V373" s="479" t="s">
        <v>807</v>
      </c>
      <c r="W373" s="653">
        <v>460</v>
      </c>
      <c r="X373" s="479" t="s">
        <v>1532</v>
      </c>
      <c r="Y373" s="479" t="s">
        <v>1533</v>
      </c>
      <c r="Z373" s="479" t="s">
        <v>2259</v>
      </c>
      <c r="AA373" s="479" t="s">
        <v>803</v>
      </c>
      <c r="AB373" s="512" t="s">
        <v>1615</v>
      </c>
    </row>
    <row r="374" spans="1:28" ht="24" customHeight="1">
      <c r="A374" s="591"/>
      <c r="B374" s="510" t="s">
        <v>675</v>
      </c>
      <c r="C374" s="718" t="s">
        <v>808</v>
      </c>
      <c r="D374" s="510" t="s">
        <v>809</v>
      </c>
      <c r="E374" s="497">
        <f t="shared" si="28"/>
        <v>250</v>
      </c>
      <c r="F374" s="497">
        <v>0</v>
      </c>
      <c r="G374" s="497">
        <v>250</v>
      </c>
      <c r="H374" s="497">
        <v>0</v>
      </c>
      <c r="I374" s="497">
        <f t="shared" si="27"/>
        <v>250</v>
      </c>
      <c r="J374" s="497">
        <v>0</v>
      </c>
      <c r="K374" s="497">
        <v>250</v>
      </c>
      <c r="L374" s="497">
        <v>0</v>
      </c>
      <c r="M374" s="963">
        <v>0.96</v>
      </c>
      <c r="N374" s="653">
        <v>18</v>
      </c>
      <c r="O374" s="720" t="s">
        <v>3221</v>
      </c>
      <c r="P374" s="479" t="s">
        <v>1588</v>
      </c>
      <c r="Q374" s="870">
        <v>0</v>
      </c>
      <c r="R374" s="870">
        <v>0</v>
      </c>
      <c r="S374" s="870">
        <v>0</v>
      </c>
      <c r="T374" s="870">
        <v>0</v>
      </c>
      <c r="U374" s="479" t="s">
        <v>801</v>
      </c>
      <c r="V374" s="479" t="s">
        <v>810</v>
      </c>
      <c r="W374" s="653">
        <v>290</v>
      </c>
      <c r="X374" s="479" t="s">
        <v>1532</v>
      </c>
      <c r="Y374" s="479" t="s">
        <v>1533</v>
      </c>
      <c r="Z374" s="479" t="s">
        <v>2259</v>
      </c>
      <c r="AA374" s="479" t="s">
        <v>803</v>
      </c>
      <c r="AB374" s="512" t="s">
        <v>1615</v>
      </c>
    </row>
    <row r="375" spans="1:28" ht="24" customHeight="1">
      <c r="A375" s="591"/>
      <c r="B375" s="510" t="s">
        <v>675</v>
      </c>
      <c r="C375" s="718" t="s">
        <v>811</v>
      </c>
      <c r="D375" s="510" t="s">
        <v>812</v>
      </c>
      <c r="E375" s="497">
        <f t="shared" si="28"/>
        <v>250</v>
      </c>
      <c r="F375" s="497">
        <v>0</v>
      </c>
      <c r="G375" s="497">
        <v>250</v>
      </c>
      <c r="H375" s="497">
        <v>0</v>
      </c>
      <c r="I375" s="497">
        <f t="shared" si="27"/>
        <v>250</v>
      </c>
      <c r="J375" s="497">
        <v>0</v>
      </c>
      <c r="K375" s="497">
        <v>250</v>
      </c>
      <c r="L375" s="497">
        <v>0</v>
      </c>
      <c r="M375" s="963">
        <v>0.97</v>
      </c>
      <c r="N375" s="653">
        <v>9</v>
      </c>
      <c r="O375" s="720" t="s">
        <v>3221</v>
      </c>
      <c r="P375" s="479" t="s">
        <v>1588</v>
      </c>
      <c r="Q375" s="871">
        <v>0</v>
      </c>
      <c r="R375" s="871">
        <v>0</v>
      </c>
      <c r="S375" s="870">
        <v>0</v>
      </c>
      <c r="T375" s="870">
        <v>0</v>
      </c>
      <c r="U375" s="479" t="s">
        <v>801</v>
      </c>
      <c r="V375" s="479" t="s">
        <v>813</v>
      </c>
      <c r="W375" s="653">
        <v>284</v>
      </c>
      <c r="X375" s="479" t="s">
        <v>1532</v>
      </c>
      <c r="Y375" s="479" t="s">
        <v>1533</v>
      </c>
      <c r="Z375" s="479" t="s">
        <v>2259</v>
      </c>
      <c r="AA375" s="479" t="s">
        <v>803</v>
      </c>
      <c r="AB375" s="512" t="s">
        <v>1615</v>
      </c>
    </row>
    <row r="376" spans="1:28" ht="24" customHeight="1">
      <c r="A376" s="591"/>
      <c r="B376" s="510" t="s">
        <v>675</v>
      </c>
      <c r="C376" s="718" t="s">
        <v>2164</v>
      </c>
      <c r="D376" s="510" t="s">
        <v>814</v>
      </c>
      <c r="E376" s="497">
        <f t="shared" si="28"/>
        <v>200</v>
      </c>
      <c r="F376" s="497">
        <v>0</v>
      </c>
      <c r="G376" s="497">
        <v>200</v>
      </c>
      <c r="H376" s="497">
        <v>0</v>
      </c>
      <c r="I376" s="497">
        <f t="shared" si="27"/>
        <v>200</v>
      </c>
      <c r="J376" s="497">
        <v>0</v>
      </c>
      <c r="K376" s="497">
        <v>200</v>
      </c>
      <c r="L376" s="497">
        <v>0</v>
      </c>
      <c r="M376" s="963">
        <v>0.92</v>
      </c>
      <c r="N376" s="653">
        <v>21</v>
      </c>
      <c r="O376" s="720" t="s">
        <v>3221</v>
      </c>
      <c r="P376" s="479" t="s">
        <v>1588</v>
      </c>
      <c r="Q376" s="870">
        <v>0</v>
      </c>
      <c r="R376" s="870">
        <v>0</v>
      </c>
      <c r="S376" s="870">
        <v>0</v>
      </c>
      <c r="T376" s="870">
        <v>0</v>
      </c>
      <c r="U376" s="479" t="s">
        <v>801</v>
      </c>
      <c r="V376" s="479" t="s">
        <v>815</v>
      </c>
      <c r="W376" s="653">
        <v>435</v>
      </c>
      <c r="X376" s="479" t="s">
        <v>1532</v>
      </c>
      <c r="Y376" s="479" t="s">
        <v>1533</v>
      </c>
      <c r="Z376" s="479"/>
      <c r="AA376" s="479" t="s">
        <v>2261</v>
      </c>
      <c r="AB376" s="512" t="s">
        <v>1615</v>
      </c>
    </row>
    <row r="377" spans="1:28" ht="24" customHeight="1">
      <c r="A377" s="582" t="s">
        <v>1863</v>
      </c>
      <c r="B377" s="460" t="s">
        <v>675</v>
      </c>
      <c r="C377" s="458" t="s">
        <v>817</v>
      </c>
      <c r="D377" s="510" t="s">
        <v>818</v>
      </c>
      <c r="E377" s="497">
        <f t="shared" si="28"/>
        <v>260</v>
      </c>
      <c r="F377" s="497">
        <v>0</v>
      </c>
      <c r="G377" s="497">
        <v>0</v>
      </c>
      <c r="H377" s="497">
        <v>260</v>
      </c>
      <c r="I377" s="497">
        <f t="shared" ref="I377:I390" si="29">J377+K377+L377</f>
        <v>78</v>
      </c>
      <c r="J377" s="497">
        <v>0</v>
      </c>
      <c r="K377" s="497">
        <v>0</v>
      </c>
      <c r="L377" s="497">
        <v>78</v>
      </c>
      <c r="M377" s="956">
        <v>0.92799999999999994</v>
      </c>
      <c r="N377" s="653">
        <v>3.1125120000000002</v>
      </c>
      <c r="O377" s="669" t="s">
        <v>819</v>
      </c>
      <c r="P377" s="463" t="s">
        <v>1588</v>
      </c>
      <c r="Q377" s="852">
        <v>0</v>
      </c>
      <c r="R377" s="852">
        <v>0</v>
      </c>
      <c r="S377" s="852">
        <v>0</v>
      </c>
      <c r="T377" s="852">
        <v>0</v>
      </c>
      <c r="U377" s="463" t="s">
        <v>816</v>
      </c>
      <c r="V377" s="518">
        <v>39083</v>
      </c>
      <c r="W377" s="653">
        <v>4095</v>
      </c>
      <c r="X377" s="463" t="s">
        <v>2193</v>
      </c>
      <c r="Y377" s="463" t="s">
        <v>3161</v>
      </c>
      <c r="Z377" s="463" t="s">
        <v>575</v>
      </c>
      <c r="AA377" s="463" t="s">
        <v>1534</v>
      </c>
      <c r="AB377" s="459" t="s">
        <v>1534</v>
      </c>
    </row>
    <row r="378" spans="1:28" ht="24" customHeight="1">
      <c r="A378" s="584"/>
      <c r="B378" s="460" t="s">
        <v>675</v>
      </c>
      <c r="C378" s="458" t="s">
        <v>820</v>
      </c>
      <c r="D378" s="510" t="s">
        <v>821</v>
      </c>
      <c r="E378" s="497">
        <f t="shared" si="28"/>
        <v>35</v>
      </c>
      <c r="F378" s="497">
        <v>0</v>
      </c>
      <c r="G378" s="497">
        <v>35</v>
      </c>
      <c r="H378" s="497">
        <v>0</v>
      </c>
      <c r="I378" s="497">
        <f t="shared" si="29"/>
        <v>29.7</v>
      </c>
      <c r="J378" s="497">
        <v>0</v>
      </c>
      <c r="K378" s="497">
        <v>29.7</v>
      </c>
      <c r="L378" s="497">
        <v>0</v>
      </c>
      <c r="M378" s="956">
        <v>0.82499999999999996</v>
      </c>
      <c r="N378" s="653">
        <v>0.93354524999999988</v>
      </c>
      <c r="O378" s="669" t="s">
        <v>3221</v>
      </c>
      <c r="P378" s="463" t="s">
        <v>1588</v>
      </c>
      <c r="Q378" s="852">
        <v>0</v>
      </c>
      <c r="R378" s="852">
        <v>0</v>
      </c>
      <c r="S378" s="852">
        <v>0</v>
      </c>
      <c r="T378" s="852">
        <v>0</v>
      </c>
      <c r="U378" s="463" t="s">
        <v>816</v>
      </c>
      <c r="V378" s="518">
        <v>37216</v>
      </c>
      <c r="W378" s="653">
        <v>175</v>
      </c>
      <c r="X378" s="463" t="s">
        <v>2199</v>
      </c>
      <c r="Y378" s="463"/>
      <c r="Z378" s="463" t="s">
        <v>575</v>
      </c>
      <c r="AA378" s="463" t="s">
        <v>1534</v>
      </c>
      <c r="AB378" s="459" t="s">
        <v>1534</v>
      </c>
    </row>
    <row r="379" spans="1:28" ht="24" customHeight="1">
      <c r="A379" s="584"/>
      <c r="B379" s="460" t="s">
        <v>2201</v>
      </c>
      <c r="C379" s="458" t="s">
        <v>335</v>
      </c>
      <c r="D379" s="510" t="s">
        <v>822</v>
      </c>
      <c r="E379" s="497">
        <f t="shared" si="28"/>
        <v>6000</v>
      </c>
      <c r="F379" s="497">
        <v>0</v>
      </c>
      <c r="G379" s="497">
        <v>0</v>
      </c>
      <c r="H379" s="497">
        <v>6000</v>
      </c>
      <c r="I379" s="497">
        <f t="shared" si="29"/>
        <v>2656</v>
      </c>
      <c r="J379" s="497">
        <v>0</v>
      </c>
      <c r="K379" s="497">
        <v>0</v>
      </c>
      <c r="L379" s="497">
        <v>2656</v>
      </c>
      <c r="M379" s="956">
        <v>0.91201353637901861</v>
      </c>
      <c r="N379" s="653">
        <v>286.3168</v>
      </c>
      <c r="O379" s="669" t="s">
        <v>3798</v>
      </c>
      <c r="P379" s="463" t="s">
        <v>1588</v>
      </c>
      <c r="Q379" s="852">
        <v>0</v>
      </c>
      <c r="R379" s="852">
        <v>0</v>
      </c>
      <c r="S379" s="852">
        <v>0</v>
      </c>
      <c r="T379" s="852">
        <v>0</v>
      </c>
      <c r="U379" s="463" t="s">
        <v>823</v>
      </c>
      <c r="V379" s="518">
        <v>38292</v>
      </c>
      <c r="W379" s="653">
        <v>38097</v>
      </c>
      <c r="X379" s="463" t="s">
        <v>1532</v>
      </c>
      <c r="Y379" s="463" t="s">
        <v>4034</v>
      </c>
      <c r="Z379" s="463" t="s">
        <v>335</v>
      </c>
      <c r="AA379" s="463" t="s">
        <v>1534</v>
      </c>
      <c r="AB379" s="459" t="s">
        <v>1534</v>
      </c>
    </row>
    <row r="380" spans="1:28" ht="24" customHeight="1">
      <c r="A380" s="584"/>
      <c r="B380" s="460" t="s">
        <v>675</v>
      </c>
      <c r="C380" s="458" t="s">
        <v>2096</v>
      </c>
      <c r="D380" s="510" t="s">
        <v>824</v>
      </c>
      <c r="E380" s="497">
        <f t="shared" si="28"/>
        <v>40</v>
      </c>
      <c r="F380" s="497">
        <v>0</v>
      </c>
      <c r="G380" s="497">
        <v>40</v>
      </c>
      <c r="H380" s="497">
        <v>0</v>
      </c>
      <c r="I380" s="497">
        <f t="shared" si="29"/>
        <v>34.6</v>
      </c>
      <c r="J380" s="497">
        <v>0</v>
      </c>
      <c r="K380" s="497">
        <v>34.6</v>
      </c>
      <c r="L380" s="497">
        <v>0</v>
      </c>
      <c r="M380" s="956">
        <v>0.90200000000000002</v>
      </c>
      <c r="N380" s="653">
        <v>1.9131239600000001</v>
      </c>
      <c r="O380" s="669" t="s">
        <v>3221</v>
      </c>
      <c r="P380" s="463" t="s">
        <v>1588</v>
      </c>
      <c r="Q380" s="852">
        <v>0</v>
      </c>
      <c r="R380" s="852">
        <v>0</v>
      </c>
      <c r="S380" s="852">
        <v>0</v>
      </c>
      <c r="T380" s="852">
        <v>0</v>
      </c>
      <c r="U380" s="463" t="s">
        <v>816</v>
      </c>
      <c r="V380" s="518">
        <v>36686</v>
      </c>
      <c r="W380" s="653">
        <v>12647</v>
      </c>
      <c r="X380" s="463" t="s">
        <v>2199</v>
      </c>
      <c r="Y380" s="463"/>
      <c r="Z380" s="463" t="s">
        <v>825</v>
      </c>
      <c r="AA380" s="463" t="s">
        <v>1534</v>
      </c>
      <c r="AB380" s="459" t="s">
        <v>1534</v>
      </c>
    </row>
    <row r="381" spans="1:28" ht="24" customHeight="1">
      <c r="A381" s="584"/>
      <c r="B381" s="460" t="s">
        <v>675</v>
      </c>
      <c r="C381" s="458" t="s">
        <v>826</v>
      </c>
      <c r="D381" s="510" t="s">
        <v>827</v>
      </c>
      <c r="E381" s="497">
        <f t="shared" si="28"/>
        <v>32</v>
      </c>
      <c r="F381" s="497">
        <v>0</v>
      </c>
      <c r="G381" s="497">
        <v>32</v>
      </c>
      <c r="H381" s="497">
        <v>0</v>
      </c>
      <c r="I381" s="497">
        <f t="shared" si="29"/>
        <v>27.2</v>
      </c>
      <c r="J381" s="497">
        <v>0</v>
      </c>
      <c r="K381" s="497">
        <v>27.2</v>
      </c>
      <c r="L381" s="497">
        <v>0</v>
      </c>
      <c r="M381" s="956">
        <v>0.9</v>
      </c>
      <c r="N381" s="653">
        <v>1.598544</v>
      </c>
      <c r="O381" s="669" t="s">
        <v>3872</v>
      </c>
      <c r="P381" s="463" t="s">
        <v>1588</v>
      </c>
      <c r="Q381" s="852">
        <v>0</v>
      </c>
      <c r="R381" s="852">
        <v>0</v>
      </c>
      <c r="S381" s="852">
        <v>0</v>
      </c>
      <c r="T381" s="852">
        <v>0</v>
      </c>
      <c r="U381" s="463" t="s">
        <v>816</v>
      </c>
      <c r="V381" s="518">
        <v>36686</v>
      </c>
      <c r="W381" s="653">
        <v>2834</v>
      </c>
      <c r="X381" s="463" t="s">
        <v>2199</v>
      </c>
      <c r="Y381" s="463"/>
      <c r="Z381" s="463" t="s">
        <v>825</v>
      </c>
      <c r="AA381" s="463" t="s">
        <v>1534</v>
      </c>
      <c r="AB381" s="459" t="s">
        <v>1534</v>
      </c>
    </row>
    <row r="382" spans="1:28" ht="24" customHeight="1">
      <c r="A382" s="584"/>
      <c r="B382" s="460" t="s">
        <v>675</v>
      </c>
      <c r="C382" s="458" t="s">
        <v>828</v>
      </c>
      <c r="D382" s="510" t="s">
        <v>829</v>
      </c>
      <c r="E382" s="497">
        <f t="shared" si="28"/>
        <v>200</v>
      </c>
      <c r="F382" s="497">
        <v>0</v>
      </c>
      <c r="G382" s="497">
        <v>200</v>
      </c>
      <c r="H382" s="497">
        <v>0</v>
      </c>
      <c r="I382" s="497">
        <f t="shared" si="29"/>
        <v>181.8</v>
      </c>
      <c r="J382" s="497">
        <v>0</v>
      </c>
      <c r="K382" s="497">
        <v>181.8</v>
      </c>
      <c r="L382" s="497">
        <v>0</v>
      </c>
      <c r="M382" s="956">
        <v>0.9</v>
      </c>
      <c r="N382" s="653">
        <v>24.984773999999998</v>
      </c>
      <c r="O382" s="669" t="s">
        <v>3221</v>
      </c>
      <c r="P382" s="463" t="s">
        <v>1588</v>
      </c>
      <c r="Q382" s="852">
        <v>0</v>
      </c>
      <c r="R382" s="852">
        <v>0</v>
      </c>
      <c r="S382" s="852">
        <v>0</v>
      </c>
      <c r="T382" s="852">
        <v>0</v>
      </c>
      <c r="U382" s="463" t="s">
        <v>816</v>
      </c>
      <c r="V382" s="518">
        <v>33964</v>
      </c>
      <c r="W382" s="653">
        <v>193</v>
      </c>
      <c r="X382" s="463" t="s">
        <v>2199</v>
      </c>
      <c r="Y382" s="463"/>
      <c r="Z382" s="463" t="s">
        <v>575</v>
      </c>
      <c r="AA382" s="463" t="s">
        <v>1534</v>
      </c>
      <c r="AB382" s="459" t="s">
        <v>1534</v>
      </c>
    </row>
    <row r="383" spans="1:28" ht="24" customHeight="1">
      <c r="A383" s="584"/>
      <c r="B383" s="460" t="s">
        <v>675</v>
      </c>
      <c r="C383" s="458" t="s">
        <v>830</v>
      </c>
      <c r="D383" s="510" t="s">
        <v>831</v>
      </c>
      <c r="E383" s="497">
        <f t="shared" si="28"/>
        <v>60</v>
      </c>
      <c r="F383" s="497">
        <v>0</v>
      </c>
      <c r="G383" s="497">
        <v>60</v>
      </c>
      <c r="H383" s="497">
        <v>0</v>
      </c>
      <c r="I383" s="497">
        <f t="shared" si="29"/>
        <v>53.1</v>
      </c>
      <c r="J383" s="497">
        <v>0</v>
      </c>
      <c r="K383" s="497">
        <v>53.1</v>
      </c>
      <c r="L383" s="497">
        <v>0</v>
      </c>
      <c r="M383" s="956">
        <v>0.72199999999999998</v>
      </c>
      <c r="N383" s="653">
        <v>0.60574356000000007</v>
      </c>
      <c r="O383" s="669" t="s">
        <v>3221</v>
      </c>
      <c r="P383" s="463" t="s">
        <v>1588</v>
      </c>
      <c r="Q383" s="852">
        <v>0</v>
      </c>
      <c r="R383" s="852">
        <v>0</v>
      </c>
      <c r="S383" s="852">
        <v>0</v>
      </c>
      <c r="T383" s="852">
        <v>0</v>
      </c>
      <c r="U383" s="463" t="s">
        <v>816</v>
      </c>
      <c r="V383" s="518">
        <v>36734</v>
      </c>
      <c r="W383" s="653">
        <v>253</v>
      </c>
      <c r="X383" s="463" t="s">
        <v>2199</v>
      </c>
      <c r="Y383" s="463" t="s">
        <v>3232</v>
      </c>
      <c r="Z383" s="463" t="s">
        <v>575</v>
      </c>
      <c r="AA383" s="463" t="s">
        <v>1534</v>
      </c>
      <c r="AB383" s="459" t="s">
        <v>1534</v>
      </c>
    </row>
    <row r="384" spans="1:28" ht="24" customHeight="1">
      <c r="A384" s="584"/>
      <c r="B384" s="460" t="s">
        <v>675</v>
      </c>
      <c r="C384" s="458" t="s">
        <v>2029</v>
      </c>
      <c r="D384" s="510" t="s">
        <v>832</v>
      </c>
      <c r="E384" s="497">
        <f t="shared" si="28"/>
        <v>28</v>
      </c>
      <c r="F384" s="497">
        <v>0</v>
      </c>
      <c r="G384" s="497">
        <v>28</v>
      </c>
      <c r="H384" s="497">
        <v>0</v>
      </c>
      <c r="I384" s="497">
        <f t="shared" si="29"/>
        <v>25.7</v>
      </c>
      <c r="J384" s="497">
        <v>0</v>
      </c>
      <c r="K384" s="497">
        <v>25.7</v>
      </c>
      <c r="L384" s="497">
        <v>0</v>
      </c>
      <c r="M384" s="956">
        <v>0.91799999999999993</v>
      </c>
      <c r="N384" s="653">
        <v>2.4040859399999999</v>
      </c>
      <c r="O384" s="669" t="s">
        <v>3221</v>
      </c>
      <c r="P384" s="463" t="s">
        <v>1588</v>
      </c>
      <c r="Q384" s="852">
        <v>0</v>
      </c>
      <c r="R384" s="852">
        <v>0</v>
      </c>
      <c r="S384" s="852">
        <v>0</v>
      </c>
      <c r="T384" s="852">
        <v>0</v>
      </c>
      <c r="U384" s="463" t="s">
        <v>816</v>
      </c>
      <c r="V384" s="518">
        <v>37216</v>
      </c>
      <c r="W384" s="653">
        <v>198</v>
      </c>
      <c r="X384" s="463" t="s">
        <v>2199</v>
      </c>
      <c r="Y384" s="463"/>
      <c r="Z384" s="463" t="s">
        <v>575</v>
      </c>
      <c r="AA384" s="463" t="s">
        <v>1534</v>
      </c>
      <c r="AB384" s="459" t="s">
        <v>1534</v>
      </c>
    </row>
    <row r="385" spans="1:28" ht="24" customHeight="1">
      <c r="A385" s="584"/>
      <c r="B385" s="460" t="s">
        <v>675</v>
      </c>
      <c r="C385" s="458" t="s">
        <v>833</v>
      </c>
      <c r="D385" s="510" t="s">
        <v>834</v>
      </c>
      <c r="E385" s="497">
        <f t="shared" si="28"/>
        <v>80</v>
      </c>
      <c r="F385" s="497">
        <v>0</v>
      </c>
      <c r="G385" s="497">
        <v>80</v>
      </c>
      <c r="H385" s="497">
        <v>0</v>
      </c>
      <c r="I385" s="497">
        <f t="shared" si="29"/>
        <v>74.8</v>
      </c>
      <c r="J385" s="497">
        <v>0</v>
      </c>
      <c r="K385" s="497">
        <v>74.8</v>
      </c>
      <c r="L385" s="497">
        <v>0</v>
      </c>
      <c r="M385" s="956">
        <v>0.93500000000000005</v>
      </c>
      <c r="N385" s="653">
        <v>9.9242022000000016</v>
      </c>
      <c r="O385" s="669" t="s">
        <v>3872</v>
      </c>
      <c r="P385" s="463" t="s">
        <v>1588</v>
      </c>
      <c r="Q385" s="852">
        <v>0</v>
      </c>
      <c r="R385" s="852">
        <v>0</v>
      </c>
      <c r="S385" s="852">
        <v>0</v>
      </c>
      <c r="T385" s="852">
        <v>0</v>
      </c>
      <c r="U385" s="463" t="s">
        <v>816</v>
      </c>
      <c r="V385" s="518">
        <v>36800</v>
      </c>
      <c r="W385" s="653">
        <v>200</v>
      </c>
      <c r="X385" s="463" t="s">
        <v>2199</v>
      </c>
      <c r="Y385" s="463"/>
      <c r="Z385" s="463" t="s">
        <v>575</v>
      </c>
      <c r="AA385" s="463" t="s">
        <v>1534</v>
      </c>
      <c r="AB385" s="459" t="s">
        <v>1534</v>
      </c>
    </row>
    <row r="386" spans="1:28" ht="24" customHeight="1">
      <c r="A386" s="584"/>
      <c r="B386" s="460" t="s">
        <v>675</v>
      </c>
      <c r="C386" s="458" t="s">
        <v>835</v>
      </c>
      <c r="D386" s="510" t="s">
        <v>836</v>
      </c>
      <c r="E386" s="497">
        <f t="shared" si="28"/>
        <v>300</v>
      </c>
      <c r="F386" s="497">
        <v>0</v>
      </c>
      <c r="G386" s="497">
        <v>0</v>
      </c>
      <c r="H386" s="497">
        <v>300</v>
      </c>
      <c r="I386" s="497">
        <f t="shared" si="29"/>
        <v>269.5</v>
      </c>
      <c r="J386" s="497">
        <v>0</v>
      </c>
      <c r="K386" s="497">
        <v>0</v>
      </c>
      <c r="L386" s="497">
        <v>269.5</v>
      </c>
      <c r="M386" s="956">
        <v>0.95400000000000007</v>
      </c>
      <c r="N386" s="653">
        <v>22.239409500000001</v>
      </c>
      <c r="O386" s="669" t="s">
        <v>3221</v>
      </c>
      <c r="P386" s="463" t="s">
        <v>1588</v>
      </c>
      <c r="Q386" s="852">
        <v>0</v>
      </c>
      <c r="R386" s="852">
        <v>0</v>
      </c>
      <c r="S386" s="852">
        <v>0</v>
      </c>
      <c r="T386" s="852">
        <v>0</v>
      </c>
      <c r="U386" s="463" t="s">
        <v>816</v>
      </c>
      <c r="V386" s="518">
        <v>35570</v>
      </c>
      <c r="W386" s="653">
        <v>546</v>
      </c>
      <c r="X386" s="463" t="s">
        <v>2199</v>
      </c>
      <c r="Y386" s="463" t="s">
        <v>3232</v>
      </c>
      <c r="Z386" s="463" t="s">
        <v>575</v>
      </c>
      <c r="AA386" s="463" t="s">
        <v>1534</v>
      </c>
      <c r="AB386" s="459" t="s">
        <v>1534</v>
      </c>
    </row>
    <row r="387" spans="1:28" ht="24" customHeight="1">
      <c r="A387" s="584"/>
      <c r="B387" s="460" t="s">
        <v>675</v>
      </c>
      <c r="C387" s="458" t="s">
        <v>2048</v>
      </c>
      <c r="D387" s="510" t="s">
        <v>837</v>
      </c>
      <c r="E387" s="497">
        <f t="shared" si="28"/>
        <v>150</v>
      </c>
      <c r="F387" s="497">
        <v>0</v>
      </c>
      <c r="G387" s="497">
        <v>0</v>
      </c>
      <c r="H387" s="497">
        <v>150</v>
      </c>
      <c r="I387" s="497">
        <f t="shared" si="29"/>
        <v>70</v>
      </c>
      <c r="J387" s="497">
        <v>0</v>
      </c>
      <c r="K387" s="497">
        <v>0</v>
      </c>
      <c r="L387" s="497">
        <v>70</v>
      </c>
      <c r="M387" s="956">
        <v>0.92700000000000005</v>
      </c>
      <c r="N387" s="653">
        <v>2.0505239999999998</v>
      </c>
      <c r="O387" s="669" t="s">
        <v>819</v>
      </c>
      <c r="P387" s="463" t="s">
        <v>1588</v>
      </c>
      <c r="Q387" s="852">
        <v>0</v>
      </c>
      <c r="R387" s="852">
        <v>0</v>
      </c>
      <c r="S387" s="852">
        <v>0</v>
      </c>
      <c r="T387" s="852">
        <v>0</v>
      </c>
      <c r="U387" s="463" t="s">
        <v>816</v>
      </c>
      <c r="V387" s="518">
        <v>39083</v>
      </c>
      <c r="W387" s="653">
        <v>3128</v>
      </c>
      <c r="X387" s="463" t="s">
        <v>2193</v>
      </c>
      <c r="Y387" s="463" t="s">
        <v>3161</v>
      </c>
      <c r="Z387" s="463" t="s">
        <v>575</v>
      </c>
      <c r="AA387" s="463" t="s">
        <v>1534</v>
      </c>
      <c r="AB387" s="459" t="s">
        <v>1534</v>
      </c>
    </row>
    <row r="388" spans="1:28" ht="24" customHeight="1">
      <c r="A388" s="584"/>
      <c r="B388" s="460" t="s">
        <v>675</v>
      </c>
      <c r="C388" s="458" t="s">
        <v>838</v>
      </c>
      <c r="D388" s="510" t="s">
        <v>839</v>
      </c>
      <c r="E388" s="497">
        <f t="shared" si="28"/>
        <v>250</v>
      </c>
      <c r="F388" s="497">
        <v>0</v>
      </c>
      <c r="G388" s="497">
        <v>250</v>
      </c>
      <c r="H388" s="497">
        <v>0</v>
      </c>
      <c r="I388" s="497">
        <f t="shared" si="29"/>
        <v>241.5</v>
      </c>
      <c r="J388" s="497">
        <v>0</v>
      </c>
      <c r="K388" s="497">
        <v>241.5</v>
      </c>
      <c r="L388" s="497">
        <v>0</v>
      </c>
      <c r="M388" s="956">
        <v>0.879</v>
      </c>
      <c r="N388" s="653">
        <v>23.541685650000002</v>
      </c>
      <c r="O388" s="669" t="s">
        <v>3221</v>
      </c>
      <c r="P388" s="463" t="s">
        <v>1588</v>
      </c>
      <c r="Q388" s="852">
        <v>0</v>
      </c>
      <c r="R388" s="852">
        <v>0</v>
      </c>
      <c r="S388" s="852">
        <v>0</v>
      </c>
      <c r="T388" s="852">
        <v>0</v>
      </c>
      <c r="U388" s="463" t="s">
        <v>816</v>
      </c>
      <c r="V388" s="518">
        <v>34313</v>
      </c>
      <c r="W388" s="653">
        <v>250</v>
      </c>
      <c r="X388" s="463" t="s">
        <v>2199</v>
      </c>
      <c r="Y388" s="463"/>
      <c r="Z388" s="463" t="s">
        <v>575</v>
      </c>
      <c r="AA388" s="463" t="s">
        <v>1534</v>
      </c>
      <c r="AB388" s="459" t="s">
        <v>1534</v>
      </c>
    </row>
    <row r="389" spans="1:28" ht="24" customHeight="1">
      <c r="A389" s="584"/>
      <c r="B389" s="460" t="s">
        <v>675</v>
      </c>
      <c r="C389" s="458" t="s">
        <v>840</v>
      </c>
      <c r="D389" s="510" t="s">
        <v>841</v>
      </c>
      <c r="E389" s="497">
        <f t="shared" si="28"/>
        <v>40</v>
      </c>
      <c r="F389" s="497">
        <v>0</v>
      </c>
      <c r="G389" s="497">
        <v>40</v>
      </c>
      <c r="H389" s="497">
        <v>0</v>
      </c>
      <c r="I389" s="497">
        <f t="shared" si="29"/>
        <v>34.299999999999997</v>
      </c>
      <c r="J389" s="497">
        <v>0</v>
      </c>
      <c r="K389" s="497">
        <v>34.299999999999997</v>
      </c>
      <c r="L389" s="497">
        <v>0</v>
      </c>
      <c r="M389" s="956">
        <v>0.93799999999999994</v>
      </c>
      <c r="N389" s="653">
        <v>3.4586404999999996</v>
      </c>
      <c r="O389" s="669" t="s">
        <v>3221</v>
      </c>
      <c r="P389" s="463" t="s">
        <v>1588</v>
      </c>
      <c r="Q389" s="852">
        <v>0</v>
      </c>
      <c r="R389" s="852">
        <v>0</v>
      </c>
      <c r="S389" s="852">
        <v>0</v>
      </c>
      <c r="T389" s="852">
        <v>0</v>
      </c>
      <c r="U389" s="463" t="s">
        <v>816</v>
      </c>
      <c r="V389" s="518">
        <v>37009</v>
      </c>
      <c r="W389" s="653">
        <v>310</v>
      </c>
      <c r="X389" s="463" t="s">
        <v>2199</v>
      </c>
      <c r="Y389" s="463"/>
      <c r="Z389" s="463" t="s">
        <v>575</v>
      </c>
      <c r="AA389" s="463" t="s">
        <v>1534</v>
      </c>
      <c r="AB389" s="459" t="s">
        <v>1534</v>
      </c>
    </row>
    <row r="390" spans="1:28" ht="24" customHeight="1">
      <c r="A390" s="584"/>
      <c r="B390" s="460" t="s">
        <v>675</v>
      </c>
      <c r="C390" s="458" t="s">
        <v>1604</v>
      </c>
      <c r="D390" s="510" t="s">
        <v>842</v>
      </c>
      <c r="E390" s="497">
        <f t="shared" si="28"/>
        <v>120</v>
      </c>
      <c r="F390" s="497">
        <v>0</v>
      </c>
      <c r="G390" s="497">
        <v>0</v>
      </c>
      <c r="H390" s="497">
        <v>120</v>
      </c>
      <c r="I390" s="497">
        <f t="shared" si="29"/>
        <v>114.3</v>
      </c>
      <c r="J390" s="497">
        <v>0</v>
      </c>
      <c r="K390" s="497">
        <v>0</v>
      </c>
      <c r="L390" s="497">
        <v>114.3</v>
      </c>
      <c r="M390" s="956">
        <v>0.86099999999999999</v>
      </c>
      <c r="N390" s="653">
        <v>12.596774400000001</v>
      </c>
      <c r="O390" s="669" t="s">
        <v>3221</v>
      </c>
      <c r="P390" s="463" t="s">
        <v>1588</v>
      </c>
      <c r="Q390" s="852">
        <v>0</v>
      </c>
      <c r="R390" s="852">
        <v>0</v>
      </c>
      <c r="S390" s="852">
        <v>0</v>
      </c>
      <c r="T390" s="852">
        <v>0</v>
      </c>
      <c r="U390" s="463" t="s">
        <v>816</v>
      </c>
      <c r="V390" s="518">
        <v>36441</v>
      </c>
      <c r="W390" s="653">
        <v>400</v>
      </c>
      <c r="X390" s="463" t="s">
        <v>2199</v>
      </c>
      <c r="Y390" s="463" t="s">
        <v>3232</v>
      </c>
      <c r="Z390" s="463" t="s">
        <v>575</v>
      </c>
      <c r="AA390" s="463" t="s">
        <v>1534</v>
      </c>
      <c r="AB390" s="459" t="s">
        <v>1534</v>
      </c>
    </row>
    <row r="391" spans="1:28" ht="24" customHeight="1">
      <c r="A391" s="582" t="s">
        <v>1864</v>
      </c>
      <c r="B391" s="460" t="s">
        <v>2201</v>
      </c>
      <c r="C391" s="458" t="s">
        <v>843</v>
      </c>
      <c r="D391" s="510" t="s">
        <v>844</v>
      </c>
      <c r="E391" s="497">
        <f>F391+G391+H391</f>
        <v>4200</v>
      </c>
      <c r="F391" s="497">
        <v>0</v>
      </c>
      <c r="G391" s="497">
        <v>4200</v>
      </c>
      <c r="H391" s="497">
        <v>0</v>
      </c>
      <c r="I391" s="497">
        <f>J391+K391+L391</f>
        <v>3133</v>
      </c>
      <c r="J391" s="497">
        <v>0</v>
      </c>
      <c r="K391" s="497">
        <v>3133</v>
      </c>
      <c r="L391" s="497">
        <v>0</v>
      </c>
      <c r="M391" s="956">
        <v>0.95805739514348787</v>
      </c>
      <c r="N391" s="653">
        <v>271.94439999999997</v>
      </c>
      <c r="O391" s="669" t="s">
        <v>845</v>
      </c>
      <c r="P391" s="463" t="s">
        <v>1588</v>
      </c>
      <c r="Q391" s="852">
        <v>106</v>
      </c>
      <c r="R391" s="852">
        <v>0</v>
      </c>
      <c r="S391" s="852">
        <v>0</v>
      </c>
      <c r="T391" s="852">
        <v>178</v>
      </c>
      <c r="U391" s="463"/>
      <c r="V391" s="463" t="s">
        <v>2176</v>
      </c>
      <c r="W391" s="653"/>
      <c r="X391" s="463" t="s">
        <v>1532</v>
      </c>
      <c r="Y391" s="463" t="s">
        <v>3390</v>
      </c>
      <c r="Z391" s="463" t="s">
        <v>846</v>
      </c>
      <c r="AA391" s="463" t="s">
        <v>2263</v>
      </c>
      <c r="AB391" s="459" t="s">
        <v>1597</v>
      </c>
    </row>
    <row r="392" spans="1:28" ht="24" customHeight="1">
      <c r="A392" s="584"/>
      <c r="B392" s="460" t="s">
        <v>2201</v>
      </c>
      <c r="C392" s="458" t="s">
        <v>847</v>
      </c>
      <c r="D392" s="510" t="s">
        <v>848</v>
      </c>
      <c r="E392" s="497">
        <f>F392+G392+H392</f>
        <v>2500</v>
      </c>
      <c r="F392" s="497">
        <v>0</v>
      </c>
      <c r="G392" s="497">
        <v>2500</v>
      </c>
      <c r="H392" s="497">
        <v>0</v>
      </c>
      <c r="I392" s="497">
        <f>J392+K392+L392</f>
        <v>1275</v>
      </c>
      <c r="J392" s="497">
        <v>0</v>
      </c>
      <c r="K392" s="497">
        <v>1275</v>
      </c>
      <c r="L392" s="497">
        <v>0</v>
      </c>
      <c r="M392" s="956">
        <v>0.90296495956873313</v>
      </c>
      <c r="N392" s="653">
        <v>42.712499999999999</v>
      </c>
      <c r="O392" s="669" t="s">
        <v>845</v>
      </c>
      <c r="P392" s="463" t="s">
        <v>1588</v>
      </c>
      <c r="Q392" s="852">
        <v>0</v>
      </c>
      <c r="R392" s="852">
        <v>0</v>
      </c>
      <c r="S392" s="852">
        <v>0</v>
      </c>
      <c r="T392" s="852">
        <v>0</v>
      </c>
      <c r="U392" s="463" t="s">
        <v>7463</v>
      </c>
      <c r="V392" s="463" t="s">
        <v>2177</v>
      </c>
      <c r="W392" s="653">
        <v>15704</v>
      </c>
      <c r="X392" s="463" t="s">
        <v>1532</v>
      </c>
      <c r="Y392" s="463" t="s">
        <v>3390</v>
      </c>
      <c r="Z392" s="463" t="s">
        <v>1602</v>
      </c>
      <c r="AA392" s="463" t="s">
        <v>2263</v>
      </c>
      <c r="AB392" s="459" t="s">
        <v>1597</v>
      </c>
    </row>
    <row r="393" spans="1:28" ht="24" customHeight="1">
      <c r="A393" s="584"/>
      <c r="B393" s="460" t="s">
        <v>675</v>
      </c>
      <c r="C393" s="458" t="s">
        <v>849</v>
      </c>
      <c r="D393" s="510" t="s">
        <v>850</v>
      </c>
      <c r="E393" s="497">
        <f>F393+G393+H393</f>
        <v>150</v>
      </c>
      <c r="F393" s="497">
        <v>0</v>
      </c>
      <c r="G393" s="497">
        <v>150</v>
      </c>
      <c r="H393" s="497">
        <v>0</v>
      </c>
      <c r="I393" s="497">
        <f>J393+K393+L393</f>
        <v>150</v>
      </c>
      <c r="J393" s="497">
        <v>0</v>
      </c>
      <c r="K393" s="497">
        <v>150</v>
      </c>
      <c r="L393" s="497">
        <v>0</v>
      </c>
      <c r="M393" s="956">
        <v>0.97199999999999998</v>
      </c>
      <c r="N393" s="653">
        <v>17.350000000000001</v>
      </c>
      <c r="O393" s="669" t="s">
        <v>3221</v>
      </c>
      <c r="P393" s="463" t="s">
        <v>1588</v>
      </c>
      <c r="Q393" s="852">
        <v>0</v>
      </c>
      <c r="R393" s="852">
        <v>0</v>
      </c>
      <c r="S393" s="852">
        <v>0</v>
      </c>
      <c r="T393" s="852">
        <v>0</v>
      </c>
      <c r="U393" s="463" t="s">
        <v>7464</v>
      </c>
      <c r="V393" s="466" t="s">
        <v>851</v>
      </c>
      <c r="W393" s="653">
        <v>400</v>
      </c>
      <c r="X393" s="463" t="s">
        <v>1532</v>
      </c>
      <c r="Y393" s="463" t="s">
        <v>3232</v>
      </c>
      <c r="Z393" s="463" t="s">
        <v>1602</v>
      </c>
      <c r="AA393" s="463" t="s">
        <v>2263</v>
      </c>
      <c r="AB393" s="459" t="s">
        <v>852</v>
      </c>
    </row>
    <row r="394" spans="1:28" ht="24" customHeight="1">
      <c r="A394" s="584"/>
      <c r="B394" s="460" t="s">
        <v>675</v>
      </c>
      <c r="C394" s="458" t="s">
        <v>853</v>
      </c>
      <c r="D394" s="510" t="s">
        <v>854</v>
      </c>
      <c r="E394" s="497">
        <f>F394+G394+H394</f>
        <v>100</v>
      </c>
      <c r="F394" s="497">
        <v>0</v>
      </c>
      <c r="G394" s="497">
        <v>100</v>
      </c>
      <c r="H394" s="497">
        <v>0</v>
      </c>
      <c r="I394" s="497">
        <f>J394+K394+L394</f>
        <v>100</v>
      </c>
      <c r="J394" s="497">
        <v>0</v>
      </c>
      <c r="K394" s="497">
        <v>100</v>
      </c>
      <c r="L394" s="497">
        <v>0</v>
      </c>
      <c r="M394" s="956">
        <v>0.94900000000000007</v>
      </c>
      <c r="N394" s="653">
        <v>9.56</v>
      </c>
      <c r="O394" s="669" t="s">
        <v>855</v>
      </c>
      <c r="P394" s="463" t="s">
        <v>855</v>
      </c>
      <c r="Q394" s="852">
        <v>0</v>
      </c>
      <c r="R394" s="852">
        <v>0</v>
      </c>
      <c r="S394" s="852">
        <v>0</v>
      </c>
      <c r="T394" s="852">
        <v>0</v>
      </c>
      <c r="U394" s="463" t="s">
        <v>7464</v>
      </c>
      <c r="V394" s="466" t="s">
        <v>856</v>
      </c>
      <c r="W394" s="653">
        <v>1028</v>
      </c>
      <c r="X394" s="463" t="s">
        <v>1532</v>
      </c>
      <c r="Y394" s="463" t="s">
        <v>3232</v>
      </c>
      <c r="Z394" s="463" t="s">
        <v>1602</v>
      </c>
      <c r="AA394" s="463" t="s">
        <v>2263</v>
      </c>
      <c r="AB394" s="459" t="s">
        <v>852</v>
      </c>
    </row>
    <row r="395" spans="1:28" ht="24" customHeight="1">
      <c r="A395" s="584"/>
      <c r="B395" s="460" t="s">
        <v>675</v>
      </c>
      <c r="C395" s="458" t="s">
        <v>857</v>
      </c>
      <c r="D395" s="510" t="s">
        <v>858</v>
      </c>
      <c r="E395" s="497">
        <f>F395+G395+H395</f>
        <v>60</v>
      </c>
      <c r="F395" s="497">
        <v>0</v>
      </c>
      <c r="G395" s="497">
        <v>60</v>
      </c>
      <c r="H395" s="497">
        <v>0</v>
      </c>
      <c r="I395" s="497">
        <f>J395+K395+L395</f>
        <v>60</v>
      </c>
      <c r="J395" s="497">
        <v>0</v>
      </c>
      <c r="K395" s="497">
        <v>60</v>
      </c>
      <c r="L395" s="497">
        <v>0</v>
      </c>
      <c r="M395" s="956">
        <v>0.94700000000000006</v>
      </c>
      <c r="N395" s="653">
        <v>5.25</v>
      </c>
      <c r="O395" s="669" t="s">
        <v>855</v>
      </c>
      <c r="P395" s="463" t="s">
        <v>855</v>
      </c>
      <c r="Q395" s="852">
        <v>0</v>
      </c>
      <c r="R395" s="852">
        <v>0</v>
      </c>
      <c r="S395" s="852">
        <v>0</v>
      </c>
      <c r="T395" s="852">
        <v>0</v>
      </c>
      <c r="U395" s="463" t="s">
        <v>7464</v>
      </c>
      <c r="V395" s="466" t="s">
        <v>859</v>
      </c>
      <c r="W395" s="653">
        <v>749</v>
      </c>
      <c r="X395" s="463" t="s">
        <v>1532</v>
      </c>
      <c r="Y395" s="463" t="s">
        <v>3232</v>
      </c>
      <c r="Z395" s="463" t="s">
        <v>1602</v>
      </c>
      <c r="AA395" s="463" t="s">
        <v>2263</v>
      </c>
      <c r="AB395" s="459" t="s">
        <v>852</v>
      </c>
    </row>
    <row r="396" spans="1:28" ht="24" customHeight="1">
      <c r="A396" s="582" t="s">
        <v>1605</v>
      </c>
      <c r="B396" s="460" t="s">
        <v>2201</v>
      </c>
      <c r="C396" s="458" t="s">
        <v>190</v>
      </c>
      <c r="D396" s="510" t="s">
        <v>860</v>
      </c>
      <c r="E396" s="497">
        <f t="shared" ref="E396:E415" si="30">SUM(F396:H396)</f>
        <v>1000</v>
      </c>
      <c r="F396" s="497">
        <v>0</v>
      </c>
      <c r="G396" s="497">
        <v>0</v>
      </c>
      <c r="H396" s="497">
        <v>1000</v>
      </c>
      <c r="I396" s="497">
        <f t="shared" ref="I396:I454" si="31">SUM(J396:L396)</f>
        <v>812</v>
      </c>
      <c r="J396" s="497">
        <v>0</v>
      </c>
      <c r="K396" s="497">
        <v>0</v>
      </c>
      <c r="L396" s="497">
        <v>812</v>
      </c>
      <c r="M396" s="956">
        <v>0.95348837209302328</v>
      </c>
      <c r="N396" s="653">
        <v>16.646000000000001</v>
      </c>
      <c r="O396" s="669" t="s">
        <v>3798</v>
      </c>
      <c r="P396" s="463" t="s">
        <v>1588</v>
      </c>
      <c r="Q396" s="852" t="s">
        <v>1588</v>
      </c>
      <c r="R396" s="852" t="s">
        <v>1588</v>
      </c>
      <c r="S396" s="852" t="s">
        <v>1588</v>
      </c>
      <c r="T396" s="852" t="s">
        <v>1588</v>
      </c>
      <c r="U396" s="463" t="s">
        <v>861</v>
      </c>
      <c r="V396" s="466" t="s">
        <v>862</v>
      </c>
      <c r="W396" s="653">
        <v>7214</v>
      </c>
      <c r="X396" s="463" t="s">
        <v>2276</v>
      </c>
      <c r="Y396" s="463" t="s">
        <v>863</v>
      </c>
      <c r="Z396" s="463" t="s">
        <v>576</v>
      </c>
      <c r="AA396" s="463" t="s">
        <v>1999</v>
      </c>
      <c r="AB396" s="459" t="s">
        <v>1534</v>
      </c>
    </row>
    <row r="397" spans="1:28" ht="24" customHeight="1">
      <c r="A397" s="584"/>
      <c r="B397" s="460" t="s">
        <v>675</v>
      </c>
      <c r="C397" s="458" t="s">
        <v>864</v>
      </c>
      <c r="D397" s="510" t="s">
        <v>865</v>
      </c>
      <c r="E397" s="497">
        <f t="shared" si="30"/>
        <v>30</v>
      </c>
      <c r="F397" s="497">
        <v>0</v>
      </c>
      <c r="G397" s="497">
        <v>30</v>
      </c>
      <c r="H397" s="497">
        <v>0</v>
      </c>
      <c r="I397" s="497">
        <f t="shared" si="31"/>
        <v>24</v>
      </c>
      <c r="J397" s="497">
        <v>0</v>
      </c>
      <c r="K397" s="497">
        <v>24</v>
      </c>
      <c r="L397" s="497">
        <v>0</v>
      </c>
      <c r="M397" s="956">
        <v>0.873</v>
      </c>
      <c r="N397" s="653">
        <v>2.5</v>
      </c>
      <c r="O397" s="669" t="s">
        <v>3221</v>
      </c>
      <c r="P397" s="463" t="s">
        <v>1588</v>
      </c>
      <c r="Q397" s="852" t="s">
        <v>1588</v>
      </c>
      <c r="R397" s="852" t="s">
        <v>1588</v>
      </c>
      <c r="S397" s="852" t="s">
        <v>1588</v>
      </c>
      <c r="T397" s="852" t="s">
        <v>1588</v>
      </c>
      <c r="U397" s="463" t="s">
        <v>866</v>
      </c>
      <c r="V397" s="466" t="s">
        <v>867</v>
      </c>
      <c r="W397" s="653">
        <v>142</v>
      </c>
      <c r="X397" s="463" t="s">
        <v>1532</v>
      </c>
      <c r="Y397" s="463" t="s">
        <v>1533</v>
      </c>
      <c r="Z397" s="463" t="s">
        <v>576</v>
      </c>
      <c r="AA397" s="463" t="s">
        <v>1999</v>
      </c>
      <c r="AB397" s="459" t="s">
        <v>1534</v>
      </c>
    </row>
    <row r="398" spans="1:28" ht="24" customHeight="1">
      <c r="A398" s="584"/>
      <c r="B398" s="460" t="s">
        <v>675</v>
      </c>
      <c r="C398" s="458" t="s">
        <v>868</v>
      </c>
      <c r="D398" s="510" t="s">
        <v>869</v>
      </c>
      <c r="E398" s="497">
        <f t="shared" si="30"/>
        <v>50</v>
      </c>
      <c r="F398" s="497">
        <v>0</v>
      </c>
      <c r="G398" s="497">
        <v>50</v>
      </c>
      <c r="H398" s="497">
        <v>0</v>
      </c>
      <c r="I398" s="497">
        <f t="shared" si="31"/>
        <v>50</v>
      </c>
      <c r="J398" s="497">
        <v>0</v>
      </c>
      <c r="K398" s="497">
        <v>50</v>
      </c>
      <c r="L398" s="497">
        <v>0</v>
      </c>
      <c r="M398" s="956">
        <v>0.91700000000000004</v>
      </c>
      <c r="N398" s="653">
        <v>5.5</v>
      </c>
      <c r="O398" s="669" t="s">
        <v>870</v>
      </c>
      <c r="P398" s="463" t="s">
        <v>1588</v>
      </c>
      <c r="Q398" s="852" t="s">
        <v>1588</v>
      </c>
      <c r="R398" s="852" t="s">
        <v>1588</v>
      </c>
      <c r="S398" s="852" t="s">
        <v>1588</v>
      </c>
      <c r="T398" s="852" t="s">
        <v>1588</v>
      </c>
      <c r="U398" s="463" t="s">
        <v>866</v>
      </c>
      <c r="V398" s="466" t="s">
        <v>871</v>
      </c>
      <c r="W398" s="653">
        <v>141</v>
      </c>
      <c r="X398" s="463" t="s">
        <v>1532</v>
      </c>
      <c r="Y398" s="463" t="s">
        <v>1533</v>
      </c>
      <c r="Z398" s="463" t="s">
        <v>576</v>
      </c>
      <c r="AA398" s="463" t="s">
        <v>1999</v>
      </c>
      <c r="AB398" s="459" t="s">
        <v>1534</v>
      </c>
    </row>
    <row r="399" spans="1:28" ht="24" customHeight="1">
      <c r="A399" s="584"/>
      <c r="B399" s="460" t="s">
        <v>675</v>
      </c>
      <c r="C399" s="458" t="s">
        <v>872</v>
      </c>
      <c r="D399" s="510" t="s">
        <v>873</v>
      </c>
      <c r="E399" s="497">
        <f t="shared" si="30"/>
        <v>23</v>
      </c>
      <c r="F399" s="497">
        <v>0</v>
      </c>
      <c r="G399" s="497">
        <v>23</v>
      </c>
      <c r="H399" s="497">
        <v>0</v>
      </c>
      <c r="I399" s="497">
        <f t="shared" si="31"/>
        <v>20.7</v>
      </c>
      <c r="J399" s="497">
        <v>0</v>
      </c>
      <c r="K399" s="497">
        <v>20.7</v>
      </c>
      <c r="L399" s="497">
        <v>0</v>
      </c>
      <c r="M399" s="956">
        <v>0.49</v>
      </c>
      <c r="N399" s="653">
        <v>1.2</v>
      </c>
      <c r="O399" s="669" t="s">
        <v>874</v>
      </c>
      <c r="P399" s="463" t="s">
        <v>1588</v>
      </c>
      <c r="Q399" s="852" t="s">
        <v>1588</v>
      </c>
      <c r="R399" s="852" t="s">
        <v>1588</v>
      </c>
      <c r="S399" s="852" t="s">
        <v>1588</v>
      </c>
      <c r="T399" s="852" t="s">
        <v>1588</v>
      </c>
      <c r="U399" s="463" t="s">
        <v>866</v>
      </c>
      <c r="V399" s="466" t="s">
        <v>875</v>
      </c>
      <c r="W399" s="653">
        <v>69</v>
      </c>
      <c r="X399" s="463" t="s">
        <v>1532</v>
      </c>
      <c r="Y399" s="463" t="s">
        <v>1533</v>
      </c>
      <c r="Z399" s="463" t="s">
        <v>876</v>
      </c>
      <c r="AA399" s="463" t="s">
        <v>1999</v>
      </c>
      <c r="AB399" s="459" t="s">
        <v>1534</v>
      </c>
    </row>
    <row r="400" spans="1:28" ht="24" customHeight="1">
      <c r="A400" s="584"/>
      <c r="B400" s="460" t="s">
        <v>675</v>
      </c>
      <c r="C400" s="458" t="s">
        <v>877</v>
      </c>
      <c r="D400" s="510" t="s">
        <v>878</v>
      </c>
      <c r="E400" s="497">
        <f t="shared" si="30"/>
        <v>35</v>
      </c>
      <c r="F400" s="497">
        <v>0</v>
      </c>
      <c r="G400" s="497">
        <v>35</v>
      </c>
      <c r="H400" s="497">
        <v>0</v>
      </c>
      <c r="I400" s="497">
        <f t="shared" si="31"/>
        <v>28</v>
      </c>
      <c r="J400" s="497">
        <v>0</v>
      </c>
      <c r="K400" s="497">
        <v>28</v>
      </c>
      <c r="L400" s="497">
        <v>0</v>
      </c>
      <c r="M400" s="956">
        <v>0.96400000000000008</v>
      </c>
      <c r="N400" s="653">
        <v>3.3</v>
      </c>
      <c r="O400" s="669" t="s">
        <v>3221</v>
      </c>
      <c r="P400" s="463" t="s">
        <v>1588</v>
      </c>
      <c r="Q400" s="852" t="s">
        <v>1588</v>
      </c>
      <c r="R400" s="852" t="s">
        <v>1588</v>
      </c>
      <c r="S400" s="852" t="s">
        <v>1588</v>
      </c>
      <c r="T400" s="852" t="s">
        <v>1588</v>
      </c>
      <c r="U400" s="463" t="s">
        <v>866</v>
      </c>
      <c r="V400" s="466" t="s">
        <v>879</v>
      </c>
      <c r="W400" s="653">
        <v>184</v>
      </c>
      <c r="X400" s="463" t="s">
        <v>1532</v>
      </c>
      <c r="Y400" s="463" t="s">
        <v>1533</v>
      </c>
      <c r="Z400" s="463" t="s">
        <v>576</v>
      </c>
      <c r="AA400" s="463" t="s">
        <v>1999</v>
      </c>
      <c r="AB400" s="459" t="s">
        <v>1534</v>
      </c>
    </row>
    <row r="401" spans="1:28" ht="24" customHeight="1">
      <c r="A401" s="584"/>
      <c r="B401" s="460" t="s">
        <v>675</v>
      </c>
      <c r="C401" s="458" t="s">
        <v>880</v>
      </c>
      <c r="D401" s="510" t="s">
        <v>881</v>
      </c>
      <c r="E401" s="497">
        <f t="shared" si="30"/>
        <v>50</v>
      </c>
      <c r="F401" s="497">
        <v>0</v>
      </c>
      <c r="G401" s="497">
        <v>50</v>
      </c>
      <c r="H401" s="497">
        <v>0</v>
      </c>
      <c r="I401" s="497">
        <f t="shared" si="31"/>
        <v>40</v>
      </c>
      <c r="J401" s="497">
        <v>0</v>
      </c>
      <c r="K401" s="497">
        <v>40</v>
      </c>
      <c r="L401" s="497">
        <v>0</v>
      </c>
      <c r="M401" s="956">
        <v>0.71799999999999997</v>
      </c>
      <c r="N401" s="653">
        <v>0.8</v>
      </c>
      <c r="O401" s="669" t="s">
        <v>3221</v>
      </c>
      <c r="P401" s="463" t="s">
        <v>1588</v>
      </c>
      <c r="Q401" s="852" t="s">
        <v>1588</v>
      </c>
      <c r="R401" s="852" t="s">
        <v>1588</v>
      </c>
      <c r="S401" s="852" t="s">
        <v>1588</v>
      </c>
      <c r="T401" s="852" t="s">
        <v>1588</v>
      </c>
      <c r="U401" s="463" t="s">
        <v>866</v>
      </c>
      <c r="V401" s="466" t="s">
        <v>882</v>
      </c>
      <c r="W401" s="653">
        <v>230</v>
      </c>
      <c r="X401" s="463" t="s">
        <v>1532</v>
      </c>
      <c r="Y401" s="463" t="s">
        <v>1533</v>
      </c>
      <c r="Z401" s="463" t="s">
        <v>883</v>
      </c>
      <c r="AA401" s="463" t="s">
        <v>1999</v>
      </c>
      <c r="AB401" s="459" t="s">
        <v>1534</v>
      </c>
    </row>
    <row r="402" spans="1:28" ht="24" customHeight="1">
      <c r="A402" s="584"/>
      <c r="B402" s="460" t="s">
        <v>675</v>
      </c>
      <c r="C402" s="458" t="s">
        <v>884</v>
      </c>
      <c r="D402" s="510" t="s">
        <v>885</v>
      </c>
      <c r="E402" s="497">
        <f t="shared" si="30"/>
        <v>50</v>
      </c>
      <c r="F402" s="497">
        <v>0</v>
      </c>
      <c r="G402" s="497">
        <v>50</v>
      </c>
      <c r="H402" s="497">
        <v>0</v>
      </c>
      <c r="I402" s="497">
        <f t="shared" si="31"/>
        <v>25</v>
      </c>
      <c r="J402" s="497">
        <v>0</v>
      </c>
      <c r="K402" s="497">
        <v>25</v>
      </c>
      <c r="L402" s="497">
        <v>0</v>
      </c>
      <c r="M402" s="956">
        <v>0.90900000000000003</v>
      </c>
      <c r="N402" s="653">
        <v>1.7</v>
      </c>
      <c r="O402" s="669" t="s">
        <v>874</v>
      </c>
      <c r="P402" s="463" t="s">
        <v>1588</v>
      </c>
      <c r="Q402" s="852" t="s">
        <v>1588</v>
      </c>
      <c r="R402" s="852" t="s">
        <v>1588</v>
      </c>
      <c r="S402" s="852" t="s">
        <v>1588</v>
      </c>
      <c r="T402" s="852" t="s">
        <v>1588</v>
      </c>
      <c r="U402" s="463" t="s">
        <v>866</v>
      </c>
      <c r="V402" s="466" t="s">
        <v>886</v>
      </c>
      <c r="W402" s="653">
        <v>194</v>
      </c>
      <c r="X402" s="463" t="s">
        <v>1532</v>
      </c>
      <c r="Y402" s="463" t="s">
        <v>1533</v>
      </c>
      <c r="Z402" s="463" t="s">
        <v>887</v>
      </c>
      <c r="AA402" s="463" t="s">
        <v>1999</v>
      </c>
      <c r="AB402" s="459" t="s">
        <v>1534</v>
      </c>
    </row>
    <row r="403" spans="1:28" ht="24" customHeight="1">
      <c r="A403" s="584"/>
      <c r="B403" s="460" t="s">
        <v>675</v>
      </c>
      <c r="C403" s="458" t="s">
        <v>888</v>
      </c>
      <c r="D403" s="510" t="s">
        <v>889</v>
      </c>
      <c r="E403" s="497">
        <f t="shared" si="30"/>
        <v>35</v>
      </c>
      <c r="F403" s="497">
        <v>0</v>
      </c>
      <c r="G403" s="497">
        <v>35</v>
      </c>
      <c r="H403" s="497">
        <v>0</v>
      </c>
      <c r="I403" s="497">
        <f t="shared" si="31"/>
        <v>22.5</v>
      </c>
      <c r="J403" s="497">
        <v>0</v>
      </c>
      <c r="K403" s="497">
        <v>22.5</v>
      </c>
      <c r="L403" s="497">
        <v>0</v>
      </c>
      <c r="M403" s="956">
        <v>0.79400000000000004</v>
      </c>
      <c r="N403" s="653">
        <v>0.4</v>
      </c>
      <c r="O403" s="669" t="s">
        <v>3221</v>
      </c>
      <c r="P403" s="463" t="s">
        <v>1588</v>
      </c>
      <c r="Q403" s="852" t="s">
        <v>1588</v>
      </c>
      <c r="R403" s="852" t="s">
        <v>1588</v>
      </c>
      <c r="S403" s="852" t="s">
        <v>1588</v>
      </c>
      <c r="T403" s="852" t="s">
        <v>1588</v>
      </c>
      <c r="U403" s="463" t="s">
        <v>866</v>
      </c>
      <c r="V403" s="466" t="s">
        <v>890</v>
      </c>
      <c r="W403" s="653">
        <v>144</v>
      </c>
      <c r="X403" s="463" t="s">
        <v>1532</v>
      </c>
      <c r="Y403" s="463" t="s">
        <v>1533</v>
      </c>
      <c r="Z403" s="463" t="s">
        <v>887</v>
      </c>
      <c r="AA403" s="463" t="s">
        <v>1999</v>
      </c>
      <c r="AB403" s="459" t="s">
        <v>1534</v>
      </c>
    </row>
    <row r="404" spans="1:28" ht="24" customHeight="1">
      <c r="A404" s="584"/>
      <c r="B404" s="460" t="s">
        <v>675</v>
      </c>
      <c r="C404" s="458" t="s">
        <v>891</v>
      </c>
      <c r="D404" s="510" t="s">
        <v>892</v>
      </c>
      <c r="E404" s="497">
        <f t="shared" si="30"/>
        <v>70</v>
      </c>
      <c r="F404" s="497">
        <v>0</v>
      </c>
      <c r="G404" s="497">
        <v>70</v>
      </c>
      <c r="H404" s="497">
        <v>0</v>
      </c>
      <c r="I404" s="497">
        <f t="shared" si="31"/>
        <v>55</v>
      </c>
      <c r="J404" s="497">
        <v>0</v>
      </c>
      <c r="K404" s="497">
        <v>55</v>
      </c>
      <c r="L404" s="497">
        <v>0</v>
      </c>
      <c r="M404" s="956">
        <v>0.89500000000000002</v>
      </c>
      <c r="N404" s="653">
        <v>6.2</v>
      </c>
      <c r="O404" s="669" t="s">
        <v>874</v>
      </c>
      <c r="P404" s="463" t="s">
        <v>1588</v>
      </c>
      <c r="Q404" s="852" t="s">
        <v>1588</v>
      </c>
      <c r="R404" s="852" t="s">
        <v>1588</v>
      </c>
      <c r="S404" s="852" t="s">
        <v>1588</v>
      </c>
      <c r="T404" s="852" t="s">
        <v>1588</v>
      </c>
      <c r="U404" s="463" t="s">
        <v>866</v>
      </c>
      <c r="V404" s="466" t="s">
        <v>893</v>
      </c>
      <c r="W404" s="653">
        <v>196</v>
      </c>
      <c r="X404" s="463" t="s">
        <v>1532</v>
      </c>
      <c r="Y404" s="463" t="s">
        <v>1533</v>
      </c>
      <c r="Z404" s="463" t="s">
        <v>887</v>
      </c>
      <c r="AA404" s="463" t="s">
        <v>1999</v>
      </c>
      <c r="AB404" s="459" t="s">
        <v>1534</v>
      </c>
    </row>
    <row r="405" spans="1:28" ht="24" customHeight="1">
      <c r="A405" s="584"/>
      <c r="B405" s="460" t="s">
        <v>675</v>
      </c>
      <c r="C405" s="458" t="s">
        <v>894</v>
      </c>
      <c r="D405" s="510" t="s">
        <v>895</v>
      </c>
      <c r="E405" s="497">
        <f t="shared" si="30"/>
        <v>150</v>
      </c>
      <c r="F405" s="497">
        <v>0</v>
      </c>
      <c r="G405" s="497">
        <v>150</v>
      </c>
      <c r="H405" s="497">
        <v>0</v>
      </c>
      <c r="I405" s="497">
        <f t="shared" si="31"/>
        <v>120</v>
      </c>
      <c r="J405" s="497">
        <v>0</v>
      </c>
      <c r="K405" s="497">
        <v>120</v>
      </c>
      <c r="L405" s="497">
        <v>0</v>
      </c>
      <c r="M405" s="956">
        <v>0.79599999999999993</v>
      </c>
      <c r="N405" s="653">
        <v>3</v>
      </c>
      <c r="O405" s="669" t="s">
        <v>3221</v>
      </c>
      <c r="P405" s="463" t="s">
        <v>1588</v>
      </c>
      <c r="Q405" s="852" t="s">
        <v>1588</v>
      </c>
      <c r="R405" s="852" t="s">
        <v>1588</v>
      </c>
      <c r="S405" s="852" t="s">
        <v>1588</v>
      </c>
      <c r="T405" s="852" t="s">
        <v>1588</v>
      </c>
      <c r="U405" s="463" t="s">
        <v>866</v>
      </c>
      <c r="V405" s="466" t="s">
        <v>896</v>
      </c>
      <c r="W405" s="653">
        <v>240</v>
      </c>
      <c r="X405" s="463" t="s">
        <v>1532</v>
      </c>
      <c r="Y405" s="463" t="s">
        <v>1533</v>
      </c>
      <c r="Z405" s="463" t="s">
        <v>897</v>
      </c>
      <c r="AA405" s="463" t="s">
        <v>1999</v>
      </c>
      <c r="AB405" s="459" t="s">
        <v>1534</v>
      </c>
    </row>
    <row r="406" spans="1:28" ht="24" customHeight="1">
      <c r="A406" s="584"/>
      <c r="B406" s="460" t="s">
        <v>675</v>
      </c>
      <c r="C406" s="458" t="s">
        <v>898</v>
      </c>
      <c r="D406" s="510" t="s">
        <v>899</v>
      </c>
      <c r="E406" s="497">
        <f t="shared" si="30"/>
        <v>100</v>
      </c>
      <c r="F406" s="497">
        <v>0</v>
      </c>
      <c r="G406" s="497">
        <v>100</v>
      </c>
      <c r="H406" s="497">
        <v>0</v>
      </c>
      <c r="I406" s="497">
        <f t="shared" si="31"/>
        <v>70</v>
      </c>
      <c r="J406" s="497">
        <v>0</v>
      </c>
      <c r="K406" s="497">
        <v>70</v>
      </c>
      <c r="L406" s="497">
        <v>0</v>
      </c>
      <c r="M406" s="956">
        <v>0.61399999999999999</v>
      </c>
      <c r="N406" s="653">
        <v>7.1</v>
      </c>
      <c r="O406" s="669" t="s">
        <v>900</v>
      </c>
      <c r="P406" s="463" t="s">
        <v>1588</v>
      </c>
      <c r="Q406" s="852" t="s">
        <v>1588</v>
      </c>
      <c r="R406" s="852" t="s">
        <v>1588</v>
      </c>
      <c r="S406" s="852" t="s">
        <v>1588</v>
      </c>
      <c r="T406" s="852" t="s">
        <v>1588</v>
      </c>
      <c r="U406" s="463" t="s">
        <v>866</v>
      </c>
      <c r="V406" s="466" t="s">
        <v>901</v>
      </c>
      <c r="W406" s="653">
        <v>205</v>
      </c>
      <c r="X406" s="463" t="s">
        <v>1532</v>
      </c>
      <c r="Y406" s="463" t="s">
        <v>1533</v>
      </c>
      <c r="Z406" s="463" t="s">
        <v>902</v>
      </c>
      <c r="AA406" s="463" t="s">
        <v>1999</v>
      </c>
      <c r="AB406" s="459" t="s">
        <v>1534</v>
      </c>
    </row>
    <row r="407" spans="1:28" ht="24" customHeight="1">
      <c r="A407" s="584"/>
      <c r="B407" s="460" t="s">
        <v>675</v>
      </c>
      <c r="C407" s="458" t="s">
        <v>903</v>
      </c>
      <c r="D407" s="510" t="s">
        <v>904</v>
      </c>
      <c r="E407" s="497">
        <f t="shared" si="30"/>
        <v>48</v>
      </c>
      <c r="F407" s="497">
        <v>0</v>
      </c>
      <c r="G407" s="497">
        <v>48</v>
      </c>
      <c r="H407" s="497">
        <v>0</v>
      </c>
      <c r="I407" s="497">
        <f t="shared" si="31"/>
        <v>46</v>
      </c>
      <c r="J407" s="497">
        <v>0</v>
      </c>
      <c r="K407" s="497">
        <v>46</v>
      </c>
      <c r="L407" s="497">
        <v>0</v>
      </c>
      <c r="M407" s="956">
        <v>0.60799999999999998</v>
      </c>
      <c r="N407" s="653">
        <v>3</v>
      </c>
      <c r="O407" s="669" t="s">
        <v>900</v>
      </c>
      <c r="P407" s="463" t="s">
        <v>1588</v>
      </c>
      <c r="Q407" s="852" t="s">
        <v>1588</v>
      </c>
      <c r="R407" s="852" t="s">
        <v>1588</v>
      </c>
      <c r="S407" s="852" t="s">
        <v>1588</v>
      </c>
      <c r="T407" s="852" t="s">
        <v>1588</v>
      </c>
      <c r="U407" s="463" t="s">
        <v>866</v>
      </c>
      <c r="V407" s="466" t="s">
        <v>905</v>
      </c>
      <c r="W407" s="653">
        <v>208</v>
      </c>
      <c r="X407" s="463" t="s">
        <v>1532</v>
      </c>
      <c r="Y407" s="463" t="s">
        <v>1533</v>
      </c>
      <c r="Z407" s="463" t="s">
        <v>906</v>
      </c>
      <c r="AA407" s="463" t="s">
        <v>1999</v>
      </c>
      <c r="AB407" s="459" t="s">
        <v>1534</v>
      </c>
    </row>
    <row r="408" spans="1:28" ht="24" customHeight="1">
      <c r="A408" s="584"/>
      <c r="B408" s="460" t="s">
        <v>675</v>
      </c>
      <c r="C408" s="458" t="s">
        <v>907</v>
      </c>
      <c r="D408" s="510" t="s">
        <v>908</v>
      </c>
      <c r="E408" s="497">
        <f t="shared" si="30"/>
        <v>200</v>
      </c>
      <c r="F408" s="497">
        <v>0</v>
      </c>
      <c r="G408" s="497">
        <v>200</v>
      </c>
      <c r="H408" s="497">
        <v>0</v>
      </c>
      <c r="I408" s="497">
        <f t="shared" si="31"/>
        <v>173.23</v>
      </c>
      <c r="J408" s="497">
        <v>0</v>
      </c>
      <c r="K408" s="497">
        <v>173.23</v>
      </c>
      <c r="L408" s="497">
        <v>0</v>
      </c>
      <c r="M408" s="956">
        <v>0.80799999999999994</v>
      </c>
      <c r="N408" s="653">
        <v>26.5</v>
      </c>
      <c r="O408" s="669" t="s">
        <v>3221</v>
      </c>
      <c r="P408" s="463" t="s">
        <v>1588</v>
      </c>
      <c r="Q408" s="852" t="s">
        <v>1588</v>
      </c>
      <c r="R408" s="852" t="s">
        <v>1588</v>
      </c>
      <c r="S408" s="852" t="s">
        <v>1588</v>
      </c>
      <c r="T408" s="852" t="s">
        <v>1588</v>
      </c>
      <c r="U408" s="463" t="s">
        <v>866</v>
      </c>
      <c r="V408" s="466" t="s">
        <v>909</v>
      </c>
      <c r="W408" s="653">
        <v>400</v>
      </c>
      <c r="X408" s="463" t="s">
        <v>1532</v>
      </c>
      <c r="Y408" s="463" t="s">
        <v>1533</v>
      </c>
      <c r="Z408" s="463" t="s">
        <v>906</v>
      </c>
      <c r="AA408" s="463" t="s">
        <v>1999</v>
      </c>
      <c r="AB408" s="459" t="s">
        <v>1534</v>
      </c>
    </row>
    <row r="409" spans="1:28" ht="24" customHeight="1">
      <c r="A409" s="584"/>
      <c r="B409" s="460" t="s">
        <v>675</v>
      </c>
      <c r="C409" s="458" t="s">
        <v>910</v>
      </c>
      <c r="D409" s="510" t="s">
        <v>911</v>
      </c>
      <c r="E409" s="497">
        <f t="shared" si="30"/>
        <v>50</v>
      </c>
      <c r="F409" s="497">
        <v>0</v>
      </c>
      <c r="G409" s="497">
        <v>50</v>
      </c>
      <c r="H409" s="497">
        <v>0</v>
      </c>
      <c r="I409" s="497">
        <f t="shared" si="31"/>
        <v>50</v>
      </c>
      <c r="J409" s="497">
        <v>0</v>
      </c>
      <c r="K409" s="497">
        <v>50</v>
      </c>
      <c r="L409" s="497">
        <v>0</v>
      </c>
      <c r="M409" s="956">
        <v>0.72699999999999998</v>
      </c>
      <c r="N409" s="653">
        <v>0.6</v>
      </c>
      <c r="O409" s="669" t="s">
        <v>912</v>
      </c>
      <c r="P409" s="463" t="s">
        <v>1588</v>
      </c>
      <c r="Q409" s="852" t="s">
        <v>1588</v>
      </c>
      <c r="R409" s="852" t="s">
        <v>1588</v>
      </c>
      <c r="S409" s="852" t="s">
        <v>1588</v>
      </c>
      <c r="T409" s="852" t="s">
        <v>1588</v>
      </c>
      <c r="U409" s="463" t="s">
        <v>866</v>
      </c>
      <c r="V409" s="466" t="s">
        <v>913</v>
      </c>
      <c r="W409" s="653">
        <v>161</v>
      </c>
      <c r="X409" s="463" t="s">
        <v>1532</v>
      </c>
      <c r="Y409" s="463" t="s">
        <v>1533</v>
      </c>
      <c r="Z409" s="463" t="s">
        <v>914</v>
      </c>
      <c r="AA409" s="463" t="s">
        <v>1999</v>
      </c>
      <c r="AB409" s="459" t="s">
        <v>1534</v>
      </c>
    </row>
    <row r="410" spans="1:28" ht="24" customHeight="1">
      <c r="A410" s="584"/>
      <c r="B410" s="460" t="s">
        <v>675</v>
      </c>
      <c r="C410" s="458" t="s">
        <v>915</v>
      </c>
      <c r="D410" s="510" t="s">
        <v>916</v>
      </c>
      <c r="E410" s="497">
        <f t="shared" si="30"/>
        <v>30</v>
      </c>
      <c r="F410" s="497">
        <v>0</v>
      </c>
      <c r="G410" s="497">
        <v>30</v>
      </c>
      <c r="H410" s="497">
        <v>0</v>
      </c>
      <c r="I410" s="497">
        <f t="shared" si="31"/>
        <v>23.7</v>
      </c>
      <c r="J410" s="497">
        <v>0</v>
      </c>
      <c r="K410" s="497">
        <v>23.7</v>
      </c>
      <c r="L410" s="497">
        <v>0</v>
      </c>
      <c r="M410" s="956">
        <v>0.88400000000000001</v>
      </c>
      <c r="N410" s="653">
        <v>0.8</v>
      </c>
      <c r="O410" s="669" t="s">
        <v>912</v>
      </c>
      <c r="P410" s="463" t="s">
        <v>1588</v>
      </c>
      <c r="Q410" s="852" t="s">
        <v>1588</v>
      </c>
      <c r="R410" s="852" t="s">
        <v>1588</v>
      </c>
      <c r="S410" s="852" t="s">
        <v>1588</v>
      </c>
      <c r="T410" s="852" t="s">
        <v>1588</v>
      </c>
      <c r="U410" s="463" t="s">
        <v>866</v>
      </c>
      <c r="V410" s="466" t="s">
        <v>917</v>
      </c>
      <c r="W410" s="653">
        <v>122</v>
      </c>
      <c r="X410" s="463" t="s">
        <v>1532</v>
      </c>
      <c r="Y410" s="463" t="s">
        <v>1533</v>
      </c>
      <c r="Z410" s="463" t="s">
        <v>918</v>
      </c>
      <c r="AA410" s="463" t="s">
        <v>1999</v>
      </c>
      <c r="AB410" s="459" t="s">
        <v>1534</v>
      </c>
    </row>
    <row r="411" spans="1:28" ht="24" customHeight="1">
      <c r="A411" s="584"/>
      <c r="B411" s="460" t="s">
        <v>675</v>
      </c>
      <c r="C411" s="458" t="s">
        <v>919</v>
      </c>
      <c r="D411" s="510" t="s">
        <v>920</v>
      </c>
      <c r="E411" s="497">
        <f t="shared" si="30"/>
        <v>40</v>
      </c>
      <c r="F411" s="497">
        <v>0</v>
      </c>
      <c r="G411" s="497">
        <v>40</v>
      </c>
      <c r="H411" s="497">
        <v>0</v>
      </c>
      <c r="I411" s="497">
        <f t="shared" si="31"/>
        <v>32</v>
      </c>
      <c r="J411" s="497">
        <v>0</v>
      </c>
      <c r="K411" s="497">
        <v>32</v>
      </c>
      <c r="L411" s="497">
        <v>0</v>
      </c>
      <c r="M411" s="956">
        <v>0.90900000000000003</v>
      </c>
      <c r="N411" s="653">
        <v>2.2000000000000002</v>
      </c>
      <c r="O411" s="669" t="s">
        <v>3221</v>
      </c>
      <c r="P411" s="463" t="s">
        <v>1588</v>
      </c>
      <c r="Q411" s="852" t="s">
        <v>1588</v>
      </c>
      <c r="R411" s="852" t="s">
        <v>1588</v>
      </c>
      <c r="S411" s="852" t="s">
        <v>1588</v>
      </c>
      <c r="T411" s="852" t="s">
        <v>1588</v>
      </c>
      <c r="U411" s="463" t="s">
        <v>866</v>
      </c>
      <c r="V411" s="466" t="s">
        <v>921</v>
      </c>
      <c r="W411" s="653">
        <v>170</v>
      </c>
      <c r="X411" s="463" t="s">
        <v>1532</v>
      </c>
      <c r="Y411" s="463" t="s">
        <v>1533</v>
      </c>
      <c r="Z411" s="463" t="s">
        <v>922</v>
      </c>
      <c r="AA411" s="463" t="s">
        <v>1999</v>
      </c>
      <c r="AB411" s="459" t="s">
        <v>1534</v>
      </c>
    </row>
    <row r="412" spans="1:28" ht="24" customHeight="1">
      <c r="A412" s="584"/>
      <c r="B412" s="460" t="s">
        <v>675</v>
      </c>
      <c r="C412" s="458" t="s">
        <v>923</v>
      </c>
      <c r="D412" s="510" t="s">
        <v>924</v>
      </c>
      <c r="E412" s="497">
        <f t="shared" si="30"/>
        <v>70</v>
      </c>
      <c r="F412" s="497">
        <v>0</v>
      </c>
      <c r="G412" s="497">
        <v>70</v>
      </c>
      <c r="H412" s="497">
        <v>0</v>
      </c>
      <c r="I412" s="497">
        <f t="shared" si="31"/>
        <v>46.5</v>
      </c>
      <c r="J412" s="497">
        <v>0</v>
      </c>
      <c r="K412" s="497">
        <v>46.5</v>
      </c>
      <c r="L412" s="497">
        <v>0</v>
      </c>
      <c r="M412" s="956">
        <v>0.90700000000000003</v>
      </c>
      <c r="N412" s="653">
        <v>3.6</v>
      </c>
      <c r="O412" s="669" t="s">
        <v>3221</v>
      </c>
      <c r="P412" s="463" t="s">
        <v>1588</v>
      </c>
      <c r="Q412" s="852" t="s">
        <v>1588</v>
      </c>
      <c r="R412" s="852" t="s">
        <v>1588</v>
      </c>
      <c r="S412" s="852" t="s">
        <v>1588</v>
      </c>
      <c r="T412" s="852" t="s">
        <v>1588</v>
      </c>
      <c r="U412" s="463" t="s">
        <v>866</v>
      </c>
      <c r="V412" s="466" t="s">
        <v>925</v>
      </c>
      <c r="W412" s="653">
        <v>497</v>
      </c>
      <c r="X412" s="463" t="s">
        <v>1532</v>
      </c>
      <c r="Y412" s="463" t="s">
        <v>1533</v>
      </c>
      <c r="Z412" s="463" t="s">
        <v>922</v>
      </c>
      <c r="AA412" s="463" t="s">
        <v>1999</v>
      </c>
      <c r="AB412" s="459" t="s">
        <v>1534</v>
      </c>
    </row>
    <row r="413" spans="1:28" ht="24" customHeight="1">
      <c r="A413" s="584"/>
      <c r="B413" s="460" t="s">
        <v>675</v>
      </c>
      <c r="C413" s="458" t="s">
        <v>926</v>
      </c>
      <c r="D413" s="510" t="s">
        <v>927</v>
      </c>
      <c r="E413" s="497">
        <f t="shared" si="30"/>
        <v>34</v>
      </c>
      <c r="F413" s="497">
        <v>0</v>
      </c>
      <c r="G413" s="497">
        <v>34</v>
      </c>
      <c r="H413" s="497">
        <v>0</v>
      </c>
      <c r="I413" s="497">
        <f t="shared" si="31"/>
        <v>27</v>
      </c>
      <c r="J413" s="497">
        <v>0</v>
      </c>
      <c r="K413" s="497">
        <v>27</v>
      </c>
      <c r="L413" s="497">
        <v>0</v>
      </c>
      <c r="M413" s="956">
        <v>0.78099999999999992</v>
      </c>
      <c r="N413" s="653">
        <v>1.1000000000000001</v>
      </c>
      <c r="O413" s="669" t="s">
        <v>874</v>
      </c>
      <c r="P413" s="463" t="s">
        <v>1588</v>
      </c>
      <c r="Q413" s="852" t="s">
        <v>1588</v>
      </c>
      <c r="R413" s="852" t="s">
        <v>1588</v>
      </c>
      <c r="S413" s="852" t="s">
        <v>1588</v>
      </c>
      <c r="T413" s="852" t="s">
        <v>1588</v>
      </c>
      <c r="U413" s="463" t="s">
        <v>866</v>
      </c>
      <c r="V413" s="466" t="s">
        <v>921</v>
      </c>
      <c r="W413" s="653">
        <v>170</v>
      </c>
      <c r="X413" s="463" t="s">
        <v>1532</v>
      </c>
      <c r="Y413" s="463" t="s">
        <v>1533</v>
      </c>
      <c r="Z413" s="463" t="s">
        <v>2264</v>
      </c>
      <c r="AA413" s="463" t="s">
        <v>1999</v>
      </c>
      <c r="AB413" s="459" t="s">
        <v>1534</v>
      </c>
    </row>
    <row r="414" spans="1:28" ht="24" customHeight="1">
      <c r="A414" s="584"/>
      <c r="B414" s="460" t="s">
        <v>675</v>
      </c>
      <c r="C414" s="458" t="s">
        <v>928</v>
      </c>
      <c r="D414" s="510" t="s">
        <v>929</v>
      </c>
      <c r="E414" s="497">
        <f t="shared" si="30"/>
        <v>100</v>
      </c>
      <c r="F414" s="497">
        <v>0</v>
      </c>
      <c r="G414" s="497">
        <v>100</v>
      </c>
      <c r="H414" s="497">
        <v>0</v>
      </c>
      <c r="I414" s="497">
        <f t="shared" si="31"/>
        <v>80</v>
      </c>
      <c r="J414" s="497">
        <v>0</v>
      </c>
      <c r="K414" s="497">
        <v>80</v>
      </c>
      <c r="L414" s="497">
        <v>0</v>
      </c>
      <c r="M414" s="956">
        <v>0.47899999999999998</v>
      </c>
      <c r="N414" s="653">
        <v>2.2000000000000002</v>
      </c>
      <c r="O414" s="669" t="s">
        <v>3221</v>
      </c>
      <c r="P414" s="463" t="s">
        <v>1588</v>
      </c>
      <c r="Q414" s="852" t="s">
        <v>1588</v>
      </c>
      <c r="R414" s="852" t="s">
        <v>1588</v>
      </c>
      <c r="S414" s="852" t="s">
        <v>1588</v>
      </c>
      <c r="T414" s="852" t="s">
        <v>1588</v>
      </c>
      <c r="U414" s="463" t="s">
        <v>866</v>
      </c>
      <c r="V414" s="466" t="s">
        <v>930</v>
      </c>
      <c r="W414" s="653">
        <v>411</v>
      </c>
      <c r="X414" s="463" t="s">
        <v>1532</v>
      </c>
      <c r="Y414" s="463" t="s">
        <v>1533</v>
      </c>
      <c r="Z414" s="463" t="s">
        <v>2264</v>
      </c>
      <c r="AA414" s="463" t="s">
        <v>1999</v>
      </c>
      <c r="AB414" s="459" t="s">
        <v>1534</v>
      </c>
    </row>
    <row r="415" spans="1:28" ht="24" customHeight="1">
      <c r="A415" s="584"/>
      <c r="B415" s="460" t="s">
        <v>675</v>
      </c>
      <c r="C415" s="458" t="s">
        <v>931</v>
      </c>
      <c r="D415" s="510" t="s">
        <v>932</v>
      </c>
      <c r="E415" s="497">
        <f t="shared" si="30"/>
        <v>55</v>
      </c>
      <c r="F415" s="497">
        <v>0</v>
      </c>
      <c r="G415" s="497">
        <v>55</v>
      </c>
      <c r="H415" s="497">
        <v>0</v>
      </c>
      <c r="I415" s="497">
        <f t="shared" si="31"/>
        <v>43</v>
      </c>
      <c r="J415" s="497">
        <v>0</v>
      </c>
      <c r="K415" s="497">
        <v>43</v>
      </c>
      <c r="L415" s="497">
        <v>0</v>
      </c>
      <c r="M415" s="956">
        <v>0.69099999999999995</v>
      </c>
      <c r="N415" s="653">
        <v>2.2999999999999998</v>
      </c>
      <c r="O415" s="669" t="s">
        <v>933</v>
      </c>
      <c r="P415" s="463" t="s">
        <v>1588</v>
      </c>
      <c r="Q415" s="852" t="s">
        <v>1588</v>
      </c>
      <c r="R415" s="852" t="s">
        <v>1588</v>
      </c>
      <c r="S415" s="852" t="s">
        <v>1588</v>
      </c>
      <c r="T415" s="852" t="s">
        <v>1588</v>
      </c>
      <c r="U415" s="463" t="s">
        <v>866</v>
      </c>
      <c r="V415" s="466" t="s">
        <v>934</v>
      </c>
      <c r="W415" s="653">
        <v>302</v>
      </c>
      <c r="X415" s="463" t="s">
        <v>1532</v>
      </c>
      <c r="Y415" s="463" t="s">
        <v>1533</v>
      </c>
      <c r="Z415" s="463" t="s">
        <v>935</v>
      </c>
      <c r="AA415" s="463" t="s">
        <v>1999</v>
      </c>
      <c r="AB415" s="459" t="s">
        <v>1534</v>
      </c>
    </row>
    <row r="416" spans="1:28" ht="24" customHeight="1">
      <c r="A416" s="582" t="s">
        <v>1606</v>
      </c>
      <c r="B416" s="460" t="s">
        <v>675</v>
      </c>
      <c r="C416" s="458" t="s">
        <v>936</v>
      </c>
      <c r="D416" s="510" t="s">
        <v>937</v>
      </c>
      <c r="E416" s="497">
        <f t="shared" ref="E416:E454" si="32">SUM(F416:H416)</f>
        <v>150</v>
      </c>
      <c r="F416" s="497">
        <v>0</v>
      </c>
      <c r="G416" s="497">
        <v>150</v>
      </c>
      <c r="H416" s="497">
        <v>0</v>
      </c>
      <c r="I416" s="497">
        <f t="shared" si="31"/>
        <v>105</v>
      </c>
      <c r="J416" s="497">
        <v>0</v>
      </c>
      <c r="K416" s="497">
        <v>105</v>
      </c>
      <c r="L416" s="497">
        <v>0</v>
      </c>
      <c r="M416" s="956">
        <v>0.85250000000000004</v>
      </c>
      <c r="N416" s="653">
        <v>4.34</v>
      </c>
      <c r="O416" s="669" t="s">
        <v>938</v>
      </c>
      <c r="P416" s="463" t="s">
        <v>1588</v>
      </c>
      <c r="Q416" s="852">
        <v>0</v>
      </c>
      <c r="R416" s="852">
        <v>0</v>
      </c>
      <c r="S416" s="852">
        <v>0</v>
      </c>
      <c r="T416" s="852">
        <v>0</v>
      </c>
      <c r="U416" s="463" t="s">
        <v>939</v>
      </c>
      <c r="V416" s="463" t="s">
        <v>940</v>
      </c>
      <c r="W416" s="653">
        <v>250</v>
      </c>
      <c r="X416" s="463" t="s">
        <v>1532</v>
      </c>
      <c r="Y416" s="463" t="s">
        <v>1533</v>
      </c>
      <c r="Z416" s="463"/>
      <c r="AA416" s="463" t="s">
        <v>1607</v>
      </c>
      <c r="AB416" s="459" t="s">
        <v>1534</v>
      </c>
    </row>
    <row r="417" spans="1:28" ht="24" customHeight="1">
      <c r="A417" s="584"/>
      <c r="B417" s="460" t="s">
        <v>675</v>
      </c>
      <c r="C417" s="458" t="s">
        <v>941</v>
      </c>
      <c r="D417" s="510" t="s">
        <v>942</v>
      </c>
      <c r="E417" s="497">
        <f t="shared" si="32"/>
        <v>20</v>
      </c>
      <c r="F417" s="497">
        <v>0</v>
      </c>
      <c r="G417" s="497">
        <v>20</v>
      </c>
      <c r="H417" s="497">
        <v>0</v>
      </c>
      <c r="I417" s="497">
        <f t="shared" si="31"/>
        <v>16</v>
      </c>
      <c r="J417" s="497">
        <v>0</v>
      </c>
      <c r="K417" s="497">
        <v>16</v>
      </c>
      <c r="L417" s="497">
        <v>0</v>
      </c>
      <c r="M417" s="956">
        <v>0.8</v>
      </c>
      <c r="N417" s="653">
        <v>0.34</v>
      </c>
      <c r="O417" s="669" t="s">
        <v>943</v>
      </c>
      <c r="P417" s="463" t="s">
        <v>1588</v>
      </c>
      <c r="Q417" s="852">
        <v>0</v>
      </c>
      <c r="R417" s="852">
        <v>0</v>
      </c>
      <c r="S417" s="852">
        <v>0</v>
      </c>
      <c r="T417" s="852">
        <v>0</v>
      </c>
      <c r="U417" s="463" t="s">
        <v>939</v>
      </c>
      <c r="V417" s="463" t="s">
        <v>944</v>
      </c>
      <c r="W417" s="653">
        <v>200</v>
      </c>
      <c r="X417" s="463" t="s">
        <v>1532</v>
      </c>
      <c r="Y417" s="463" t="s">
        <v>1533</v>
      </c>
      <c r="Z417" s="463"/>
      <c r="AA417" s="463" t="s">
        <v>1607</v>
      </c>
      <c r="AB417" s="459" t="s">
        <v>1534</v>
      </c>
    </row>
    <row r="418" spans="1:28" ht="24" customHeight="1">
      <c r="A418" s="584"/>
      <c r="B418" s="460" t="s">
        <v>675</v>
      </c>
      <c r="C418" s="458" t="s">
        <v>945</v>
      </c>
      <c r="D418" s="510" t="s">
        <v>946</v>
      </c>
      <c r="E418" s="497">
        <f t="shared" si="32"/>
        <v>30</v>
      </c>
      <c r="F418" s="497">
        <v>0</v>
      </c>
      <c r="G418" s="497">
        <v>30</v>
      </c>
      <c r="H418" s="497">
        <v>0</v>
      </c>
      <c r="I418" s="497">
        <f t="shared" si="31"/>
        <v>24</v>
      </c>
      <c r="J418" s="497">
        <v>0</v>
      </c>
      <c r="K418" s="497">
        <v>24</v>
      </c>
      <c r="L418" s="497">
        <v>0</v>
      </c>
      <c r="M418" s="956">
        <v>0.8125</v>
      </c>
      <c r="N418" s="653">
        <v>1.1200000000000001</v>
      </c>
      <c r="O418" s="669" t="s">
        <v>3742</v>
      </c>
      <c r="P418" s="463" t="s">
        <v>1588</v>
      </c>
      <c r="Q418" s="852">
        <v>0</v>
      </c>
      <c r="R418" s="852">
        <v>0</v>
      </c>
      <c r="S418" s="852">
        <v>0</v>
      </c>
      <c r="T418" s="852">
        <v>0</v>
      </c>
      <c r="U418" s="463" t="s">
        <v>939</v>
      </c>
      <c r="V418" s="463" t="s">
        <v>947</v>
      </c>
      <c r="W418" s="653">
        <v>276</v>
      </c>
      <c r="X418" s="463" t="s">
        <v>1532</v>
      </c>
      <c r="Y418" s="463" t="s">
        <v>1533</v>
      </c>
      <c r="Z418" s="463"/>
      <c r="AA418" s="463" t="s">
        <v>948</v>
      </c>
      <c r="AB418" s="459" t="s">
        <v>1534</v>
      </c>
    </row>
    <row r="419" spans="1:28" ht="24" customHeight="1">
      <c r="A419" s="584"/>
      <c r="B419" s="460" t="s">
        <v>675</v>
      </c>
      <c r="C419" s="458" t="s">
        <v>949</v>
      </c>
      <c r="D419" s="510" t="s">
        <v>950</v>
      </c>
      <c r="E419" s="497">
        <f t="shared" si="32"/>
        <v>30</v>
      </c>
      <c r="F419" s="497">
        <v>0</v>
      </c>
      <c r="G419" s="497">
        <v>30</v>
      </c>
      <c r="H419" s="497">
        <v>0</v>
      </c>
      <c r="I419" s="497">
        <f t="shared" si="31"/>
        <v>24</v>
      </c>
      <c r="J419" s="497">
        <v>0</v>
      </c>
      <c r="K419" s="497">
        <v>24</v>
      </c>
      <c r="L419" s="497">
        <v>0</v>
      </c>
      <c r="M419" s="956">
        <v>0.9</v>
      </c>
      <c r="N419" s="653">
        <v>0.8</v>
      </c>
      <c r="O419" s="669" t="s">
        <v>3742</v>
      </c>
      <c r="P419" s="463" t="s">
        <v>1588</v>
      </c>
      <c r="Q419" s="852">
        <v>0</v>
      </c>
      <c r="R419" s="852">
        <v>0</v>
      </c>
      <c r="S419" s="852">
        <v>0</v>
      </c>
      <c r="T419" s="852">
        <v>0</v>
      </c>
      <c r="U419" s="463" t="s">
        <v>939</v>
      </c>
      <c r="V419" s="463" t="s">
        <v>951</v>
      </c>
      <c r="W419" s="653">
        <v>200</v>
      </c>
      <c r="X419" s="463" t="s">
        <v>1532</v>
      </c>
      <c r="Y419" s="463" t="s">
        <v>1533</v>
      </c>
      <c r="Z419" s="463"/>
      <c r="AA419" s="463" t="s">
        <v>948</v>
      </c>
      <c r="AB419" s="459" t="s">
        <v>1534</v>
      </c>
    </row>
    <row r="420" spans="1:28" ht="24" customHeight="1">
      <c r="A420" s="584"/>
      <c r="B420" s="460" t="s">
        <v>675</v>
      </c>
      <c r="C420" s="458" t="s">
        <v>952</v>
      </c>
      <c r="D420" s="510" t="s">
        <v>953</v>
      </c>
      <c r="E420" s="497">
        <f t="shared" si="32"/>
        <v>23</v>
      </c>
      <c r="F420" s="497">
        <v>0</v>
      </c>
      <c r="G420" s="497">
        <v>23</v>
      </c>
      <c r="H420" s="497">
        <v>0</v>
      </c>
      <c r="I420" s="497">
        <f t="shared" si="31"/>
        <v>18</v>
      </c>
      <c r="J420" s="497">
        <v>0</v>
      </c>
      <c r="K420" s="497">
        <v>18</v>
      </c>
      <c r="L420" s="497">
        <v>0</v>
      </c>
      <c r="M420" s="956">
        <v>0.85</v>
      </c>
      <c r="N420" s="653">
        <v>0.67</v>
      </c>
      <c r="O420" s="669" t="s">
        <v>3757</v>
      </c>
      <c r="P420" s="463" t="s">
        <v>1588</v>
      </c>
      <c r="Q420" s="852">
        <v>0</v>
      </c>
      <c r="R420" s="852">
        <v>0</v>
      </c>
      <c r="S420" s="852">
        <v>0</v>
      </c>
      <c r="T420" s="852">
        <v>0</v>
      </c>
      <c r="U420" s="463" t="s">
        <v>939</v>
      </c>
      <c r="V420" s="463" t="s">
        <v>954</v>
      </c>
      <c r="W420" s="653">
        <v>226</v>
      </c>
      <c r="X420" s="463" t="s">
        <v>1532</v>
      </c>
      <c r="Y420" s="463" t="s">
        <v>1533</v>
      </c>
      <c r="Z420" s="463"/>
      <c r="AA420" s="463" t="s">
        <v>955</v>
      </c>
      <c r="AB420" s="459" t="s">
        <v>1534</v>
      </c>
    </row>
    <row r="421" spans="1:28" ht="24" customHeight="1">
      <c r="A421" s="584"/>
      <c r="B421" s="460" t="s">
        <v>675</v>
      </c>
      <c r="C421" s="458" t="s">
        <v>956</v>
      </c>
      <c r="D421" s="510" t="s">
        <v>957</v>
      </c>
      <c r="E421" s="497">
        <f t="shared" si="32"/>
        <v>35</v>
      </c>
      <c r="F421" s="497">
        <v>0</v>
      </c>
      <c r="G421" s="497">
        <v>35</v>
      </c>
      <c r="H421" s="497">
        <v>0</v>
      </c>
      <c r="I421" s="497">
        <f t="shared" si="31"/>
        <v>30</v>
      </c>
      <c r="J421" s="497">
        <v>0</v>
      </c>
      <c r="K421" s="497">
        <v>30</v>
      </c>
      <c r="L421" s="497">
        <v>0</v>
      </c>
      <c r="M421" s="956">
        <v>0.83329999999999993</v>
      </c>
      <c r="N421" s="653">
        <v>1.43</v>
      </c>
      <c r="O421" s="669" t="s">
        <v>3742</v>
      </c>
      <c r="P421" s="463" t="s">
        <v>1588</v>
      </c>
      <c r="Q421" s="852">
        <v>0</v>
      </c>
      <c r="R421" s="852">
        <v>0</v>
      </c>
      <c r="S421" s="852">
        <v>0</v>
      </c>
      <c r="T421" s="852">
        <v>0</v>
      </c>
      <c r="U421" s="463" t="s">
        <v>939</v>
      </c>
      <c r="V421" s="463" t="s">
        <v>958</v>
      </c>
      <c r="W421" s="653">
        <v>286</v>
      </c>
      <c r="X421" s="463" t="s">
        <v>1532</v>
      </c>
      <c r="Y421" s="463" t="s">
        <v>1533</v>
      </c>
      <c r="Z421" s="463"/>
      <c r="AA421" s="463" t="s">
        <v>1607</v>
      </c>
      <c r="AB421" s="459" t="s">
        <v>1534</v>
      </c>
    </row>
    <row r="422" spans="1:28" ht="24" customHeight="1">
      <c r="A422" s="584"/>
      <c r="B422" s="460" t="s">
        <v>675</v>
      </c>
      <c r="C422" s="458" t="s">
        <v>959</v>
      </c>
      <c r="D422" s="510" t="s">
        <v>960</v>
      </c>
      <c r="E422" s="497">
        <f t="shared" si="32"/>
        <v>30</v>
      </c>
      <c r="F422" s="497">
        <v>0</v>
      </c>
      <c r="G422" s="497">
        <v>30</v>
      </c>
      <c r="H422" s="497">
        <v>0</v>
      </c>
      <c r="I422" s="497">
        <f t="shared" si="31"/>
        <v>18</v>
      </c>
      <c r="J422" s="497">
        <v>0</v>
      </c>
      <c r="K422" s="497">
        <v>18</v>
      </c>
      <c r="L422" s="497">
        <v>0</v>
      </c>
      <c r="M422" s="956">
        <v>0.873</v>
      </c>
      <c r="N422" s="653">
        <v>0.63</v>
      </c>
      <c r="O422" s="669" t="s">
        <v>3757</v>
      </c>
      <c r="P422" s="463" t="s">
        <v>1588</v>
      </c>
      <c r="Q422" s="852">
        <v>0</v>
      </c>
      <c r="R422" s="852">
        <v>0</v>
      </c>
      <c r="S422" s="852">
        <v>0</v>
      </c>
      <c r="T422" s="852">
        <v>0</v>
      </c>
      <c r="U422" s="463" t="s">
        <v>939</v>
      </c>
      <c r="V422" s="463" t="s">
        <v>958</v>
      </c>
      <c r="W422" s="653">
        <v>292</v>
      </c>
      <c r="X422" s="463" t="s">
        <v>1532</v>
      </c>
      <c r="Y422" s="463" t="s">
        <v>1533</v>
      </c>
      <c r="Z422" s="463"/>
      <c r="AA422" s="463" t="s">
        <v>1607</v>
      </c>
      <c r="AB422" s="459" t="s">
        <v>1534</v>
      </c>
    </row>
    <row r="423" spans="1:28" ht="24" customHeight="1">
      <c r="A423" s="584"/>
      <c r="B423" s="460" t="s">
        <v>675</v>
      </c>
      <c r="C423" s="458" t="s">
        <v>961</v>
      </c>
      <c r="D423" s="510" t="s">
        <v>962</v>
      </c>
      <c r="E423" s="497">
        <f t="shared" si="32"/>
        <v>35</v>
      </c>
      <c r="F423" s="497">
        <v>0</v>
      </c>
      <c r="G423" s="497">
        <v>35</v>
      </c>
      <c r="H423" s="497">
        <v>0</v>
      </c>
      <c r="I423" s="497">
        <f t="shared" si="31"/>
        <v>28</v>
      </c>
      <c r="J423" s="497">
        <v>0</v>
      </c>
      <c r="K423" s="497">
        <v>28</v>
      </c>
      <c r="L423" s="497">
        <v>0</v>
      </c>
      <c r="M423" s="956">
        <v>0.70700000000000007</v>
      </c>
      <c r="N423" s="653">
        <v>1.4</v>
      </c>
      <c r="O423" s="669" t="s">
        <v>3742</v>
      </c>
      <c r="P423" s="463" t="s">
        <v>1588</v>
      </c>
      <c r="Q423" s="852">
        <v>0</v>
      </c>
      <c r="R423" s="852">
        <v>0</v>
      </c>
      <c r="S423" s="852">
        <v>0</v>
      </c>
      <c r="T423" s="852">
        <v>0</v>
      </c>
      <c r="U423" s="463" t="s">
        <v>939</v>
      </c>
      <c r="V423" s="463" t="s">
        <v>963</v>
      </c>
      <c r="W423" s="653">
        <v>216</v>
      </c>
      <c r="X423" s="463" t="s">
        <v>1532</v>
      </c>
      <c r="Y423" s="463" t="s">
        <v>1533</v>
      </c>
      <c r="Z423" s="463"/>
      <c r="AA423" s="463" t="s">
        <v>1607</v>
      </c>
      <c r="AB423" s="459" t="s">
        <v>1534</v>
      </c>
    </row>
    <row r="424" spans="1:28" ht="24" customHeight="1">
      <c r="A424" s="584"/>
      <c r="B424" s="460" t="s">
        <v>675</v>
      </c>
      <c r="C424" s="458" t="s">
        <v>964</v>
      </c>
      <c r="D424" s="510" t="s">
        <v>965</v>
      </c>
      <c r="E424" s="497">
        <f t="shared" si="32"/>
        <v>23</v>
      </c>
      <c r="F424" s="497">
        <v>0</v>
      </c>
      <c r="G424" s="497">
        <v>23</v>
      </c>
      <c r="H424" s="497">
        <v>0</v>
      </c>
      <c r="I424" s="497">
        <f t="shared" si="31"/>
        <v>18</v>
      </c>
      <c r="J424" s="497">
        <v>0</v>
      </c>
      <c r="K424" s="497">
        <v>18</v>
      </c>
      <c r="L424" s="497">
        <v>0</v>
      </c>
      <c r="M424" s="956">
        <v>0.83</v>
      </c>
      <c r="N424" s="653">
        <v>0.41</v>
      </c>
      <c r="O424" s="669" t="s">
        <v>3757</v>
      </c>
      <c r="P424" s="463" t="s">
        <v>1588</v>
      </c>
      <c r="Q424" s="852">
        <v>0</v>
      </c>
      <c r="R424" s="852">
        <v>0</v>
      </c>
      <c r="S424" s="852">
        <v>0</v>
      </c>
      <c r="T424" s="852">
        <v>0</v>
      </c>
      <c r="U424" s="463" t="s">
        <v>939</v>
      </c>
      <c r="V424" s="463" t="s">
        <v>966</v>
      </c>
      <c r="W424" s="653">
        <v>218</v>
      </c>
      <c r="X424" s="463" t="s">
        <v>1532</v>
      </c>
      <c r="Y424" s="463" t="s">
        <v>1533</v>
      </c>
      <c r="Z424" s="463"/>
      <c r="AA424" s="463" t="s">
        <v>1607</v>
      </c>
      <c r="AB424" s="459" t="s">
        <v>1534</v>
      </c>
    </row>
    <row r="425" spans="1:28" ht="24" customHeight="1">
      <c r="A425" s="584"/>
      <c r="B425" s="460" t="s">
        <v>675</v>
      </c>
      <c r="C425" s="458" t="s">
        <v>967</v>
      </c>
      <c r="D425" s="510" t="s">
        <v>968</v>
      </c>
      <c r="E425" s="497">
        <f t="shared" si="32"/>
        <v>100</v>
      </c>
      <c r="F425" s="497">
        <v>0</v>
      </c>
      <c r="G425" s="497">
        <v>100</v>
      </c>
      <c r="H425" s="497">
        <v>0</v>
      </c>
      <c r="I425" s="497">
        <f t="shared" si="31"/>
        <v>95</v>
      </c>
      <c r="J425" s="497">
        <v>0</v>
      </c>
      <c r="K425" s="497">
        <v>95</v>
      </c>
      <c r="L425" s="497">
        <v>0</v>
      </c>
      <c r="M425" s="956">
        <v>0.76</v>
      </c>
      <c r="N425" s="653">
        <v>4.84</v>
      </c>
      <c r="O425" s="669" t="s">
        <v>938</v>
      </c>
      <c r="P425" s="463" t="s">
        <v>1588</v>
      </c>
      <c r="Q425" s="852">
        <v>0</v>
      </c>
      <c r="R425" s="852">
        <v>0</v>
      </c>
      <c r="S425" s="852">
        <v>0</v>
      </c>
      <c r="T425" s="852">
        <v>0</v>
      </c>
      <c r="U425" s="463" t="s">
        <v>939</v>
      </c>
      <c r="V425" s="463" t="s">
        <v>969</v>
      </c>
      <c r="W425" s="653">
        <v>200</v>
      </c>
      <c r="X425" s="463" t="s">
        <v>1532</v>
      </c>
      <c r="Y425" s="463" t="s">
        <v>1533</v>
      </c>
      <c r="Z425" s="463"/>
      <c r="AA425" s="463" t="s">
        <v>1607</v>
      </c>
      <c r="AB425" s="459" t="s">
        <v>1534</v>
      </c>
    </row>
    <row r="426" spans="1:28" ht="24" customHeight="1">
      <c r="A426" s="584"/>
      <c r="B426" s="460" t="s">
        <v>675</v>
      </c>
      <c r="C426" s="458" t="s">
        <v>970</v>
      </c>
      <c r="D426" s="510" t="s">
        <v>971</v>
      </c>
      <c r="E426" s="497">
        <f t="shared" si="32"/>
        <v>100</v>
      </c>
      <c r="F426" s="497">
        <v>0</v>
      </c>
      <c r="G426" s="497">
        <v>100</v>
      </c>
      <c r="H426" s="497">
        <v>0</v>
      </c>
      <c r="I426" s="497">
        <f t="shared" si="31"/>
        <v>95</v>
      </c>
      <c r="J426" s="497">
        <v>0</v>
      </c>
      <c r="K426" s="497">
        <v>95</v>
      </c>
      <c r="L426" s="497">
        <v>0</v>
      </c>
      <c r="M426" s="956">
        <v>0.86</v>
      </c>
      <c r="N426" s="653">
        <v>4.5599999999999996</v>
      </c>
      <c r="O426" s="669" t="s">
        <v>938</v>
      </c>
      <c r="P426" s="463" t="s">
        <v>1588</v>
      </c>
      <c r="Q426" s="852">
        <v>0</v>
      </c>
      <c r="R426" s="852">
        <v>0</v>
      </c>
      <c r="S426" s="852">
        <v>0</v>
      </c>
      <c r="T426" s="852">
        <v>0</v>
      </c>
      <c r="U426" s="463" t="s">
        <v>939</v>
      </c>
      <c r="V426" s="463" t="s">
        <v>972</v>
      </c>
      <c r="W426" s="653">
        <v>200</v>
      </c>
      <c r="X426" s="463" t="s">
        <v>1532</v>
      </c>
      <c r="Y426" s="463" t="s">
        <v>1533</v>
      </c>
      <c r="Z426" s="463"/>
      <c r="AA426" s="463" t="s">
        <v>1607</v>
      </c>
      <c r="AB426" s="459" t="s">
        <v>1534</v>
      </c>
    </row>
    <row r="427" spans="1:28" ht="24" customHeight="1">
      <c r="A427" s="584"/>
      <c r="B427" s="460" t="s">
        <v>675</v>
      </c>
      <c r="C427" s="458" t="s">
        <v>973</v>
      </c>
      <c r="D427" s="510" t="s">
        <v>974</v>
      </c>
      <c r="E427" s="497">
        <f t="shared" si="32"/>
        <v>34</v>
      </c>
      <c r="F427" s="497">
        <v>0</v>
      </c>
      <c r="G427" s="497">
        <v>34</v>
      </c>
      <c r="H427" s="497">
        <v>0</v>
      </c>
      <c r="I427" s="497">
        <f t="shared" si="31"/>
        <v>29</v>
      </c>
      <c r="J427" s="497">
        <v>0</v>
      </c>
      <c r="K427" s="497">
        <v>29</v>
      </c>
      <c r="L427" s="497">
        <v>0</v>
      </c>
      <c r="M427" s="956">
        <v>0.78</v>
      </c>
      <c r="N427" s="653">
        <v>1.53</v>
      </c>
      <c r="O427" s="669" t="s">
        <v>3757</v>
      </c>
      <c r="P427" s="463" t="s">
        <v>1588</v>
      </c>
      <c r="Q427" s="852">
        <v>0</v>
      </c>
      <c r="R427" s="852">
        <v>0</v>
      </c>
      <c r="S427" s="852">
        <v>0</v>
      </c>
      <c r="T427" s="852">
        <v>0</v>
      </c>
      <c r="U427" s="463" t="s">
        <v>939</v>
      </c>
      <c r="V427" s="463" t="s">
        <v>975</v>
      </c>
      <c r="W427" s="653">
        <v>80</v>
      </c>
      <c r="X427" s="463" t="s">
        <v>1532</v>
      </c>
      <c r="Y427" s="463" t="s">
        <v>1533</v>
      </c>
      <c r="Z427" s="463"/>
      <c r="AA427" s="463" t="s">
        <v>1607</v>
      </c>
      <c r="AB427" s="459" t="s">
        <v>1534</v>
      </c>
    </row>
    <row r="428" spans="1:28" ht="24" customHeight="1">
      <c r="A428" s="584"/>
      <c r="B428" s="460" t="s">
        <v>675</v>
      </c>
      <c r="C428" s="458" t="s">
        <v>976</v>
      </c>
      <c r="D428" s="510" t="s">
        <v>977</v>
      </c>
      <c r="E428" s="497">
        <f t="shared" si="32"/>
        <v>45</v>
      </c>
      <c r="F428" s="497">
        <v>0</v>
      </c>
      <c r="G428" s="497">
        <v>45</v>
      </c>
      <c r="H428" s="497">
        <v>0</v>
      </c>
      <c r="I428" s="497">
        <f t="shared" si="31"/>
        <v>32</v>
      </c>
      <c r="J428" s="497">
        <v>0</v>
      </c>
      <c r="K428" s="497">
        <v>32</v>
      </c>
      <c r="L428" s="497">
        <v>0</v>
      </c>
      <c r="M428" s="956">
        <v>0.92</v>
      </c>
      <c r="N428" s="653">
        <v>2.4</v>
      </c>
      <c r="O428" s="669" t="s">
        <v>3742</v>
      </c>
      <c r="P428" s="463" t="s">
        <v>1588</v>
      </c>
      <c r="Q428" s="852">
        <v>0</v>
      </c>
      <c r="R428" s="852">
        <v>0</v>
      </c>
      <c r="S428" s="852">
        <v>0</v>
      </c>
      <c r="T428" s="852">
        <v>0</v>
      </c>
      <c r="U428" s="463" t="s">
        <v>939</v>
      </c>
      <c r="V428" s="463" t="s">
        <v>978</v>
      </c>
      <c r="W428" s="653">
        <v>200</v>
      </c>
      <c r="X428" s="463" t="s">
        <v>1532</v>
      </c>
      <c r="Y428" s="463" t="s">
        <v>1533</v>
      </c>
      <c r="Z428" s="463"/>
      <c r="AA428" s="463" t="s">
        <v>1607</v>
      </c>
      <c r="AB428" s="459" t="s">
        <v>1534</v>
      </c>
    </row>
    <row r="429" spans="1:28" ht="24" customHeight="1">
      <c r="A429" s="584"/>
      <c r="B429" s="460" t="s">
        <v>675</v>
      </c>
      <c r="C429" s="458" t="s">
        <v>979</v>
      </c>
      <c r="D429" s="510" t="s">
        <v>980</v>
      </c>
      <c r="E429" s="497">
        <f t="shared" si="32"/>
        <v>170</v>
      </c>
      <c r="F429" s="497">
        <v>0</v>
      </c>
      <c r="G429" s="497">
        <v>170</v>
      </c>
      <c r="H429" s="497">
        <v>0</v>
      </c>
      <c r="I429" s="497">
        <f t="shared" si="31"/>
        <v>164</v>
      </c>
      <c r="J429" s="497">
        <v>0</v>
      </c>
      <c r="K429" s="497">
        <v>164</v>
      </c>
      <c r="L429" s="497">
        <v>0</v>
      </c>
      <c r="M429" s="956">
        <v>0.71</v>
      </c>
      <c r="N429" s="653">
        <v>9.67</v>
      </c>
      <c r="O429" s="669" t="s">
        <v>3742</v>
      </c>
      <c r="P429" s="463" t="s">
        <v>1588</v>
      </c>
      <c r="Q429" s="852">
        <v>0</v>
      </c>
      <c r="R429" s="852">
        <v>0</v>
      </c>
      <c r="S429" s="852">
        <v>0</v>
      </c>
      <c r="T429" s="852">
        <v>0</v>
      </c>
      <c r="U429" s="463" t="s">
        <v>939</v>
      </c>
      <c r="V429" s="463" t="s">
        <v>981</v>
      </c>
      <c r="W429" s="653">
        <v>300</v>
      </c>
      <c r="X429" s="463" t="s">
        <v>1532</v>
      </c>
      <c r="Y429" s="463" t="s">
        <v>1533</v>
      </c>
      <c r="Z429" s="463"/>
      <c r="AA429" s="463" t="s">
        <v>1607</v>
      </c>
      <c r="AB429" s="459" t="s">
        <v>1534</v>
      </c>
    </row>
    <row r="430" spans="1:28" ht="24" customHeight="1">
      <c r="A430" s="584"/>
      <c r="B430" s="460" t="s">
        <v>675</v>
      </c>
      <c r="C430" s="458" t="s">
        <v>982</v>
      </c>
      <c r="D430" s="510" t="s">
        <v>983</v>
      </c>
      <c r="E430" s="497">
        <f t="shared" si="32"/>
        <v>25</v>
      </c>
      <c r="F430" s="497">
        <v>0</v>
      </c>
      <c r="G430" s="497">
        <v>25</v>
      </c>
      <c r="H430" s="497">
        <v>0</v>
      </c>
      <c r="I430" s="497">
        <f t="shared" si="31"/>
        <v>20</v>
      </c>
      <c r="J430" s="497">
        <v>0</v>
      </c>
      <c r="K430" s="497">
        <v>20</v>
      </c>
      <c r="L430" s="497">
        <v>0</v>
      </c>
      <c r="M430" s="956">
        <v>0.76</v>
      </c>
      <c r="N430" s="653">
        <v>1.08</v>
      </c>
      <c r="O430" s="669" t="s">
        <v>3742</v>
      </c>
      <c r="P430" s="463" t="s">
        <v>1588</v>
      </c>
      <c r="Q430" s="852">
        <v>0</v>
      </c>
      <c r="R430" s="852">
        <v>0</v>
      </c>
      <c r="S430" s="852">
        <v>0</v>
      </c>
      <c r="T430" s="852">
        <v>0</v>
      </c>
      <c r="U430" s="463" t="s">
        <v>939</v>
      </c>
      <c r="V430" s="463" t="s">
        <v>984</v>
      </c>
      <c r="W430" s="653">
        <v>276</v>
      </c>
      <c r="X430" s="463" t="s">
        <v>1532</v>
      </c>
      <c r="Y430" s="463" t="s">
        <v>1533</v>
      </c>
      <c r="Z430" s="463"/>
      <c r="AA430" s="463" t="s">
        <v>1607</v>
      </c>
      <c r="AB430" s="459" t="s">
        <v>1534</v>
      </c>
    </row>
    <row r="431" spans="1:28" ht="24" customHeight="1">
      <c r="A431" s="584"/>
      <c r="B431" s="460" t="s">
        <v>675</v>
      </c>
      <c r="C431" s="458" t="s">
        <v>985</v>
      </c>
      <c r="D431" s="510" t="s">
        <v>986</v>
      </c>
      <c r="E431" s="497">
        <f t="shared" si="32"/>
        <v>200</v>
      </c>
      <c r="F431" s="497">
        <v>0</v>
      </c>
      <c r="G431" s="497">
        <v>200</v>
      </c>
      <c r="H431" s="497">
        <v>0</v>
      </c>
      <c r="I431" s="497">
        <f t="shared" si="31"/>
        <v>160</v>
      </c>
      <c r="J431" s="497">
        <v>0</v>
      </c>
      <c r="K431" s="497">
        <v>160</v>
      </c>
      <c r="L431" s="497">
        <v>0</v>
      </c>
      <c r="M431" s="956">
        <v>0.86</v>
      </c>
      <c r="N431" s="653">
        <v>5.6</v>
      </c>
      <c r="O431" s="669" t="s">
        <v>3742</v>
      </c>
      <c r="P431" s="463" t="s">
        <v>1588</v>
      </c>
      <c r="Q431" s="852">
        <v>0</v>
      </c>
      <c r="R431" s="852">
        <v>0</v>
      </c>
      <c r="S431" s="852">
        <v>0</v>
      </c>
      <c r="T431" s="852">
        <v>0</v>
      </c>
      <c r="U431" s="463" t="s">
        <v>939</v>
      </c>
      <c r="V431" s="463" t="s">
        <v>987</v>
      </c>
      <c r="W431" s="653">
        <v>671</v>
      </c>
      <c r="X431" s="463" t="s">
        <v>1532</v>
      </c>
      <c r="Y431" s="463" t="s">
        <v>1533</v>
      </c>
      <c r="Z431" s="463"/>
      <c r="AA431" s="463" t="s">
        <v>1607</v>
      </c>
      <c r="AB431" s="459" t="s">
        <v>1534</v>
      </c>
    </row>
    <row r="432" spans="1:28" ht="24" customHeight="1">
      <c r="A432" s="584"/>
      <c r="B432" s="460" t="s">
        <v>675</v>
      </c>
      <c r="C432" s="458" t="s">
        <v>988</v>
      </c>
      <c r="D432" s="510" t="s">
        <v>989</v>
      </c>
      <c r="E432" s="497">
        <f t="shared" si="32"/>
        <v>23</v>
      </c>
      <c r="F432" s="497">
        <v>0</v>
      </c>
      <c r="G432" s="497">
        <v>23</v>
      </c>
      <c r="H432" s="497">
        <v>0</v>
      </c>
      <c r="I432" s="497">
        <f t="shared" si="31"/>
        <v>18</v>
      </c>
      <c r="J432" s="497">
        <v>0</v>
      </c>
      <c r="K432" s="497">
        <v>18</v>
      </c>
      <c r="L432" s="497">
        <v>0</v>
      </c>
      <c r="M432" s="956">
        <v>0.68</v>
      </c>
      <c r="N432" s="653">
        <v>0.84</v>
      </c>
      <c r="O432" s="669" t="s">
        <v>3757</v>
      </c>
      <c r="P432" s="463" t="s">
        <v>1588</v>
      </c>
      <c r="Q432" s="852">
        <v>0</v>
      </c>
      <c r="R432" s="852">
        <v>0</v>
      </c>
      <c r="S432" s="852">
        <v>0</v>
      </c>
      <c r="T432" s="852">
        <v>0</v>
      </c>
      <c r="U432" s="463" t="s">
        <v>939</v>
      </c>
      <c r="V432" s="463" t="s">
        <v>990</v>
      </c>
      <c r="W432" s="653">
        <v>198</v>
      </c>
      <c r="X432" s="463" t="s">
        <v>1532</v>
      </c>
      <c r="Y432" s="463" t="s">
        <v>1533</v>
      </c>
      <c r="Z432" s="463"/>
      <c r="AA432" s="463" t="s">
        <v>1607</v>
      </c>
      <c r="AB432" s="459" t="s">
        <v>1534</v>
      </c>
    </row>
    <row r="433" spans="1:28" ht="24" customHeight="1">
      <c r="A433" s="584"/>
      <c r="B433" s="460" t="s">
        <v>675</v>
      </c>
      <c r="C433" s="458" t="s">
        <v>991</v>
      </c>
      <c r="D433" s="510" t="s">
        <v>992</v>
      </c>
      <c r="E433" s="497">
        <f t="shared" si="32"/>
        <v>150</v>
      </c>
      <c r="F433" s="497">
        <v>0</v>
      </c>
      <c r="G433" s="497">
        <v>150</v>
      </c>
      <c r="H433" s="497">
        <v>0</v>
      </c>
      <c r="I433" s="497">
        <f t="shared" si="31"/>
        <v>120</v>
      </c>
      <c r="J433" s="497">
        <v>0</v>
      </c>
      <c r="K433" s="497">
        <v>120</v>
      </c>
      <c r="L433" s="497">
        <v>0</v>
      </c>
      <c r="M433" s="956">
        <v>0.84</v>
      </c>
      <c r="N433" s="653">
        <v>8.4</v>
      </c>
      <c r="O433" s="669" t="s">
        <v>3742</v>
      </c>
      <c r="P433" s="463" t="s">
        <v>1588</v>
      </c>
      <c r="Q433" s="852">
        <v>0</v>
      </c>
      <c r="R433" s="852">
        <v>0</v>
      </c>
      <c r="S433" s="852">
        <v>0</v>
      </c>
      <c r="T433" s="852">
        <v>0</v>
      </c>
      <c r="U433" s="463" t="s">
        <v>939</v>
      </c>
      <c r="V433" s="463" t="s">
        <v>993</v>
      </c>
      <c r="W433" s="653">
        <v>400</v>
      </c>
      <c r="X433" s="463" t="s">
        <v>1532</v>
      </c>
      <c r="Y433" s="463" t="s">
        <v>1533</v>
      </c>
      <c r="Z433" s="463"/>
      <c r="AA433" s="463" t="s">
        <v>1607</v>
      </c>
      <c r="AB433" s="459" t="s">
        <v>1534</v>
      </c>
    </row>
    <row r="434" spans="1:28" ht="24" customHeight="1">
      <c r="A434" s="584"/>
      <c r="B434" s="460" t="s">
        <v>675</v>
      </c>
      <c r="C434" s="458" t="s">
        <v>994</v>
      </c>
      <c r="D434" s="510" t="s">
        <v>995</v>
      </c>
      <c r="E434" s="497">
        <f t="shared" si="32"/>
        <v>260</v>
      </c>
      <c r="F434" s="497">
        <v>0</v>
      </c>
      <c r="G434" s="497">
        <v>260</v>
      </c>
      <c r="H434" s="497">
        <v>0</v>
      </c>
      <c r="I434" s="497">
        <f t="shared" si="31"/>
        <v>204</v>
      </c>
      <c r="J434" s="497">
        <v>0</v>
      </c>
      <c r="K434" s="497">
        <v>204</v>
      </c>
      <c r="L434" s="497">
        <v>0</v>
      </c>
      <c r="M434" s="956">
        <v>0.65</v>
      </c>
      <c r="N434" s="653">
        <v>9.7899999999999991</v>
      </c>
      <c r="O434" s="669" t="s">
        <v>938</v>
      </c>
      <c r="P434" s="463" t="s">
        <v>1588</v>
      </c>
      <c r="Q434" s="852">
        <v>0</v>
      </c>
      <c r="R434" s="852">
        <v>0</v>
      </c>
      <c r="S434" s="852">
        <v>0</v>
      </c>
      <c r="T434" s="852">
        <v>0</v>
      </c>
      <c r="U434" s="463" t="s">
        <v>939</v>
      </c>
      <c r="V434" s="463" t="s">
        <v>981</v>
      </c>
      <c r="W434" s="653">
        <v>315</v>
      </c>
      <c r="X434" s="463" t="s">
        <v>1532</v>
      </c>
      <c r="Y434" s="463" t="s">
        <v>1533</v>
      </c>
      <c r="Z434" s="463"/>
      <c r="AA434" s="463" t="s">
        <v>1607</v>
      </c>
      <c r="AB434" s="459" t="s">
        <v>1534</v>
      </c>
    </row>
    <row r="435" spans="1:28" ht="24" customHeight="1">
      <c r="A435" s="584"/>
      <c r="B435" s="460" t="s">
        <v>675</v>
      </c>
      <c r="C435" s="458" t="s">
        <v>996</v>
      </c>
      <c r="D435" s="510" t="s">
        <v>997</v>
      </c>
      <c r="E435" s="497">
        <f t="shared" si="32"/>
        <v>30</v>
      </c>
      <c r="F435" s="497">
        <v>0</v>
      </c>
      <c r="G435" s="497">
        <v>30</v>
      </c>
      <c r="H435" s="497">
        <v>0</v>
      </c>
      <c r="I435" s="497">
        <f t="shared" si="31"/>
        <v>24</v>
      </c>
      <c r="J435" s="497">
        <v>0</v>
      </c>
      <c r="K435" s="497">
        <v>24</v>
      </c>
      <c r="L435" s="497">
        <v>0</v>
      </c>
      <c r="M435" s="956">
        <v>0.71</v>
      </c>
      <c r="N435" s="653">
        <v>1.08</v>
      </c>
      <c r="O435" s="669" t="s">
        <v>3742</v>
      </c>
      <c r="P435" s="463" t="s">
        <v>1588</v>
      </c>
      <c r="Q435" s="852">
        <v>0</v>
      </c>
      <c r="R435" s="852">
        <v>0</v>
      </c>
      <c r="S435" s="852">
        <v>0</v>
      </c>
      <c r="T435" s="852">
        <v>0</v>
      </c>
      <c r="U435" s="463" t="s">
        <v>939</v>
      </c>
      <c r="V435" s="463" t="s">
        <v>998</v>
      </c>
      <c r="W435" s="653">
        <v>213</v>
      </c>
      <c r="X435" s="463" t="s">
        <v>1532</v>
      </c>
      <c r="Y435" s="463" t="s">
        <v>1533</v>
      </c>
      <c r="Z435" s="463"/>
      <c r="AA435" s="463" t="s">
        <v>1607</v>
      </c>
      <c r="AB435" s="459" t="s">
        <v>1534</v>
      </c>
    </row>
    <row r="436" spans="1:28" ht="24" customHeight="1">
      <c r="A436" s="584"/>
      <c r="B436" s="460" t="s">
        <v>675</v>
      </c>
      <c r="C436" s="458" t="s">
        <v>999</v>
      </c>
      <c r="D436" s="510" t="s">
        <v>1000</v>
      </c>
      <c r="E436" s="497">
        <f t="shared" si="32"/>
        <v>30</v>
      </c>
      <c r="F436" s="497">
        <v>0</v>
      </c>
      <c r="G436" s="497">
        <v>30</v>
      </c>
      <c r="H436" s="497">
        <v>0</v>
      </c>
      <c r="I436" s="497">
        <f t="shared" si="31"/>
        <v>24</v>
      </c>
      <c r="J436" s="497">
        <v>0</v>
      </c>
      <c r="K436" s="497">
        <v>24</v>
      </c>
      <c r="L436" s="497">
        <v>0</v>
      </c>
      <c r="M436" s="956">
        <v>0.94</v>
      </c>
      <c r="N436" s="653">
        <v>1.94</v>
      </c>
      <c r="O436" s="669" t="s">
        <v>3742</v>
      </c>
      <c r="P436" s="463" t="s">
        <v>1588</v>
      </c>
      <c r="Q436" s="852">
        <v>0</v>
      </c>
      <c r="R436" s="852">
        <v>0</v>
      </c>
      <c r="S436" s="852">
        <v>0</v>
      </c>
      <c r="T436" s="852">
        <v>0</v>
      </c>
      <c r="U436" s="463" t="s">
        <v>939</v>
      </c>
      <c r="V436" s="463" t="s">
        <v>1001</v>
      </c>
      <c r="W436" s="653">
        <v>200</v>
      </c>
      <c r="X436" s="463" t="s">
        <v>1532</v>
      </c>
      <c r="Y436" s="463" t="s">
        <v>1533</v>
      </c>
      <c r="Z436" s="463"/>
      <c r="AA436" s="463" t="s">
        <v>1607</v>
      </c>
      <c r="AB436" s="459" t="s">
        <v>1534</v>
      </c>
    </row>
    <row r="437" spans="1:28" ht="24" customHeight="1">
      <c r="A437" s="584"/>
      <c r="B437" s="460" t="s">
        <v>675</v>
      </c>
      <c r="C437" s="458" t="s">
        <v>1002</v>
      </c>
      <c r="D437" s="510" t="s">
        <v>1003</v>
      </c>
      <c r="E437" s="497">
        <f t="shared" si="32"/>
        <v>40</v>
      </c>
      <c r="F437" s="497">
        <v>0</v>
      </c>
      <c r="G437" s="497">
        <v>40</v>
      </c>
      <c r="H437" s="497">
        <v>0</v>
      </c>
      <c r="I437" s="497">
        <f t="shared" si="31"/>
        <v>32</v>
      </c>
      <c r="J437" s="497">
        <v>0</v>
      </c>
      <c r="K437" s="497">
        <v>32</v>
      </c>
      <c r="L437" s="497">
        <v>0</v>
      </c>
      <c r="M437" s="956">
        <v>0.84</v>
      </c>
      <c r="N437" s="653">
        <v>2.56</v>
      </c>
      <c r="O437" s="669" t="s">
        <v>3742</v>
      </c>
      <c r="P437" s="463" t="s">
        <v>1588</v>
      </c>
      <c r="Q437" s="852">
        <v>0</v>
      </c>
      <c r="R437" s="852">
        <v>0</v>
      </c>
      <c r="S437" s="852">
        <v>0</v>
      </c>
      <c r="T437" s="852">
        <v>0</v>
      </c>
      <c r="U437" s="463" t="s">
        <v>939</v>
      </c>
      <c r="V437" s="463" t="s">
        <v>978</v>
      </c>
      <c r="W437" s="653">
        <v>200</v>
      </c>
      <c r="X437" s="463" t="s">
        <v>1532</v>
      </c>
      <c r="Y437" s="463" t="s">
        <v>1533</v>
      </c>
      <c r="Z437" s="463"/>
      <c r="AA437" s="463" t="s">
        <v>1607</v>
      </c>
      <c r="AB437" s="459" t="s">
        <v>1534</v>
      </c>
    </row>
    <row r="438" spans="1:28" ht="24" customHeight="1">
      <c r="A438" s="584"/>
      <c r="B438" s="460" t="s">
        <v>675</v>
      </c>
      <c r="C438" s="458" t="s">
        <v>1004</v>
      </c>
      <c r="D438" s="510" t="s">
        <v>1005</v>
      </c>
      <c r="E438" s="497">
        <f t="shared" si="32"/>
        <v>250</v>
      </c>
      <c r="F438" s="497">
        <v>0</v>
      </c>
      <c r="G438" s="497">
        <v>250</v>
      </c>
      <c r="H438" s="497">
        <v>0</v>
      </c>
      <c r="I438" s="497">
        <f t="shared" si="31"/>
        <v>194</v>
      </c>
      <c r="J438" s="497">
        <v>0</v>
      </c>
      <c r="K438" s="497">
        <v>194</v>
      </c>
      <c r="L438" s="497">
        <v>0</v>
      </c>
      <c r="M438" s="956">
        <v>0.84</v>
      </c>
      <c r="N438" s="653">
        <v>16.87</v>
      </c>
      <c r="O438" s="669" t="s">
        <v>938</v>
      </c>
      <c r="P438" s="463" t="s">
        <v>1588</v>
      </c>
      <c r="Q438" s="852">
        <v>0</v>
      </c>
      <c r="R438" s="852">
        <v>0</v>
      </c>
      <c r="S438" s="852">
        <v>0</v>
      </c>
      <c r="T438" s="852">
        <v>0</v>
      </c>
      <c r="U438" s="463" t="s">
        <v>939</v>
      </c>
      <c r="V438" s="463" t="s">
        <v>1006</v>
      </c>
      <c r="W438" s="653">
        <v>300</v>
      </c>
      <c r="X438" s="463" t="s">
        <v>1532</v>
      </c>
      <c r="Y438" s="463" t="s">
        <v>1533</v>
      </c>
      <c r="Z438" s="463"/>
      <c r="AA438" s="463" t="s">
        <v>1607</v>
      </c>
      <c r="AB438" s="459" t="s">
        <v>1534</v>
      </c>
    </row>
    <row r="439" spans="1:28" ht="24" customHeight="1">
      <c r="A439" s="584"/>
      <c r="B439" s="460" t="s">
        <v>675</v>
      </c>
      <c r="C439" s="458" t="s">
        <v>1007</v>
      </c>
      <c r="D439" s="510" t="s">
        <v>1008</v>
      </c>
      <c r="E439" s="497">
        <f t="shared" si="32"/>
        <v>23</v>
      </c>
      <c r="F439" s="497">
        <v>0</v>
      </c>
      <c r="G439" s="497">
        <v>23</v>
      </c>
      <c r="H439" s="497">
        <v>0</v>
      </c>
      <c r="I439" s="497">
        <f t="shared" si="31"/>
        <v>18</v>
      </c>
      <c r="J439" s="497">
        <v>0</v>
      </c>
      <c r="K439" s="497">
        <v>18</v>
      </c>
      <c r="L439" s="497">
        <v>0</v>
      </c>
      <c r="M439" s="956">
        <v>0.94</v>
      </c>
      <c r="N439" s="653">
        <v>0.48</v>
      </c>
      <c r="O439" s="669" t="s">
        <v>1009</v>
      </c>
      <c r="P439" s="463" t="s">
        <v>1588</v>
      </c>
      <c r="Q439" s="852">
        <v>0</v>
      </c>
      <c r="R439" s="852">
        <v>0</v>
      </c>
      <c r="S439" s="852">
        <v>0</v>
      </c>
      <c r="T439" s="852">
        <v>0</v>
      </c>
      <c r="U439" s="463" t="s">
        <v>939</v>
      </c>
      <c r="V439" s="463" t="s">
        <v>1010</v>
      </c>
      <c r="W439" s="653">
        <v>289</v>
      </c>
      <c r="X439" s="463" t="s">
        <v>1532</v>
      </c>
      <c r="Y439" s="463" t="s">
        <v>1533</v>
      </c>
      <c r="Z439" s="463"/>
      <c r="AA439" s="463" t="s">
        <v>1607</v>
      </c>
      <c r="AB439" s="459" t="s">
        <v>1534</v>
      </c>
    </row>
    <row r="440" spans="1:28" ht="24" customHeight="1">
      <c r="A440" s="584"/>
      <c r="B440" s="460" t="s">
        <v>675</v>
      </c>
      <c r="C440" s="458" t="s">
        <v>1011</v>
      </c>
      <c r="D440" s="510" t="s">
        <v>1012</v>
      </c>
      <c r="E440" s="497">
        <f t="shared" si="32"/>
        <v>100</v>
      </c>
      <c r="F440" s="497">
        <v>0</v>
      </c>
      <c r="G440" s="497">
        <v>100</v>
      </c>
      <c r="H440" s="497">
        <v>0</v>
      </c>
      <c r="I440" s="497">
        <f t="shared" si="31"/>
        <v>80</v>
      </c>
      <c r="J440" s="497">
        <v>0</v>
      </c>
      <c r="K440" s="497">
        <v>80</v>
      </c>
      <c r="L440" s="497">
        <v>0</v>
      </c>
      <c r="M440" s="956">
        <v>0.87</v>
      </c>
      <c r="N440" s="653">
        <v>4.88</v>
      </c>
      <c r="O440" s="669" t="s">
        <v>3461</v>
      </c>
      <c r="P440" s="463" t="s">
        <v>1588</v>
      </c>
      <c r="Q440" s="852">
        <v>0</v>
      </c>
      <c r="R440" s="852">
        <v>0</v>
      </c>
      <c r="S440" s="852">
        <v>0</v>
      </c>
      <c r="T440" s="852">
        <v>0</v>
      </c>
      <c r="U440" s="463" t="s">
        <v>939</v>
      </c>
      <c r="V440" s="463" t="s">
        <v>1013</v>
      </c>
      <c r="W440" s="653">
        <v>346</v>
      </c>
      <c r="X440" s="463" t="s">
        <v>1532</v>
      </c>
      <c r="Y440" s="463" t="s">
        <v>1533</v>
      </c>
      <c r="Z440" s="463"/>
      <c r="AA440" s="463" t="s">
        <v>1607</v>
      </c>
      <c r="AB440" s="459" t="s">
        <v>1534</v>
      </c>
    </row>
    <row r="441" spans="1:28" ht="24" customHeight="1">
      <c r="A441" s="584"/>
      <c r="B441" s="460" t="s">
        <v>675</v>
      </c>
      <c r="C441" s="458" t="s">
        <v>1014</v>
      </c>
      <c r="D441" s="510" t="s">
        <v>1015</v>
      </c>
      <c r="E441" s="497">
        <f t="shared" si="32"/>
        <v>100</v>
      </c>
      <c r="F441" s="497">
        <v>0</v>
      </c>
      <c r="G441" s="497">
        <v>100</v>
      </c>
      <c r="H441" s="497">
        <v>0</v>
      </c>
      <c r="I441" s="497">
        <f t="shared" si="31"/>
        <v>80</v>
      </c>
      <c r="J441" s="497">
        <v>0</v>
      </c>
      <c r="K441" s="497">
        <v>80</v>
      </c>
      <c r="L441" s="497">
        <v>0</v>
      </c>
      <c r="M441" s="956">
        <v>0.9</v>
      </c>
      <c r="N441" s="653">
        <v>3.36</v>
      </c>
      <c r="O441" s="669" t="s">
        <v>3461</v>
      </c>
      <c r="P441" s="463" t="s">
        <v>1588</v>
      </c>
      <c r="Q441" s="852">
        <v>0</v>
      </c>
      <c r="R441" s="852">
        <v>0</v>
      </c>
      <c r="S441" s="852">
        <v>0</v>
      </c>
      <c r="T441" s="852">
        <v>0</v>
      </c>
      <c r="U441" s="463" t="s">
        <v>939</v>
      </c>
      <c r="V441" s="463" t="s">
        <v>1016</v>
      </c>
      <c r="W441" s="653">
        <v>205</v>
      </c>
      <c r="X441" s="463" t="s">
        <v>1532</v>
      </c>
      <c r="Y441" s="463" t="s">
        <v>1533</v>
      </c>
      <c r="Z441" s="463"/>
      <c r="AA441" s="463" t="s">
        <v>1607</v>
      </c>
      <c r="AB441" s="459" t="s">
        <v>1534</v>
      </c>
    </row>
    <row r="442" spans="1:28" ht="24" customHeight="1">
      <c r="A442" s="584"/>
      <c r="B442" s="460" t="s">
        <v>675</v>
      </c>
      <c r="C442" s="458" t="s">
        <v>1017</v>
      </c>
      <c r="D442" s="510" t="s">
        <v>1018</v>
      </c>
      <c r="E442" s="497">
        <f t="shared" si="32"/>
        <v>70</v>
      </c>
      <c r="F442" s="497">
        <v>0</v>
      </c>
      <c r="G442" s="497">
        <v>70</v>
      </c>
      <c r="H442" s="497">
        <v>0</v>
      </c>
      <c r="I442" s="497">
        <f t="shared" si="31"/>
        <v>62</v>
      </c>
      <c r="J442" s="497">
        <v>0</v>
      </c>
      <c r="K442" s="497">
        <v>62</v>
      </c>
      <c r="L442" s="497">
        <v>0</v>
      </c>
      <c r="M442" s="956">
        <v>0.86</v>
      </c>
      <c r="N442" s="653">
        <v>2.23</v>
      </c>
      <c r="O442" s="669" t="s">
        <v>1019</v>
      </c>
      <c r="P442" s="463" t="s">
        <v>1588</v>
      </c>
      <c r="Q442" s="852">
        <v>0</v>
      </c>
      <c r="R442" s="852">
        <v>0</v>
      </c>
      <c r="S442" s="852">
        <v>0</v>
      </c>
      <c r="T442" s="852">
        <v>0</v>
      </c>
      <c r="U442" s="463" t="s">
        <v>939</v>
      </c>
      <c r="V442" s="463" t="s">
        <v>1020</v>
      </c>
      <c r="W442" s="653">
        <v>288</v>
      </c>
      <c r="X442" s="463" t="s">
        <v>1532</v>
      </c>
      <c r="Y442" s="463" t="s">
        <v>1533</v>
      </c>
      <c r="Z442" s="463"/>
      <c r="AA442" s="463" t="s">
        <v>1607</v>
      </c>
      <c r="AB442" s="459" t="s">
        <v>1534</v>
      </c>
    </row>
    <row r="443" spans="1:28" ht="24" customHeight="1">
      <c r="A443" s="584"/>
      <c r="B443" s="460" t="s">
        <v>675</v>
      </c>
      <c r="C443" s="458" t="s">
        <v>3453</v>
      </c>
      <c r="D443" s="510" t="s">
        <v>1021</v>
      </c>
      <c r="E443" s="497">
        <f t="shared" si="32"/>
        <v>50</v>
      </c>
      <c r="F443" s="497">
        <v>0</v>
      </c>
      <c r="G443" s="497">
        <v>50</v>
      </c>
      <c r="H443" s="497">
        <v>0</v>
      </c>
      <c r="I443" s="497">
        <f t="shared" si="31"/>
        <v>34</v>
      </c>
      <c r="J443" s="497">
        <v>0</v>
      </c>
      <c r="K443" s="497">
        <v>34</v>
      </c>
      <c r="L443" s="497">
        <v>0</v>
      </c>
      <c r="M443" s="956">
        <v>0.76</v>
      </c>
      <c r="N443" s="653">
        <v>2.34</v>
      </c>
      <c r="O443" s="669" t="s">
        <v>3461</v>
      </c>
      <c r="P443" s="463" t="s">
        <v>1588</v>
      </c>
      <c r="Q443" s="852">
        <v>0</v>
      </c>
      <c r="R443" s="852">
        <v>0</v>
      </c>
      <c r="S443" s="852">
        <v>0</v>
      </c>
      <c r="T443" s="852">
        <v>0</v>
      </c>
      <c r="U443" s="463" t="s">
        <v>939</v>
      </c>
      <c r="V443" s="463" t="s">
        <v>1020</v>
      </c>
      <c r="W443" s="653">
        <v>250</v>
      </c>
      <c r="X443" s="463" t="s">
        <v>1532</v>
      </c>
      <c r="Y443" s="463" t="s">
        <v>1533</v>
      </c>
      <c r="Z443" s="463"/>
      <c r="AA443" s="463" t="s">
        <v>1607</v>
      </c>
      <c r="AB443" s="459" t="s">
        <v>1534</v>
      </c>
    </row>
    <row r="444" spans="1:28" ht="24" customHeight="1">
      <c r="A444" s="584"/>
      <c r="B444" s="460" t="s">
        <v>675</v>
      </c>
      <c r="C444" s="458" t="s">
        <v>1022</v>
      </c>
      <c r="D444" s="510" t="s">
        <v>1023</v>
      </c>
      <c r="E444" s="497">
        <f t="shared" si="32"/>
        <v>200</v>
      </c>
      <c r="F444" s="497">
        <v>0</v>
      </c>
      <c r="G444" s="497">
        <v>200</v>
      </c>
      <c r="H444" s="497">
        <v>0</v>
      </c>
      <c r="I444" s="497">
        <f t="shared" si="31"/>
        <v>157</v>
      </c>
      <c r="J444" s="497">
        <v>0</v>
      </c>
      <c r="K444" s="497">
        <v>157</v>
      </c>
      <c r="L444" s="497">
        <v>0</v>
      </c>
      <c r="M444" s="956">
        <v>0.95</v>
      </c>
      <c r="N444" s="653">
        <v>8.7899999999999991</v>
      </c>
      <c r="O444" s="669" t="s">
        <v>1024</v>
      </c>
      <c r="P444" s="463" t="s">
        <v>1588</v>
      </c>
      <c r="Q444" s="852">
        <v>0</v>
      </c>
      <c r="R444" s="852">
        <v>0</v>
      </c>
      <c r="S444" s="852">
        <v>0</v>
      </c>
      <c r="T444" s="852">
        <v>0</v>
      </c>
      <c r="U444" s="463" t="s">
        <v>939</v>
      </c>
      <c r="V444" s="463" t="s">
        <v>1025</v>
      </c>
      <c r="W444" s="653">
        <v>950</v>
      </c>
      <c r="X444" s="463" t="s">
        <v>1532</v>
      </c>
      <c r="Y444" s="463" t="s">
        <v>1533</v>
      </c>
      <c r="Z444" s="463"/>
      <c r="AA444" s="463" t="s">
        <v>1607</v>
      </c>
      <c r="AB444" s="459" t="s">
        <v>1534</v>
      </c>
    </row>
    <row r="445" spans="1:28" ht="24" customHeight="1">
      <c r="A445" s="584"/>
      <c r="B445" s="460" t="s">
        <v>675</v>
      </c>
      <c r="C445" s="458" t="s">
        <v>1026</v>
      </c>
      <c r="D445" s="510" t="s">
        <v>1027</v>
      </c>
      <c r="E445" s="497">
        <f t="shared" si="32"/>
        <v>20</v>
      </c>
      <c r="F445" s="497">
        <v>0</v>
      </c>
      <c r="G445" s="497">
        <v>20</v>
      </c>
      <c r="H445" s="497">
        <v>0</v>
      </c>
      <c r="I445" s="497">
        <f t="shared" si="31"/>
        <v>16</v>
      </c>
      <c r="J445" s="497">
        <v>0</v>
      </c>
      <c r="K445" s="497">
        <v>16</v>
      </c>
      <c r="L445" s="497">
        <v>0</v>
      </c>
      <c r="M445" s="956">
        <v>0.91</v>
      </c>
      <c r="N445" s="653">
        <v>0.84</v>
      </c>
      <c r="O445" s="669" t="s">
        <v>3742</v>
      </c>
      <c r="P445" s="463" t="s">
        <v>1588</v>
      </c>
      <c r="Q445" s="852">
        <v>0</v>
      </c>
      <c r="R445" s="852">
        <v>0</v>
      </c>
      <c r="S445" s="852">
        <v>0</v>
      </c>
      <c r="T445" s="852">
        <v>0</v>
      </c>
      <c r="U445" s="463" t="s">
        <v>939</v>
      </c>
      <c r="V445" s="463" t="s">
        <v>978</v>
      </c>
      <c r="W445" s="653">
        <v>200</v>
      </c>
      <c r="X445" s="463" t="s">
        <v>1532</v>
      </c>
      <c r="Y445" s="463" t="s">
        <v>1533</v>
      </c>
      <c r="Z445" s="463"/>
      <c r="AA445" s="463" t="s">
        <v>577</v>
      </c>
      <c r="AB445" s="459" t="s">
        <v>1534</v>
      </c>
    </row>
    <row r="446" spans="1:28" ht="24" customHeight="1">
      <c r="A446" s="584"/>
      <c r="B446" s="460" t="s">
        <v>675</v>
      </c>
      <c r="C446" s="458" t="s">
        <v>1028</v>
      </c>
      <c r="D446" s="510" t="s">
        <v>1029</v>
      </c>
      <c r="E446" s="497">
        <f t="shared" si="32"/>
        <v>47</v>
      </c>
      <c r="F446" s="497">
        <v>0</v>
      </c>
      <c r="G446" s="497">
        <v>47</v>
      </c>
      <c r="H446" s="497">
        <v>0</v>
      </c>
      <c r="I446" s="497">
        <f t="shared" si="31"/>
        <v>40</v>
      </c>
      <c r="J446" s="497">
        <v>0</v>
      </c>
      <c r="K446" s="497">
        <v>40</v>
      </c>
      <c r="L446" s="497">
        <v>0</v>
      </c>
      <c r="M446" s="956">
        <v>0</v>
      </c>
      <c r="N446" s="653">
        <v>0</v>
      </c>
      <c r="O446" s="669" t="s">
        <v>1030</v>
      </c>
      <c r="P446" s="1806" t="s">
        <v>1031</v>
      </c>
      <c r="Q446" s="1806"/>
      <c r="R446" s="1806"/>
      <c r="S446" s="672">
        <v>0</v>
      </c>
      <c r="T446" s="672">
        <v>0</v>
      </c>
      <c r="U446" s="463" t="s">
        <v>939</v>
      </c>
      <c r="V446" s="463" t="s">
        <v>1032</v>
      </c>
      <c r="W446" s="653">
        <v>200</v>
      </c>
      <c r="X446" s="463" t="s">
        <v>1532</v>
      </c>
      <c r="Y446" s="463" t="s">
        <v>1533</v>
      </c>
      <c r="Z446" s="463"/>
      <c r="AA446" s="463" t="s">
        <v>577</v>
      </c>
      <c r="AB446" s="459" t="s">
        <v>1534</v>
      </c>
    </row>
    <row r="447" spans="1:28" ht="24" customHeight="1">
      <c r="A447" s="584"/>
      <c r="B447" s="460" t="s">
        <v>675</v>
      </c>
      <c r="C447" s="458" t="s">
        <v>1033</v>
      </c>
      <c r="D447" s="510" t="s">
        <v>1034</v>
      </c>
      <c r="E447" s="497">
        <f t="shared" si="32"/>
        <v>300</v>
      </c>
      <c r="F447" s="497">
        <v>0</v>
      </c>
      <c r="G447" s="497">
        <v>300</v>
      </c>
      <c r="H447" s="497">
        <v>0</v>
      </c>
      <c r="I447" s="497">
        <f t="shared" si="31"/>
        <v>240</v>
      </c>
      <c r="J447" s="497">
        <v>0</v>
      </c>
      <c r="K447" s="497">
        <v>240</v>
      </c>
      <c r="L447" s="497">
        <v>0</v>
      </c>
      <c r="M447" s="956">
        <v>0.56999999999999995</v>
      </c>
      <c r="N447" s="653">
        <v>8.4</v>
      </c>
      <c r="O447" s="669" t="s">
        <v>3742</v>
      </c>
      <c r="P447" s="463" t="s">
        <v>1588</v>
      </c>
      <c r="Q447" s="852">
        <v>0</v>
      </c>
      <c r="R447" s="852">
        <v>0</v>
      </c>
      <c r="S447" s="852">
        <v>0</v>
      </c>
      <c r="T447" s="852">
        <v>0</v>
      </c>
      <c r="U447" s="463" t="s">
        <v>939</v>
      </c>
      <c r="V447" s="463" t="s">
        <v>1035</v>
      </c>
      <c r="W447" s="653">
        <v>628</v>
      </c>
      <c r="X447" s="463" t="s">
        <v>1532</v>
      </c>
      <c r="Y447" s="463" t="s">
        <v>1533</v>
      </c>
      <c r="Z447" s="463"/>
      <c r="AA447" s="463" t="s">
        <v>577</v>
      </c>
      <c r="AB447" s="459" t="s">
        <v>1534</v>
      </c>
    </row>
    <row r="448" spans="1:28" ht="24" customHeight="1">
      <c r="A448" s="584"/>
      <c r="B448" s="460" t="s">
        <v>675</v>
      </c>
      <c r="C448" s="458" t="s">
        <v>1036</v>
      </c>
      <c r="D448" s="510" t="s">
        <v>1037</v>
      </c>
      <c r="E448" s="497">
        <f t="shared" si="32"/>
        <v>23</v>
      </c>
      <c r="F448" s="497">
        <v>0</v>
      </c>
      <c r="G448" s="497">
        <v>23</v>
      </c>
      <c r="H448" s="497">
        <v>0</v>
      </c>
      <c r="I448" s="497">
        <f t="shared" si="31"/>
        <v>18</v>
      </c>
      <c r="J448" s="497">
        <v>0</v>
      </c>
      <c r="K448" s="497">
        <v>18</v>
      </c>
      <c r="L448" s="497">
        <v>0</v>
      </c>
      <c r="M448" s="956">
        <v>0.59</v>
      </c>
      <c r="N448" s="653">
        <v>0.7</v>
      </c>
      <c r="O448" s="669" t="s">
        <v>3757</v>
      </c>
      <c r="P448" s="463" t="s">
        <v>1588</v>
      </c>
      <c r="Q448" s="852">
        <v>0</v>
      </c>
      <c r="R448" s="852">
        <v>0</v>
      </c>
      <c r="S448" s="852">
        <v>0</v>
      </c>
      <c r="T448" s="852">
        <v>0</v>
      </c>
      <c r="U448" s="463" t="s">
        <v>939</v>
      </c>
      <c r="V448" s="463" t="s">
        <v>1038</v>
      </c>
      <c r="W448" s="653">
        <v>200</v>
      </c>
      <c r="X448" s="463" t="s">
        <v>1532</v>
      </c>
      <c r="Y448" s="463" t="s">
        <v>1533</v>
      </c>
      <c r="Z448" s="463"/>
      <c r="AA448" s="463" t="s">
        <v>577</v>
      </c>
      <c r="AB448" s="459" t="s">
        <v>1534</v>
      </c>
    </row>
    <row r="449" spans="1:28" ht="24" customHeight="1">
      <c r="A449" s="584"/>
      <c r="B449" s="460" t="s">
        <v>675</v>
      </c>
      <c r="C449" s="458" t="s">
        <v>1039</v>
      </c>
      <c r="D449" s="510" t="s">
        <v>1040</v>
      </c>
      <c r="E449" s="497">
        <f t="shared" si="32"/>
        <v>50</v>
      </c>
      <c r="F449" s="497">
        <v>0</v>
      </c>
      <c r="G449" s="497">
        <v>50</v>
      </c>
      <c r="H449" s="497">
        <v>0</v>
      </c>
      <c r="I449" s="497">
        <f t="shared" si="31"/>
        <v>38</v>
      </c>
      <c r="J449" s="497">
        <v>0</v>
      </c>
      <c r="K449" s="497">
        <v>38</v>
      </c>
      <c r="L449" s="497">
        <v>0</v>
      </c>
      <c r="M449" s="956">
        <v>0.85980000000000001</v>
      </c>
      <c r="N449" s="653">
        <v>1.07</v>
      </c>
      <c r="O449" s="669" t="s">
        <v>1041</v>
      </c>
      <c r="P449" s="463" t="s">
        <v>1588</v>
      </c>
      <c r="Q449" s="852">
        <v>0</v>
      </c>
      <c r="R449" s="852">
        <v>0</v>
      </c>
      <c r="S449" s="852">
        <v>0</v>
      </c>
      <c r="T449" s="852">
        <v>0</v>
      </c>
      <c r="U449" s="463" t="s">
        <v>939</v>
      </c>
      <c r="V449" s="463" t="s">
        <v>1042</v>
      </c>
      <c r="W449" s="653">
        <v>460</v>
      </c>
      <c r="X449" s="463" t="s">
        <v>1532</v>
      </c>
      <c r="Y449" s="463" t="s">
        <v>1533</v>
      </c>
      <c r="Z449" s="463"/>
      <c r="AA449" s="463" t="s">
        <v>577</v>
      </c>
      <c r="AB449" s="459" t="s">
        <v>1534</v>
      </c>
    </row>
    <row r="450" spans="1:28" ht="24" customHeight="1">
      <c r="A450" s="584"/>
      <c r="B450" s="460" t="s">
        <v>675</v>
      </c>
      <c r="C450" s="458" t="s">
        <v>1043</v>
      </c>
      <c r="D450" s="510" t="s">
        <v>1044</v>
      </c>
      <c r="E450" s="497">
        <f t="shared" si="32"/>
        <v>40</v>
      </c>
      <c r="F450" s="497">
        <v>0</v>
      </c>
      <c r="G450" s="497">
        <v>40</v>
      </c>
      <c r="H450" s="497">
        <v>0</v>
      </c>
      <c r="I450" s="497">
        <f t="shared" si="31"/>
        <v>32</v>
      </c>
      <c r="J450" s="497">
        <v>0</v>
      </c>
      <c r="K450" s="497">
        <v>32</v>
      </c>
      <c r="L450" s="497">
        <v>0</v>
      </c>
      <c r="M450" s="956">
        <v>0.86</v>
      </c>
      <c r="N450" s="653">
        <v>0.92</v>
      </c>
      <c r="O450" s="669" t="s">
        <v>3742</v>
      </c>
      <c r="P450" s="463" t="s">
        <v>1588</v>
      </c>
      <c r="Q450" s="852">
        <v>0</v>
      </c>
      <c r="R450" s="852">
        <v>0</v>
      </c>
      <c r="S450" s="852">
        <v>0</v>
      </c>
      <c r="T450" s="852">
        <v>0</v>
      </c>
      <c r="U450" s="463" t="s">
        <v>939</v>
      </c>
      <c r="V450" s="463" t="s">
        <v>1045</v>
      </c>
      <c r="W450" s="653">
        <v>200</v>
      </c>
      <c r="X450" s="463" t="s">
        <v>1532</v>
      </c>
      <c r="Y450" s="463" t="s">
        <v>1533</v>
      </c>
      <c r="Z450" s="463"/>
      <c r="AA450" s="463" t="s">
        <v>1046</v>
      </c>
      <c r="AB450" s="459" t="s">
        <v>1534</v>
      </c>
    </row>
    <row r="451" spans="1:28" ht="24" customHeight="1">
      <c r="A451" s="584"/>
      <c r="B451" s="460" t="s">
        <v>675</v>
      </c>
      <c r="C451" s="458" t="s">
        <v>1047</v>
      </c>
      <c r="D451" s="510" t="s">
        <v>1048</v>
      </c>
      <c r="E451" s="497">
        <f t="shared" si="32"/>
        <v>40</v>
      </c>
      <c r="F451" s="497">
        <v>0</v>
      </c>
      <c r="G451" s="497">
        <v>40</v>
      </c>
      <c r="H451" s="497">
        <v>0</v>
      </c>
      <c r="I451" s="497">
        <f t="shared" si="31"/>
        <v>32</v>
      </c>
      <c r="J451" s="497">
        <v>0</v>
      </c>
      <c r="K451" s="497">
        <v>32</v>
      </c>
      <c r="L451" s="497">
        <v>0</v>
      </c>
      <c r="M451" s="956">
        <v>0.89</v>
      </c>
      <c r="N451" s="653">
        <v>1.9</v>
      </c>
      <c r="O451" s="669" t="s">
        <v>3742</v>
      </c>
      <c r="P451" s="463" t="s">
        <v>1588</v>
      </c>
      <c r="Q451" s="852">
        <v>0</v>
      </c>
      <c r="R451" s="852">
        <v>0</v>
      </c>
      <c r="S451" s="852">
        <v>0</v>
      </c>
      <c r="T451" s="852">
        <v>0</v>
      </c>
      <c r="U451" s="463" t="s">
        <v>939</v>
      </c>
      <c r="V451" s="463" t="s">
        <v>1049</v>
      </c>
      <c r="W451" s="653">
        <v>293</v>
      </c>
      <c r="X451" s="463" t="s">
        <v>1532</v>
      </c>
      <c r="Y451" s="463" t="s">
        <v>1533</v>
      </c>
      <c r="Z451" s="463"/>
      <c r="AA451" s="463" t="s">
        <v>1046</v>
      </c>
      <c r="AB451" s="459" t="s">
        <v>1534</v>
      </c>
    </row>
    <row r="452" spans="1:28" ht="24" customHeight="1">
      <c r="A452" s="584"/>
      <c r="B452" s="460" t="s">
        <v>675</v>
      </c>
      <c r="C452" s="458" t="s">
        <v>1050</v>
      </c>
      <c r="D452" s="510" t="s">
        <v>1051</v>
      </c>
      <c r="E452" s="497">
        <f t="shared" si="32"/>
        <v>50</v>
      </c>
      <c r="F452" s="497">
        <v>0</v>
      </c>
      <c r="G452" s="497">
        <v>50</v>
      </c>
      <c r="H452" s="497">
        <v>0</v>
      </c>
      <c r="I452" s="497">
        <f t="shared" si="31"/>
        <v>40</v>
      </c>
      <c r="J452" s="497">
        <v>0</v>
      </c>
      <c r="K452" s="497">
        <v>40</v>
      </c>
      <c r="L452" s="497">
        <v>0</v>
      </c>
      <c r="M452" s="956">
        <v>0.79</v>
      </c>
      <c r="N452" s="653">
        <v>2.4700000000000002</v>
      </c>
      <c r="O452" s="669" t="s">
        <v>3742</v>
      </c>
      <c r="P452" s="463" t="s">
        <v>1588</v>
      </c>
      <c r="Q452" s="852">
        <v>0</v>
      </c>
      <c r="R452" s="852">
        <v>0</v>
      </c>
      <c r="S452" s="852">
        <v>0</v>
      </c>
      <c r="T452" s="852">
        <v>0</v>
      </c>
      <c r="U452" s="463" t="s">
        <v>939</v>
      </c>
      <c r="V452" s="463" t="s">
        <v>1052</v>
      </c>
      <c r="W452" s="653">
        <v>246</v>
      </c>
      <c r="X452" s="463" t="s">
        <v>1532</v>
      </c>
      <c r="Y452" s="463" t="s">
        <v>1533</v>
      </c>
      <c r="Z452" s="463"/>
      <c r="AA452" s="463" t="s">
        <v>1046</v>
      </c>
      <c r="AB452" s="459" t="s">
        <v>1534</v>
      </c>
    </row>
    <row r="453" spans="1:28" ht="24" customHeight="1">
      <c r="A453" s="584"/>
      <c r="B453" s="460" t="s">
        <v>675</v>
      </c>
      <c r="C453" s="458" t="s">
        <v>1053</v>
      </c>
      <c r="D453" s="510" t="s">
        <v>1054</v>
      </c>
      <c r="E453" s="497">
        <f t="shared" si="32"/>
        <v>250</v>
      </c>
      <c r="F453" s="497">
        <v>0</v>
      </c>
      <c r="G453" s="497">
        <v>250</v>
      </c>
      <c r="H453" s="497">
        <v>0</v>
      </c>
      <c r="I453" s="497">
        <f t="shared" si="31"/>
        <v>200</v>
      </c>
      <c r="J453" s="497">
        <v>0</v>
      </c>
      <c r="K453" s="497">
        <v>200</v>
      </c>
      <c r="L453" s="497">
        <v>0</v>
      </c>
      <c r="M453" s="956">
        <v>0.71</v>
      </c>
      <c r="N453" s="653">
        <v>9.24</v>
      </c>
      <c r="O453" s="669" t="s">
        <v>3461</v>
      </c>
      <c r="P453" s="463" t="s">
        <v>1588</v>
      </c>
      <c r="Q453" s="852">
        <v>0</v>
      </c>
      <c r="R453" s="852">
        <v>0</v>
      </c>
      <c r="S453" s="852">
        <v>0</v>
      </c>
      <c r="T453" s="852">
        <v>0</v>
      </c>
      <c r="U453" s="463" t="s">
        <v>939</v>
      </c>
      <c r="V453" s="463" t="s">
        <v>1055</v>
      </c>
      <c r="W453" s="653">
        <v>930</v>
      </c>
      <c r="X453" s="463" t="s">
        <v>1532</v>
      </c>
      <c r="Y453" s="463" t="s">
        <v>1533</v>
      </c>
      <c r="Z453" s="463"/>
      <c r="AA453" s="463" t="s">
        <v>1046</v>
      </c>
      <c r="AB453" s="459" t="s">
        <v>1534</v>
      </c>
    </row>
    <row r="454" spans="1:28" ht="24" customHeight="1">
      <c r="A454" s="584"/>
      <c r="B454" s="460" t="s">
        <v>675</v>
      </c>
      <c r="C454" s="458" t="s">
        <v>1056</v>
      </c>
      <c r="D454" s="510" t="s">
        <v>1057</v>
      </c>
      <c r="E454" s="497">
        <f t="shared" si="32"/>
        <v>50</v>
      </c>
      <c r="F454" s="497">
        <v>0</v>
      </c>
      <c r="G454" s="497">
        <v>50</v>
      </c>
      <c r="H454" s="497">
        <v>0</v>
      </c>
      <c r="I454" s="497">
        <f t="shared" si="31"/>
        <v>35</v>
      </c>
      <c r="J454" s="497">
        <v>0</v>
      </c>
      <c r="K454" s="497">
        <v>35</v>
      </c>
      <c r="L454" s="497">
        <v>0</v>
      </c>
      <c r="M454" s="956">
        <v>0.91</v>
      </c>
      <c r="N454" s="653">
        <v>2.41</v>
      </c>
      <c r="O454" s="669" t="s">
        <v>1024</v>
      </c>
      <c r="P454" s="463" t="s">
        <v>1588</v>
      </c>
      <c r="Q454" s="852">
        <v>0</v>
      </c>
      <c r="R454" s="852">
        <v>0</v>
      </c>
      <c r="S454" s="852">
        <v>0</v>
      </c>
      <c r="T454" s="852">
        <v>0</v>
      </c>
      <c r="U454" s="463" t="s">
        <v>939</v>
      </c>
      <c r="V454" s="463" t="s">
        <v>1058</v>
      </c>
      <c r="W454" s="653">
        <v>680</v>
      </c>
      <c r="X454" s="463" t="s">
        <v>1532</v>
      </c>
      <c r="Y454" s="463" t="s">
        <v>1533</v>
      </c>
      <c r="Z454" s="463"/>
      <c r="AA454" s="463" t="s">
        <v>1046</v>
      </c>
      <c r="AB454" s="459" t="s">
        <v>1534</v>
      </c>
    </row>
    <row r="455" spans="1:28" ht="24" customHeight="1">
      <c r="A455" s="582" t="s">
        <v>1608</v>
      </c>
      <c r="B455" s="460" t="s">
        <v>2201</v>
      </c>
      <c r="C455" s="458" t="s">
        <v>1059</v>
      </c>
      <c r="D455" s="510" t="s">
        <v>1060</v>
      </c>
      <c r="E455" s="497">
        <f t="shared" ref="E455:E464" si="33">SUM(F455:H455)</f>
        <v>2600</v>
      </c>
      <c r="F455" s="497">
        <v>0</v>
      </c>
      <c r="G455" s="497">
        <v>0</v>
      </c>
      <c r="H455" s="497">
        <v>2600</v>
      </c>
      <c r="I455" s="497">
        <f t="shared" ref="I455:I467" si="34">SUM(J455:L455)</f>
        <v>1729</v>
      </c>
      <c r="J455" s="497">
        <v>0</v>
      </c>
      <c r="K455" s="497">
        <v>0</v>
      </c>
      <c r="L455" s="497">
        <v>1729</v>
      </c>
      <c r="M455" s="956">
        <v>0.97324656543745491</v>
      </c>
      <c r="N455" s="653">
        <v>232.72340000000003</v>
      </c>
      <c r="O455" s="669" t="s">
        <v>1061</v>
      </c>
      <c r="P455" s="463" t="s">
        <v>1588</v>
      </c>
      <c r="Q455" s="852">
        <v>0</v>
      </c>
      <c r="R455" s="852">
        <v>0</v>
      </c>
      <c r="S455" s="852">
        <v>0</v>
      </c>
      <c r="T455" s="852">
        <v>0</v>
      </c>
      <c r="U455" s="463" t="s">
        <v>1062</v>
      </c>
      <c r="V455" s="466" t="s">
        <v>1063</v>
      </c>
      <c r="W455" s="653">
        <v>11507</v>
      </c>
      <c r="X455" s="463" t="s">
        <v>1532</v>
      </c>
      <c r="Y455" s="463" t="s">
        <v>1064</v>
      </c>
      <c r="Z455" s="480" t="s">
        <v>2265</v>
      </c>
      <c r="AA455" s="463" t="s">
        <v>1534</v>
      </c>
      <c r="AB455" s="459" t="s">
        <v>1534</v>
      </c>
    </row>
    <row r="456" spans="1:28" ht="24" customHeight="1">
      <c r="A456" s="584"/>
      <c r="B456" s="460" t="s">
        <v>2201</v>
      </c>
      <c r="C456" s="458" t="s">
        <v>1065</v>
      </c>
      <c r="D456" s="510" t="s">
        <v>1066</v>
      </c>
      <c r="E456" s="497">
        <f t="shared" si="33"/>
        <v>1700</v>
      </c>
      <c r="F456" s="497">
        <v>0</v>
      </c>
      <c r="G456" s="497">
        <v>0</v>
      </c>
      <c r="H456" s="497">
        <v>1700</v>
      </c>
      <c r="I456" s="497">
        <f t="shared" si="34"/>
        <v>615</v>
      </c>
      <c r="J456" s="497">
        <v>0</v>
      </c>
      <c r="K456" s="497">
        <v>0</v>
      </c>
      <c r="L456" s="497">
        <v>615</v>
      </c>
      <c r="M456" s="956">
        <v>0.9668008048289739</v>
      </c>
      <c r="N456" s="653">
        <v>59.101500000000009</v>
      </c>
      <c r="O456" s="669" t="s">
        <v>3409</v>
      </c>
      <c r="P456" s="463" t="s">
        <v>1588</v>
      </c>
      <c r="Q456" s="852">
        <v>0</v>
      </c>
      <c r="R456" s="852">
        <v>0</v>
      </c>
      <c r="S456" s="852">
        <v>0</v>
      </c>
      <c r="T456" s="852">
        <v>0</v>
      </c>
      <c r="U456" s="463" t="s">
        <v>1062</v>
      </c>
      <c r="V456" s="466" t="s">
        <v>2220</v>
      </c>
      <c r="W456" s="653">
        <v>10512</v>
      </c>
      <c r="X456" s="463" t="s">
        <v>1532</v>
      </c>
      <c r="Y456" s="463" t="s">
        <v>1064</v>
      </c>
      <c r="Z456" s="480" t="s">
        <v>569</v>
      </c>
      <c r="AA456" s="463" t="s">
        <v>1534</v>
      </c>
      <c r="AB456" s="459" t="s">
        <v>1534</v>
      </c>
    </row>
    <row r="457" spans="1:28" ht="24" customHeight="1">
      <c r="A457" s="584"/>
      <c r="B457" s="460" t="s">
        <v>675</v>
      </c>
      <c r="C457" s="458" t="s">
        <v>1067</v>
      </c>
      <c r="D457" s="510" t="s">
        <v>1068</v>
      </c>
      <c r="E457" s="497">
        <f t="shared" si="33"/>
        <v>90</v>
      </c>
      <c r="F457" s="497">
        <v>0</v>
      </c>
      <c r="G457" s="497">
        <v>0</v>
      </c>
      <c r="H457" s="497">
        <v>90</v>
      </c>
      <c r="I457" s="497">
        <f t="shared" si="34"/>
        <v>0</v>
      </c>
      <c r="J457" s="497">
        <v>0</v>
      </c>
      <c r="K457" s="497">
        <v>0</v>
      </c>
      <c r="L457" s="497">
        <v>0</v>
      </c>
      <c r="M457" s="956">
        <v>0</v>
      </c>
      <c r="N457" s="653" t="s">
        <v>7641</v>
      </c>
      <c r="O457" s="723" t="s">
        <v>1070</v>
      </c>
      <c r="P457" s="480" t="s">
        <v>1588</v>
      </c>
      <c r="Q457" s="853">
        <v>0</v>
      </c>
      <c r="R457" s="852">
        <v>0</v>
      </c>
      <c r="S457" s="852">
        <v>0</v>
      </c>
      <c r="T457" s="852">
        <v>0</v>
      </c>
      <c r="U457" s="463" t="s">
        <v>1071</v>
      </c>
      <c r="V457" s="466" t="s">
        <v>1072</v>
      </c>
      <c r="W457" s="653">
        <v>500</v>
      </c>
      <c r="X457" s="463" t="s">
        <v>1532</v>
      </c>
      <c r="Y457" s="463" t="s">
        <v>1533</v>
      </c>
      <c r="Z457" s="480" t="s">
        <v>569</v>
      </c>
      <c r="AA457" s="463" t="s">
        <v>1534</v>
      </c>
      <c r="AB457" s="459" t="s">
        <v>1534</v>
      </c>
    </row>
    <row r="458" spans="1:28" ht="24" customHeight="1">
      <c r="A458" s="584"/>
      <c r="B458" s="460" t="s">
        <v>675</v>
      </c>
      <c r="C458" s="458" t="s">
        <v>1073</v>
      </c>
      <c r="D458" s="510" t="s">
        <v>1074</v>
      </c>
      <c r="E458" s="497">
        <f t="shared" si="33"/>
        <v>200</v>
      </c>
      <c r="F458" s="497">
        <v>0</v>
      </c>
      <c r="G458" s="497">
        <v>0</v>
      </c>
      <c r="H458" s="497">
        <v>200</v>
      </c>
      <c r="I458" s="497">
        <f t="shared" si="34"/>
        <v>186</v>
      </c>
      <c r="J458" s="497">
        <v>0</v>
      </c>
      <c r="K458" s="497">
        <v>0</v>
      </c>
      <c r="L458" s="497">
        <v>186</v>
      </c>
      <c r="M458" s="956">
        <v>0.95099999999999996</v>
      </c>
      <c r="N458" s="653">
        <v>16.7</v>
      </c>
      <c r="O458" s="669" t="s">
        <v>1075</v>
      </c>
      <c r="P458" s="463" t="s">
        <v>1588</v>
      </c>
      <c r="Q458" s="852">
        <v>0</v>
      </c>
      <c r="R458" s="852">
        <v>0</v>
      </c>
      <c r="S458" s="852">
        <v>0</v>
      </c>
      <c r="T458" s="852">
        <v>0</v>
      </c>
      <c r="U458" s="463" t="s">
        <v>1071</v>
      </c>
      <c r="V458" s="466" t="s">
        <v>1076</v>
      </c>
      <c r="W458" s="653">
        <v>400</v>
      </c>
      <c r="X458" s="463" t="s">
        <v>1532</v>
      </c>
      <c r="Y458" s="463" t="s">
        <v>1533</v>
      </c>
      <c r="Z458" s="480" t="s">
        <v>1904</v>
      </c>
      <c r="AA458" s="463" t="s">
        <v>1534</v>
      </c>
      <c r="AB458" s="459" t="s">
        <v>1534</v>
      </c>
    </row>
    <row r="459" spans="1:28" ht="24" customHeight="1">
      <c r="A459" s="584"/>
      <c r="B459" s="460" t="s">
        <v>675</v>
      </c>
      <c r="C459" s="458" t="s">
        <v>1077</v>
      </c>
      <c r="D459" s="510" t="s">
        <v>1078</v>
      </c>
      <c r="E459" s="497">
        <f t="shared" si="33"/>
        <v>150</v>
      </c>
      <c r="F459" s="497">
        <v>0</v>
      </c>
      <c r="G459" s="497">
        <v>150</v>
      </c>
      <c r="H459" s="497">
        <v>0</v>
      </c>
      <c r="I459" s="497">
        <f t="shared" si="34"/>
        <v>145</v>
      </c>
      <c r="J459" s="497">
        <v>0</v>
      </c>
      <c r="K459" s="497">
        <v>145</v>
      </c>
      <c r="L459" s="497">
        <v>0</v>
      </c>
      <c r="M459" s="956">
        <v>0.93400000000000005</v>
      </c>
      <c r="N459" s="653">
        <v>10.1</v>
      </c>
      <c r="O459" s="669" t="s">
        <v>1079</v>
      </c>
      <c r="P459" s="463" t="s">
        <v>1588</v>
      </c>
      <c r="Q459" s="852">
        <v>0</v>
      </c>
      <c r="R459" s="852">
        <v>0</v>
      </c>
      <c r="S459" s="852">
        <v>0</v>
      </c>
      <c r="T459" s="852">
        <v>0</v>
      </c>
      <c r="U459" s="463" t="s">
        <v>1071</v>
      </c>
      <c r="V459" s="466" t="s">
        <v>1080</v>
      </c>
      <c r="W459" s="653">
        <v>250</v>
      </c>
      <c r="X459" s="463" t="s">
        <v>1532</v>
      </c>
      <c r="Y459" s="463" t="s">
        <v>1533</v>
      </c>
      <c r="Z459" s="480" t="s">
        <v>578</v>
      </c>
      <c r="AA459" s="463" t="s">
        <v>1534</v>
      </c>
      <c r="AB459" s="459" t="s">
        <v>1534</v>
      </c>
    </row>
    <row r="460" spans="1:28" ht="24" customHeight="1">
      <c r="A460" s="584"/>
      <c r="B460" s="460" t="s">
        <v>675</v>
      </c>
      <c r="C460" s="458" t="s">
        <v>1081</v>
      </c>
      <c r="D460" s="510" t="s">
        <v>1082</v>
      </c>
      <c r="E460" s="497">
        <f t="shared" si="33"/>
        <v>200</v>
      </c>
      <c r="F460" s="497">
        <v>0</v>
      </c>
      <c r="G460" s="497">
        <v>0</v>
      </c>
      <c r="H460" s="497">
        <v>200</v>
      </c>
      <c r="I460" s="497">
        <f t="shared" si="34"/>
        <v>168</v>
      </c>
      <c r="J460" s="497">
        <v>0</v>
      </c>
      <c r="K460" s="497">
        <v>0</v>
      </c>
      <c r="L460" s="497">
        <v>168</v>
      </c>
      <c r="M460" s="956">
        <v>0.95200000000000007</v>
      </c>
      <c r="N460" s="653">
        <v>14.7</v>
      </c>
      <c r="O460" s="669" t="s">
        <v>1070</v>
      </c>
      <c r="P460" s="463" t="s">
        <v>1588</v>
      </c>
      <c r="Q460" s="852">
        <v>0</v>
      </c>
      <c r="R460" s="852">
        <v>0</v>
      </c>
      <c r="S460" s="852">
        <v>0</v>
      </c>
      <c r="T460" s="852">
        <v>0</v>
      </c>
      <c r="U460" s="463" t="s">
        <v>1071</v>
      </c>
      <c r="V460" s="466" t="s">
        <v>1083</v>
      </c>
      <c r="W460" s="653">
        <v>780</v>
      </c>
      <c r="X460" s="463" t="s">
        <v>1532</v>
      </c>
      <c r="Y460" s="463" t="s">
        <v>1533</v>
      </c>
      <c r="Z460" s="480" t="s">
        <v>569</v>
      </c>
      <c r="AA460" s="463" t="s">
        <v>1534</v>
      </c>
      <c r="AB460" s="459" t="s">
        <v>1534</v>
      </c>
    </row>
    <row r="461" spans="1:28" ht="24" customHeight="1">
      <c r="A461" s="584"/>
      <c r="B461" s="460" t="s">
        <v>675</v>
      </c>
      <c r="C461" s="458" t="s">
        <v>1084</v>
      </c>
      <c r="D461" s="510" t="s">
        <v>1085</v>
      </c>
      <c r="E461" s="497">
        <f t="shared" si="33"/>
        <v>240</v>
      </c>
      <c r="F461" s="497">
        <v>0</v>
      </c>
      <c r="G461" s="497">
        <v>240</v>
      </c>
      <c r="H461" s="497">
        <v>0</v>
      </c>
      <c r="I461" s="497">
        <f t="shared" si="34"/>
        <v>189</v>
      </c>
      <c r="J461" s="497">
        <v>0</v>
      </c>
      <c r="K461" s="497">
        <v>189</v>
      </c>
      <c r="L461" s="497">
        <v>0</v>
      </c>
      <c r="M461" s="956">
        <v>0.93700000000000006</v>
      </c>
      <c r="N461" s="653">
        <v>15.8</v>
      </c>
      <c r="O461" s="669" t="s">
        <v>1079</v>
      </c>
      <c r="P461" s="463" t="s">
        <v>1588</v>
      </c>
      <c r="Q461" s="852">
        <v>0</v>
      </c>
      <c r="R461" s="852">
        <v>0</v>
      </c>
      <c r="S461" s="852">
        <v>0</v>
      </c>
      <c r="T461" s="852">
        <v>0</v>
      </c>
      <c r="U461" s="463" t="s">
        <v>1071</v>
      </c>
      <c r="V461" s="466" t="s">
        <v>1086</v>
      </c>
      <c r="W461" s="653">
        <v>480</v>
      </c>
      <c r="X461" s="463" t="s">
        <v>1532</v>
      </c>
      <c r="Y461" s="463" t="s">
        <v>1533</v>
      </c>
      <c r="Z461" s="480" t="s">
        <v>2265</v>
      </c>
      <c r="AA461" s="463" t="s">
        <v>1534</v>
      </c>
      <c r="AB461" s="459" t="s">
        <v>1534</v>
      </c>
    </row>
    <row r="462" spans="1:28" ht="24" customHeight="1">
      <c r="A462" s="584"/>
      <c r="B462" s="460" t="s">
        <v>675</v>
      </c>
      <c r="C462" s="458" t="s">
        <v>3612</v>
      </c>
      <c r="D462" s="510" t="s">
        <v>1087</v>
      </c>
      <c r="E462" s="497">
        <f t="shared" si="33"/>
        <v>50</v>
      </c>
      <c r="F462" s="497">
        <v>0</v>
      </c>
      <c r="G462" s="497">
        <v>50</v>
      </c>
      <c r="H462" s="497">
        <v>0</v>
      </c>
      <c r="I462" s="497">
        <f t="shared" si="34"/>
        <v>44</v>
      </c>
      <c r="J462" s="497">
        <v>0</v>
      </c>
      <c r="K462" s="497">
        <v>44</v>
      </c>
      <c r="L462" s="497">
        <v>0</v>
      </c>
      <c r="M462" s="956">
        <v>0.96299999999999997</v>
      </c>
      <c r="N462" s="653">
        <v>3.9</v>
      </c>
      <c r="O462" s="669" t="s">
        <v>1088</v>
      </c>
      <c r="P462" s="463" t="s">
        <v>1588</v>
      </c>
      <c r="Q462" s="852">
        <v>0</v>
      </c>
      <c r="R462" s="852">
        <v>0</v>
      </c>
      <c r="S462" s="852">
        <v>0</v>
      </c>
      <c r="T462" s="852">
        <v>0</v>
      </c>
      <c r="U462" s="463" t="s">
        <v>1071</v>
      </c>
      <c r="V462" s="466" t="s">
        <v>1089</v>
      </c>
      <c r="W462" s="653">
        <v>335</v>
      </c>
      <c r="X462" s="463" t="s">
        <v>1532</v>
      </c>
      <c r="Y462" s="463" t="s">
        <v>1533</v>
      </c>
      <c r="Z462" s="480" t="s">
        <v>2265</v>
      </c>
      <c r="AA462" s="463" t="s">
        <v>1534</v>
      </c>
      <c r="AB462" s="459" t="s">
        <v>1534</v>
      </c>
    </row>
    <row r="463" spans="1:28" ht="24" customHeight="1">
      <c r="A463" s="584"/>
      <c r="B463" s="460" t="s">
        <v>675</v>
      </c>
      <c r="C463" s="458" t="s">
        <v>1090</v>
      </c>
      <c r="D463" s="510" t="s">
        <v>1091</v>
      </c>
      <c r="E463" s="497">
        <f t="shared" si="33"/>
        <v>100</v>
      </c>
      <c r="F463" s="497">
        <v>0</v>
      </c>
      <c r="G463" s="497">
        <v>100</v>
      </c>
      <c r="H463" s="497">
        <v>0</v>
      </c>
      <c r="I463" s="497">
        <f t="shared" si="34"/>
        <v>65</v>
      </c>
      <c r="J463" s="497">
        <v>0</v>
      </c>
      <c r="K463" s="497">
        <v>65</v>
      </c>
      <c r="L463" s="497">
        <v>0</v>
      </c>
      <c r="M463" s="956">
        <v>0.92900000000000005</v>
      </c>
      <c r="N463" s="653">
        <v>3</v>
      </c>
      <c r="O463" s="669" t="s">
        <v>1092</v>
      </c>
      <c r="P463" s="463" t="s">
        <v>1588</v>
      </c>
      <c r="Q463" s="852">
        <v>0</v>
      </c>
      <c r="R463" s="852">
        <v>0</v>
      </c>
      <c r="S463" s="852">
        <v>0</v>
      </c>
      <c r="T463" s="852">
        <v>0</v>
      </c>
      <c r="U463" s="463" t="s">
        <v>1071</v>
      </c>
      <c r="V463" s="466" t="s">
        <v>1089</v>
      </c>
      <c r="W463" s="653">
        <v>226</v>
      </c>
      <c r="X463" s="463" t="s">
        <v>1532</v>
      </c>
      <c r="Y463" s="463" t="s">
        <v>1533</v>
      </c>
      <c r="Z463" s="480" t="s">
        <v>569</v>
      </c>
      <c r="AA463" s="463" t="s">
        <v>1534</v>
      </c>
      <c r="AB463" s="459" t="s">
        <v>1534</v>
      </c>
    </row>
    <row r="464" spans="1:28" ht="24" customHeight="1">
      <c r="A464" s="584"/>
      <c r="B464" s="460" t="s">
        <v>675</v>
      </c>
      <c r="C464" s="458" t="s">
        <v>1093</v>
      </c>
      <c r="D464" s="510" t="s">
        <v>1094</v>
      </c>
      <c r="E464" s="497">
        <f t="shared" si="33"/>
        <v>60</v>
      </c>
      <c r="F464" s="497">
        <v>0</v>
      </c>
      <c r="G464" s="497">
        <v>0</v>
      </c>
      <c r="H464" s="497">
        <v>60</v>
      </c>
      <c r="I464" s="497">
        <f t="shared" si="34"/>
        <v>45</v>
      </c>
      <c r="J464" s="497">
        <v>0</v>
      </c>
      <c r="K464" s="497">
        <v>0</v>
      </c>
      <c r="L464" s="497">
        <v>45</v>
      </c>
      <c r="M464" s="956">
        <v>0.95799999999999996</v>
      </c>
      <c r="N464" s="653">
        <v>3.6</v>
      </c>
      <c r="O464" s="669" t="s">
        <v>1075</v>
      </c>
      <c r="P464" s="463" t="s">
        <v>1588</v>
      </c>
      <c r="Q464" s="852">
        <v>0</v>
      </c>
      <c r="R464" s="852">
        <v>0</v>
      </c>
      <c r="S464" s="852">
        <v>0</v>
      </c>
      <c r="T464" s="852">
        <v>0</v>
      </c>
      <c r="U464" s="463" t="s">
        <v>1071</v>
      </c>
      <c r="V464" s="466" t="s">
        <v>1095</v>
      </c>
      <c r="W464" s="653">
        <v>372</v>
      </c>
      <c r="X464" s="463" t="s">
        <v>1532</v>
      </c>
      <c r="Y464" s="463" t="s">
        <v>1533</v>
      </c>
      <c r="Z464" s="480" t="s">
        <v>569</v>
      </c>
      <c r="AA464" s="463" t="s">
        <v>1534</v>
      </c>
      <c r="AB464" s="459" t="s">
        <v>1534</v>
      </c>
    </row>
    <row r="465" spans="1:28" ht="24" customHeight="1">
      <c r="A465" s="582" t="s">
        <v>1609</v>
      </c>
      <c r="B465" s="460" t="s">
        <v>2201</v>
      </c>
      <c r="C465" s="458" t="s">
        <v>336</v>
      </c>
      <c r="D465" s="510" t="s">
        <v>1096</v>
      </c>
      <c r="E465" s="497">
        <v>2500</v>
      </c>
      <c r="F465" s="497">
        <v>0</v>
      </c>
      <c r="G465" s="497">
        <v>0</v>
      </c>
      <c r="H465" s="497">
        <v>2500</v>
      </c>
      <c r="I465" s="497">
        <f t="shared" si="34"/>
        <v>1940</v>
      </c>
      <c r="J465" s="497">
        <v>0</v>
      </c>
      <c r="K465" s="497">
        <v>0</v>
      </c>
      <c r="L465" s="497">
        <v>1940</v>
      </c>
      <c r="M465" s="956">
        <v>0.82160804020100497</v>
      </c>
      <c r="N465" s="653">
        <v>63.437999999999995</v>
      </c>
      <c r="O465" s="669" t="s">
        <v>1097</v>
      </c>
      <c r="P465" s="463" t="s">
        <v>1588</v>
      </c>
      <c r="Q465" s="852">
        <v>0</v>
      </c>
      <c r="R465" s="852">
        <v>0</v>
      </c>
      <c r="S465" s="852">
        <v>0</v>
      </c>
      <c r="T465" s="852">
        <v>0</v>
      </c>
      <c r="U465" s="463" t="s">
        <v>1098</v>
      </c>
      <c r="V465" s="519" t="s">
        <v>1099</v>
      </c>
      <c r="W465" s="653">
        <v>12188</v>
      </c>
      <c r="X465" s="463" t="s">
        <v>1532</v>
      </c>
      <c r="Y465" s="463" t="s">
        <v>3161</v>
      </c>
      <c r="Z465" s="463"/>
      <c r="AA465" s="463" t="s">
        <v>1904</v>
      </c>
      <c r="AB465" s="459" t="s">
        <v>1537</v>
      </c>
    </row>
    <row r="466" spans="1:28" ht="24" customHeight="1">
      <c r="A466" s="584"/>
      <c r="B466" s="460" t="s">
        <v>675</v>
      </c>
      <c r="C466" s="458" t="s">
        <v>1100</v>
      </c>
      <c r="D466" s="510" t="s">
        <v>1101</v>
      </c>
      <c r="E466" s="497">
        <f>F466+G466+H466</f>
        <v>200</v>
      </c>
      <c r="F466" s="497">
        <v>0</v>
      </c>
      <c r="G466" s="497">
        <v>200</v>
      </c>
      <c r="H466" s="497">
        <v>0</v>
      </c>
      <c r="I466" s="497">
        <f t="shared" si="34"/>
        <v>200</v>
      </c>
      <c r="J466" s="497">
        <v>0</v>
      </c>
      <c r="K466" s="497">
        <v>200</v>
      </c>
      <c r="L466" s="497">
        <v>0</v>
      </c>
      <c r="M466" s="956">
        <v>0.94799999999999995</v>
      </c>
      <c r="N466" s="653">
        <v>8.1</v>
      </c>
      <c r="O466" s="669" t="s">
        <v>3221</v>
      </c>
      <c r="P466" s="463" t="s">
        <v>1588</v>
      </c>
      <c r="Q466" s="852">
        <v>0</v>
      </c>
      <c r="R466" s="852">
        <v>0</v>
      </c>
      <c r="S466" s="852">
        <v>0</v>
      </c>
      <c r="T466" s="852">
        <v>0</v>
      </c>
      <c r="U466" s="463" t="s">
        <v>1098</v>
      </c>
      <c r="V466" s="520">
        <v>1997.9</v>
      </c>
      <c r="W466" s="653">
        <v>450</v>
      </c>
      <c r="X466" s="463" t="s">
        <v>1532</v>
      </c>
      <c r="Y466" s="463" t="s">
        <v>3232</v>
      </c>
      <c r="Z466" s="463"/>
      <c r="AA466" s="463" t="s">
        <v>578</v>
      </c>
      <c r="AB466" s="459" t="s">
        <v>1537</v>
      </c>
    </row>
    <row r="467" spans="1:28" ht="24" customHeight="1">
      <c r="A467" s="584"/>
      <c r="B467" s="460" t="s">
        <v>2201</v>
      </c>
      <c r="C467" s="458" t="s">
        <v>337</v>
      </c>
      <c r="D467" s="510" t="s">
        <v>1102</v>
      </c>
      <c r="E467" s="497">
        <f>F467+G467+H467</f>
        <v>5000</v>
      </c>
      <c r="F467" s="497">
        <v>0</v>
      </c>
      <c r="G467" s="497">
        <v>0</v>
      </c>
      <c r="H467" s="497">
        <v>5000</v>
      </c>
      <c r="I467" s="497">
        <f t="shared" si="34"/>
        <v>1740</v>
      </c>
      <c r="J467" s="497">
        <v>0</v>
      </c>
      <c r="K467" s="497">
        <v>0</v>
      </c>
      <c r="L467" s="497">
        <v>1740</v>
      </c>
      <c r="M467" s="956">
        <v>0.93404064315850954</v>
      </c>
      <c r="N467" s="653">
        <v>88.104635605821045</v>
      </c>
      <c r="O467" s="669" t="s">
        <v>1097</v>
      </c>
      <c r="P467" s="463" t="s">
        <v>1588</v>
      </c>
      <c r="Q467" s="852">
        <v>0</v>
      </c>
      <c r="R467" s="852">
        <v>0</v>
      </c>
      <c r="S467" s="852">
        <v>0</v>
      </c>
      <c r="T467" s="852">
        <v>0</v>
      </c>
      <c r="U467" s="463" t="s">
        <v>1103</v>
      </c>
      <c r="V467" s="519" t="s">
        <v>1104</v>
      </c>
      <c r="W467" s="653">
        <v>20013</v>
      </c>
      <c r="X467" s="463" t="s">
        <v>1532</v>
      </c>
      <c r="Y467" s="463" t="s">
        <v>3161</v>
      </c>
      <c r="Z467" s="463"/>
      <c r="AA467" s="463" t="s">
        <v>1105</v>
      </c>
      <c r="AB467" s="459" t="s">
        <v>1537</v>
      </c>
    </row>
    <row r="468" spans="1:28" ht="24" customHeight="1">
      <c r="A468" s="584"/>
      <c r="B468" s="460" t="s">
        <v>675</v>
      </c>
      <c r="C468" s="458" t="s">
        <v>1106</v>
      </c>
      <c r="D468" s="510" t="s">
        <v>1107</v>
      </c>
      <c r="E468" s="497">
        <f>F468+G468+H468</f>
        <v>200</v>
      </c>
      <c r="F468" s="497">
        <v>0</v>
      </c>
      <c r="G468" s="497">
        <v>200</v>
      </c>
      <c r="H468" s="497">
        <v>0</v>
      </c>
      <c r="I468" s="497">
        <f t="shared" ref="I468:I476" si="35">SUM(J468:L468)</f>
        <v>200</v>
      </c>
      <c r="J468" s="497">
        <v>0</v>
      </c>
      <c r="K468" s="497">
        <v>200</v>
      </c>
      <c r="L468" s="497">
        <v>0</v>
      </c>
      <c r="M468" s="956">
        <v>0.89500000000000002</v>
      </c>
      <c r="N468" s="653">
        <v>7.5</v>
      </c>
      <c r="O468" s="669" t="s">
        <v>3221</v>
      </c>
      <c r="P468" s="463" t="s">
        <v>1588</v>
      </c>
      <c r="Q468" s="852">
        <v>0</v>
      </c>
      <c r="R468" s="852">
        <v>0</v>
      </c>
      <c r="S468" s="852">
        <v>0</v>
      </c>
      <c r="T468" s="852">
        <v>0</v>
      </c>
      <c r="U468" s="463" t="s">
        <v>1098</v>
      </c>
      <c r="V468" s="520">
        <v>1999.6</v>
      </c>
      <c r="W468" s="653">
        <v>550</v>
      </c>
      <c r="X468" s="463" t="s">
        <v>1532</v>
      </c>
      <c r="Y468" s="463" t="s">
        <v>3232</v>
      </c>
      <c r="Z468" s="463"/>
      <c r="AA468" s="463" t="s">
        <v>1108</v>
      </c>
      <c r="AB468" s="459" t="s">
        <v>1537</v>
      </c>
    </row>
    <row r="469" spans="1:28" ht="24" customHeight="1">
      <c r="A469" s="584"/>
      <c r="B469" s="460" t="s">
        <v>675</v>
      </c>
      <c r="C469" s="458" t="s">
        <v>2013</v>
      </c>
      <c r="D469" s="510" t="s">
        <v>1109</v>
      </c>
      <c r="E469" s="497">
        <f>F469+G469+H469</f>
        <v>100</v>
      </c>
      <c r="F469" s="497">
        <v>0</v>
      </c>
      <c r="G469" s="497">
        <v>100</v>
      </c>
      <c r="H469" s="497">
        <v>0</v>
      </c>
      <c r="I469" s="497">
        <f t="shared" si="35"/>
        <v>0</v>
      </c>
      <c r="J469" s="497">
        <v>0</v>
      </c>
      <c r="K469" s="497">
        <v>0</v>
      </c>
      <c r="L469" s="497">
        <v>0</v>
      </c>
      <c r="M469" s="964"/>
      <c r="N469" s="653" t="s">
        <v>1991</v>
      </c>
      <c r="O469" s="669" t="s">
        <v>1110</v>
      </c>
      <c r="P469" s="463" t="s">
        <v>1588</v>
      </c>
      <c r="Q469" s="852">
        <v>0</v>
      </c>
      <c r="R469" s="852">
        <v>0</v>
      </c>
      <c r="S469" s="852">
        <v>0</v>
      </c>
      <c r="T469" s="852">
        <v>0</v>
      </c>
      <c r="U469" s="463" t="s">
        <v>1098</v>
      </c>
      <c r="V469" s="520">
        <v>1992.12</v>
      </c>
      <c r="W469" s="653">
        <v>200</v>
      </c>
      <c r="X469" s="463" t="s">
        <v>1532</v>
      </c>
      <c r="Y469" s="463" t="s">
        <v>3232</v>
      </c>
      <c r="Z469" s="463"/>
      <c r="AA469" s="463" t="s">
        <v>1105</v>
      </c>
      <c r="AB469" s="459" t="s">
        <v>1537</v>
      </c>
    </row>
    <row r="470" spans="1:28" ht="24" customHeight="1">
      <c r="A470" s="584"/>
      <c r="B470" s="460" t="s">
        <v>675</v>
      </c>
      <c r="C470" s="458" t="s">
        <v>1111</v>
      </c>
      <c r="D470" s="510" t="s">
        <v>1112</v>
      </c>
      <c r="E470" s="497">
        <v>300</v>
      </c>
      <c r="F470" s="497">
        <v>0</v>
      </c>
      <c r="G470" s="497">
        <v>300</v>
      </c>
      <c r="H470" s="497">
        <v>0</v>
      </c>
      <c r="I470" s="497">
        <f t="shared" si="35"/>
        <v>300</v>
      </c>
      <c r="J470" s="497">
        <v>0</v>
      </c>
      <c r="K470" s="497">
        <v>300</v>
      </c>
      <c r="L470" s="497">
        <v>0</v>
      </c>
      <c r="M470" s="956">
        <v>0.93099999999999994</v>
      </c>
      <c r="N470" s="653">
        <v>16.3</v>
      </c>
      <c r="O470" s="669" t="s">
        <v>1113</v>
      </c>
      <c r="P470" s="463" t="s">
        <v>1588</v>
      </c>
      <c r="Q470" s="852">
        <v>0</v>
      </c>
      <c r="R470" s="852">
        <v>0</v>
      </c>
      <c r="S470" s="852">
        <v>0</v>
      </c>
      <c r="T470" s="852">
        <v>0</v>
      </c>
      <c r="U470" s="463" t="s">
        <v>1098</v>
      </c>
      <c r="V470" s="520">
        <v>1995.8</v>
      </c>
      <c r="W470" s="653">
        <v>285</v>
      </c>
      <c r="X470" s="463" t="s">
        <v>1532</v>
      </c>
      <c r="Y470" s="463" t="s">
        <v>3232</v>
      </c>
      <c r="Z470" s="463"/>
      <c r="AA470" s="463" t="s">
        <v>1108</v>
      </c>
      <c r="AB470" s="459" t="s">
        <v>1537</v>
      </c>
    </row>
    <row r="471" spans="1:28" ht="24" customHeight="1">
      <c r="A471" s="584"/>
      <c r="B471" s="460" t="s">
        <v>675</v>
      </c>
      <c r="C471" s="458" t="s">
        <v>1114</v>
      </c>
      <c r="D471" s="510" t="s">
        <v>1115</v>
      </c>
      <c r="E471" s="497">
        <f>F471+G471+H471</f>
        <v>200</v>
      </c>
      <c r="F471" s="497">
        <v>0</v>
      </c>
      <c r="G471" s="497">
        <v>200</v>
      </c>
      <c r="H471" s="497">
        <v>0</v>
      </c>
      <c r="I471" s="497">
        <f t="shared" si="35"/>
        <v>200</v>
      </c>
      <c r="J471" s="497">
        <v>0</v>
      </c>
      <c r="K471" s="497">
        <v>200</v>
      </c>
      <c r="L471" s="497">
        <v>0</v>
      </c>
      <c r="M471" s="956">
        <v>0.93900000000000006</v>
      </c>
      <c r="N471" s="653">
        <v>13</v>
      </c>
      <c r="O471" s="669" t="s">
        <v>1116</v>
      </c>
      <c r="P471" s="463" t="s">
        <v>1588</v>
      </c>
      <c r="Q471" s="852">
        <v>0</v>
      </c>
      <c r="R471" s="852">
        <v>0</v>
      </c>
      <c r="S471" s="852">
        <v>0</v>
      </c>
      <c r="T471" s="852">
        <v>0</v>
      </c>
      <c r="U471" s="463" t="s">
        <v>1098</v>
      </c>
      <c r="V471" s="520">
        <v>1994.12</v>
      </c>
      <c r="W471" s="653">
        <v>360</v>
      </c>
      <c r="X471" s="463" t="s">
        <v>1532</v>
      </c>
      <c r="Y471" s="463" t="s">
        <v>3232</v>
      </c>
      <c r="Z471" s="463"/>
      <c r="AA471" s="463" t="s">
        <v>1117</v>
      </c>
      <c r="AB471" s="459" t="s">
        <v>1537</v>
      </c>
    </row>
    <row r="472" spans="1:28" ht="24" customHeight="1">
      <c r="A472" s="584"/>
      <c r="B472" s="460" t="s">
        <v>675</v>
      </c>
      <c r="C472" s="458" t="s">
        <v>2070</v>
      </c>
      <c r="D472" s="510" t="s">
        <v>1118</v>
      </c>
      <c r="E472" s="497">
        <f>F472+G472+H472</f>
        <v>100</v>
      </c>
      <c r="F472" s="497">
        <v>0</v>
      </c>
      <c r="G472" s="497">
        <v>100</v>
      </c>
      <c r="H472" s="497">
        <v>0</v>
      </c>
      <c r="I472" s="497">
        <f t="shared" si="35"/>
        <v>100</v>
      </c>
      <c r="J472" s="497">
        <v>0</v>
      </c>
      <c r="K472" s="497">
        <v>100</v>
      </c>
      <c r="L472" s="497">
        <v>0</v>
      </c>
      <c r="M472" s="956">
        <v>0.93500000000000005</v>
      </c>
      <c r="N472" s="653">
        <v>5.9</v>
      </c>
      <c r="O472" s="669" t="s">
        <v>3221</v>
      </c>
      <c r="P472" s="463" t="s">
        <v>1588</v>
      </c>
      <c r="Q472" s="852">
        <v>0</v>
      </c>
      <c r="R472" s="852">
        <v>0</v>
      </c>
      <c r="S472" s="852">
        <v>0</v>
      </c>
      <c r="T472" s="852">
        <v>0</v>
      </c>
      <c r="U472" s="463" t="s">
        <v>1098</v>
      </c>
      <c r="V472" s="520">
        <v>1994.1</v>
      </c>
      <c r="W472" s="653">
        <v>287</v>
      </c>
      <c r="X472" s="463" t="s">
        <v>1532</v>
      </c>
      <c r="Y472" s="463" t="s">
        <v>3232</v>
      </c>
      <c r="Z472" s="463"/>
      <c r="AA472" s="463" t="s">
        <v>1119</v>
      </c>
      <c r="AB472" s="459" t="s">
        <v>1537</v>
      </c>
    </row>
    <row r="473" spans="1:28" ht="24" customHeight="1">
      <c r="A473" s="582" t="s">
        <v>1610</v>
      </c>
      <c r="B473" s="460" t="s">
        <v>2201</v>
      </c>
      <c r="C473" s="458" t="s">
        <v>2031</v>
      </c>
      <c r="D473" s="510" t="s">
        <v>1120</v>
      </c>
      <c r="E473" s="497">
        <f t="shared" ref="E473:E482" si="36">F473+G473+H473</f>
        <v>9000</v>
      </c>
      <c r="F473" s="497">
        <v>0</v>
      </c>
      <c r="G473" s="497">
        <v>0</v>
      </c>
      <c r="H473" s="497">
        <v>9000</v>
      </c>
      <c r="I473" s="497">
        <f t="shared" si="35"/>
        <v>4150</v>
      </c>
      <c r="J473" s="497">
        <v>0</v>
      </c>
      <c r="K473" s="497">
        <v>0</v>
      </c>
      <c r="L473" s="497">
        <v>4150</v>
      </c>
      <c r="M473" s="956">
        <v>0.95624355836911645</v>
      </c>
      <c r="N473" s="653">
        <v>335.85148141780331</v>
      </c>
      <c r="O473" s="669" t="s">
        <v>3347</v>
      </c>
      <c r="P473" s="463" t="s">
        <v>1588</v>
      </c>
      <c r="Q473" s="852">
        <v>50</v>
      </c>
      <c r="R473" s="852">
        <v>0</v>
      </c>
      <c r="S473" s="852">
        <v>0</v>
      </c>
      <c r="T473" s="852">
        <v>0</v>
      </c>
      <c r="U473" s="463" t="s">
        <v>2266</v>
      </c>
      <c r="V473" s="466" t="s">
        <v>1121</v>
      </c>
      <c r="W473" s="653">
        <v>22392</v>
      </c>
      <c r="X473" s="463" t="s">
        <v>2193</v>
      </c>
      <c r="Y473" s="463" t="s">
        <v>3336</v>
      </c>
      <c r="Z473" s="463" t="s">
        <v>1602</v>
      </c>
      <c r="AA473" s="463" t="s">
        <v>1915</v>
      </c>
      <c r="AB473" s="459" t="s">
        <v>1587</v>
      </c>
    </row>
    <row r="474" spans="1:28" ht="24" customHeight="1">
      <c r="A474" s="584"/>
      <c r="B474" s="460" t="s">
        <v>2201</v>
      </c>
      <c r="C474" s="458" t="s">
        <v>2179</v>
      </c>
      <c r="D474" s="510" t="s">
        <v>1122</v>
      </c>
      <c r="E474" s="497">
        <f t="shared" si="36"/>
        <v>600</v>
      </c>
      <c r="F474" s="497">
        <v>0</v>
      </c>
      <c r="G474" s="497">
        <v>0</v>
      </c>
      <c r="H474" s="497">
        <v>600</v>
      </c>
      <c r="I474" s="497">
        <f t="shared" si="35"/>
        <v>150</v>
      </c>
      <c r="J474" s="497">
        <v>0</v>
      </c>
      <c r="K474" s="497">
        <v>0</v>
      </c>
      <c r="L474" s="497">
        <v>150</v>
      </c>
      <c r="M474" s="956">
        <v>0.92332268370607029</v>
      </c>
      <c r="N474" s="653">
        <v>8.67</v>
      </c>
      <c r="O474" s="669" t="s">
        <v>3409</v>
      </c>
      <c r="P474" s="463" t="s">
        <v>1588</v>
      </c>
      <c r="Q474" s="852">
        <v>0</v>
      </c>
      <c r="R474" s="852">
        <v>0</v>
      </c>
      <c r="S474" s="852">
        <v>0</v>
      </c>
      <c r="T474" s="852">
        <v>0</v>
      </c>
      <c r="U474" s="463" t="s">
        <v>2266</v>
      </c>
      <c r="V474" s="466" t="s">
        <v>1123</v>
      </c>
      <c r="W474" s="653">
        <v>5018</v>
      </c>
      <c r="X474" s="463" t="s">
        <v>2193</v>
      </c>
      <c r="Y474" s="463" t="s">
        <v>3336</v>
      </c>
      <c r="Z474" s="463" t="s">
        <v>1124</v>
      </c>
      <c r="AA474" s="463" t="s">
        <v>1915</v>
      </c>
      <c r="AB474" s="459" t="s">
        <v>1587</v>
      </c>
    </row>
    <row r="475" spans="1:28" ht="24" customHeight="1">
      <c r="A475" s="584"/>
      <c r="B475" s="460" t="s">
        <v>675</v>
      </c>
      <c r="C475" s="458" t="s">
        <v>1125</v>
      </c>
      <c r="D475" s="510" t="s">
        <v>1126</v>
      </c>
      <c r="E475" s="497">
        <f t="shared" si="36"/>
        <v>50</v>
      </c>
      <c r="F475" s="497">
        <v>0</v>
      </c>
      <c r="G475" s="497">
        <v>50</v>
      </c>
      <c r="H475" s="497">
        <v>0</v>
      </c>
      <c r="I475" s="497">
        <f t="shared" si="35"/>
        <v>50</v>
      </c>
      <c r="J475" s="497">
        <v>0</v>
      </c>
      <c r="K475" s="497">
        <v>50</v>
      </c>
      <c r="L475" s="497">
        <v>0</v>
      </c>
      <c r="M475" s="957">
        <v>0.68</v>
      </c>
      <c r="N475" s="653">
        <v>1</v>
      </c>
      <c r="O475" s="669" t="s">
        <v>1127</v>
      </c>
      <c r="P475" s="463" t="s">
        <v>1588</v>
      </c>
      <c r="Q475" s="852">
        <v>0</v>
      </c>
      <c r="R475" s="852">
        <v>0</v>
      </c>
      <c r="S475" s="852">
        <v>0</v>
      </c>
      <c r="T475" s="852">
        <v>0</v>
      </c>
      <c r="U475" s="463" t="s">
        <v>2266</v>
      </c>
      <c r="V475" s="466" t="s">
        <v>1128</v>
      </c>
      <c r="W475" s="653">
        <v>131</v>
      </c>
      <c r="X475" s="463" t="s">
        <v>2193</v>
      </c>
      <c r="Y475" s="463" t="s">
        <v>1533</v>
      </c>
      <c r="Z475" s="463" t="s">
        <v>1129</v>
      </c>
      <c r="AA475" s="463" t="s">
        <v>1130</v>
      </c>
      <c r="AB475" s="459" t="s">
        <v>1587</v>
      </c>
    </row>
    <row r="476" spans="1:28" ht="24" customHeight="1">
      <c r="A476" s="584"/>
      <c r="B476" s="460" t="s">
        <v>675</v>
      </c>
      <c r="C476" s="458" t="s">
        <v>1131</v>
      </c>
      <c r="D476" s="510" t="s">
        <v>1132</v>
      </c>
      <c r="E476" s="497">
        <f t="shared" si="36"/>
        <v>60</v>
      </c>
      <c r="F476" s="497">
        <v>0</v>
      </c>
      <c r="G476" s="497">
        <v>60</v>
      </c>
      <c r="H476" s="497">
        <v>0</v>
      </c>
      <c r="I476" s="497">
        <f t="shared" si="35"/>
        <v>28</v>
      </c>
      <c r="J476" s="497">
        <v>0</v>
      </c>
      <c r="K476" s="497">
        <v>28</v>
      </c>
      <c r="L476" s="497">
        <v>0</v>
      </c>
      <c r="M476" s="957">
        <v>0.83</v>
      </c>
      <c r="N476" s="653">
        <v>2</v>
      </c>
      <c r="O476" s="669" t="s">
        <v>3221</v>
      </c>
      <c r="P476" s="463" t="s">
        <v>1588</v>
      </c>
      <c r="Q476" s="852">
        <v>0</v>
      </c>
      <c r="R476" s="852">
        <v>0</v>
      </c>
      <c r="S476" s="852">
        <v>0</v>
      </c>
      <c r="T476" s="852">
        <v>0</v>
      </c>
      <c r="U476" s="463" t="s">
        <v>1133</v>
      </c>
      <c r="V476" s="466" t="s">
        <v>1134</v>
      </c>
      <c r="W476" s="653">
        <v>170</v>
      </c>
      <c r="X476" s="463" t="s">
        <v>2193</v>
      </c>
      <c r="Y476" s="463" t="s">
        <v>1533</v>
      </c>
      <c r="Z476" s="463"/>
      <c r="AA476" s="463" t="s">
        <v>1915</v>
      </c>
      <c r="AB476" s="459" t="s">
        <v>1587</v>
      </c>
    </row>
    <row r="477" spans="1:28" ht="24" customHeight="1">
      <c r="A477" s="595"/>
      <c r="B477" s="460" t="s">
        <v>675</v>
      </c>
      <c r="C477" s="458" t="s">
        <v>1135</v>
      </c>
      <c r="D477" s="510" t="s">
        <v>1136</v>
      </c>
      <c r="E477" s="497">
        <f t="shared" si="36"/>
        <v>90</v>
      </c>
      <c r="F477" s="497">
        <v>0</v>
      </c>
      <c r="G477" s="497">
        <v>0</v>
      </c>
      <c r="H477" s="497">
        <v>90</v>
      </c>
      <c r="I477" s="497">
        <f t="shared" ref="I477:I482" si="37">SUM(J477:L477)</f>
        <v>50</v>
      </c>
      <c r="J477" s="497">
        <v>0</v>
      </c>
      <c r="K477" s="497">
        <v>0</v>
      </c>
      <c r="L477" s="497">
        <v>50</v>
      </c>
      <c r="M477" s="957">
        <v>0.93</v>
      </c>
      <c r="N477" s="653">
        <v>4</v>
      </c>
      <c r="O477" s="669" t="s">
        <v>1137</v>
      </c>
      <c r="P477" s="463" t="s">
        <v>1588</v>
      </c>
      <c r="Q477" s="852">
        <v>0</v>
      </c>
      <c r="R477" s="852">
        <v>0</v>
      </c>
      <c r="S477" s="852">
        <v>0</v>
      </c>
      <c r="T477" s="852">
        <v>0</v>
      </c>
      <c r="U477" s="463" t="s">
        <v>2266</v>
      </c>
      <c r="V477" s="466" t="s">
        <v>1138</v>
      </c>
      <c r="W477" s="653">
        <v>1425</v>
      </c>
      <c r="X477" s="463" t="s">
        <v>2193</v>
      </c>
      <c r="Y477" s="463" t="s">
        <v>3336</v>
      </c>
      <c r="Z477" s="463"/>
      <c r="AA477" s="463" t="s">
        <v>1915</v>
      </c>
      <c r="AB477" s="459" t="s">
        <v>1587</v>
      </c>
    </row>
    <row r="478" spans="1:28" ht="24" customHeight="1">
      <c r="A478" s="584"/>
      <c r="B478" s="460" t="s">
        <v>675</v>
      </c>
      <c r="C478" s="458" t="s">
        <v>1139</v>
      </c>
      <c r="D478" s="510" t="s">
        <v>1140</v>
      </c>
      <c r="E478" s="497">
        <f t="shared" si="36"/>
        <v>30</v>
      </c>
      <c r="F478" s="497">
        <v>0</v>
      </c>
      <c r="G478" s="497">
        <v>30</v>
      </c>
      <c r="H478" s="497">
        <v>0</v>
      </c>
      <c r="I478" s="497">
        <f t="shared" si="37"/>
        <v>30</v>
      </c>
      <c r="J478" s="497">
        <v>0</v>
      </c>
      <c r="K478" s="497">
        <v>30</v>
      </c>
      <c r="L478" s="497">
        <v>0</v>
      </c>
      <c r="M478" s="957">
        <v>0.77</v>
      </c>
      <c r="N478" s="653">
        <v>1</v>
      </c>
      <c r="O478" s="669" t="s">
        <v>1127</v>
      </c>
      <c r="P478" s="463" t="s">
        <v>1588</v>
      </c>
      <c r="Q478" s="852">
        <v>0</v>
      </c>
      <c r="R478" s="852">
        <v>0</v>
      </c>
      <c r="S478" s="852">
        <v>0</v>
      </c>
      <c r="T478" s="852">
        <v>0</v>
      </c>
      <c r="U478" s="463" t="s">
        <v>2266</v>
      </c>
      <c r="V478" s="466" t="s">
        <v>1141</v>
      </c>
      <c r="W478" s="653">
        <v>126</v>
      </c>
      <c r="X478" s="463" t="s">
        <v>2193</v>
      </c>
      <c r="Y478" s="463" t="s">
        <v>1533</v>
      </c>
      <c r="Z478" s="463" t="s">
        <v>1142</v>
      </c>
      <c r="AA478" s="463" t="s">
        <v>1915</v>
      </c>
      <c r="AB478" s="459" t="s">
        <v>1587</v>
      </c>
    </row>
    <row r="479" spans="1:28" ht="24" customHeight="1">
      <c r="A479" s="584"/>
      <c r="B479" s="460" t="s">
        <v>675</v>
      </c>
      <c r="C479" s="458" t="s">
        <v>1143</v>
      </c>
      <c r="D479" s="510" t="s">
        <v>1144</v>
      </c>
      <c r="E479" s="497">
        <f t="shared" si="36"/>
        <v>100</v>
      </c>
      <c r="F479" s="497">
        <v>0</v>
      </c>
      <c r="G479" s="497">
        <v>100</v>
      </c>
      <c r="H479" s="497">
        <v>0</v>
      </c>
      <c r="I479" s="497">
        <f t="shared" si="37"/>
        <v>100</v>
      </c>
      <c r="J479" s="497">
        <v>0</v>
      </c>
      <c r="K479" s="497">
        <v>100</v>
      </c>
      <c r="L479" s="497">
        <v>0</v>
      </c>
      <c r="M479" s="957">
        <v>0.82</v>
      </c>
      <c r="N479" s="653">
        <v>6</v>
      </c>
      <c r="O479" s="669" t="s">
        <v>1145</v>
      </c>
      <c r="P479" s="463" t="s">
        <v>1588</v>
      </c>
      <c r="Q479" s="852">
        <v>0</v>
      </c>
      <c r="R479" s="852">
        <v>0</v>
      </c>
      <c r="S479" s="852">
        <v>0</v>
      </c>
      <c r="T479" s="852">
        <v>0</v>
      </c>
      <c r="U479" s="463" t="s">
        <v>2266</v>
      </c>
      <c r="V479" s="466" t="s">
        <v>1146</v>
      </c>
      <c r="W479" s="653">
        <v>327</v>
      </c>
      <c r="X479" s="463" t="s">
        <v>2193</v>
      </c>
      <c r="Y479" s="463" t="s">
        <v>1533</v>
      </c>
      <c r="Z479" s="463"/>
      <c r="AA479" s="463" t="s">
        <v>1915</v>
      </c>
      <c r="AB479" s="459" t="s">
        <v>1587</v>
      </c>
    </row>
    <row r="480" spans="1:28" ht="24" customHeight="1">
      <c r="A480" s="595"/>
      <c r="B480" s="460" t="s">
        <v>675</v>
      </c>
      <c r="C480" s="458" t="s">
        <v>1147</v>
      </c>
      <c r="D480" s="510" t="s">
        <v>1148</v>
      </c>
      <c r="E480" s="497">
        <f t="shared" si="36"/>
        <v>30</v>
      </c>
      <c r="F480" s="497">
        <v>0</v>
      </c>
      <c r="G480" s="497">
        <v>30</v>
      </c>
      <c r="H480" s="497">
        <v>0</v>
      </c>
      <c r="I480" s="497">
        <f t="shared" si="37"/>
        <v>30</v>
      </c>
      <c r="J480" s="497">
        <v>0</v>
      </c>
      <c r="K480" s="497">
        <v>30</v>
      </c>
      <c r="L480" s="497">
        <v>0</v>
      </c>
      <c r="M480" s="957">
        <v>0.76</v>
      </c>
      <c r="N480" s="653">
        <v>1</v>
      </c>
      <c r="O480" s="669" t="s">
        <v>1149</v>
      </c>
      <c r="P480" s="463" t="s">
        <v>1588</v>
      </c>
      <c r="Q480" s="852">
        <v>0</v>
      </c>
      <c r="R480" s="852">
        <v>0</v>
      </c>
      <c r="S480" s="852">
        <v>0</v>
      </c>
      <c r="T480" s="852">
        <v>0</v>
      </c>
      <c r="U480" s="463" t="s">
        <v>2266</v>
      </c>
      <c r="V480" s="466" t="s">
        <v>1150</v>
      </c>
      <c r="W480" s="653">
        <v>132</v>
      </c>
      <c r="X480" s="463" t="s">
        <v>2193</v>
      </c>
      <c r="Y480" s="463" t="s">
        <v>1533</v>
      </c>
      <c r="Z480" s="463"/>
      <c r="AA480" s="463" t="s">
        <v>1915</v>
      </c>
      <c r="AB480" s="459" t="s">
        <v>1587</v>
      </c>
    </row>
    <row r="481" spans="1:28" ht="24" customHeight="1">
      <c r="A481" s="595"/>
      <c r="B481" s="460" t="s">
        <v>675</v>
      </c>
      <c r="C481" s="458" t="s">
        <v>1151</v>
      </c>
      <c r="D481" s="510" t="s">
        <v>1152</v>
      </c>
      <c r="E481" s="497">
        <f t="shared" si="36"/>
        <v>80</v>
      </c>
      <c r="F481" s="497">
        <v>0</v>
      </c>
      <c r="G481" s="497">
        <v>80</v>
      </c>
      <c r="H481" s="497">
        <v>0</v>
      </c>
      <c r="I481" s="497">
        <f t="shared" si="37"/>
        <v>80</v>
      </c>
      <c r="J481" s="497">
        <v>0</v>
      </c>
      <c r="K481" s="497">
        <v>80</v>
      </c>
      <c r="L481" s="497">
        <v>0</v>
      </c>
      <c r="M481" s="957">
        <v>0.82</v>
      </c>
      <c r="N481" s="653">
        <v>4</v>
      </c>
      <c r="O481" s="669" t="s">
        <v>1153</v>
      </c>
      <c r="P481" s="463" t="s">
        <v>1588</v>
      </c>
      <c r="Q481" s="852">
        <v>0</v>
      </c>
      <c r="R481" s="852">
        <v>0</v>
      </c>
      <c r="S481" s="852">
        <v>0</v>
      </c>
      <c r="T481" s="852">
        <v>0</v>
      </c>
      <c r="U481" s="463" t="s">
        <v>2266</v>
      </c>
      <c r="V481" s="466" t="s">
        <v>1154</v>
      </c>
      <c r="W481" s="653">
        <v>387</v>
      </c>
      <c r="X481" s="463" t="s">
        <v>2193</v>
      </c>
      <c r="Y481" s="463" t="s">
        <v>1533</v>
      </c>
      <c r="Z481" s="463"/>
      <c r="AA481" s="463" t="s">
        <v>1915</v>
      </c>
      <c r="AB481" s="459" t="s">
        <v>1587</v>
      </c>
    </row>
    <row r="482" spans="1:28" ht="24" customHeight="1">
      <c r="A482" s="583"/>
      <c r="B482" s="460" t="s">
        <v>675</v>
      </c>
      <c r="C482" s="458" t="s">
        <v>1155</v>
      </c>
      <c r="D482" s="510" t="s">
        <v>1156</v>
      </c>
      <c r="E482" s="497">
        <f t="shared" si="36"/>
        <v>60</v>
      </c>
      <c r="F482" s="497">
        <v>0</v>
      </c>
      <c r="G482" s="497">
        <v>60</v>
      </c>
      <c r="H482" s="497">
        <v>0</v>
      </c>
      <c r="I482" s="497">
        <f t="shared" si="37"/>
        <v>60</v>
      </c>
      <c r="J482" s="497">
        <v>0</v>
      </c>
      <c r="K482" s="497">
        <v>60</v>
      </c>
      <c r="L482" s="497">
        <v>0</v>
      </c>
      <c r="M482" s="957">
        <v>0.78</v>
      </c>
      <c r="N482" s="653">
        <v>2</v>
      </c>
      <c r="O482" s="669" t="s">
        <v>1149</v>
      </c>
      <c r="P482" s="463" t="s">
        <v>1588</v>
      </c>
      <c r="Q482" s="852">
        <v>0</v>
      </c>
      <c r="R482" s="852">
        <v>0</v>
      </c>
      <c r="S482" s="852">
        <v>0</v>
      </c>
      <c r="T482" s="852">
        <v>0</v>
      </c>
      <c r="U482" s="463" t="s">
        <v>2266</v>
      </c>
      <c r="V482" s="466" t="s">
        <v>1150</v>
      </c>
      <c r="W482" s="653">
        <v>205</v>
      </c>
      <c r="X482" s="463" t="s">
        <v>2193</v>
      </c>
      <c r="Y482" s="463" t="s">
        <v>1533</v>
      </c>
      <c r="Z482" s="463" t="s">
        <v>1157</v>
      </c>
      <c r="AA482" s="463" t="s">
        <v>1915</v>
      </c>
      <c r="AB482" s="459" t="s">
        <v>1587</v>
      </c>
    </row>
    <row r="483" spans="1:28" ht="24" customHeight="1">
      <c r="A483" s="583" t="s">
        <v>1977</v>
      </c>
      <c r="B483" s="458" t="s">
        <v>5943</v>
      </c>
      <c r="C483" s="458"/>
      <c r="D483" s="510"/>
      <c r="E483" s="498" t="s">
        <v>6314</v>
      </c>
      <c r="F483" s="498">
        <v>0</v>
      </c>
      <c r="G483" s="498" t="s">
        <v>6315</v>
      </c>
      <c r="H483" s="498" t="s">
        <v>6316</v>
      </c>
      <c r="I483" s="498" t="s">
        <v>7554</v>
      </c>
      <c r="J483" s="498" t="s">
        <v>6318</v>
      </c>
      <c r="K483" s="498" t="s">
        <v>6319</v>
      </c>
      <c r="L483" s="668" t="s">
        <v>6320</v>
      </c>
      <c r="M483" s="956"/>
      <c r="N483" s="498" t="s">
        <v>6321</v>
      </c>
      <c r="O483" s="669" t="s">
        <v>1588</v>
      </c>
      <c r="P483" s="463" t="s">
        <v>1588</v>
      </c>
      <c r="Q483" s="852">
        <f>Q484+Q535</f>
        <v>1343.3000000000002</v>
      </c>
      <c r="R483" s="852">
        <f>R484+R535</f>
        <v>124.3</v>
      </c>
      <c r="S483" s="852">
        <f>S484+S535</f>
        <v>519.79999999999995</v>
      </c>
      <c r="T483" s="852">
        <f>T484+T535</f>
        <v>399</v>
      </c>
      <c r="U483" s="463" t="s">
        <v>7533</v>
      </c>
      <c r="V483" s="463"/>
      <c r="W483" s="498">
        <f>W484+W535</f>
        <v>632298</v>
      </c>
      <c r="X483" s="463"/>
      <c r="Y483" s="463"/>
      <c r="Z483" s="463"/>
      <c r="AA483" s="463"/>
      <c r="AB483" s="459"/>
    </row>
    <row r="484" spans="1:28" ht="24" customHeight="1">
      <c r="A484" s="457" t="s">
        <v>1674</v>
      </c>
      <c r="B484" s="458" t="s">
        <v>5941</v>
      </c>
      <c r="C484" s="579"/>
      <c r="D484" s="579"/>
      <c r="E484" s="498" t="s">
        <v>6164</v>
      </c>
      <c r="F484" s="498">
        <v>0</v>
      </c>
      <c r="G484" s="498" t="s">
        <v>6165</v>
      </c>
      <c r="H484" s="498" t="s">
        <v>6166</v>
      </c>
      <c r="I484" s="498" t="s">
        <v>6167</v>
      </c>
      <c r="J484" s="498" t="s">
        <v>6168</v>
      </c>
      <c r="K484" s="498" t="s">
        <v>6169</v>
      </c>
      <c r="L484" s="668" t="s">
        <v>6170</v>
      </c>
      <c r="M484" s="956"/>
      <c r="N484" s="498" t="s">
        <v>6171</v>
      </c>
      <c r="O484" s="669" t="s">
        <v>1588</v>
      </c>
      <c r="P484" s="463" t="s">
        <v>1588</v>
      </c>
      <c r="Q484" s="852">
        <f>SUM(Q485:Q534)</f>
        <v>947.80000000000007</v>
      </c>
      <c r="R484" s="852">
        <f>SUM(R485:R534)</f>
        <v>0</v>
      </c>
      <c r="S484" s="852">
        <f>SUM(S485:S534)</f>
        <v>257.7</v>
      </c>
      <c r="T484" s="852">
        <f>SUM(T485:T534)</f>
        <v>18.3</v>
      </c>
      <c r="U484" s="463"/>
      <c r="V484" s="463"/>
      <c r="W484" s="498">
        <f>SUM(W485:W534)</f>
        <v>280673</v>
      </c>
      <c r="X484" s="463"/>
      <c r="Y484" s="463"/>
      <c r="Z484" s="463"/>
      <c r="AA484" s="463"/>
      <c r="AB484" s="459"/>
    </row>
    <row r="485" spans="1:28" ht="24" customHeight="1">
      <c r="A485" s="582" t="s">
        <v>1611</v>
      </c>
      <c r="B485" s="521" t="s">
        <v>2201</v>
      </c>
      <c r="C485" s="724" t="s">
        <v>2393</v>
      </c>
      <c r="D485" s="524" t="s">
        <v>1158</v>
      </c>
      <c r="E485" s="653">
        <v>280000</v>
      </c>
      <c r="F485" s="653">
        <v>0</v>
      </c>
      <c r="G485" s="653">
        <v>280000</v>
      </c>
      <c r="H485" s="653">
        <v>0</v>
      </c>
      <c r="I485" s="653">
        <v>275295</v>
      </c>
      <c r="J485" s="653">
        <v>0</v>
      </c>
      <c r="K485" s="653">
        <v>275295</v>
      </c>
      <c r="L485" s="698">
        <v>0</v>
      </c>
      <c r="M485" s="956">
        <v>0.92330827067669174</v>
      </c>
      <c r="N485" s="653">
        <v>16903.113000000001</v>
      </c>
      <c r="O485" s="725" t="s">
        <v>1159</v>
      </c>
      <c r="P485" s="498" t="s">
        <v>1160</v>
      </c>
      <c r="Q485" s="852">
        <v>732</v>
      </c>
      <c r="R485" s="852">
        <v>0</v>
      </c>
      <c r="S485" s="852">
        <v>139.69999999999999</v>
      </c>
      <c r="T485" s="852">
        <v>18.3</v>
      </c>
      <c r="U485" s="465" t="s">
        <v>2267</v>
      </c>
      <c r="V485" s="465" t="s">
        <v>1161</v>
      </c>
      <c r="W485" s="653">
        <v>93917</v>
      </c>
      <c r="X485" s="463" t="s">
        <v>1532</v>
      </c>
      <c r="Y485" s="463" t="s">
        <v>1533</v>
      </c>
      <c r="Z485" s="463" t="s">
        <v>1618</v>
      </c>
      <c r="AA485" s="463" t="s">
        <v>1592</v>
      </c>
      <c r="AB485" s="459" t="s">
        <v>1592</v>
      </c>
    </row>
    <row r="486" spans="1:28" ht="24" customHeight="1">
      <c r="A486" s="593" t="s">
        <v>1612</v>
      </c>
      <c r="B486" s="521" t="s">
        <v>2201</v>
      </c>
      <c r="C486" s="522" t="s">
        <v>2394</v>
      </c>
      <c r="D486" s="524" t="s">
        <v>1162</v>
      </c>
      <c r="E486" s="653">
        <f t="shared" ref="E486:E513" si="38">F486+G486+H486</f>
        <v>75000</v>
      </c>
      <c r="F486" s="653">
        <v>0</v>
      </c>
      <c r="G486" s="653">
        <v>0</v>
      </c>
      <c r="H486" s="653">
        <v>75000</v>
      </c>
      <c r="I486" s="653">
        <f t="shared" ref="I486:I513" si="39">J486+K486+L486</f>
        <v>54455</v>
      </c>
      <c r="J486" s="653">
        <v>0</v>
      </c>
      <c r="K486" s="653">
        <v>0</v>
      </c>
      <c r="L486" s="698">
        <v>54455</v>
      </c>
      <c r="M486" s="957">
        <v>0.92019430950728665</v>
      </c>
      <c r="N486" s="653">
        <v>7220.7330000000002</v>
      </c>
      <c r="O486" s="699" t="s">
        <v>2197</v>
      </c>
      <c r="P486" s="462" t="s">
        <v>1588</v>
      </c>
      <c r="Q486" s="854">
        <v>142.69999999999999</v>
      </c>
      <c r="R486" s="854">
        <v>0</v>
      </c>
      <c r="S486" s="854">
        <v>82.5</v>
      </c>
      <c r="T486" s="854">
        <v>0</v>
      </c>
      <c r="U486" s="463" t="s">
        <v>1163</v>
      </c>
      <c r="V486" s="465" t="s">
        <v>1164</v>
      </c>
      <c r="W486" s="653">
        <v>55375</v>
      </c>
      <c r="X486" s="462" t="s">
        <v>1532</v>
      </c>
      <c r="Y486" s="463" t="s">
        <v>1533</v>
      </c>
      <c r="Z486" s="462" t="s">
        <v>1534</v>
      </c>
      <c r="AA486" s="462" t="s">
        <v>1534</v>
      </c>
      <c r="AB486" s="467" t="s">
        <v>1534</v>
      </c>
    </row>
    <row r="487" spans="1:28" ht="24" customHeight="1">
      <c r="A487" s="584"/>
      <c r="B487" s="521" t="s">
        <v>675</v>
      </c>
      <c r="C487" s="522" t="s">
        <v>1165</v>
      </c>
      <c r="D487" s="524" t="s">
        <v>1166</v>
      </c>
      <c r="E487" s="653">
        <f t="shared" si="38"/>
        <v>50</v>
      </c>
      <c r="F487" s="653">
        <v>0</v>
      </c>
      <c r="G487" s="653">
        <v>0</v>
      </c>
      <c r="H487" s="653">
        <v>50</v>
      </c>
      <c r="I487" s="653">
        <f t="shared" si="39"/>
        <v>26.3</v>
      </c>
      <c r="J487" s="653">
        <v>0</v>
      </c>
      <c r="K487" s="653">
        <v>0</v>
      </c>
      <c r="L487" s="698">
        <v>26.3</v>
      </c>
      <c r="M487" s="957">
        <v>0.96719999999999995</v>
      </c>
      <c r="N487" s="653">
        <v>324.01</v>
      </c>
      <c r="O487" s="669" t="s">
        <v>1167</v>
      </c>
      <c r="P487" s="463" t="s">
        <v>1588</v>
      </c>
      <c r="Q487" s="852">
        <v>0</v>
      </c>
      <c r="R487" s="852">
        <v>0</v>
      </c>
      <c r="S487" s="852">
        <v>0</v>
      </c>
      <c r="T487" s="852">
        <v>0</v>
      </c>
      <c r="U487" s="463" t="s">
        <v>1168</v>
      </c>
      <c r="V487" s="466" t="s">
        <v>1169</v>
      </c>
      <c r="W487" s="653">
        <v>174</v>
      </c>
      <c r="X487" s="463" t="s">
        <v>1532</v>
      </c>
      <c r="Y487" s="463" t="s">
        <v>1533</v>
      </c>
      <c r="Z487" s="463" t="s">
        <v>1613</v>
      </c>
      <c r="AA487" s="463" t="s">
        <v>1534</v>
      </c>
      <c r="AB487" s="459" t="s">
        <v>1534</v>
      </c>
    </row>
    <row r="488" spans="1:28" ht="24" customHeight="1">
      <c r="A488" s="584"/>
      <c r="B488" s="521" t="s">
        <v>675</v>
      </c>
      <c r="C488" s="522" t="s">
        <v>1170</v>
      </c>
      <c r="D488" s="524" t="s">
        <v>1171</v>
      </c>
      <c r="E488" s="653">
        <f t="shared" si="38"/>
        <v>50</v>
      </c>
      <c r="F488" s="653">
        <v>0</v>
      </c>
      <c r="G488" s="653">
        <v>0</v>
      </c>
      <c r="H488" s="653">
        <v>50</v>
      </c>
      <c r="I488" s="653">
        <f t="shared" si="39"/>
        <v>6.6</v>
      </c>
      <c r="J488" s="653">
        <v>0</v>
      </c>
      <c r="K488" s="653">
        <v>0</v>
      </c>
      <c r="L488" s="698">
        <v>6.6</v>
      </c>
      <c r="M488" s="957">
        <v>0.97219999999999995</v>
      </c>
      <c r="N488" s="653">
        <v>34.99</v>
      </c>
      <c r="O488" s="669" t="s">
        <v>1172</v>
      </c>
      <c r="P488" s="463" t="s">
        <v>1588</v>
      </c>
      <c r="Q488" s="852">
        <v>0</v>
      </c>
      <c r="R488" s="852">
        <v>0</v>
      </c>
      <c r="S488" s="852">
        <v>0</v>
      </c>
      <c r="T488" s="852">
        <v>0</v>
      </c>
      <c r="U488" s="463" t="s">
        <v>1168</v>
      </c>
      <c r="V488" s="466" t="s">
        <v>1173</v>
      </c>
      <c r="W488" s="653">
        <v>372</v>
      </c>
      <c r="X488" s="463" t="s">
        <v>1532</v>
      </c>
      <c r="Y488" s="463" t="s">
        <v>1533</v>
      </c>
      <c r="Z488" s="463" t="s">
        <v>1613</v>
      </c>
      <c r="AA488" s="463" t="s">
        <v>1534</v>
      </c>
      <c r="AB488" s="459" t="s">
        <v>1534</v>
      </c>
    </row>
    <row r="489" spans="1:28" ht="24" customHeight="1">
      <c r="A489" s="584"/>
      <c r="B489" s="521" t="s">
        <v>2201</v>
      </c>
      <c r="C489" s="522" t="s">
        <v>1174</v>
      </c>
      <c r="D489" s="524" t="s">
        <v>1175</v>
      </c>
      <c r="E489" s="653">
        <f t="shared" si="38"/>
        <v>4000</v>
      </c>
      <c r="F489" s="653">
        <v>0</v>
      </c>
      <c r="G489" s="653">
        <v>0</v>
      </c>
      <c r="H489" s="653">
        <v>4000</v>
      </c>
      <c r="I489" s="653">
        <f t="shared" si="39"/>
        <v>804</v>
      </c>
      <c r="J489" s="653">
        <v>0</v>
      </c>
      <c r="K489" s="653">
        <v>0</v>
      </c>
      <c r="L489" s="698">
        <v>804</v>
      </c>
      <c r="M489" s="957">
        <v>0.89274496284379068</v>
      </c>
      <c r="N489" s="653">
        <v>18.738024000000003</v>
      </c>
      <c r="O489" s="669" t="s">
        <v>3347</v>
      </c>
      <c r="P489" s="463" t="s">
        <v>1588</v>
      </c>
      <c r="Q489" s="852">
        <v>0</v>
      </c>
      <c r="R489" s="852">
        <v>0</v>
      </c>
      <c r="S489" s="852">
        <v>0</v>
      </c>
      <c r="T489" s="852">
        <v>0</v>
      </c>
      <c r="U489" s="465" t="s">
        <v>1176</v>
      </c>
      <c r="V489" s="466" t="s">
        <v>1177</v>
      </c>
      <c r="W489" s="653">
        <v>20823</v>
      </c>
      <c r="X489" s="463" t="s">
        <v>1532</v>
      </c>
      <c r="Y489" s="463" t="s">
        <v>4034</v>
      </c>
      <c r="Z489" s="463" t="s">
        <v>1613</v>
      </c>
      <c r="AA489" s="463" t="s">
        <v>1615</v>
      </c>
      <c r="AB489" s="459" t="s">
        <v>1534</v>
      </c>
    </row>
    <row r="490" spans="1:28" ht="24" customHeight="1">
      <c r="A490" s="584"/>
      <c r="B490" s="521" t="s">
        <v>675</v>
      </c>
      <c r="C490" s="522" t="s">
        <v>1178</v>
      </c>
      <c r="D490" s="524" t="s">
        <v>1179</v>
      </c>
      <c r="E490" s="653">
        <f t="shared" si="38"/>
        <v>45</v>
      </c>
      <c r="F490" s="653">
        <v>0</v>
      </c>
      <c r="G490" s="653">
        <v>0</v>
      </c>
      <c r="H490" s="653">
        <v>45</v>
      </c>
      <c r="I490" s="653">
        <f t="shared" si="39"/>
        <v>3.2</v>
      </c>
      <c r="J490" s="653">
        <v>0</v>
      </c>
      <c r="K490" s="653">
        <v>0</v>
      </c>
      <c r="L490" s="698">
        <v>3.2</v>
      </c>
      <c r="M490" s="957">
        <v>0.98280000000000001</v>
      </c>
      <c r="N490" s="653">
        <v>12.78</v>
      </c>
      <c r="O490" s="669" t="s">
        <v>1180</v>
      </c>
      <c r="P490" s="463" t="s">
        <v>1588</v>
      </c>
      <c r="Q490" s="852">
        <v>0</v>
      </c>
      <c r="R490" s="852">
        <v>0</v>
      </c>
      <c r="S490" s="852">
        <v>0</v>
      </c>
      <c r="T490" s="852">
        <v>0</v>
      </c>
      <c r="U490" s="463" t="s">
        <v>1168</v>
      </c>
      <c r="V490" s="466" t="s">
        <v>1181</v>
      </c>
      <c r="W490" s="653">
        <v>235</v>
      </c>
      <c r="X490" s="463" t="s">
        <v>1532</v>
      </c>
      <c r="Y490" s="463" t="s">
        <v>1533</v>
      </c>
      <c r="Z490" s="463" t="s">
        <v>1613</v>
      </c>
      <c r="AA490" s="463" t="s">
        <v>1534</v>
      </c>
      <c r="AB490" s="459" t="s">
        <v>1534</v>
      </c>
    </row>
    <row r="491" spans="1:28" ht="24" customHeight="1">
      <c r="A491" s="584"/>
      <c r="B491" s="521" t="s">
        <v>675</v>
      </c>
      <c r="C491" s="522" t="s">
        <v>1182</v>
      </c>
      <c r="D491" s="524" t="s">
        <v>1183</v>
      </c>
      <c r="E491" s="653">
        <f t="shared" si="38"/>
        <v>60</v>
      </c>
      <c r="F491" s="653">
        <v>0</v>
      </c>
      <c r="G491" s="653">
        <v>0</v>
      </c>
      <c r="H491" s="653">
        <v>60</v>
      </c>
      <c r="I491" s="653">
        <f t="shared" si="39"/>
        <v>35.799999999999997</v>
      </c>
      <c r="J491" s="653">
        <v>0</v>
      </c>
      <c r="K491" s="653">
        <v>0</v>
      </c>
      <c r="L491" s="698">
        <v>35.799999999999997</v>
      </c>
      <c r="M491" s="957">
        <v>0.93659999999999999</v>
      </c>
      <c r="N491" s="653">
        <v>384.01</v>
      </c>
      <c r="O491" s="669" t="s">
        <v>1180</v>
      </c>
      <c r="P491" s="463" t="s">
        <v>1588</v>
      </c>
      <c r="Q491" s="852">
        <v>0</v>
      </c>
      <c r="R491" s="852">
        <v>0</v>
      </c>
      <c r="S491" s="852">
        <v>0</v>
      </c>
      <c r="T491" s="852">
        <v>0</v>
      </c>
      <c r="U491" s="463" t="s">
        <v>1168</v>
      </c>
      <c r="V491" s="466" t="s">
        <v>1184</v>
      </c>
      <c r="W491" s="653">
        <v>324</v>
      </c>
      <c r="X491" s="463" t="s">
        <v>1532</v>
      </c>
      <c r="Y491" s="463" t="s">
        <v>1533</v>
      </c>
      <c r="Z491" s="463" t="s">
        <v>1613</v>
      </c>
      <c r="AA491" s="463" t="s">
        <v>1534</v>
      </c>
      <c r="AB491" s="459" t="s">
        <v>1534</v>
      </c>
    </row>
    <row r="492" spans="1:28" ht="24" customHeight="1">
      <c r="A492" s="584"/>
      <c r="B492" s="521" t="s">
        <v>675</v>
      </c>
      <c r="C492" s="522" t="s">
        <v>1185</v>
      </c>
      <c r="D492" s="524" t="s">
        <v>1186</v>
      </c>
      <c r="E492" s="653">
        <f t="shared" si="38"/>
        <v>30</v>
      </c>
      <c r="F492" s="653">
        <v>0</v>
      </c>
      <c r="G492" s="653">
        <v>0</v>
      </c>
      <c r="H492" s="653">
        <v>30</v>
      </c>
      <c r="I492" s="653">
        <f t="shared" si="39"/>
        <v>11.8</v>
      </c>
      <c r="J492" s="653">
        <v>0</v>
      </c>
      <c r="K492" s="653">
        <v>0</v>
      </c>
      <c r="L492" s="698">
        <v>11.8</v>
      </c>
      <c r="M492" s="957">
        <v>0.95920000000000005</v>
      </c>
      <c r="N492" s="653">
        <v>94</v>
      </c>
      <c r="O492" s="669" t="s">
        <v>1180</v>
      </c>
      <c r="P492" s="463" t="s">
        <v>1588</v>
      </c>
      <c r="Q492" s="852">
        <v>0</v>
      </c>
      <c r="R492" s="852">
        <v>0</v>
      </c>
      <c r="S492" s="852">
        <v>0</v>
      </c>
      <c r="T492" s="852">
        <v>0</v>
      </c>
      <c r="U492" s="463" t="s">
        <v>1168</v>
      </c>
      <c r="V492" s="466" t="s">
        <v>1187</v>
      </c>
      <c r="W492" s="653">
        <v>228</v>
      </c>
      <c r="X492" s="463" t="s">
        <v>1532</v>
      </c>
      <c r="Y492" s="463" t="s">
        <v>1533</v>
      </c>
      <c r="Z492" s="463" t="s">
        <v>1613</v>
      </c>
      <c r="AA492" s="463" t="s">
        <v>1534</v>
      </c>
      <c r="AB492" s="459" t="s">
        <v>1534</v>
      </c>
    </row>
    <row r="493" spans="1:28" ht="24" customHeight="1">
      <c r="A493" s="584"/>
      <c r="B493" s="521" t="s">
        <v>675</v>
      </c>
      <c r="C493" s="522" t="s">
        <v>1188</v>
      </c>
      <c r="D493" s="524" t="s">
        <v>1189</v>
      </c>
      <c r="E493" s="653">
        <f t="shared" si="38"/>
        <v>60</v>
      </c>
      <c r="F493" s="653">
        <v>0</v>
      </c>
      <c r="G493" s="653">
        <v>0</v>
      </c>
      <c r="H493" s="653">
        <v>60</v>
      </c>
      <c r="I493" s="653">
        <f t="shared" si="39"/>
        <v>13.5</v>
      </c>
      <c r="J493" s="653">
        <v>0</v>
      </c>
      <c r="K493" s="653">
        <v>0</v>
      </c>
      <c r="L493" s="698">
        <v>13.5</v>
      </c>
      <c r="M493" s="957">
        <v>0.95569999999999988</v>
      </c>
      <c r="N493" s="653">
        <v>151</v>
      </c>
      <c r="O493" s="669" t="s">
        <v>1180</v>
      </c>
      <c r="P493" s="463" t="s">
        <v>1588</v>
      </c>
      <c r="Q493" s="852">
        <v>0</v>
      </c>
      <c r="R493" s="852">
        <v>0</v>
      </c>
      <c r="S493" s="852">
        <v>0</v>
      </c>
      <c r="T493" s="852">
        <v>0</v>
      </c>
      <c r="U493" s="463" t="s">
        <v>1168</v>
      </c>
      <c r="V493" s="466" t="s">
        <v>1190</v>
      </c>
      <c r="W493" s="653">
        <v>260</v>
      </c>
      <c r="X493" s="463" t="s">
        <v>1532</v>
      </c>
      <c r="Y493" s="463" t="s">
        <v>1533</v>
      </c>
      <c r="Z493" s="463" t="s">
        <v>1613</v>
      </c>
      <c r="AA493" s="463" t="s">
        <v>1534</v>
      </c>
      <c r="AB493" s="459" t="s">
        <v>1534</v>
      </c>
    </row>
    <row r="494" spans="1:28" ht="24" customHeight="1">
      <c r="A494" s="584"/>
      <c r="B494" s="521" t="s">
        <v>675</v>
      </c>
      <c r="C494" s="522" t="s">
        <v>1191</v>
      </c>
      <c r="D494" s="524" t="s">
        <v>1192</v>
      </c>
      <c r="E494" s="653">
        <f t="shared" si="38"/>
        <v>25</v>
      </c>
      <c r="F494" s="653">
        <v>0</v>
      </c>
      <c r="G494" s="653">
        <v>0</v>
      </c>
      <c r="H494" s="653">
        <v>25</v>
      </c>
      <c r="I494" s="653">
        <f t="shared" si="39"/>
        <v>14.4</v>
      </c>
      <c r="J494" s="653">
        <v>0</v>
      </c>
      <c r="K494" s="653">
        <v>0</v>
      </c>
      <c r="L494" s="698">
        <v>14.4</v>
      </c>
      <c r="M494" s="957">
        <v>0.95920000000000005</v>
      </c>
      <c r="N494" s="653">
        <v>188</v>
      </c>
      <c r="O494" s="669" t="s">
        <v>1180</v>
      </c>
      <c r="P494" s="463" t="s">
        <v>1588</v>
      </c>
      <c r="Q494" s="852">
        <v>0</v>
      </c>
      <c r="R494" s="852">
        <v>0</v>
      </c>
      <c r="S494" s="852">
        <v>0</v>
      </c>
      <c r="T494" s="852">
        <v>0</v>
      </c>
      <c r="U494" s="463" t="s">
        <v>1168</v>
      </c>
      <c r="V494" s="466" t="s">
        <v>1184</v>
      </c>
      <c r="W494" s="653">
        <v>215</v>
      </c>
      <c r="X494" s="463" t="s">
        <v>1532</v>
      </c>
      <c r="Y494" s="463" t="s">
        <v>1533</v>
      </c>
      <c r="Z494" s="463" t="s">
        <v>1613</v>
      </c>
      <c r="AA494" s="463" t="s">
        <v>1534</v>
      </c>
      <c r="AB494" s="459" t="s">
        <v>1534</v>
      </c>
    </row>
    <row r="495" spans="1:28" ht="24" customHeight="1">
      <c r="A495" s="584"/>
      <c r="B495" s="521" t="s">
        <v>675</v>
      </c>
      <c r="C495" s="522" t="s">
        <v>1193</v>
      </c>
      <c r="D495" s="524" t="s">
        <v>1194</v>
      </c>
      <c r="E495" s="653">
        <f t="shared" si="38"/>
        <v>50</v>
      </c>
      <c r="F495" s="653">
        <v>0</v>
      </c>
      <c r="G495" s="653">
        <v>0</v>
      </c>
      <c r="H495" s="653">
        <v>50</v>
      </c>
      <c r="I495" s="653">
        <f t="shared" si="39"/>
        <v>26.2</v>
      </c>
      <c r="J495" s="653">
        <v>0</v>
      </c>
      <c r="K495" s="653">
        <v>0</v>
      </c>
      <c r="L495" s="698">
        <v>26.2</v>
      </c>
      <c r="M495" s="957">
        <v>0.95750000000000002</v>
      </c>
      <c r="N495" s="653">
        <v>247.99</v>
      </c>
      <c r="O495" s="669" t="s">
        <v>1195</v>
      </c>
      <c r="P495" s="463" t="s">
        <v>1588</v>
      </c>
      <c r="Q495" s="852">
        <v>0</v>
      </c>
      <c r="R495" s="852">
        <v>0</v>
      </c>
      <c r="S495" s="852">
        <v>0</v>
      </c>
      <c r="T495" s="852">
        <v>0</v>
      </c>
      <c r="U495" s="463" t="s">
        <v>1168</v>
      </c>
      <c r="V495" s="466" t="s">
        <v>1196</v>
      </c>
      <c r="W495" s="653">
        <v>216</v>
      </c>
      <c r="X495" s="463" t="s">
        <v>1532</v>
      </c>
      <c r="Y495" s="463" t="s">
        <v>1533</v>
      </c>
      <c r="Z495" s="463" t="s">
        <v>1613</v>
      </c>
      <c r="AA495" s="463" t="s">
        <v>1534</v>
      </c>
      <c r="AB495" s="459" t="s">
        <v>1534</v>
      </c>
    </row>
    <row r="496" spans="1:28" ht="24" customHeight="1">
      <c r="A496" s="584"/>
      <c r="B496" s="521" t="s">
        <v>675</v>
      </c>
      <c r="C496" s="522" t="s">
        <v>1197</v>
      </c>
      <c r="D496" s="524" t="s">
        <v>1198</v>
      </c>
      <c r="E496" s="653">
        <f t="shared" si="38"/>
        <v>35</v>
      </c>
      <c r="F496" s="653">
        <v>0</v>
      </c>
      <c r="G496" s="653">
        <v>35</v>
      </c>
      <c r="H496" s="653">
        <v>0</v>
      </c>
      <c r="I496" s="653">
        <f t="shared" si="39"/>
        <v>14</v>
      </c>
      <c r="J496" s="653">
        <v>0</v>
      </c>
      <c r="K496" s="653">
        <v>14</v>
      </c>
      <c r="L496" s="698">
        <v>0</v>
      </c>
      <c r="M496" s="957">
        <v>0.9</v>
      </c>
      <c r="N496" s="653">
        <v>108</v>
      </c>
      <c r="O496" s="669" t="s">
        <v>1092</v>
      </c>
      <c r="P496" s="463" t="s">
        <v>1588</v>
      </c>
      <c r="Q496" s="852">
        <v>0</v>
      </c>
      <c r="R496" s="852">
        <v>0</v>
      </c>
      <c r="S496" s="852">
        <v>0</v>
      </c>
      <c r="T496" s="852">
        <v>0</v>
      </c>
      <c r="U496" s="463" t="s">
        <v>1199</v>
      </c>
      <c r="V496" s="466" t="s">
        <v>1200</v>
      </c>
      <c r="W496" s="653">
        <v>409</v>
      </c>
      <c r="X496" s="463" t="s">
        <v>1532</v>
      </c>
      <c r="Y496" s="463"/>
      <c r="Z496" s="463" t="s">
        <v>1613</v>
      </c>
      <c r="AA496" s="463" t="s">
        <v>1534</v>
      </c>
      <c r="AB496" s="459" t="s">
        <v>1534</v>
      </c>
    </row>
    <row r="497" spans="1:28" ht="24" customHeight="1">
      <c r="A497" s="584"/>
      <c r="B497" s="521" t="s">
        <v>2201</v>
      </c>
      <c r="C497" s="522" t="s">
        <v>2000</v>
      </c>
      <c r="D497" s="524" t="s">
        <v>1201</v>
      </c>
      <c r="E497" s="653">
        <f t="shared" si="38"/>
        <v>14000</v>
      </c>
      <c r="F497" s="653">
        <v>0</v>
      </c>
      <c r="G497" s="653">
        <v>14000</v>
      </c>
      <c r="H497" s="653">
        <v>0</v>
      </c>
      <c r="I497" s="653">
        <f t="shared" si="39"/>
        <v>6680</v>
      </c>
      <c r="J497" s="653">
        <v>0</v>
      </c>
      <c r="K497" s="653">
        <v>6680</v>
      </c>
      <c r="L497" s="698">
        <v>0</v>
      </c>
      <c r="M497" s="957">
        <v>0.87214285714285711</v>
      </c>
      <c r="N497" s="653">
        <v>815.62800000000004</v>
      </c>
      <c r="O497" s="669" t="s">
        <v>1202</v>
      </c>
      <c r="P497" s="463" t="s">
        <v>1588</v>
      </c>
      <c r="Q497" s="852">
        <v>0</v>
      </c>
      <c r="R497" s="852">
        <v>0</v>
      </c>
      <c r="S497" s="852">
        <v>0</v>
      </c>
      <c r="T497" s="852">
        <v>0</v>
      </c>
      <c r="U497" s="463" t="s">
        <v>1203</v>
      </c>
      <c r="V497" s="466" t="s">
        <v>1204</v>
      </c>
      <c r="W497" s="653">
        <v>20833</v>
      </c>
      <c r="X497" s="463" t="s">
        <v>1532</v>
      </c>
      <c r="Y497" s="463" t="s">
        <v>3161</v>
      </c>
      <c r="Z497" s="463" t="s">
        <v>1613</v>
      </c>
      <c r="AA497" s="463" t="s">
        <v>1534</v>
      </c>
      <c r="AB497" s="459" t="s">
        <v>1534</v>
      </c>
    </row>
    <row r="498" spans="1:28" ht="24" customHeight="1">
      <c r="A498" s="584"/>
      <c r="B498" s="521" t="s">
        <v>675</v>
      </c>
      <c r="C498" s="522" t="s">
        <v>1205</v>
      </c>
      <c r="D498" s="524" t="s">
        <v>1206</v>
      </c>
      <c r="E498" s="653">
        <f t="shared" si="38"/>
        <v>140</v>
      </c>
      <c r="F498" s="653">
        <v>0</v>
      </c>
      <c r="G498" s="653">
        <v>0</v>
      </c>
      <c r="H498" s="653">
        <v>140</v>
      </c>
      <c r="I498" s="653">
        <f t="shared" si="39"/>
        <v>41.4</v>
      </c>
      <c r="J498" s="653">
        <v>0</v>
      </c>
      <c r="K498" s="653">
        <v>0</v>
      </c>
      <c r="L498" s="698">
        <v>41.4</v>
      </c>
      <c r="M498" s="957">
        <v>0.98470000000000002</v>
      </c>
      <c r="N498" s="653">
        <v>515.98</v>
      </c>
      <c r="O498" s="669" t="s">
        <v>1172</v>
      </c>
      <c r="P498" s="463" t="s">
        <v>1588</v>
      </c>
      <c r="Q498" s="852">
        <v>0</v>
      </c>
      <c r="R498" s="852">
        <v>0</v>
      </c>
      <c r="S498" s="852">
        <v>0</v>
      </c>
      <c r="T498" s="852">
        <v>0</v>
      </c>
      <c r="U498" s="463" t="s">
        <v>1168</v>
      </c>
      <c r="V498" s="463" t="s">
        <v>1207</v>
      </c>
      <c r="W498" s="653">
        <v>1279</v>
      </c>
      <c r="X498" s="463" t="s">
        <v>1532</v>
      </c>
      <c r="Y498" s="463" t="s">
        <v>1533</v>
      </c>
      <c r="Z498" s="463" t="s">
        <v>1613</v>
      </c>
      <c r="AA498" s="463" t="s">
        <v>1534</v>
      </c>
      <c r="AB498" s="459" t="s">
        <v>1534</v>
      </c>
    </row>
    <row r="499" spans="1:28" ht="24" customHeight="1">
      <c r="A499" s="584"/>
      <c r="B499" s="521" t="s">
        <v>675</v>
      </c>
      <c r="C499" s="522" t="s">
        <v>1208</v>
      </c>
      <c r="D499" s="524" t="s">
        <v>1209</v>
      </c>
      <c r="E499" s="653">
        <f t="shared" si="38"/>
        <v>35</v>
      </c>
      <c r="F499" s="653">
        <v>0</v>
      </c>
      <c r="G499" s="653">
        <v>0</v>
      </c>
      <c r="H499" s="653">
        <v>35</v>
      </c>
      <c r="I499" s="653">
        <f t="shared" si="39"/>
        <v>6.7</v>
      </c>
      <c r="J499" s="653">
        <v>0</v>
      </c>
      <c r="K499" s="653">
        <v>0</v>
      </c>
      <c r="L499" s="698">
        <v>6.7</v>
      </c>
      <c r="M499" s="957">
        <v>0.98</v>
      </c>
      <c r="N499" s="653">
        <v>513.52</v>
      </c>
      <c r="O499" s="669" t="s">
        <v>1210</v>
      </c>
      <c r="P499" s="463" t="s">
        <v>1588</v>
      </c>
      <c r="Q499" s="852">
        <v>0</v>
      </c>
      <c r="R499" s="852">
        <v>0</v>
      </c>
      <c r="S499" s="852">
        <v>0</v>
      </c>
      <c r="T499" s="852">
        <v>0</v>
      </c>
      <c r="U499" s="463" t="s">
        <v>1168</v>
      </c>
      <c r="V499" s="463" t="s">
        <v>1211</v>
      </c>
      <c r="W499" s="653">
        <v>144</v>
      </c>
      <c r="X499" s="463" t="s">
        <v>1532</v>
      </c>
      <c r="Y499" s="463" t="s">
        <v>1533</v>
      </c>
      <c r="Z499" s="463" t="s">
        <v>1613</v>
      </c>
      <c r="AA499" s="463" t="s">
        <v>1534</v>
      </c>
      <c r="AB499" s="459" t="s">
        <v>1534</v>
      </c>
    </row>
    <row r="500" spans="1:28" ht="24" customHeight="1">
      <c r="A500" s="584"/>
      <c r="B500" s="521" t="s">
        <v>2201</v>
      </c>
      <c r="C500" s="522" t="s">
        <v>1212</v>
      </c>
      <c r="D500" s="524" t="s">
        <v>1213</v>
      </c>
      <c r="E500" s="653">
        <f t="shared" si="38"/>
        <v>900</v>
      </c>
      <c r="F500" s="653">
        <v>0</v>
      </c>
      <c r="G500" s="653">
        <v>0</v>
      </c>
      <c r="H500" s="653">
        <v>900</v>
      </c>
      <c r="I500" s="653">
        <f t="shared" si="39"/>
        <v>345</v>
      </c>
      <c r="J500" s="653">
        <v>0</v>
      </c>
      <c r="K500" s="653">
        <v>0</v>
      </c>
      <c r="L500" s="698">
        <v>345</v>
      </c>
      <c r="M500" s="957">
        <v>0.93061224489795924</v>
      </c>
      <c r="N500" s="653">
        <v>23.597999999999999</v>
      </c>
      <c r="O500" s="669" t="s">
        <v>1214</v>
      </c>
      <c r="P500" s="463" t="s">
        <v>1588</v>
      </c>
      <c r="Q500" s="852">
        <v>0</v>
      </c>
      <c r="R500" s="852">
        <v>0</v>
      </c>
      <c r="S500" s="852">
        <v>0</v>
      </c>
      <c r="T500" s="852">
        <v>0</v>
      </c>
      <c r="U500" s="463" t="s">
        <v>1215</v>
      </c>
      <c r="V500" s="466" t="s">
        <v>1216</v>
      </c>
      <c r="W500" s="653">
        <v>5620</v>
      </c>
      <c r="X500" s="463" t="s">
        <v>1532</v>
      </c>
      <c r="Y500" s="463" t="s">
        <v>1935</v>
      </c>
      <c r="Z500" s="463" t="s">
        <v>1534</v>
      </c>
      <c r="AA500" s="463" t="s">
        <v>1534</v>
      </c>
      <c r="AB500" s="459" t="s">
        <v>1534</v>
      </c>
    </row>
    <row r="501" spans="1:28" ht="24" customHeight="1">
      <c r="A501" s="584"/>
      <c r="B501" s="521" t="s">
        <v>2201</v>
      </c>
      <c r="C501" s="522" t="s">
        <v>1217</v>
      </c>
      <c r="D501" s="524" t="s">
        <v>1218</v>
      </c>
      <c r="E501" s="653">
        <f t="shared" si="38"/>
        <v>1800</v>
      </c>
      <c r="F501" s="653">
        <v>0</v>
      </c>
      <c r="G501" s="653">
        <v>0</v>
      </c>
      <c r="H501" s="653">
        <v>1800</v>
      </c>
      <c r="I501" s="653">
        <f t="shared" si="39"/>
        <v>784</v>
      </c>
      <c r="J501" s="653">
        <v>0</v>
      </c>
      <c r="K501" s="653">
        <v>0</v>
      </c>
      <c r="L501" s="698">
        <v>784</v>
      </c>
      <c r="M501" s="957">
        <v>0.97950032030749523</v>
      </c>
      <c r="N501" s="653">
        <v>95.898880000000005</v>
      </c>
      <c r="O501" s="669" t="s">
        <v>1219</v>
      </c>
      <c r="P501" s="463" t="s">
        <v>1588</v>
      </c>
      <c r="Q501" s="852">
        <v>0</v>
      </c>
      <c r="R501" s="852">
        <v>0</v>
      </c>
      <c r="S501" s="852">
        <v>0</v>
      </c>
      <c r="T501" s="852">
        <v>0</v>
      </c>
      <c r="U501" s="463" t="s">
        <v>1215</v>
      </c>
      <c r="V501" s="466" t="s">
        <v>1216</v>
      </c>
      <c r="W501" s="653">
        <v>11789</v>
      </c>
      <c r="X501" s="463" t="s">
        <v>1532</v>
      </c>
      <c r="Y501" s="463" t="s">
        <v>1935</v>
      </c>
      <c r="Z501" s="463" t="s">
        <v>1534</v>
      </c>
      <c r="AA501" s="463" t="s">
        <v>1534</v>
      </c>
      <c r="AB501" s="459" t="s">
        <v>1534</v>
      </c>
    </row>
    <row r="502" spans="1:28" ht="24" customHeight="1">
      <c r="A502" s="584"/>
      <c r="B502" s="521" t="s">
        <v>675</v>
      </c>
      <c r="C502" s="522" t="s">
        <v>1220</v>
      </c>
      <c r="D502" s="524" t="s">
        <v>1221</v>
      </c>
      <c r="E502" s="653">
        <f t="shared" si="38"/>
        <v>60</v>
      </c>
      <c r="F502" s="653">
        <v>0</v>
      </c>
      <c r="G502" s="653">
        <v>0</v>
      </c>
      <c r="H502" s="653">
        <v>60</v>
      </c>
      <c r="I502" s="653">
        <f t="shared" si="39"/>
        <v>28.1</v>
      </c>
      <c r="J502" s="653">
        <v>0</v>
      </c>
      <c r="K502" s="653">
        <v>0</v>
      </c>
      <c r="L502" s="698">
        <v>28.1</v>
      </c>
      <c r="M502" s="957">
        <v>0.96090000000000009</v>
      </c>
      <c r="N502" s="653">
        <v>270.97000000000003</v>
      </c>
      <c r="O502" s="669" t="s">
        <v>1222</v>
      </c>
      <c r="P502" s="463" t="s">
        <v>1588</v>
      </c>
      <c r="Q502" s="852">
        <v>0</v>
      </c>
      <c r="R502" s="852">
        <v>0</v>
      </c>
      <c r="S502" s="852">
        <v>0</v>
      </c>
      <c r="T502" s="852">
        <v>0</v>
      </c>
      <c r="U502" s="463" t="s">
        <v>1168</v>
      </c>
      <c r="V502" s="466" t="s">
        <v>1223</v>
      </c>
      <c r="W502" s="653">
        <v>200</v>
      </c>
      <c r="X502" s="463" t="s">
        <v>1532</v>
      </c>
      <c r="Y502" s="463" t="s">
        <v>1533</v>
      </c>
      <c r="Z502" s="463" t="s">
        <v>1534</v>
      </c>
      <c r="AA502" s="463" t="s">
        <v>1534</v>
      </c>
      <c r="AB502" s="459" t="s">
        <v>1534</v>
      </c>
    </row>
    <row r="503" spans="1:28" ht="24" customHeight="1">
      <c r="A503" s="584"/>
      <c r="B503" s="521" t="s">
        <v>675</v>
      </c>
      <c r="C503" s="522" t="s">
        <v>1224</v>
      </c>
      <c r="D503" s="524" t="s">
        <v>1225</v>
      </c>
      <c r="E503" s="653">
        <f t="shared" si="38"/>
        <v>45</v>
      </c>
      <c r="F503" s="653">
        <v>0</v>
      </c>
      <c r="G503" s="653">
        <v>0</v>
      </c>
      <c r="H503" s="653">
        <v>45</v>
      </c>
      <c r="I503" s="653">
        <f t="shared" si="39"/>
        <v>23.8</v>
      </c>
      <c r="J503" s="653">
        <v>0</v>
      </c>
      <c r="K503" s="653">
        <v>0</v>
      </c>
      <c r="L503" s="698">
        <v>23.8</v>
      </c>
      <c r="M503" s="957">
        <v>0.96200000000000008</v>
      </c>
      <c r="N503" s="653">
        <v>227.99</v>
      </c>
      <c r="O503" s="669" t="s">
        <v>1167</v>
      </c>
      <c r="P503" s="463" t="s">
        <v>1588</v>
      </c>
      <c r="Q503" s="852">
        <v>0</v>
      </c>
      <c r="R503" s="852">
        <v>0</v>
      </c>
      <c r="S503" s="852">
        <v>0</v>
      </c>
      <c r="T503" s="852">
        <v>0</v>
      </c>
      <c r="U503" s="463" t="s">
        <v>1168</v>
      </c>
      <c r="V503" s="466" t="s">
        <v>1226</v>
      </c>
      <c r="W503" s="653">
        <v>370</v>
      </c>
      <c r="X503" s="463" t="s">
        <v>1532</v>
      </c>
      <c r="Y503" s="463" t="s">
        <v>1533</v>
      </c>
      <c r="Z503" s="463" t="s">
        <v>1534</v>
      </c>
      <c r="AA503" s="463" t="s">
        <v>1534</v>
      </c>
      <c r="AB503" s="459" t="s">
        <v>1534</v>
      </c>
    </row>
    <row r="504" spans="1:28" ht="24" customHeight="1">
      <c r="A504" s="584"/>
      <c r="B504" s="521" t="s">
        <v>675</v>
      </c>
      <c r="C504" s="522" t="s">
        <v>1227</v>
      </c>
      <c r="D504" s="524" t="s">
        <v>1228</v>
      </c>
      <c r="E504" s="653">
        <f t="shared" si="38"/>
        <v>64</v>
      </c>
      <c r="F504" s="653">
        <v>0</v>
      </c>
      <c r="G504" s="653">
        <v>0</v>
      </c>
      <c r="H504" s="653">
        <v>64</v>
      </c>
      <c r="I504" s="653">
        <f t="shared" si="39"/>
        <v>13.9</v>
      </c>
      <c r="J504" s="653">
        <v>0</v>
      </c>
      <c r="K504" s="653">
        <v>0</v>
      </c>
      <c r="L504" s="698">
        <v>13.9</v>
      </c>
      <c r="M504" s="957">
        <v>0.98470000000000002</v>
      </c>
      <c r="N504" s="653">
        <v>128.99</v>
      </c>
      <c r="O504" s="669" t="s">
        <v>1180</v>
      </c>
      <c r="P504" s="463" t="s">
        <v>1588</v>
      </c>
      <c r="Q504" s="852">
        <v>0</v>
      </c>
      <c r="R504" s="852">
        <v>0</v>
      </c>
      <c r="S504" s="852">
        <v>0</v>
      </c>
      <c r="T504" s="852">
        <v>0</v>
      </c>
      <c r="U504" s="463" t="s">
        <v>1168</v>
      </c>
      <c r="V504" s="466" t="s">
        <v>1229</v>
      </c>
      <c r="W504" s="653">
        <v>375</v>
      </c>
      <c r="X504" s="463" t="s">
        <v>1532</v>
      </c>
      <c r="Y504" s="463" t="s">
        <v>1533</v>
      </c>
      <c r="Z504" s="463" t="s">
        <v>1534</v>
      </c>
      <c r="AA504" s="463" t="s">
        <v>1534</v>
      </c>
      <c r="AB504" s="459" t="s">
        <v>1534</v>
      </c>
    </row>
    <row r="505" spans="1:28" ht="24" customHeight="1">
      <c r="A505" s="584"/>
      <c r="B505" s="521" t="s">
        <v>675</v>
      </c>
      <c r="C505" s="522" t="s">
        <v>1230</v>
      </c>
      <c r="D505" s="524" t="s">
        <v>1231</v>
      </c>
      <c r="E505" s="653">
        <f t="shared" si="38"/>
        <v>60</v>
      </c>
      <c r="F505" s="653">
        <v>0</v>
      </c>
      <c r="G505" s="653">
        <v>60</v>
      </c>
      <c r="H505" s="653">
        <v>0</v>
      </c>
      <c r="I505" s="653">
        <f t="shared" si="39"/>
        <v>22</v>
      </c>
      <c r="J505" s="653">
        <v>0</v>
      </c>
      <c r="K505" s="653">
        <v>22</v>
      </c>
      <c r="L505" s="698">
        <v>0</v>
      </c>
      <c r="M505" s="957">
        <v>0.91469999999999996</v>
      </c>
      <c r="N505" s="653">
        <v>353.99</v>
      </c>
      <c r="O505" s="669" t="s">
        <v>1232</v>
      </c>
      <c r="P505" s="463" t="s">
        <v>1588</v>
      </c>
      <c r="Q505" s="852">
        <v>0</v>
      </c>
      <c r="R505" s="852">
        <v>0</v>
      </c>
      <c r="S505" s="852">
        <v>0</v>
      </c>
      <c r="T505" s="852">
        <v>0</v>
      </c>
      <c r="U505" s="463" t="s">
        <v>1233</v>
      </c>
      <c r="V505" s="466" t="s">
        <v>1234</v>
      </c>
      <c r="W505" s="653">
        <v>413</v>
      </c>
      <c r="X505" s="463" t="s">
        <v>1532</v>
      </c>
      <c r="Y505" s="463"/>
      <c r="Z505" s="463" t="s">
        <v>1534</v>
      </c>
      <c r="AA505" s="463" t="s">
        <v>1534</v>
      </c>
      <c r="AB505" s="459" t="s">
        <v>1534</v>
      </c>
    </row>
    <row r="506" spans="1:28" ht="24" customHeight="1">
      <c r="A506" s="584"/>
      <c r="B506" s="521" t="s">
        <v>675</v>
      </c>
      <c r="C506" s="522" t="s">
        <v>1073</v>
      </c>
      <c r="D506" s="524" t="s">
        <v>1235</v>
      </c>
      <c r="E506" s="653">
        <f t="shared" si="38"/>
        <v>120</v>
      </c>
      <c r="F506" s="653">
        <v>0</v>
      </c>
      <c r="G506" s="653">
        <v>0</v>
      </c>
      <c r="H506" s="653">
        <v>120</v>
      </c>
      <c r="I506" s="653">
        <f t="shared" si="39"/>
        <v>45.1</v>
      </c>
      <c r="J506" s="653">
        <v>0</v>
      </c>
      <c r="K506" s="653">
        <v>0</v>
      </c>
      <c r="L506" s="698">
        <v>45.1</v>
      </c>
      <c r="M506" s="957">
        <v>0.87390000000000001</v>
      </c>
      <c r="N506" s="653">
        <v>291</v>
      </c>
      <c r="O506" s="669" t="s">
        <v>1195</v>
      </c>
      <c r="P506" s="463" t="s">
        <v>1588</v>
      </c>
      <c r="Q506" s="852">
        <v>0</v>
      </c>
      <c r="R506" s="852">
        <v>0</v>
      </c>
      <c r="S506" s="852">
        <v>0</v>
      </c>
      <c r="T506" s="852">
        <v>0</v>
      </c>
      <c r="U506" s="463" t="s">
        <v>1168</v>
      </c>
      <c r="V506" s="466" t="s">
        <v>1236</v>
      </c>
      <c r="W506" s="653">
        <v>320</v>
      </c>
      <c r="X506" s="463" t="s">
        <v>1532</v>
      </c>
      <c r="Y506" s="463" t="s">
        <v>1533</v>
      </c>
      <c r="Z506" s="463" t="s">
        <v>1534</v>
      </c>
      <c r="AA506" s="463" t="s">
        <v>1534</v>
      </c>
      <c r="AB506" s="459" t="s">
        <v>1534</v>
      </c>
    </row>
    <row r="507" spans="1:28" ht="24" customHeight="1">
      <c r="A507" s="584"/>
      <c r="B507" s="521" t="s">
        <v>675</v>
      </c>
      <c r="C507" s="522" t="s">
        <v>1237</v>
      </c>
      <c r="D507" s="524" t="s">
        <v>1238</v>
      </c>
      <c r="E507" s="653">
        <f t="shared" si="38"/>
        <v>400</v>
      </c>
      <c r="F507" s="653">
        <v>0</v>
      </c>
      <c r="G507" s="653">
        <v>0</v>
      </c>
      <c r="H507" s="653">
        <v>400</v>
      </c>
      <c r="I507" s="653">
        <f t="shared" si="39"/>
        <v>285.10000000000002</v>
      </c>
      <c r="J507" s="653">
        <v>0</v>
      </c>
      <c r="K507" s="653">
        <v>0</v>
      </c>
      <c r="L507" s="698">
        <v>285.10000000000002</v>
      </c>
      <c r="M507" s="957">
        <v>0.96489999999999998</v>
      </c>
      <c r="N507" s="653">
        <v>3993.72</v>
      </c>
      <c r="O507" s="669" t="s">
        <v>1239</v>
      </c>
      <c r="P507" s="463" t="s">
        <v>1588</v>
      </c>
      <c r="Q507" s="852">
        <v>0</v>
      </c>
      <c r="R507" s="852">
        <v>0</v>
      </c>
      <c r="S507" s="852">
        <v>0</v>
      </c>
      <c r="T507" s="852">
        <v>0</v>
      </c>
      <c r="U507" s="463" t="s">
        <v>1168</v>
      </c>
      <c r="V507" s="466" t="s">
        <v>1240</v>
      </c>
      <c r="W507" s="653">
        <v>8981</v>
      </c>
      <c r="X507" s="463" t="s">
        <v>1532</v>
      </c>
      <c r="Y507" s="463" t="s">
        <v>3161</v>
      </c>
      <c r="Z507" s="463" t="s">
        <v>1534</v>
      </c>
      <c r="AA507" s="463" t="s">
        <v>1534</v>
      </c>
      <c r="AB507" s="459" t="s">
        <v>1534</v>
      </c>
    </row>
    <row r="508" spans="1:28" ht="24" customHeight="1">
      <c r="A508" s="584"/>
      <c r="B508" s="521" t="s">
        <v>675</v>
      </c>
      <c r="C508" s="522" t="s">
        <v>2013</v>
      </c>
      <c r="D508" s="524" t="s">
        <v>1241</v>
      </c>
      <c r="E508" s="653">
        <f t="shared" si="38"/>
        <v>35</v>
      </c>
      <c r="F508" s="653">
        <v>0</v>
      </c>
      <c r="G508" s="653">
        <v>0</v>
      </c>
      <c r="H508" s="653">
        <v>35</v>
      </c>
      <c r="I508" s="653">
        <f t="shared" si="39"/>
        <v>54.3</v>
      </c>
      <c r="J508" s="653">
        <v>19.3</v>
      </c>
      <c r="K508" s="653">
        <v>0</v>
      </c>
      <c r="L508" s="698">
        <v>35</v>
      </c>
      <c r="M508" s="957">
        <v>0.97640000000000005</v>
      </c>
      <c r="N508" s="653">
        <v>455</v>
      </c>
      <c r="O508" s="669" t="s">
        <v>1172</v>
      </c>
      <c r="P508" s="463" t="s">
        <v>1588</v>
      </c>
      <c r="Q508" s="852">
        <v>0</v>
      </c>
      <c r="R508" s="852">
        <v>0</v>
      </c>
      <c r="S508" s="852">
        <v>0</v>
      </c>
      <c r="T508" s="852">
        <v>0</v>
      </c>
      <c r="U508" s="463" t="s">
        <v>1168</v>
      </c>
      <c r="V508" s="466" t="s">
        <v>1242</v>
      </c>
      <c r="W508" s="653">
        <v>170</v>
      </c>
      <c r="X508" s="463" t="s">
        <v>1532</v>
      </c>
      <c r="Y508" s="463" t="s">
        <v>1533</v>
      </c>
      <c r="Z508" s="463" t="s">
        <v>1534</v>
      </c>
      <c r="AA508" s="463" t="s">
        <v>1534</v>
      </c>
      <c r="AB508" s="459" t="s">
        <v>1534</v>
      </c>
    </row>
    <row r="509" spans="1:28" ht="24" customHeight="1">
      <c r="A509" s="584"/>
      <c r="B509" s="521" t="s">
        <v>675</v>
      </c>
      <c r="C509" s="522" t="s">
        <v>1243</v>
      </c>
      <c r="D509" s="524" t="s">
        <v>1244</v>
      </c>
      <c r="E509" s="653">
        <f t="shared" si="38"/>
        <v>95</v>
      </c>
      <c r="F509" s="653">
        <v>0</v>
      </c>
      <c r="G509" s="653">
        <v>0</v>
      </c>
      <c r="H509" s="653">
        <v>95</v>
      </c>
      <c r="I509" s="653">
        <f t="shared" si="39"/>
        <v>26.5</v>
      </c>
      <c r="J509" s="653">
        <v>0</v>
      </c>
      <c r="K509" s="653">
        <v>0</v>
      </c>
      <c r="L509" s="698">
        <v>26.5</v>
      </c>
      <c r="M509" s="957">
        <v>0.9779000000000001</v>
      </c>
      <c r="N509" s="653">
        <v>265</v>
      </c>
      <c r="O509" s="669" t="s">
        <v>1245</v>
      </c>
      <c r="P509" s="463" t="s">
        <v>1588</v>
      </c>
      <c r="Q509" s="852">
        <v>0</v>
      </c>
      <c r="R509" s="852">
        <v>0</v>
      </c>
      <c r="S509" s="852">
        <v>0</v>
      </c>
      <c r="T509" s="852">
        <v>0</v>
      </c>
      <c r="U509" s="463" t="s">
        <v>1168</v>
      </c>
      <c r="V509" s="466" t="s">
        <v>1246</v>
      </c>
      <c r="W509" s="653">
        <v>346</v>
      </c>
      <c r="X509" s="463" t="s">
        <v>1532</v>
      </c>
      <c r="Y509" s="463" t="s">
        <v>1533</v>
      </c>
      <c r="Z509" s="463" t="s">
        <v>1534</v>
      </c>
      <c r="AA509" s="463" t="s">
        <v>1534</v>
      </c>
      <c r="AB509" s="459" t="s">
        <v>1534</v>
      </c>
    </row>
    <row r="510" spans="1:28" ht="24" customHeight="1">
      <c r="A510" s="584"/>
      <c r="B510" s="521" t="s">
        <v>675</v>
      </c>
      <c r="C510" s="522" t="s">
        <v>1247</v>
      </c>
      <c r="D510" s="524" t="s">
        <v>1248</v>
      </c>
      <c r="E510" s="653">
        <f t="shared" si="38"/>
        <v>90</v>
      </c>
      <c r="F510" s="653">
        <v>0</v>
      </c>
      <c r="G510" s="653">
        <v>0</v>
      </c>
      <c r="H510" s="653">
        <v>90</v>
      </c>
      <c r="I510" s="653">
        <f t="shared" si="39"/>
        <v>64.900000000000006</v>
      </c>
      <c r="J510" s="653">
        <v>0</v>
      </c>
      <c r="K510" s="653">
        <v>0</v>
      </c>
      <c r="L510" s="698">
        <v>64.900000000000006</v>
      </c>
      <c r="M510" s="957">
        <v>0.93530000000000002</v>
      </c>
      <c r="N510" s="653">
        <v>549.02</v>
      </c>
      <c r="O510" s="669" t="s">
        <v>1249</v>
      </c>
      <c r="P510" s="463" t="s">
        <v>1588</v>
      </c>
      <c r="Q510" s="852">
        <v>0</v>
      </c>
      <c r="R510" s="852">
        <v>0</v>
      </c>
      <c r="S510" s="852">
        <v>0</v>
      </c>
      <c r="T510" s="852">
        <v>0</v>
      </c>
      <c r="U510" s="463" t="s">
        <v>1168</v>
      </c>
      <c r="V510" s="466" t="s">
        <v>1250</v>
      </c>
      <c r="W510" s="653">
        <v>724</v>
      </c>
      <c r="X510" s="463" t="s">
        <v>1532</v>
      </c>
      <c r="Y510" s="463" t="s">
        <v>1533</v>
      </c>
      <c r="Z510" s="463" t="s">
        <v>1534</v>
      </c>
      <c r="AA510" s="463" t="s">
        <v>1534</v>
      </c>
      <c r="AB510" s="459" t="s">
        <v>1534</v>
      </c>
    </row>
    <row r="511" spans="1:28" ht="24" customHeight="1">
      <c r="A511" s="584"/>
      <c r="B511" s="521" t="s">
        <v>675</v>
      </c>
      <c r="C511" s="522" t="s">
        <v>2115</v>
      </c>
      <c r="D511" s="524" t="s">
        <v>1251</v>
      </c>
      <c r="E511" s="653">
        <f t="shared" si="38"/>
        <v>40</v>
      </c>
      <c r="F511" s="653">
        <v>0</v>
      </c>
      <c r="G511" s="653">
        <v>0</v>
      </c>
      <c r="H511" s="653">
        <v>40</v>
      </c>
      <c r="I511" s="653">
        <f t="shared" si="39"/>
        <v>1.7</v>
      </c>
      <c r="J511" s="653">
        <v>0</v>
      </c>
      <c r="K511" s="653">
        <v>0</v>
      </c>
      <c r="L511" s="698">
        <v>1.7</v>
      </c>
      <c r="M511" s="957">
        <v>0.94739999999999991</v>
      </c>
      <c r="N511" s="653">
        <v>18</v>
      </c>
      <c r="O511" s="669" t="s">
        <v>1180</v>
      </c>
      <c r="P511" s="463" t="s">
        <v>1588</v>
      </c>
      <c r="Q511" s="852">
        <v>0</v>
      </c>
      <c r="R511" s="852">
        <v>0</v>
      </c>
      <c r="S511" s="852">
        <v>0</v>
      </c>
      <c r="T511" s="852">
        <v>0</v>
      </c>
      <c r="U511" s="463" t="s">
        <v>1168</v>
      </c>
      <c r="V511" s="466" t="s">
        <v>1229</v>
      </c>
      <c r="W511" s="653">
        <v>362</v>
      </c>
      <c r="X511" s="463" t="s">
        <v>1532</v>
      </c>
      <c r="Y511" s="463" t="s">
        <v>1533</v>
      </c>
      <c r="Z511" s="463" t="s">
        <v>1534</v>
      </c>
      <c r="AA511" s="463" t="s">
        <v>1534</v>
      </c>
      <c r="AB511" s="459" t="s">
        <v>1534</v>
      </c>
    </row>
    <row r="512" spans="1:28" ht="24" customHeight="1">
      <c r="A512" s="584"/>
      <c r="B512" s="521" t="s">
        <v>675</v>
      </c>
      <c r="C512" s="522" t="s">
        <v>1252</v>
      </c>
      <c r="D512" s="524" t="s">
        <v>1253</v>
      </c>
      <c r="E512" s="653">
        <f t="shared" si="38"/>
        <v>68</v>
      </c>
      <c r="F512" s="653">
        <v>0</v>
      </c>
      <c r="G512" s="653">
        <v>0</v>
      </c>
      <c r="H512" s="653">
        <v>68</v>
      </c>
      <c r="I512" s="653">
        <f t="shared" si="39"/>
        <v>14.5</v>
      </c>
      <c r="J512" s="653">
        <v>0</v>
      </c>
      <c r="K512" s="653">
        <v>0</v>
      </c>
      <c r="L512" s="698">
        <v>14.5</v>
      </c>
      <c r="M512" s="957">
        <v>0.97680000000000011</v>
      </c>
      <c r="N512" s="653">
        <v>169.4</v>
      </c>
      <c r="O512" s="669" t="s">
        <v>1254</v>
      </c>
      <c r="P512" s="463" t="s">
        <v>1588</v>
      </c>
      <c r="Q512" s="852">
        <v>0</v>
      </c>
      <c r="R512" s="852">
        <v>0</v>
      </c>
      <c r="S512" s="852">
        <v>0</v>
      </c>
      <c r="T512" s="852">
        <v>0</v>
      </c>
      <c r="U512" s="463" t="s">
        <v>1168</v>
      </c>
      <c r="V512" s="466" t="s">
        <v>1229</v>
      </c>
      <c r="W512" s="653">
        <v>386</v>
      </c>
      <c r="X512" s="463" t="s">
        <v>1532</v>
      </c>
      <c r="Y512" s="463" t="s">
        <v>1533</v>
      </c>
      <c r="Z512" s="463" t="s">
        <v>1534</v>
      </c>
      <c r="AA512" s="463" t="s">
        <v>1534</v>
      </c>
      <c r="AB512" s="459" t="s">
        <v>1534</v>
      </c>
    </row>
    <row r="513" spans="1:28" ht="24" customHeight="1">
      <c r="A513" s="584"/>
      <c r="B513" s="521" t="s">
        <v>675</v>
      </c>
      <c r="C513" s="522" t="s">
        <v>1255</v>
      </c>
      <c r="D513" s="524" t="s">
        <v>1256</v>
      </c>
      <c r="E513" s="653">
        <f t="shared" si="38"/>
        <v>40</v>
      </c>
      <c r="F513" s="653">
        <v>0</v>
      </c>
      <c r="G513" s="653">
        <v>0</v>
      </c>
      <c r="H513" s="653">
        <v>40</v>
      </c>
      <c r="I513" s="653">
        <f t="shared" si="39"/>
        <v>6.6</v>
      </c>
      <c r="J513" s="653">
        <v>0</v>
      </c>
      <c r="K513" s="653">
        <v>0</v>
      </c>
      <c r="L513" s="698">
        <v>6.6</v>
      </c>
      <c r="M513" s="957">
        <v>0.96</v>
      </c>
      <c r="N513" s="653">
        <v>48</v>
      </c>
      <c r="O513" s="669" t="s">
        <v>1257</v>
      </c>
      <c r="P513" s="463" t="s">
        <v>1588</v>
      </c>
      <c r="Q513" s="852">
        <v>0</v>
      </c>
      <c r="R513" s="852">
        <v>0</v>
      </c>
      <c r="S513" s="852">
        <v>0</v>
      </c>
      <c r="T513" s="852">
        <v>0</v>
      </c>
      <c r="U513" s="463" t="s">
        <v>1168</v>
      </c>
      <c r="V513" s="466" t="s">
        <v>1258</v>
      </c>
      <c r="W513" s="653">
        <v>169</v>
      </c>
      <c r="X513" s="463" t="s">
        <v>1532</v>
      </c>
      <c r="Y513" s="463" t="s">
        <v>1533</v>
      </c>
      <c r="Z513" s="463" t="s">
        <v>1534</v>
      </c>
      <c r="AA513" s="463" t="s">
        <v>1534</v>
      </c>
      <c r="AB513" s="459" t="s">
        <v>1534</v>
      </c>
    </row>
    <row r="514" spans="1:28" ht="24" customHeight="1">
      <c r="A514" s="582" t="s">
        <v>1614</v>
      </c>
      <c r="B514" s="521" t="s">
        <v>2201</v>
      </c>
      <c r="C514" s="522" t="s">
        <v>2395</v>
      </c>
      <c r="D514" s="524" t="s">
        <v>1259</v>
      </c>
      <c r="E514" s="653">
        <f>F514+G514+H514</f>
        <v>70000</v>
      </c>
      <c r="F514" s="653">
        <v>0</v>
      </c>
      <c r="G514" s="653">
        <v>70000</v>
      </c>
      <c r="H514" s="653">
        <v>0</v>
      </c>
      <c r="I514" s="653">
        <f>J514+K514+L514</f>
        <v>53376</v>
      </c>
      <c r="J514" s="653">
        <v>0</v>
      </c>
      <c r="K514" s="653">
        <v>53376</v>
      </c>
      <c r="L514" s="698">
        <v>0</v>
      </c>
      <c r="M514" s="957">
        <v>0.97633136094674555</v>
      </c>
      <c r="N514" s="653">
        <v>6164.9279999999999</v>
      </c>
      <c r="O514" s="669" t="s">
        <v>1260</v>
      </c>
      <c r="P514" s="463" t="s">
        <v>1588</v>
      </c>
      <c r="Q514" s="852">
        <v>73.099999999999994</v>
      </c>
      <c r="R514" s="852">
        <v>0</v>
      </c>
      <c r="S514" s="852">
        <v>35.5</v>
      </c>
      <c r="T514" s="852">
        <v>0</v>
      </c>
      <c r="U514" s="463" t="s">
        <v>1261</v>
      </c>
      <c r="V514" s="463" t="s">
        <v>1262</v>
      </c>
      <c r="W514" s="653">
        <v>41171</v>
      </c>
      <c r="X514" s="463" t="s">
        <v>1532</v>
      </c>
      <c r="Y514" s="463" t="s">
        <v>3336</v>
      </c>
      <c r="Z514" s="463" t="s">
        <v>579</v>
      </c>
      <c r="AA514" s="463" t="s">
        <v>1615</v>
      </c>
      <c r="AB514" s="459" t="s">
        <v>1534</v>
      </c>
    </row>
    <row r="515" spans="1:28" ht="24" customHeight="1">
      <c r="A515" s="584"/>
      <c r="B515" s="521" t="s">
        <v>2201</v>
      </c>
      <c r="C515" s="522" t="s">
        <v>1263</v>
      </c>
      <c r="D515" s="524" t="s">
        <v>1264</v>
      </c>
      <c r="E515" s="653">
        <f>F515+G515+H515</f>
        <v>1200</v>
      </c>
      <c r="F515" s="653">
        <v>0</v>
      </c>
      <c r="G515" s="653">
        <v>1200</v>
      </c>
      <c r="H515" s="653">
        <v>0</v>
      </c>
      <c r="I515" s="653">
        <f>J515+K515+L515</f>
        <v>926</v>
      </c>
      <c r="J515" s="653">
        <v>0</v>
      </c>
      <c r="K515" s="653">
        <v>926</v>
      </c>
      <c r="L515" s="698">
        <v>0</v>
      </c>
      <c r="M515" s="957">
        <v>0.96200000000000008</v>
      </c>
      <c r="N515" s="653">
        <v>743</v>
      </c>
      <c r="O515" s="669" t="s">
        <v>3347</v>
      </c>
      <c r="P515" s="463" t="s">
        <v>1588</v>
      </c>
      <c r="Q515" s="852">
        <v>0</v>
      </c>
      <c r="R515" s="852">
        <v>0</v>
      </c>
      <c r="S515" s="852">
        <v>0</v>
      </c>
      <c r="T515" s="852">
        <v>0</v>
      </c>
      <c r="U515" s="463" t="s">
        <v>1265</v>
      </c>
      <c r="V515" s="463" t="s">
        <v>1266</v>
      </c>
      <c r="W515" s="653">
        <v>9314</v>
      </c>
      <c r="X515" s="463" t="s">
        <v>1532</v>
      </c>
      <c r="Y515" s="463" t="s">
        <v>3336</v>
      </c>
      <c r="Z515" s="463" t="s">
        <v>1267</v>
      </c>
      <c r="AA515" s="463" t="s">
        <v>1615</v>
      </c>
      <c r="AB515" s="459" t="s">
        <v>1534</v>
      </c>
    </row>
    <row r="516" spans="1:28" ht="24" customHeight="1">
      <c r="A516" s="584"/>
      <c r="B516" s="521" t="s">
        <v>3837</v>
      </c>
      <c r="C516" s="522" t="s">
        <v>1268</v>
      </c>
      <c r="D516" s="524" t="s">
        <v>1269</v>
      </c>
      <c r="E516" s="653">
        <f t="shared" ref="E516:E534" si="40">F516+G516+H516</f>
        <v>40</v>
      </c>
      <c r="F516" s="653">
        <v>0</v>
      </c>
      <c r="G516" s="653">
        <v>40</v>
      </c>
      <c r="H516" s="653">
        <v>0</v>
      </c>
      <c r="I516" s="653">
        <f t="shared" ref="I516:I534" si="41">J516+K516+L516</f>
        <v>40</v>
      </c>
      <c r="J516" s="653">
        <v>0</v>
      </c>
      <c r="K516" s="653">
        <v>40</v>
      </c>
      <c r="L516" s="698">
        <v>0</v>
      </c>
      <c r="M516" s="957">
        <v>0.94</v>
      </c>
      <c r="N516" s="653">
        <v>1022</v>
      </c>
      <c r="O516" s="669" t="s">
        <v>1270</v>
      </c>
      <c r="P516" s="463" t="s">
        <v>1588</v>
      </c>
      <c r="Q516" s="852">
        <v>0</v>
      </c>
      <c r="R516" s="852">
        <v>0</v>
      </c>
      <c r="S516" s="852">
        <v>0</v>
      </c>
      <c r="T516" s="852">
        <v>0</v>
      </c>
      <c r="U516" s="463" t="s">
        <v>1271</v>
      </c>
      <c r="V516" s="463" t="s">
        <v>1272</v>
      </c>
      <c r="W516" s="653">
        <v>258</v>
      </c>
      <c r="X516" s="463" t="s">
        <v>2243</v>
      </c>
      <c r="Y516" s="463" t="s">
        <v>1273</v>
      </c>
      <c r="Z516" s="463"/>
      <c r="AA516" s="463" t="s">
        <v>3640</v>
      </c>
      <c r="AB516" s="459" t="s">
        <v>1595</v>
      </c>
    </row>
    <row r="517" spans="1:28" ht="24" customHeight="1">
      <c r="A517" s="584"/>
      <c r="B517" s="521" t="s">
        <v>3837</v>
      </c>
      <c r="C517" s="522" t="s">
        <v>1274</v>
      </c>
      <c r="D517" s="524" t="s">
        <v>1275</v>
      </c>
      <c r="E517" s="653">
        <f t="shared" si="40"/>
        <v>160</v>
      </c>
      <c r="F517" s="653">
        <v>0</v>
      </c>
      <c r="G517" s="653">
        <v>0</v>
      </c>
      <c r="H517" s="653">
        <v>160</v>
      </c>
      <c r="I517" s="653">
        <f t="shared" si="41"/>
        <v>144</v>
      </c>
      <c r="J517" s="653">
        <v>0</v>
      </c>
      <c r="K517" s="653">
        <v>0</v>
      </c>
      <c r="L517" s="698">
        <v>144</v>
      </c>
      <c r="M517" s="957">
        <v>0.93</v>
      </c>
      <c r="N517" s="653">
        <v>3642</v>
      </c>
      <c r="O517" s="669" t="s">
        <v>1276</v>
      </c>
      <c r="P517" s="463" t="s">
        <v>1588</v>
      </c>
      <c r="Q517" s="852">
        <v>0</v>
      </c>
      <c r="R517" s="852">
        <v>0</v>
      </c>
      <c r="S517" s="852">
        <v>0</v>
      </c>
      <c r="T517" s="852">
        <v>0</v>
      </c>
      <c r="U517" s="463" t="s">
        <v>1271</v>
      </c>
      <c r="V517" s="463" t="s">
        <v>1277</v>
      </c>
      <c r="W517" s="653">
        <v>375</v>
      </c>
      <c r="X517" s="463" t="s">
        <v>2243</v>
      </c>
      <c r="Y517" s="463" t="s">
        <v>1273</v>
      </c>
      <c r="Z517" s="463"/>
      <c r="AA517" s="463" t="s">
        <v>3640</v>
      </c>
      <c r="AB517" s="459" t="s">
        <v>1595</v>
      </c>
    </row>
    <row r="518" spans="1:28" ht="24" customHeight="1">
      <c r="A518" s="584"/>
      <c r="B518" s="521" t="s">
        <v>3837</v>
      </c>
      <c r="C518" s="522" t="s">
        <v>1278</v>
      </c>
      <c r="D518" s="524" t="s">
        <v>1279</v>
      </c>
      <c r="E518" s="653">
        <f t="shared" si="40"/>
        <v>48</v>
      </c>
      <c r="F518" s="653">
        <v>0</v>
      </c>
      <c r="G518" s="653">
        <v>0</v>
      </c>
      <c r="H518" s="653">
        <v>48</v>
      </c>
      <c r="I518" s="653">
        <f t="shared" si="41"/>
        <v>44</v>
      </c>
      <c r="J518" s="653">
        <v>0</v>
      </c>
      <c r="K518" s="653">
        <v>0</v>
      </c>
      <c r="L518" s="698">
        <v>44</v>
      </c>
      <c r="M518" s="957">
        <v>0.94</v>
      </c>
      <c r="N518" s="653">
        <v>591</v>
      </c>
      <c r="O518" s="669" t="s">
        <v>1280</v>
      </c>
      <c r="P518" s="463" t="s">
        <v>1588</v>
      </c>
      <c r="Q518" s="852">
        <v>0</v>
      </c>
      <c r="R518" s="852">
        <v>0</v>
      </c>
      <c r="S518" s="852">
        <v>0</v>
      </c>
      <c r="T518" s="852">
        <v>0</v>
      </c>
      <c r="U518" s="463" t="s">
        <v>1271</v>
      </c>
      <c r="V518" s="463" t="s">
        <v>1272</v>
      </c>
      <c r="W518" s="653">
        <v>259</v>
      </c>
      <c r="X518" s="463" t="s">
        <v>2243</v>
      </c>
      <c r="Y518" s="463" t="s">
        <v>1273</v>
      </c>
      <c r="Z518" s="463"/>
      <c r="AA518" s="463" t="s">
        <v>3640</v>
      </c>
      <c r="AB518" s="459" t="s">
        <v>1595</v>
      </c>
    </row>
    <row r="519" spans="1:28" ht="24" customHeight="1">
      <c r="A519" s="584"/>
      <c r="B519" s="521" t="s">
        <v>3837</v>
      </c>
      <c r="C519" s="522" t="s">
        <v>1281</v>
      </c>
      <c r="D519" s="524" t="s">
        <v>1282</v>
      </c>
      <c r="E519" s="653">
        <f t="shared" si="40"/>
        <v>68</v>
      </c>
      <c r="F519" s="653">
        <v>0</v>
      </c>
      <c r="G519" s="653">
        <v>0</v>
      </c>
      <c r="H519" s="653">
        <v>68</v>
      </c>
      <c r="I519" s="653">
        <f t="shared" si="41"/>
        <v>39</v>
      </c>
      <c r="J519" s="653">
        <v>0</v>
      </c>
      <c r="K519" s="653">
        <v>0</v>
      </c>
      <c r="L519" s="698">
        <v>39</v>
      </c>
      <c r="M519" s="957">
        <v>0.94</v>
      </c>
      <c r="N519" s="653">
        <v>448</v>
      </c>
      <c r="O519" s="669" t="s">
        <v>1283</v>
      </c>
      <c r="P519" s="463" t="s">
        <v>1588</v>
      </c>
      <c r="Q519" s="852">
        <v>0</v>
      </c>
      <c r="R519" s="852">
        <v>0</v>
      </c>
      <c r="S519" s="852">
        <v>0</v>
      </c>
      <c r="T519" s="852">
        <v>0</v>
      </c>
      <c r="U519" s="463" t="s">
        <v>1271</v>
      </c>
      <c r="V519" s="463" t="s">
        <v>1272</v>
      </c>
      <c r="W519" s="653">
        <v>280</v>
      </c>
      <c r="X519" s="463" t="s">
        <v>2243</v>
      </c>
      <c r="Y519" s="463" t="s">
        <v>1273</v>
      </c>
      <c r="Z519" s="463"/>
      <c r="AA519" s="463" t="s">
        <v>3640</v>
      </c>
      <c r="AB519" s="459" t="s">
        <v>1595</v>
      </c>
    </row>
    <row r="520" spans="1:28" ht="24" customHeight="1">
      <c r="A520" s="584"/>
      <c r="B520" s="521" t="s">
        <v>3837</v>
      </c>
      <c r="C520" s="522" t="s">
        <v>1284</v>
      </c>
      <c r="D520" s="524" t="s">
        <v>1285</v>
      </c>
      <c r="E520" s="653">
        <f t="shared" si="40"/>
        <v>190</v>
      </c>
      <c r="F520" s="653">
        <v>0</v>
      </c>
      <c r="G520" s="653">
        <v>0</v>
      </c>
      <c r="H520" s="653">
        <v>190</v>
      </c>
      <c r="I520" s="653">
        <f t="shared" si="41"/>
        <v>110</v>
      </c>
      <c r="J520" s="653">
        <v>0</v>
      </c>
      <c r="K520" s="653">
        <v>0</v>
      </c>
      <c r="L520" s="698">
        <v>110</v>
      </c>
      <c r="M520" s="957">
        <v>0.95</v>
      </c>
      <c r="N520" s="653">
        <v>1444</v>
      </c>
      <c r="O520" s="669" t="s">
        <v>1280</v>
      </c>
      <c r="P520" s="463" t="s">
        <v>1588</v>
      </c>
      <c r="Q520" s="852">
        <v>0</v>
      </c>
      <c r="R520" s="852">
        <v>0</v>
      </c>
      <c r="S520" s="852">
        <v>0</v>
      </c>
      <c r="T520" s="852">
        <v>0</v>
      </c>
      <c r="U520" s="463" t="s">
        <v>1271</v>
      </c>
      <c r="V520" s="463" t="s">
        <v>1286</v>
      </c>
      <c r="W520" s="653">
        <v>495</v>
      </c>
      <c r="X520" s="463" t="s">
        <v>2243</v>
      </c>
      <c r="Y520" s="463" t="s">
        <v>1273</v>
      </c>
      <c r="Z520" s="463"/>
      <c r="AA520" s="463" t="s">
        <v>3640</v>
      </c>
      <c r="AB520" s="459" t="s">
        <v>1595</v>
      </c>
    </row>
    <row r="521" spans="1:28" ht="24" customHeight="1">
      <c r="A521" s="584"/>
      <c r="B521" s="521" t="s">
        <v>3837</v>
      </c>
      <c r="C521" s="522" t="s">
        <v>1287</v>
      </c>
      <c r="D521" s="524" t="s">
        <v>1285</v>
      </c>
      <c r="E521" s="653">
        <f t="shared" si="40"/>
        <v>170</v>
      </c>
      <c r="F521" s="653">
        <v>0</v>
      </c>
      <c r="G521" s="653">
        <v>0</v>
      </c>
      <c r="H521" s="653">
        <v>170</v>
      </c>
      <c r="I521" s="653">
        <f t="shared" si="41"/>
        <v>110</v>
      </c>
      <c r="J521" s="653">
        <v>0</v>
      </c>
      <c r="K521" s="653">
        <v>0</v>
      </c>
      <c r="L521" s="698">
        <v>110</v>
      </c>
      <c r="M521" s="957">
        <v>0.95</v>
      </c>
      <c r="N521" s="653">
        <v>1444</v>
      </c>
      <c r="O521" s="669" t="s">
        <v>1280</v>
      </c>
      <c r="P521" s="463" t="s">
        <v>1588</v>
      </c>
      <c r="Q521" s="852">
        <v>0</v>
      </c>
      <c r="R521" s="852">
        <v>0</v>
      </c>
      <c r="S521" s="852">
        <v>0</v>
      </c>
      <c r="T521" s="852">
        <v>0</v>
      </c>
      <c r="U521" s="463" t="s">
        <v>1271</v>
      </c>
      <c r="V521" s="463" t="s">
        <v>1288</v>
      </c>
      <c r="W521" s="653">
        <v>291</v>
      </c>
      <c r="X521" s="463" t="s">
        <v>2243</v>
      </c>
      <c r="Y521" s="463" t="s">
        <v>1273</v>
      </c>
      <c r="Z521" s="463"/>
      <c r="AA521" s="463" t="s">
        <v>3640</v>
      </c>
      <c r="AB521" s="459" t="s">
        <v>1595</v>
      </c>
    </row>
    <row r="522" spans="1:28" ht="24" customHeight="1">
      <c r="A522" s="584"/>
      <c r="B522" s="521" t="s">
        <v>3837</v>
      </c>
      <c r="C522" s="522" t="s">
        <v>1289</v>
      </c>
      <c r="D522" s="524" t="s">
        <v>1290</v>
      </c>
      <c r="E522" s="653">
        <f t="shared" si="40"/>
        <v>34</v>
      </c>
      <c r="F522" s="653">
        <v>0</v>
      </c>
      <c r="G522" s="653">
        <v>0</v>
      </c>
      <c r="H522" s="653">
        <v>34</v>
      </c>
      <c r="I522" s="653">
        <f t="shared" si="41"/>
        <v>32</v>
      </c>
      <c r="J522" s="653">
        <v>0</v>
      </c>
      <c r="K522" s="653">
        <v>0</v>
      </c>
      <c r="L522" s="698">
        <v>32</v>
      </c>
      <c r="M522" s="957">
        <v>0.94</v>
      </c>
      <c r="N522" s="653">
        <v>700</v>
      </c>
      <c r="O522" s="669" t="s">
        <v>1283</v>
      </c>
      <c r="P522" s="463" t="s">
        <v>1588</v>
      </c>
      <c r="Q522" s="852">
        <v>0</v>
      </c>
      <c r="R522" s="852">
        <v>0</v>
      </c>
      <c r="S522" s="852">
        <v>0</v>
      </c>
      <c r="T522" s="852">
        <v>0</v>
      </c>
      <c r="U522" s="463" t="s">
        <v>1271</v>
      </c>
      <c r="V522" s="463" t="s">
        <v>1272</v>
      </c>
      <c r="W522" s="653">
        <v>280</v>
      </c>
      <c r="X522" s="463" t="s">
        <v>2243</v>
      </c>
      <c r="Y522" s="463" t="s">
        <v>1273</v>
      </c>
      <c r="Z522" s="463"/>
      <c r="AA522" s="463" t="s">
        <v>3640</v>
      </c>
      <c r="AB522" s="459" t="s">
        <v>1595</v>
      </c>
    </row>
    <row r="523" spans="1:28" ht="24" customHeight="1">
      <c r="A523" s="584"/>
      <c r="B523" s="521" t="s">
        <v>3837</v>
      </c>
      <c r="C523" s="522" t="s">
        <v>1291</v>
      </c>
      <c r="D523" s="524" t="s">
        <v>1292</v>
      </c>
      <c r="E523" s="653">
        <f t="shared" si="40"/>
        <v>35</v>
      </c>
      <c r="F523" s="653">
        <v>0</v>
      </c>
      <c r="G523" s="653">
        <v>0</v>
      </c>
      <c r="H523" s="653">
        <v>35</v>
      </c>
      <c r="I523" s="653">
        <f t="shared" si="41"/>
        <v>34</v>
      </c>
      <c r="J523" s="653">
        <v>0</v>
      </c>
      <c r="K523" s="653">
        <v>0</v>
      </c>
      <c r="L523" s="698">
        <v>34</v>
      </c>
      <c r="M523" s="957">
        <v>0.93</v>
      </c>
      <c r="N523" s="653">
        <v>480</v>
      </c>
      <c r="O523" s="669" t="s">
        <v>1280</v>
      </c>
      <c r="P523" s="463" t="s">
        <v>1588</v>
      </c>
      <c r="Q523" s="852">
        <v>0</v>
      </c>
      <c r="R523" s="852">
        <v>0</v>
      </c>
      <c r="S523" s="852">
        <v>0</v>
      </c>
      <c r="T523" s="852">
        <v>0</v>
      </c>
      <c r="U523" s="463" t="s">
        <v>1271</v>
      </c>
      <c r="V523" s="463" t="s">
        <v>1293</v>
      </c>
      <c r="W523" s="653">
        <v>224</v>
      </c>
      <c r="X523" s="463" t="s">
        <v>2243</v>
      </c>
      <c r="Y523" s="463" t="s">
        <v>1273</v>
      </c>
      <c r="Z523" s="463"/>
      <c r="AA523" s="463" t="s">
        <v>3640</v>
      </c>
      <c r="AB523" s="459" t="s">
        <v>1595</v>
      </c>
    </row>
    <row r="524" spans="1:28" ht="24" customHeight="1">
      <c r="A524" s="584"/>
      <c r="B524" s="521" t="s">
        <v>3837</v>
      </c>
      <c r="C524" s="522" t="s">
        <v>1294</v>
      </c>
      <c r="D524" s="524" t="s">
        <v>1295</v>
      </c>
      <c r="E524" s="653">
        <f t="shared" si="40"/>
        <v>58</v>
      </c>
      <c r="F524" s="653">
        <v>0</v>
      </c>
      <c r="G524" s="653">
        <v>0</v>
      </c>
      <c r="H524" s="653">
        <v>58</v>
      </c>
      <c r="I524" s="653">
        <f t="shared" si="41"/>
        <v>33</v>
      </c>
      <c r="J524" s="653">
        <v>0</v>
      </c>
      <c r="K524" s="653">
        <v>0</v>
      </c>
      <c r="L524" s="698">
        <v>33</v>
      </c>
      <c r="M524" s="957">
        <v>0.93</v>
      </c>
      <c r="N524" s="653">
        <v>368</v>
      </c>
      <c r="O524" s="669" t="s">
        <v>1280</v>
      </c>
      <c r="P524" s="463" t="s">
        <v>1588</v>
      </c>
      <c r="Q524" s="852">
        <v>0</v>
      </c>
      <c r="R524" s="852">
        <v>0</v>
      </c>
      <c r="S524" s="852">
        <v>0</v>
      </c>
      <c r="T524" s="852">
        <v>0</v>
      </c>
      <c r="U524" s="463" t="s">
        <v>1271</v>
      </c>
      <c r="V524" s="463" t="s">
        <v>1293</v>
      </c>
      <c r="W524" s="653">
        <v>222</v>
      </c>
      <c r="X524" s="463" t="s">
        <v>2243</v>
      </c>
      <c r="Y524" s="463" t="s">
        <v>1273</v>
      </c>
      <c r="Z524" s="463"/>
      <c r="AA524" s="463" t="s">
        <v>3640</v>
      </c>
      <c r="AB524" s="459" t="s">
        <v>1595</v>
      </c>
    </row>
    <row r="525" spans="1:28" ht="24" customHeight="1">
      <c r="A525" s="584"/>
      <c r="B525" s="521" t="s">
        <v>3837</v>
      </c>
      <c r="C525" s="522" t="s">
        <v>1296</v>
      </c>
      <c r="D525" s="524" t="s">
        <v>1297</v>
      </c>
      <c r="E525" s="653">
        <f t="shared" si="40"/>
        <v>160</v>
      </c>
      <c r="F525" s="653">
        <v>0</v>
      </c>
      <c r="G525" s="653">
        <v>0</v>
      </c>
      <c r="H525" s="653">
        <v>160</v>
      </c>
      <c r="I525" s="653">
        <f t="shared" si="41"/>
        <v>107</v>
      </c>
      <c r="J525" s="653">
        <v>0</v>
      </c>
      <c r="K525" s="653">
        <v>0</v>
      </c>
      <c r="L525" s="698">
        <v>107</v>
      </c>
      <c r="M525" s="957">
        <v>0.95</v>
      </c>
      <c r="N525" s="653">
        <v>1697</v>
      </c>
      <c r="O525" s="669" t="s">
        <v>1280</v>
      </c>
      <c r="P525" s="463" t="s">
        <v>1588</v>
      </c>
      <c r="Q525" s="852">
        <v>0</v>
      </c>
      <c r="R525" s="852">
        <v>0</v>
      </c>
      <c r="S525" s="852">
        <v>0</v>
      </c>
      <c r="T525" s="852">
        <v>0</v>
      </c>
      <c r="U525" s="463" t="s">
        <v>1271</v>
      </c>
      <c r="V525" s="463" t="s">
        <v>1298</v>
      </c>
      <c r="W525" s="653">
        <v>400</v>
      </c>
      <c r="X525" s="463" t="s">
        <v>2243</v>
      </c>
      <c r="Y525" s="463" t="s">
        <v>1273</v>
      </c>
      <c r="Z525" s="463"/>
      <c r="AA525" s="463" t="s">
        <v>3640</v>
      </c>
      <c r="AB525" s="459" t="s">
        <v>1595</v>
      </c>
    </row>
    <row r="526" spans="1:28" ht="24" customHeight="1">
      <c r="A526" s="584"/>
      <c r="B526" s="521" t="s">
        <v>3837</v>
      </c>
      <c r="C526" s="522" t="s">
        <v>1299</v>
      </c>
      <c r="D526" s="524" t="s">
        <v>1297</v>
      </c>
      <c r="E526" s="653">
        <f t="shared" si="40"/>
        <v>120</v>
      </c>
      <c r="F526" s="653">
        <v>0</v>
      </c>
      <c r="G526" s="653">
        <v>0</v>
      </c>
      <c r="H526" s="653">
        <v>120</v>
      </c>
      <c r="I526" s="653">
        <f t="shared" si="41"/>
        <v>89</v>
      </c>
      <c r="J526" s="653">
        <v>0</v>
      </c>
      <c r="K526" s="653">
        <v>0</v>
      </c>
      <c r="L526" s="698">
        <v>89</v>
      </c>
      <c r="M526" s="957">
        <v>0.95</v>
      </c>
      <c r="N526" s="653">
        <v>1389</v>
      </c>
      <c r="O526" s="669" t="s">
        <v>1280</v>
      </c>
      <c r="P526" s="463" t="s">
        <v>1588</v>
      </c>
      <c r="Q526" s="852">
        <v>0</v>
      </c>
      <c r="R526" s="852">
        <v>0</v>
      </c>
      <c r="S526" s="852">
        <v>0</v>
      </c>
      <c r="T526" s="852">
        <v>0</v>
      </c>
      <c r="U526" s="463" t="s">
        <v>1271</v>
      </c>
      <c r="V526" s="463" t="s">
        <v>1298</v>
      </c>
      <c r="W526" s="653">
        <v>302</v>
      </c>
      <c r="X526" s="463" t="s">
        <v>2243</v>
      </c>
      <c r="Y526" s="463" t="s">
        <v>1273</v>
      </c>
      <c r="Z526" s="463"/>
      <c r="AA526" s="463" t="s">
        <v>3640</v>
      </c>
      <c r="AB526" s="459" t="s">
        <v>1595</v>
      </c>
    </row>
    <row r="527" spans="1:28" ht="24" customHeight="1">
      <c r="A527" s="584"/>
      <c r="B527" s="521" t="s">
        <v>3837</v>
      </c>
      <c r="C527" s="522" t="s">
        <v>1300</v>
      </c>
      <c r="D527" s="524" t="s">
        <v>1301</v>
      </c>
      <c r="E527" s="653">
        <f t="shared" si="40"/>
        <v>60</v>
      </c>
      <c r="F527" s="653">
        <v>0</v>
      </c>
      <c r="G527" s="653">
        <v>60</v>
      </c>
      <c r="H527" s="653">
        <v>0</v>
      </c>
      <c r="I527" s="653">
        <f t="shared" si="41"/>
        <v>43</v>
      </c>
      <c r="J527" s="653">
        <v>0</v>
      </c>
      <c r="K527" s="653">
        <v>43</v>
      </c>
      <c r="L527" s="698">
        <v>0</v>
      </c>
      <c r="M527" s="957">
        <v>0.92</v>
      </c>
      <c r="N527" s="653">
        <v>207</v>
      </c>
      <c r="O527" s="669" t="s">
        <v>1302</v>
      </c>
      <c r="P527" s="463" t="s">
        <v>1588</v>
      </c>
      <c r="Q527" s="852">
        <v>0</v>
      </c>
      <c r="R527" s="852">
        <v>0</v>
      </c>
      <c r="S527" s="852">
        <v>0</v>
      </c>
      <c r="T527" s="852">
        <v>0</v>
      </c>
      <c r="U527" s="463" t="s">
        <v>1271</v>
      </c>
      <c r="V527" s="463" t="s">
        <v>1303</v>
      </c>
      <c r="W527" s="653">
        <v>384</v>
      </c>
      <c r="X527" s="463" t="s">
        <v>2243</v>
      </c>
      <c r="Y527" s="463" t="s">
        <v>1273</v>
      </c>
      <c r="Z527" s="463" t="s">
        <v>1304</v>
      </c>
      <c r="AA527" s="463" t="s">
        <v>3640</v>
      </c>
      <c r="AB527" s="459" t="s">
        <v>1595</v>
      </c>
    </row>
    <row r="528" spans="1:28" ht="24" customHeight="1">
      <c r="A528" s="584"/>
      <c r="B528" s="521" t="s">
        <v>3837</v>
      </c>
      <c r="C528" s="522" t="s">
        <v>1305</v>
      </c>
      <c r="D528" s="524" t="s">
        <v>1306</v>
      </c>
      <c r="E528" s="653">
        <f t="shared" si="40"/>
        <v>70</v>
      </c>
      <c r="F528" s="653">
        <v>0</v>
      </c>
      <c r="G528" s="653">
        <v>0</v>
      </c>
      <c r="H528" s="653">
        <v>70</v>
      </c>
      <c r="I528" s="653">
        <f t="shared" si="41"/>
        <v>47</v>
      </c>
      <c r="J528" s="653">
        <v>0</v>
      </c>
      <c r="K528" s="653">
        <v>0</v>
      </c>
      <c r="L528" s="698">
        <v>47</v>
      </c>
      <c r="M528" s="957">
        <v>0.95</v>
      </c>
      <c r="N528" s="653">
        <v>582</v>
      </c>
      <c r="O528" s="669" t="s">
        <v>1307</v>
      </c>
      <c r="P528" s="463" t="s">
        <v>1588</v>
      </c>
      <c r="Q528" s="852">
        <v>0</v>
      </c>
      <c r="R528" s="852">
        <v>0</v>
      </c>
      <c r="S528" s="852">
        <v>0</v>
      </c>
      <c r="T528" s="852">
        <v>0</v>
      </c>
      <c r="U528" s="463" t="s">
        <v>1271</v>
      </c>
      <c r="V528" s="463" t="s">
        <v>1288</v>
      </c>
      <c r="W528" s="653">
        <v>149</v>
      </c>
      <c r="X528" s="463" t="s">
        <v>2243</v>
      </c>
      <c r="Y528" s="463" t="s">
        <v>1273</v>
      </c>
      <c r="Z528" s="463"/>
      <c r="AA528" s="463" t="s">
        <v>3640</v>
      </c>
      <c r="AB528" s="459" t="s">
        <v>1595</v>
      </c>
    </row>
    <row r="529" spans="1:28" ht="24" customHeight="1">
      <c r="A529" s="584"/>
      <c r="B529" s="521" t="s">
        <v>3837</v>
      </c>
      <c r="C529" s="522" t="s">
        <v>1308</v>
      </c>
      <c r="D529" s="524" t="s">
        <v>1309</v>
      </c>
      <c r="E529" s="653">
        <f t="shared" si="40"/>
        <v>70</v>
      </c>
      <c r="F529" s="653">
        <v>0</v>
      </c>
      <c r="G529" s="653">
        <v>0</v>
      </c>
      <c r="H529" s="653">
        <v>70</v>
      </c>
      <c r="I529" s="653">
        <f t="shared" si="41"/>
        <v>47</v>
      </c>
      <c r="J529" s="653">
        <v>0</v>
      </c>
      <c r="K529" s="653">
        <v>0</v>
      </c>
      <c r="L529" s="698">
        <v>47</v>
      </c>
      <c r="M529" s="957">
        <v>0.94</v>
      </c>
      <c r="N529" s="653">
        <v>254</v>
      </c>
      <c r="O529" s="669" t="s">
        <v>1280</v>
      </c>
      <c r="P529" s="463" t="s">
        <v>1588</v>
      </c>
      <c r="Q529" s="852">
        <v>0</v>
      </c>
      <c r="R529" s="852">
        <v>0</v>
      </c>
      <c r="S529" s="852">
        <v>0</v>
      </c>
      <c r="T529" s="852">
        <v>0</v>
      </c>
      <c r="U529" s="463" t="s">
        <v>1271</v>
      </c>
      <c r="V529" s="463" t="s">
        <v>1310</v>
      </c>
      <c r="W529" s="653">
        <v>167</v>
      </c>
      <c r="X529" s="463" t="s">
        <v>2243</v>
      </c>
      <c r="Y529" s="463" t="s">
        <v>1273</v>
      </c>
      <c r="Z529" s="463"/>
      <c r="AA529" s="463" t="s">
        <v>3640</v>
      </c>
      <c r="AB529" s="459" t="s">
        <v>1595</v>
      </c>
    </row>
    <row r="530" spans="1:28" ht="24" customHeight="1">
      <c r="A530" s="584"/>
      <c r="B530" s="521" t="s">
        <v>3837</v>
      </c>
      <c r="C530" s="522" t="s">
        <v>1311</v>
      </c>
      <c r="D530" s="524" t="s">
        <v>1312</v>
      </c>
      <c r="E530" s="653">
        <f t="shared" si="40"/>
        <v>70</v>
      </c>
      <c r="F530" s="653">
        <v>0</v>
      </c>
      <c r="G530" s="653">
        <v>0</v>
      </c>
      <c r="H530" s="653">
        <v>70</v>
      </c>
      <c r="I530" s="653">
        <f t="shared" si="41"/>
        <v>51</v>
      </c>
      <c r="J530" s="653">
        <v>0</v>
      </c>
      <c r="K530" s="653">
        <v>0</v>
      </c>
      <c r="L530" s="698">
        <v>51</v>
      </c>
      <c r="M530" s="957">
        <v>0.94</v>
      </c>
      <c r="N530" s="653">
        <v>239</v>
      </c>
      <c r="O530" s="669" t="s">
        <v>1280</v>
      </c>
      <c r="P530" s="463" t="s">
        <v>1588</v>
      </c>
      <c r="Q530" s="852">
        <v>0</v>
      </c>
      <c r="R530" s="852">
        <v>0</v>
      </c>
      <c r="S530" s="852">
        <v>0</v>
      </c>
      <c r="T530" s="852">
        <v>0</v>
      </c>
      <c r="U530" s="463" t="s">
        <v>1271</v>
      </c>
      <c r="V530" s="463" t="s">
        <v>1310</v>
      </c>
      <c r="W530" s="653">
        <v>222</v>
      </c>
      <c r="X530" s="463" t="s">
        <v>2243</v>
      </c>
      <c r="Y530" s="463" t="s">
        <v>1273</v>
      </c>
      <c r="Z530" s="463" t="s">
        <v>1313</v>
      </c>
      <c r="AA530" s="463" t="s">
        <v>3640</v>
      </c>
      <c r="AB530" s="459" t="s">
        <v>1595</v>
      </c>
    </row>
    <row r="531" spans="1:28" ht="24" customHeight="1">
      <c r="A531" s="584"/>
      <c r="B531" s="521" t="s">
        <v>3837</v>
      </c>
      <c r="C531" s="522" t="s">
        <v>1314</v>
      </c>
      <c r="D531" s="524" t="s">
        <v>1315</v>
      </c>
      <c r="E531" s="653">
        <f t="shared" si="40"/>
        <v>200</v>
      </c>
      <c r="F531" s="653">
        <v>0</v>
      </c>
      <c r="G531" s="653">
        <v>0</v>
      </c>
      <c r="H531" s="653">
        <v>200</v>
      </c>
      <c r="I531" s="653">
        <f t="shared" si="41"/>
        <v>176</v>
      </c>
      <c r="J531" s="653">
        <v>0</v>
      </c>
      <c r="K531" s="653">
        <v>0</v>
      </c>
      <c r="L531" s="698">
        <v>176</v>
      </c>
      <c r="M531" s="957">
        <v>0.95</v>
      </c>
      <c r="N531" s="653">
        <v>1188</v>
      </c>
      <c r="O531" s="669" t="s">
        <v>1280</v>
      </c>
      <c r="P531" s="463" t="s">
        <v>1588</v>
      </c>
      <c r="Q531" s="852">
        <v>0</v>
      </c>
      <c r="R531" s="852">
        <v>0</v>
      </c>
      <c r="S531" s="852">
        <v>0</v>
      </c>
      <c r="T531" s="852">
        <v>0</v>
      </c>
      <c r="U531" s="463" t="s">
        <v>1271</v>
      </c>
      <c r="V531" s="463" t="s">
        <v>1288</v>
      </c>
      <c r="W531" s="653">
        <v>354</v>
      </c>
      <c r="X531" s="463" t="s">
        <v>2243</v>
      </c>
      <c r="Y531" s="463" t="s">
        <v>1273</v>
      </c>
      <c r="Z531" s="463" t="s">
        <v>1316</v>
      </c>
      <c r="AA531" s="463" t="s">
        <v>3640</v>
      </c>
      <c r="AB531" s="459" t="s">
        <v>1595</v>
      </c>
    </row>
    <row r="532" spans="1:28" ht="24" customHeight="1">
      <c r="A532" s="584"/>
      <c r="B532" s="521" t="s">
        <v>3837</v>
      </c>
      <c r="C532" s="522" t="s">
        <v>1317</v>
      </c>
      <c r="D532" s="524" t="s">
        <v>1318</v>
      </c>
      <c r="E532" s="653">
        <f t="shared" si="40"/>
        <v>40</v>
      </c>
      <c r="F532" s="653">
        <v>0</v>
      </c>
      <c r="G532" s="653">
        <v>0</v>
      </c>
      <c r="H532" s="653">
        <v>40</v>
      </c>
      <c r="I532" s="653">
        <f t="shared" si="41"/>
        <v>36</v>
      </c>
      <c r="J532" s="653">
        <v>0</v>
      </c>
      <c r="K532" s="653">
        <v>0</v>
      </c>
      <c r="L532" s="698">
        <v>36</v>
      </c>
      <c r="M532" s="957">
        <v>0.93</v>
      </c>
      <c r="N532" s="653">
        <v>495</v>
      </c>
      <c r="O532" s="669" t="s">
        <v>1280</v>
      </c>
      <c r="P532" s="463" t="s">
        <v>1588</v>
      </c>
      <c r="Q532" s="852">
        <v>0</v>
      </c>
      <c r="R532" s="852">
        <v>0</v>
      </c>
      <c r="S532" s="852">
        <v>0</v>
      </c>
      <c r="T532" s="852">
        <v>0</v>
      </c>
      <c r="U532" s="463" t="s">
        <v>1271</v>
      </c>
      <c r="V532" s="463" t="s">
        <v>1298</v>
      </c>
      <c r="W532" s="653">
        <v>200</v>
      </c>
      <c r="X532" s="463" t="s">
        <v>2243</v>
      </c>
      <c r="Y532" s="463" t="s">
        <v>1273</v>
      </c>
      <c r="Z532" s="463" t="s">
        <v>1316</v>
      </c>
      <c r="AA532" s="463" t="s">
        <v>3640</v>
      </c>
      <c r="AB532" s="459" t="s">
        <v>1595</v>
      </c>
    </row>
    <row r="533" spans="1:28" ht="24" customHeight="1">
      <c r="A533" s="584"/>
      <c r="B533" s="521" t="s">
        <v>3837</v>
      </c>
      <c r="C533" s="522" t="s">
        <v>1319</v>
      </c>
      <c r="D533" s="524" t="s">
        <v>1320</v>
      </c>
      <c r="E533" s="653">
        <f t="shared" si="40"/>
        <v>35</v>
      </c>
      <c r="F533" s="653">
        <v>0</v>
      </c>
      <c r="G533" s="653">
        <v>0</v>
      </c>
      <c r="H533" s="653">
        <v>35</v>
      </c>
      <c r="I533" s="653">
        <f t="shared" si="41"/>
        <v>33</v>
      </c>
      <c r="J533" s="653">
        <v>0</v>
      </c>
      <c r="K533" s="653">
        <v>0</v>
      </c>
      <c r="L533" s="698">
        <v>33</v>
      </c>
      <c r="M533" s="957">
        <v>0.95</v>
      </c>
      <c r="N533" s="653">
        <v>407</v>
      </c>
      <c r="O533" s="669" t="s">
        <v>1321</v>
      </c>
      <c r="P533" s="463" t="s">
        <v>1588</v>
      </c>
      <c r="Q533" s="852">
        <v>0</v>
      </c>
      <c r="R533" s="852">
        <v>0</v>
      </c>
      <c r="S533" s="852">
        <v>0</v>
      </c>
      <c r="T533" s="852">
        <v>0</v>
      </c>
      <c r="U533" s="463" t="s">
        <v>1271</v>
      </c>
      <c r="V533" s="463" t="s">
        <v>1322</v>
      </c>
      <c r="W533" s="653">
        <v>129</v>
      </c>
      <c r="X533" s="463" t="s">
        <v>2243</v>
      </c>
      <c r="Y533" s="463" t="s">
        <v>1273</v>
      </c>
      <c r="Z533" s="463" t="s">
        <v>1323</v>
      </c>
      <c r="AA533" s="463" t="s">
        <v>3640</v>
      </c>
      <c r="AB533" s="459" t="s">
        <v>1595</v>
      </c>
    </row>
    <row r="534" spans="1:28" ht="24" customHeight="1">
      <c r="A534" s="583"/>
      <c r="B534" s="521" t="s">
        <v>3837</v>
      </c>
      <c r="C534" s="522" t="s">
        <v>1324</v>
      </c>
      <c r="D534" s="524" t="s">
        <v>1325</v>
      </c>
      <c r="E534" s="653">
        <f t="shared" si="40"/>
        <v>90</v>
      </c>
      <c r="F534" s="653">
        <v>0</v>
      </c>
      <c r="G534" s="653">
        <v>0</v>
      </c>
      <c r="H534" s="653">
        <v>90</v>
      </c>
      <c r="I534" s="653">
        <f t="shared" si="41"/>
        <v>65</v>
      </c>
      <c r="J534" s="653">
        <v>0</v>
      </c>
      <c r="K534" s="653">
        <v>0</v>
      </c>
      <c r="L534" s="698">
        <v>65</v>
      </c>
      <c r="M534" s="957">
        <v>0.95</v>
      </c>
      <c r="N534" s="653">
        <v>223</v>
      </c>
      <c r="O534" s="669" t="s">
        <v>1321</v>
      </c>
      <c r="P534" s="463" t="s">
        <v>1588</v>
      </c>
      <c r="Q534" s="852">
        <v>0</v>
      </c>
      <c r="R534" s="852">
        <v>0</v>
      </c>
      <c r="S534" s="852">
        <v>0</v>
      </c>
      <c r="T534" s="852">
        <v>0</v>
      </c>
      <c r="U534" s="463" t="s">
        <v>1271</v>
      </c>
      <c r="V534" s="463" t="s">
        <v>1326</v>
      </c>
      <c r="W534" s="653">
        <v>168</v>
      </c>
      <c r="X534" s="463" t="s">
        <v>2243</v>
      </c>
      <c r="Y534" s="463" t="s">
        <v>1273</v>
      </c>
      <c r="Z534" s="463"/>
      <c r="AA534" s="463" t="s">
        <v>3640</v>
      </c>
      <c r="AB534" s="459" t="s">
        <v>1595</v>
      </c>
    </row>
    <row r="535" spans="1:28" ht="24" customHeight="1">
      <c r="A535" s="584" t="s">
        <v>1616</v>
      </c>
      <c r="B535" s="522" t="s">
        <v>5942</v>
      </c>
      <c r="C535" s="579"/>
      <c r="D535" s="579"/>
      <c r="E535" s="498" t="s">
        <v>6174</v>
      </c>
      <c r="F535" s="498">
        <v>0</v>
      </c>
      <c r="G535" s="498" t="s">
        <v>6175</v>
      </c>
      <c r="H535" s="498" t="s">
        <v>6176</v>
      </c>
      <c r="I535" s="498" t="s">
        <v>7398</v>
      </c>
      <c r="J535" s="498" t="s">
        <v>6177</v>
      </c>
      <c r="K535" s="498" t="s">
        <v>6178</v>
      </c>
      <c r="L535" s="668" t="s">
        <v>6179</v>
      </c>
      <c r="M535" s="957"/>
      <c r="N535" s="653" t="s">
        <v>6180</v>
      </c>
      <c r="O535" s="669" t="s">
        <v>1588</v>
      </c>
      <c r="P535" s="463" t="s">
        <v>1588</v>
      </c>
      <c r="Q535" s="854">
        <f>SUM(Q536:Q634)</f>
        <v>395.5</v>
      </c>
      <c r="R535" s="852">
        <f>SUM(R536:R634)</f>
        <v>124.3</v>
      </c>
      <c r="S535" s="852">
        <f>SUM(S536:S634)</f>
        <v>262.09999999999997</v>
      </c>
      <c r="T535" s="852">
        <f>SUM(T536:T634)</f>
        <v>380.7</v>
      </c>
      <c r="U535" s="463"/>
      <c r="V535" s="463"/>
      <c r="W535" s="653">
        <f>SUM(W536:W634)</f>
        <v>351625</v>
      </c>
      <c r="X535" s="463"/>
      <c r="Y535" s="463"/>
      <c r="Z535" s="463"/>
      <c r="AA535" s="463"/>
      <c r="AB535" s="459"/>
    </row>
    <row r="536" spans="1:28" ht="24" customHeight="1">
      <c r="A536" s="582" t="s">
        <v>1617</v>
      </c>
      <c r="B536" s="521" t="s">
        <v>2201</v>
      </c>
      <c r="C536" s="522" t="s">
        <v>1327</v>
      </c>
      <c r="D536" s="524" t="s">
        <v>1328</v>
      </c>
      <c r="E536" s="653">
        <f>F536+G536+H536</f>
        <v>8000</v>
      </c>
      <c r="F536" s="653">
        <v>0</v>
      </c>
      <c r="G536" s="653">
        <v>0</v>
      </c>
      <c r="H536" s="653">
        <v>8000</v>
      </c>
      <c r="I536" s="653">
        <f>J536+K536+L536</f>
        <v>3835</v>
      </c>
      <c r="J536" s="653">
        <v>0</v>
      </c>
      <c r="K536" s="653">
        <v>0</v>
      </c>
      <c r="L536" s="698">
        <v>3835</v>
      </c>
      <c r="M536" s="957">
        <v>0.93264733395696908</v>
      </c>
      <c r="N536" s="653">
        <v>382.34949999999998</v>
      </c>
      <c r="O536" s="669" t="s">
        <v>3388</v>
      </c>
      <c r="P536" s="463" t="s">
        <v>3388</v>
      </c>
      <c r="Q536" s="852">
        <v>0</v>
      </c>
      <c r="R536" s="852">
        <v>0</v>
      </c>
      <c r="S536" s="852">
        <v>0</v>
      </c>
      <c r="T536" s="852">
        <v>0</v>
      </c>
      <c r="U536" s="463" t="s">
        <v>1329</v>
      </c>
      <c r="V536" s="466" t="s">
        <v>1330</v>
      </c>
      <c r="W536" s="653">
        <v>29854</v>
      </c>
      <c r="X536" s="463" t="s">
        <v>2199</v>
      </c>
      <c r="Y536" s="463" t="s">
        <v>3399</v>
      </c>
      <c r="Z536" s="463" t="s">
        <v>1618</v>
      </c>
      <c r="AA536" s="463" t="s">
        <v>1592</v>
      </c>
      <c r="AB536" s="459" t="s">
        <v>1592</v>
      </c>
    </row>
    <row r="537" spans="1:28" ht="24" customHeight="1">
      <c r="A537" s="584"/>
      <c r="B537" s="521" t="s">
        <v>2201</v>
      </c>
      <c r="C537" s="522" t="s">
        <v>1331</v>
      </c>
      <c r="D537" s="524" t="s">
        <v>1332</v>
      </c>
      <c r="E537" s="653">
        <f>F537+G537+H537</f>
        <v>700</v>
      </c>
      <c r="F537" s="653">
        <v>0</v>
      </c>
      <c r="G537" s="653">
        <v>0</v>
      </c>
      <c r="H537" s="653">
        <v>700</v>
      </c>
      <c r="I537" s="653">
        <f>J537+K537+L537</f>
        <v>652</v>
      </c>
      <c r="J537" s="653">
        <v>0</v>
      </c>
      <c r="K537" s="653">
        <v>0</v>
      </c>
      <c r="L537" s="698">
        <v>652</v>
      </c>
      <c r="M537" s="957">
        <v>0.98326159732185558</v>
      </c>
      <c r="N537" s="653">
        <v>134.05119999999999</v>
      </c>
      <c r="O537" s="669" t="s">
        <v>3208</v>
      </c>
      <c r="P537" s="463" t="s">
        <v>3208</v>
      </c>
      <c r="Q537" s="852">
        <v>0</v>
      </c>
      <c r="R537" s="852">
        <v>0</v>
      </c>
      <c r="S537" s="852">
        <v>0</v>
      </c>
      <c r="T537" s="852">
        <v>0</v>
      </c>
      <c r="U537" s="463" t="s">
        <v>1333</v>
      </c>
      <c r="V537" s="466" t="s">
        <v>1334</v>
      </c>
      <c r="W537" s="653">
        <v>14400</v>
      </c>
      <c r="X537" s="463" t="s">
        <v>2199</v>
      </c>
      <c r="Y537" s="463" t="s">
        <v>3399</v>
      </c>
      <c r="Z537" s="463" t="s">
        <v>1613</v>
      </c>
      <c r="AA537" s="463" t="s">
        <v>1615</v>
      </c>
      <c r="AB537" s="459" t="s">
        <v>1534</v>
      </c>
    </row>
    <row r="538" spans="1:28" ht="24" customHeight="1">
      <c r="A538" s="584"/>
      <c r="B538" s="521" t="s">
        <v>2201</v>
      </c>
      <c r="C538" s="522" t="s">
        <v>1335</v>
      </c>
      <c r="D538" s="524" t="s">
        <v>1336</v>
      </c>
      <c r="E538" s="653">
        <v>1000</v>
      </c>
      <c r="F538" s="653">
        <v>0</v>
      </c>
      <c r="G538" s="653">
        <v>1000</v>
      </c>
      <c r="H538" s="653">
        <v>0</v>
      </c>
      <c r="I538" s="653">
        <v>513</v>
      </c>
      <c r="J538" s="653">
        <v>0</v>
      </c>
      <c r="K538" s="653">
        <v>513</v>
      </c>
      <c r="L538" s="698">
        <v>0</v>
      </c>
      <c r="M538" s="957">
        <v>0.9786666666666668</v>
      </c>
      <c r="N538" s="653">
        <v>37.654200000000003</v>
      </c>
      <c r="O538" s="669" t="s">
        <v>1337</v>
      </c>
      <c r="P538" s="463" t="s">
        <v>1588</v>
      </c>
      <c r="Q538" s="852">
        <v>0</v>
      </c>
      <c r="R538" s="852">
        <v>0</v>
      </c>
      <c r="S538" s="855">
        <v>0</v>
      </c>
      <c r="T538" s="852">
        <v>0</v>
      </c>
      <c r="U538" s="463" t="s">
        <v>1338</v>
      </c>
      <c r="V538" s="466" t="s">
        <v>1339</v>
      </c>
      <c r="W538" s="653">
        <v>2286</v>
      </c>
      <c r="X538" s="463" t="s">
        <v>1532</v>
      </c>
      <c r="Y538" s="463" t="s">
        <v>1273</v>
      </c>
      <c r="Z538" s="463" t="s">
        <v>1340</v>
      </c>
      <c r="AA538" s="463" t="s">
        <v>1592</v>
      </c>
      <c r="AB538" s="459" t="s">
        <v>1341</v>
      </c>
    </row>
    <row r="539" spans="1:28" ht="24" customHeight="1">
      <c r="A539" s="584"/>
      <c r="B539" s="521" t="s">
        <v>2201</v>
      </c>
      <c r="C539" s="522" t="s">
        <v>1342</v>
      </c>
      <c r="D539" s="524" t="s">
        <v>1343</v>
      </c>
      <c r="E539" s="653">
        <v>500</v>
      </c>
      <c r="F539" s="653">
        <v>0</v>
      </c>
      <c r="G539" s="653">
        <v>500</v>
      </c>
      <c r="H539" s="653">
        <v>0</v>
      </c>
      <c r="I539" s="653">
        <v>280.5</v>
      </c>
      <c r="J539" s="653">
        <v>0</v>
      </c>
      <c r="K539" s="653">
        <v>280.5</v>
      </c>
      <c r="L539" s="698">
        <v>0</v>
      </c>
      <c r="M539" s="957">
        <v>0.95849871291077793</v>
      </c>
      <c r="N539" s="653">
        <v>23.358235708525338</v>
      </c>
      <c r="O539" s="669" t="s">
        <v>1344</v>
      </c>
      <c r="P539" s="463" t="s">
        <v>1588</v>
      </c>
      <c r="Q539" s="852">
        <v>0</v>
      </c>
      <c r="R539" s="852">
        <v>0</v>
      </c>
      <c r="S539" s="852">
        <v>0</v>
      </c>
      <c r="T539" s="852">
        <v>0</v>
      </c>
      <c r="U539" s="463" t="s">
        <v>1338</v>
      </c>
      <c r="V539" s="463" t="s">
        <v>1345</v>
      </c>
      <c r="W539" s="653">
        <v>4950</v>
      </c>
      <c r="X539" s="463" t="s">
        <v>1532</v>
      </c>
      <c r="Y539" s="463" t="s">
        <v>1273</v>
      </c>
      <c r="Z539" s="463" t="s">
        <v>1346</v>
      </c>
      <c r="AA539" s="463" t="s">
        <v>1347</v>
      </c>
      <c r="AB539" s="459" t="s">
        <v>1341</v>
      </c>
    </row>
    <row r="540" spans="1:28" ht="24" customHeight="1">
      <c r="A540" s="584"/>
      <c r="B540" s="521" t="s">
        <v>2201</v>
      </c>
      <c r="C540" s="522" t="s">
        <v>1348</v>
      </c>
      <c r="D540" s="524" t="s">
        <v>1349</v>
      </c>
      <c r="E540" s="653">
        <v>150</v>
      </c>
      <c r="F540" s="653">
        <v>0</v>
      </c>
      <c r="G540" s="653">
        <v>150</v>
      </c>
      <c r="H540" s="653">
        <v>0</v>
      </c>
      <c r="I540" s="653">
        <v>141.4</v>
      </c>
      <c r="J540" s="653">
        <v>0</v>
      </c>
      <c r="K540" s="653">
        <v>141.4</v>
      </c>
      <c r="L540" s="698">
        <v>0</v>
      </c>
      <c r="M540" s="957">
        <v>0.91740436583722296</v>
      </c>
      <c r="N540" s="653">
        <v>5.3871681370967748</v>
      </c>
      <c r="O540" s="669" t="s">
        <v>1350</v>
      </c>
      <c r="P540" s="463" t="s">
        <v>1588</v>
      </c>
      <c r="Q540" s="852">
        <v>0</v>
      </c>
      <c r="R540" s="852">
        <v>0</v>
      </c>
      <c r="S540" s="855">
        <v>0</v>
      </c>
      <c r="T540" s="852">
        <v>0</v>
      </c>
      <c r="U540" s="463" t="s">
        <v>1351</v>
      </c>
      <c r="V540" s="466" t="s">
        <v>1352</v>
      </c>
      <c r="W540" s="653">
        <v>229</v>
      </c>
      <c r="X540" s="463" t="s">
        <v>1532</v>
      </c>
      <c r="Y540" s="463" t="s">
        <v>1273</v>
      </c>
      <c r="Z540" s="463" t="s">
        <v>1340</v>
      </c>
      <c r="AA540" s="463" t="s">
        <v>1592</v>
      </c>
      <c r="AB540" s="459" t="s">
        <v>1341</v>
      </c>
    </row>
    <row r="541" spans="1:28" ht="24" customHeight="1">
      <c r="A541" s="584"/>
      <c r="B541" s="521" t="s">
        <v>675</v>
      </c>
      <c r="C541" s="522" t="s">
        <v>1353</v>
      </c>
      <c r="D541" s="524" t="s">
        <v>1354</v>
      </c>
      <c r="E541" s="653">
        <f t="shared" ref="E541:E548" si="42">SUM(F541:H541)</f>
        <v>25</v>
      </c>
      <c r="F541" s="653" t="s">
        <v>1991</v>
      </c>
      <c r="G541" s="653">
        <v>25</v>
      </c>
      <c r="H541" s="653" t="s">
        <v>1991</v>
      </c>
      <c r="I541" s="653">
        <v>18.8</v>
      </c>
      <c r="J541" s="653" t="s">
        <v>1991</v>
      </c>
      <c r="K541" s="653">
        <v>18.8</v>
      </c>
      <c r="L541" s="698" t="s">
        <v>1991</v>
      </c>
      <c r="M541" s="957"/>
      <c r="N541" s="653" t="s">
        <v>1991</v>
      </c>
      <c r="O541" s="669" t="s">
        <v>1355</v>
      </c>
      <c r="P541" s="463" t="s">
        <v>1991</v>
      </c>
      <c r="Q541" s="852" t="s">
        <v>1991</v>
      </c>
      <c r="R541" s="852" t="s">
        <v>1991</v>
      </c>
      <c r="S541" s="852" t="s">
        <v>1991</v>
      </c>
      <c r="T541" s="852" t="s">
        <v>1991</v>
      </c>
      <c r="U541" s="463" t="s">
        <v>7465</v>
      </c>
      <c r="V541" s="463" t="s">
        <v>1356</v>
      </c>
      <c r="W541" s="653">
        <v>197</v>
      </c>
      <c r="X541" s="463" t="s">
        <v>2243</v>
      </c>
      <c r="Y541" s="463" t="s">
        <v>1273</v>
      </c>
      <c r="Z541" s="463" t="s">
        <v>1357</v>
      </c>
      <c r="AA541" s="463" t="s">
        <v>1618</v>
      </c>
      <c r="AB541" s="459" t="s">
        <v>1358</v>
      </c>
    </row>
    <row r="542" spans="1:28" ht="24" customHeight="1">
      <c r="A542" s="584"/>
      <c r="B542" s="521" t="s">
        <v>675</v>
      </c>
      <c r="C542" s="522" t="s">
        <v>1359</v>
      </c>
      <c r="D542" s="524" t="s">
        <v>1360</v>
      </c>
      <c r="E542" s="653">
        <f t="shared" si="42"/>
        <v>30</v>
      </c>
      <c r="F542" s="653" t="s">
        <v>1991</v>
      </c>
      <c r="G542" s="653">
        <v>30</v>
      </c>
      <c r="H542" s="653" t="s">
        <v>1991</v>
      </c>
      <c r="I542" s="653">
        <v>15.2</v>
      </c>
      <c r="J542" s="653" t="s">
        <v>1991</v>
      </c>
      <c r="K542" s="653">
        <v>15.2</v>
      </c>
      <c r="L542" s="698" t="s">
        <v>1991</v>
      </c>
      <c r="M542" s="957"/>
      <c r="N542" s="653" t="s">
        <v>1991</v>
      </c>
      <c r="O542" s="669" t="s">
        <v>1355</v>
      </c>
      <c r="P542" s="463" t="s">
        <v>1991</v>
      </c>
      <c r="Q542" s="852" t="s">
        <v>1991</v>
      </c>
      <c r="R542" s="852" t="s">
        <v>1991</v>
      </c>
      <c r="S542" s="852" t="s">
        <v>1991</v>
      </c>
      <c r="T542" s="852" t="s">
        <v>1991</v>
      </c>
      <c r="U542" s="463" t="s">
        <v>7465</v>
      </c>
      <c r="V542" s="463" t="s">
        <v>1356</v>
      </c>
      <c r="W542" s="653">
        <v>205</v>
      </c>
      <c r="X542" s="463" t="s">
        <v>2243</v>
      </c>
      <c r="Y542" s="463" t="s">
        <v>1273</v>
      </c>
      <c r="Z542" s="463" t="s">
        <v>1357</v>
      </c>
      <c r="AA542" s="463" t="s">
        <v>1618</v>
      </c>
      <c r="AB542" s="459" t="s">
        <v>1358</v>
      </c>
    </row>
    <row r="543" spans="1:28" ht="24" customHeight="1">
      <c r="A543" s="584"/>
      <c r="B543" s="521" t="s">
        <v>675</v>
      </c>
      <c r="C543" s="522" t="s">
        <v>1361</v>
      </c>
      <c r="D543" s="524" t="s">
        <v>1362</v>
      </c>
      <c r="E543" s="653">
        <f t="shared" si="42"/>
        <v>65</v>
      </c>
      <c r="F543" s="653" t="s">
        <v>1991</v>
      </c>
      <c r="G543" s="653">
        <v>65</v>
      </c>
      <c r="H543" s="653" t="s">
        <v>1991</v>
      </c>
      <c r="I543" s="653">
        <v>53.5</v>
      </c>
      <c r="J543" s="653" t="s">
        <v>1991</v>
      </c>
      <c r="K543" s="653">
        <v>53.5</v>
      </c>
      <c r="L543" s="698" t="s">
        <v>1991</v>
      </c>
      <c r="M543" s="957"/>
      <c r="N543" s="653" t="s">
        <v>1991</v>
      </c>
      <c r="O543" s="669" t="s">
        <v>1363</v>
      </c>
      <c r="P543" s="463" t="s">
        <v>1991</v>
      </c>
      <c r="Q543" s="852" t="s">
        <v>1991</v>
      </c>
      <c r="R543" s="852" t="s">
        <v>1991</v>
      </c>
      <c r="S543" s="852" t="s">
        <v>1991</v>
      </c>
      <c r="T543" s="852" t="s">
        <v>1991</v>
      </c>
      <c r="U543" s="463" t="s">
        <v>7465</v>
      </c>
      <c r="V543" s="463" t="s">
        <v>1364</v>
      </c>
      <c r="W543" s="653">
        <v>124</v>
      </c>
      <c r="X543" s="463" t="s">
        <v>2243</v>
      </c>
      <c r="Y543" s="463" t="s">
        <v>1273</v>
      </c>
      <c r="Z543" s="463" t="s">
        <v>1613</v>
      </c>
      <c r="AA543" s="463" t="s">
        <v>1615</v>
      </c>
      <c r="AB543" s="459" t="s">
        <v>1534</v>
      </c>
    </row>
    <row r="544" spans="1:28" ht="24" customHeight="1">
      <c r="A544" s="584"/>
      <c r="B544" s="521" t="s">
        <v>675</v>
      </c>
      <c r="C544" s="522" t="s">
        <v>1365</v>
      </c>
      <c r="D544" s="524" t="s">
        <v>1366</v>
      </c>
      <c r="E544" s="653">
        <f t="shared" si="42"/>
        <v>34</v>
      </c>
      <c r="F544" s="653" t="s">
        <v>1991</v>
      </c>
      <c r="G544" s="653">
        <v>34</v>
      </c>
      <c r="H544" s="653" t="s">
        <v>1991</v>
      </c>
      <c r="I544" s="653">
        <v>27</v>
      </c>
      <c r="J544" s="653" t="s">
        <v>1991</v>
      </c>
      <c r="K544" s="653">
        <v>27</v>
      </c>
      <c r="L544" s="698" t="s">
        <v>1991</v>
      </c>
      <c r="M544" s="957"/>
      <c r="N544" s="653" t="s">
        <v>1991</v>
      </c>
      <c r="O544" s="669" t="s">
        <v>1367</v>
      </c>
      <c r="P544" s="463" t="s">
        <v>1991</v>
      </c>
      <c r="Q544" s="852" t="s">
        <v>1991</v>
      </c>
      <c r="R544" s="852" t="s">
        <v>1991</v>
      </c>
      <c r="S544" s="852" t="s">
        <v>1991</v>
      </c>
      <c r="T544" s="852" t="s">
        <v>1991</v>
      </c>
      <c r="U544" s="463" t="s">
        <v>7465</v>
      </c>
      <c r="V544" s="463" t="s">
        <v>1368</v>
      </c>
      <c r="W544" s="653">
        <v>277</v>
      </c>
      <c r="X544" s="463" t="s">
        <v>2243</v>
      </c>
      <c r="Y544" s="463" t="s">
        <v>1273</v>
      </c>
      <c r="Z544" s="463" t="s">
        <v>1369</v>
      </c>
      <c r="AA544" s="463" t="s">
        <v>1615</v>
      </c>
      <c r="AB544" s="459" t="s">
        <v>1534</v>
      </c>
    </row>
    <row r="545" spans="1:28" ht="24" customHeight="1">
      <c r="A545" s="584"/>
      <c r="B545" s="521" t="s">
        <v>675</v>
      </c>
      <c r="C545" s="522" t="s">
        <v>1370</v>
      </c>
      <c r="D545" s="524" t="s">
        <v>1371</v>
      </c>
      <c r="E545" s="653">
        <f t="shared" si="42"/>
        <v>60</v>
      </c>
      <c r="F545" s="653" t="s">
        <v>1991</v>
      </c>
      <c r="G545" s="653">
        <v>60</v>
      </c>
      <c r="H545" s="653" t="s">
        <v>1991</v>
      </c>
      <c r="I545" s="653">
        <v>32.799999999999997</v>
      </c>
      <c r="J545" s="653" t="s">
        <v>1991</v>
      </c>
      <c r="K545" s="653">
        <v>32.799999999999997</v>
      </c>
      <c r="L545" s="698" t="s">
        <v>1991</v>
      </c>
      <c r="M545" s="957"/>
      <c r="N545" s="653" t="s">
        <v>1991</v>
      </c>
      <c r="O545" s="669" t="s">
        <v>1367</v>
      </c>
      <c r="P545" s="463" t="s">
        <v>1991</v>
      </c>
      <c r="Q545" s="852" t="s">
        <v>1991</v>
      </c>
      <c r="R545" s="852" t="s">
        <v>1991</v>
      </c>
      <c r="S545" s="852" t="s">
        <v>1991</v>
      </c>
      <c r="T545" s="852" t="s">
        <v>1991</v>
      </c>
      <c r="U545" s="463" t="s">
        <v>7465</v>
      </c>
      <c r="V545" s="463" t="s">
        <v>1372</v>
      </c>
      <c r="W545" s="653">
        <v>336</v>
      </c>
      <c r="X545" s="463" t="s">
        <v>2243</v>
      </c>
      <c r="Y545" s="463" t="s">
        <v>1273</v>
      </c>
      <c r="Z545" s="463" t="s">
        <v>1369</v>
      </c>
      <c r="AA545" s="463" t="s">
        <v>1615</v>
      </c>
      <c r="AB545" s="459" t="s">
        <v>1534</v>
      </c>
    </row>
    <row r="546" spans="1:28" ht="24" customHeight="1">
      <c r="A546" s="584"/>
      <c r="B546" s="521" t="s">
        <v>675</v>
      </c>
      <c r="C546" s="522" t="s">
        <v>1373</v>
      </c>
      <c r="D546" s="524" t="s">
        <v>1374</v>
      </c>
      <c r="E546" s="653">
        <f t="shared" si="42"/>
        <v>50</v>
      </c>
      <c r="F546" s="653" t="s">
        <v>1991</v>
      </c>
      <c r="G546" s="653">
        <v>50</v>
      </c>
      <c r="H546" s="653" t="s">
        <v>1991</v>
      </c>
      <c r="I546" s="653">
        <f>SUM(J546:L546)</f>
        <v>107.8</v>
      </c>
      <c r="J546" s="653" t="s">
        <v>1991</v>
      </c>
      <c r="K546" s="653">
        <v>107.8</v>
      </c>
      <c r="L546" s="698" t="s">
        <v>1991</v>
      </c>
      <c r="M546" s="957">
        <v>2.1560000000000001</v>
      </c>
      <c r="N546" s="653">
        <v>2612</v>
      </c>
      <c r="O546" s="669" t="s">
        <v>1375</v>
      </c>
      <c r="P546" s="463" t="s">
        <v>1991</v>
      </c>
      <c r="Q546" s="852" t="s">
        <v>1991</v>
      </c>
      <c r="R546" s="852" t="s">
        <v>1991</v>
      </c>
      <c r="S546" s="852" t="s">
        <v>1991</v>
      </c>
      <c r="T546" s="852" t="s">
        <v>1991</v>
      </c>
      <c r="U546" s="463" t="s">
        <v>7465</v>
      </c>
      <c r="V546" s="463" t="s">
        <v>1364</v>
      </c>
      <c r="W546" s="653">
        <v>292</v>
      </c>
      <c r="X546" s="463" t="s">
        <v>2243</v>
      </c>
      <c r="Y546" s="463" t="s">
        <v>1376</v>
      </c>
      <c r="Z546" s="463" t="s">
        <v>1377</v>
      </c>
      <c r="AA546" s="463" t="s">
        <v>1341</v>
      </c>
      <c r="AB546" s="459" t="s">
        <v>1358</v>
      </c>
    </row>
    <row r="547" spans="1:28" ht="24" customHeight="1">
      <c r="A547" s="584"/>
      <c r="B547" s="521" t="s">
        <v>675</v>
      </c>
      <c r="C547" s="522" t="s">
        <v>1378</v>
      </c>
      <c r="D547" s="524" t="s">
        <v>1379</v>
      </c>
      <c r="E547" s="653">
        <f t="shared" si="42"/>
        <v>25</v>
      </c>
      <c r="F547" s="653" t="s">
        <v>1991</v>
      </c>
      <c r="G547" s="653">
        <v>25</v>
      </c>
      <c r="H547" s="653" t="s">
        <v>1991</v>
      </c>
      <c r="I547" s="653">
        <v>22.7</v>
      </c>
      <c r="J547" s="653" t="s">
        <v>1991</v>
      </c>
      <c r="K547" s="653">
        <v>22.7</v>
      </c>
      <c r="L547" s="698" t="s">
        <v>1991</v>
      </c>
      <c r="M547" s="957"/>
      <c r="N547" s="653" t="s">
        <v>1991</v>
      </c>
      <c r="O547" s="669" t="s">
        <v>1375</v>
      </c>
      <c r="P547" s="463" t="s">
        <v>1991</v>
      </c>
      <c r="Q547" s="852" t="s">
        <v>1991</v>
      </c>
      <c r="R547" s="852" t="s">
        <v>1991</v>
      </c>
      <c r="S547" s="852" t="s">
        <v>1991</v>
      </c>
      <c r="T547" s="852" t="s">
        <v>1991</v>
      </c>
      <c r="U547" s="463" t="s">
        <v>7465</v>
      </c>
      <c r="V547" s="463" t="s">
        <v>1364</v>
      </c>
      <c r="W547" s="653">
        <v>146</v>
      </c>
      <c r="X547" s="463" t="s">
        <v>2243</v>
      </c>
      <c r="Y547" s="463" t="s">
        <v>1273</v>
      </c>
      <c r="Z547" s="463" t="s">
        <v>1377</v>
      </c>
      <c r="AA547" s="463" t="s">
        <v>1380</v>
      </c>
      <c r="AB547" s="459" t="s">
        <v>1358</v>
      </c>
    </row>
    <row r="548" spans="1:28" ht="24" customHeight="1">
      <c r="A548" s="584"/>
      <c r="B548" s="521" t="s">
        <v>675</v>
      </c>
      <c r="C548" s="522" t="s">
        <v>1381</v>
      </c>
      <c r="D548" s="524" t="s">
        <v>1382</v>
      </c>
      <c r="E548" s="653">
        <f t="shared" si="42"/>
        <v>220</v>
      </c>
      <c r="F548" s="653" t="s">
        <v>1991</v>
      </c>
      <c r="G548" s="653">
        <v>220</v>
      </c>
      <c r="H548" s="653" t="s">
        <v>1991</v>
      </c>
      <c r="I548" s="653">
        <v>183.8</v>
      </c>
      <c r="J548" s="653" t="s">
        <v>1991</v>
      </c>
      <c r="K548" s="653">
        <v>183.8</v>
      </c>
      <c r="L548" s="698" t="s">
        <v>1991</v>
      </c>
      <c r="M548" s="957"/>
      <c r="N548" s="653" t="s">
        <v>1991</v>
      </c>
      <c r="O548" s="669" t="s">
        <v>1375</v>
      </c>
      <c r="P548" s="463" t="s">
        <v>1991</v>
      </c>
      <c r="Q548" s="852" t="s">
        <v>1991</v>
      </c>
      <c r="R548" s="852" t="s">
        <v>1991</v>
      </c>
      <c r="S548" s="852" t="s">
        <v>1991</v>
      </c>
      <c r="T548" s="852" t="s">
        <v>1991</v>
      </c>
      <c r="U548" s="463" t="s">
        <v>7465</v>
      </c>
      <c r="V548" s="463" t="s">
        <v>1383</v>
      </c>
      <c r="W548" s="653">
        <v>400</v>
      </c>
      <c r="X548" s="463" t="s">
        <v>2243</v>
      </c>
      <c r="Y548" s="463" t="s">
        <v>1273</v>
      </c>
      <c r="Z548" s="463" t="s">
        <v>1377</v>
      </c>
      <c r="AA548" s="463" t="s">
        <v>1341</v>
      </c>
      <c r="AB548" s="459" t="s">
        <v>1358</v>
      </c>
    </row>
    <row r="549" spans="1:28" ht="24" customHeight="1">
      <c r="A549" s="584"/>
      <c r="B549" s="521" t="s">
        <v>675</v>
      </c>
      <c r="C549" s="522" t="s">
        <v>1384</v>
      </c>
      <c r="D549" s="524" t="s">
        <v>1385</v>
      </c>
      <c r="E549" s="653">
        <v>20</v>
      </c>
      <c r="F549" s="653" t="s">
        <v>1991</v>
      </c>
      <c r="G549" s="653">
        <v>20</v>
      </c>
      <c r="H549" s="653" t="s">
        <v>1991</v>
      </c>
      <c r="I549" s="653">
        <v>16.3</v>
      </c>
      <c r="J549" s="653" t="s">
        <v>1991</v>
      </c>
      <c r="K549" s="653">
        <v>16.3</v>
      </c>
      <c r="L549" s="698" t="s">
        <v>1991</v>
      </c>
      <c r="M549" s="957"/>
      <c r="N549" s="653" t="s">
        <v>1386</v>
      </c>
      <c r="O549" s="669" t="s">
        <v>1375</v>
      </c>
      <c r="P549" s="463" t="s">
        <v>1991</v>
      </c>
      <c r="Q549" s="852" t="s">
        <v>1991</v>
      </c>
      <c r="R549" s="852" t="s">
        <v>1991</v>
      </c>
      <c r="S549" s="852" t="s">
        <v>1991</v>
      </c>
      <c r="T549" s="852" t="s">
        <v>1991</v>
      </c>
      <c r="U549" s="463" t="s">
        <v>7465</v>
      </c>
      <c r="V549" s="463" t="s">
        <v>1387</v>
      </c>
      <c r="W549" s="653">
        <v>90</v>
      </c>
      <c r="X549" s="463" t="s">
        <v>2243</v>
      </c>
      <c r="Y549" s="463" t="s">
        <v>1376</v>
      </c>
      <c r="Z549" s="463" t="s">
        <v>1377</v>
      </c>
      <c r="AA549" s="463" t="s">
        <v>1341</v>
      </c>
      <c r="AB549" s="459" t="s">
        <v>1358</v>
      </c>
    </row>
    <row r="550" spans="1:28" ht="24" customHeight="1">
      <c r="A550" s="584"/>
      <c r="B550" s="521" t="s">
        <v>675</v>
      </c>
      <c r="C550" s="522" t="s">
        <v>1388</v>
      </c>
      <c r="D550" s="524" t="s">
        <v>1389</v>
      </c>
      <c r="E550" s="653">
        <f t="shared" ref="E550:E557" si="43">SUM(F550:H550)</f>
        <v>30</v>
      </c>
      <c r="F550" s="653" t="s">
        <v>1991</v>
      </c>
      <c r="G550" s="653">
        <v>30</v>
      </c>
      <c r="H550" s="653" t="s">
        <v>1991</v>
      </c>
      <c r="I550" s="653">
        <v>18.2</v>
      </c>
      <c r="J550" s="653" t="s">
        <v>1991</v>
      </c>
      <c r="K550" s="653">
        <v>18.2</v>
      </c>
      <c r="L550" s="698" t="s">
        <v>1991</v>
      </c>
      <c r="M550" s="957"/>
      <c r="N550" s="653" t="s">
        <v>1991</v>
      </c>
      <c r="O550" s="669" t="s">
        <v>1367</v>
      </c>
      <c r="P550" s="463" t="s">
        <v>1991</v>
      </c>
      <c r="Q550" s="852" t="s">
        <v>1991</v>
      </c>
      <c r="R550" s="852" t="s">
        <v>1991</v>
      </c>
      <c r="S550" s="852" t="s">
        <v>1991</v>
      </c>
      <c r="T550" s="852" t="s">
        <v>1991</v>
      </c>
      <c r="U550" s="463" t="s">
        <v>7465</v>
      </c>
      <c r="V550" s="463" t="s">
        <v>1390</v>
      </c>
      <c r="W550" s="653">
        <v>180</v>
      </c>
      <c r="X550" s="463" t="s">
        <v>2243</v>
      </c>
      <c r="Y550" s="463" t="s">
        <v>1273</v>
      </c>
      <c r="Z550" s="463" t="s">
        <v>1613</v>
      </c>
      <c r="AA550" s="463" t="s">
        <v>1534</v>
      </c>
      <c r="AB550" s="459" t="s">
        <v>1534</v>
      </c>
    </row>
    <row r="551" spans="1:28" ht="24" customHeight="1">
      <c r="A551" s="584"/>
      <c r="B551" s="521" t="s">
        <v>675</v>
      </c>
      <c r="C551" s="522" t="s">
        <v>1391</v>
      </c>
      <c r="D551" s="524" t="s">
        <v>1392</v>
      </c>
      <c r="E551" s="653">
        <f t="shared" si="43"/>
        <v>15</v>
      </c>
      <c r="F551" s="653" t="s">
        <v>1991</v>
      </c>
      <c r="G551" s="653">
        <v>15</v>
      </c>
      <c r="H551" s="653" t="s">
        <v>1991</v>
      </c>
      <c r="I551" s="653">
        <v>12</v>
      </c>
      <c r="J551" s="653" t="s">
        <v>1991</v>
      </c>
      <c r="K551" s="653">
        <v>12</v>
      </c>
      <c r="L551" s="698" t="s">
        <v>1991</v>
      </c>
      <c r="M551" s="957"/>
      <c r="N551" s="653" t="s">
        <v>1991</v>
      </c>
      <c r="O551" s="669" t="s">
        <v>1367</v>
      </c>
      <c r="P551" s="463" t="s">
        <v>1991</v>
      </c>
      <c r="Q551" s="852" t="s">
        <v>1991</v>
      </c>
      <c r="R551" s="852" t="s">
        <v>1991</v>
      </c>
      <c r="S551" s="852" t="s">
        <v>1991</v>
      </c>
      <c r="T551" s="852" t="s">
        <v>1991</v>
      </c>
      <c r="U551" s="463" t="s">
        <v>7465</v>
      </c>
      <c r="V551" s="463" t="s">
        <v>1393</v>
      </c>
      <c r="W551" s="653">
        <v>76</v>
      </c>
      <c r="X551" s="463" t="s">
        <v>2243</v>
      </c>
      <c r="Y551" s="463" t="s">
        <v>1273</v>
      </c>
      <c r="Z551" s="463" t="s">
        <v>1369</v>
      </c>
      <c r="AA551" s="463" t="s">
        <v>1534</v>
      </c>
      <c r="AB551" s="459" t="s">
        <v>1534</v>
      </c>
    </row>
    <row r="552" spans="1:28" ht="24" customHeight="1">
      <c r="A552" s="584"/>
      <c r="B552" s="521" t="s">
        <v>675</v>
      </c>
      <c r="C552" s="522" t="s">
        <v>1394</v>
      </c>
      <c r="D552" s="524" t="s">
        <v>1395</v>
      </c>
      <c r="E552" s="653">
        <f t="shared" si="43"/>
        <v>10</v>
      </c>
      <c r="F552" s="653" t="s">
        <v>1991</v>
      </c>
      <c r="G552" s="653">
        <v>10</v>
      </c>
      <c r="H552" s="653" t="s">
        <v>1991</v>
      </c>
      <c r="I552" s="653">
        <v>7</v>
      </c>
      <c r="J552" s="653" t="s">
        <v>1991</v>
      </c>
      <c r="K552" s="653">
        <v>7</v>
      </c>
      <c r="L552" s="698" t="s">
        <v>1991</v>
      </c>
      <c r="M552" s="957"/>
      <c r="N552" s="653" t="s">
        <v>1991</v>
      </c>
      <c r="O552" s="669" t="s">
        <v>1367</v>
      </c>
      <c r="P552" s="463" t="s">
        <v>1991</v>
      </c>
      <c r="Q552" s="852" t="s">
        <v>1991</v>
      </c>
      <c r="R552" s="852" t="s">
        <v>1991</v>
      </c>
      <c r="S552" s="852" t="s">
        <v>1991</v>
      </c>
      <c r="T552" s="852" t="s">
        <v>1991</v>
      </c>
      <c r="U552" s="463" t="s">
        <v>7465</v>
      </c>
      <c r="V552" s="463" t="s">
        <v>1393</v>
      </c>
      <c r="W552" s="653">
        <v>104</v>
      </c>
      <c r="X552" s="463" t="s">
        <v>2243</v>
      </c>
      <c r="Y552" s="463" t="s">
        <v>1396</v>
      </c>
      <c r="Z552" s="463" t="s">
        <v>1369</v>
      </c>
      <c r="AA552" s="463" t="s">
        <v>1534</v>
      </c>
      <c r="AB552" s="459" t="s">
        <v>1534</v>
      </c>
    </row>
    <row r="553" spans="1:28" ht="24" customHeight="1">
      <c r="A553" s="584"/>
      <c r="B553" s="521" t="s">
        <v>675</v>
      </c>
      <c r="C553" s="522" t="s">
        <v>1397</v>
      </c>
      <c r="D553" s="524" t="s">
        <v>1398</v>
      </c>
      <c r="E553" s="653">
        <f t="shared" si="43"/>
        <v>35</v>
      </c>
      <c r="F553" s="653" t="s">
        <v>1991</v>
      </c>
      <c r="G553" s="653" t="s">
        <v>1588</v>
      </c>
      <c r="H553" s="653">
        <v>35</v>
      </c>
      <c r="I553" s="653">
        <v>26.6</v>
      </c>
      <c r="J553" s="653" t="s">
        <v>1991</v>
      </c>
      <c r="K553" s="653" t="s">
        <v>1991</v>
      </c>
      <c r="L553" s="698">
        <v>26.6</v>
      </c>
      <c r="M553" s="957"/>
      <c r="N553" s="653" t="s">
        <v>1386</v>
      </c>
      <c r="O553" s="669" t="s">
        <v>1375</v>
      </c>
      <c r="P553" s="463" t="s">
        <v>1991</v>
      </c>
      <c r="Q553" s="852" t="s">
        <v>1991</v>
      </c>
      <c r="R553" s="852" t="s">
        <v>1991</v>
      </c>
      <c r="S553" s="852" t="s">
        <v>1991</v>
      </c>
      <c r="T553" s="852" t="s">
        <v>1991</v>
      </c>
      <c r="U553" s="463" t="s">
        <v>7465</v>
      </c>
      <c r="V553" s="463" t="s">
        <v>1368</v>
      </c>
      <c r="W553" s="653">
        <v>202</v>
      </c>
      <c r="X553" s="463" t="s">
        <v>2243</v>
      </c>
      <c r="Y553" s="463" t="s">
        <v>1376</v>
      </c>
      <c r="Z553" s="463" t="s">
        <v>1377</v>
      </c>
      <c r="AA553" s="463" t="s">
        <v>1592</v>
      </c>
      <c r="AB553" s="459" t="s">
        <v>1358</v>
      </c>
    </row>
    <row r="554" spans="1:28" ht="24" customHeight="1">
      <c r="A554" s="584"/>
      <c r="B554" s="521" t="s">
        <v>675</v>
      </c>
      <c r="C554" s="522" t="s">
        <v>1399</v>
      </c>
      <c r="D554" s="524" t="s">
        <v>1400</v>
      </c>
      <c r="E554" s="653">
        <f t="shared" si="43"/>
        <v>34</v>
      </c>
      <c r="F554" s="653" t="s">
        <v>1991</v>
      </c>
      <c r="G554" s="653">
        <v>34</v>
      </c>
      <c r="H554" s="653" t="s">
        <v>1991</v>
      </c>
      <c r="I554" s="653">
        <f>SUM(J554:L554)</f>
        <v>31.5</v>
      </c>
      <c r="J554" s="653" t="s">
        <v>1991</v>
      </c>
      <c r="K554" s="653">
        <v>31.5</v>
      </c>
      <c r="L554" s="698" t="s">
        <v>1991</v>
      </c>
      <c r="M554" s="957">
        <v>0.92647058823529416</v>
      </c>
      <c r="N554" s="653">
        <v>352</v>
      </c>
      <c r="O554" s="669" t="s">
        <v>1375</v>
      </c>
      <c r="P554" s="463" t="s">
        <v>1991</v>
      </c>
      <c r="Q554" s="852" t="s">
        <v>1991</v>
      </c>
      <c r="R554" s="852" t="s">
        <v>1991</v>
      </c>
      <c r="S554" s="852" t="s">
        <v>1991</v>
      </c>
      <c r="T554" s="852" t="s">
        <v>1991</v>
      </c>
      <c r="U554" s="463" t="s">
        <v>7465</v>
      </c>
      <c r="V554" s="463" t="s">
        <v>1368</v>
      </c>
      <c r="W554" s="653">
        <v>127</v>
      </c>
      <c r="X554" s="463" t="s">
        <v>2243</v>
      </c>
      <c r="Y554" s="463" t="s">
        <v>1376</v>
      </c>
      <c r="Z554" s="463" t="s">
        <v>1377</v>
      </c>
      <c r="AA554" s="463" t="s">
        <v>1592</v>
      </c>
      <c r="AB554" s="459" t="s">
        <v>1358</v>
      </c>
    </row>
    <row r="555" spans="1:28" ht="24" customHeight="1">
      <c r="A555" s="584"/>
      <c r="B555" s="521" t="s">
        <v>675</v>
      </c>
      <c r="C555" s="522" t="s">
        <v>1401</v>
      </c>
      <c r="D555" s="524" t="s">
        <v>1402</v>
      </c>
      <c r="E555" s="653">
        <f t="shared" si="43"/>
        <v>40</v>
      </c>
      <c r="F555" s="653" t="s">
        <v>1991</v>
      </c>
      <c r="G555" s="653">
        <v>40</v>
      </c>
      <c r="H555" s="653" t="s">
        <v>1991</v>
      </c>
      <c r="I555" s="653">
        <v>29.7</v>
      </c>
      <c r="J555" s="653" t="s">
        <v>1991</v>
      </c>
      <c r="K555" s="653">
        <v>29.7</v>
      </c>
      <c r="L555" s="698" t="s">
        <v>1991</v>
      </c>
      <c r="M555" s="957"/>
      <c r="N555" s="653" t="s">
        <v>1386</v>
      </c>
      <c r="O555" s="669" t="s">
        <v>1375</v>
      </c>
      <c r="P555" s="463" t="s">
        <v>1991</v>
      </c>
      <c r="Q555" s="852" t="s">
        <v>1991</v>
      </c>
      <c r="R555" s="852" t="s">
        <v>1991</v>
      </c>
      <c r="S555" s="852" t="s">
        <v>1991</v>
      </c>
      <c r="T555" s="852" t="s">
        <v>1991</v>
      </c>
      <c r="U555" s="463" t="s">
        <v>7465</v>
      </c>
      <c r="V555" s="463" t="s">
        <v>4824</v>
      </c>
      <c r="W555" s="653">
        <v>177</v>
      </c>
      <c r="X555" s="463" t="s">
        <v>2243</v>
      </c>
      <c r="Y555" s="463" t="s">
        <v>1273</v>
      </c>
      <c r="Z555" s="463" t="s">
        <v>1377</v>
      </c>
      <c r="AA555" s="463" t="s">
        <v>1592</v>
      </c>
      <c r="AB555" s="459" t="s">
        <v>1358</v>
      </c>
    </row>
    <row r="556" spans="1:28" ht="24" customHeight="1">
      <c r="A556" s="584"/>
      <c r="B556" s="521" t="s">
        <v>675</v>
      </c>
      <c r="C556" s="522" t="s">
        <v>4825</v>
      </c>
      <c r="D556" s="524" t="s">
        <v>4826</v>
      </c>
      <c r="E556" s="653">
        <f t="shared" si="43"/>
        <v>40</v>
      </c>
      <c r="F556" s="653" t="s">
        <v>1991</v>
      </c>
      <c r="G556" s="653">
        <v>40</v>
      </c>
      <c r="H556" s="653" t="s">
        <v>1991</v>
      </c>
      <c r="I556" s="653">
        <v>31.3</v>
      </c>
      <c r="J556" s="653" t="s">
        <v>1991</v>
      </c>
      <c r="K556" s="653">
        <v>31.3</v>
      </c>
      <c r="L556" s="698" t="s">
        <v>1991</v>
      </c>
      <c r="M556" s="957"/>
      <c r="N556" s="653" t="s">
        <v>1386</v>
      </c>
      <c r="O556" s="669" t="s">
        <v>1375</v>
      </c>
      <c r="P556" s="463" t="s">
        <v>1991</v>
      </c>
      <c r="Q556" s="852" t="s">
        <v>1991</v>
      </c>
      <c r="R556" s="852" t="s">
        <v>1991</v>
      </c>
      <c r="S556" s="852" t="s">
        <v>1991</v>
      </c>
      <c r="T556" s="852" t="s">
        <v>1991</v>
      </c>
      <c r="U556" s="463" t="s">
        <v>7465</v>
      </c>
      <c r="V556" s="463" t="s">
        <v>4827</v>
      </c>
      <c r="W556" s="653">
        <v>169</v>
      </c>
      <c r="X556" s="463" t="s">
        <v>2243</v>
      </c>
      <c r="Y556" s="463" t="s">
        <v>1273</v>
      </c>
      <c r="Z556" s="463" t="s">
        <v>1377</v>
      </c>
      <c r="AA556" s="463" t="s">
        <v>1592</v>
      </c>
      <c r="AB556" s="459" t="s">
        <v>1358</v>
      </c>
    </row>
    <row r="557" spans="1:28" ht="24" customHeight="1">
      <c r="A557" s="584"/>
      <c r="B557" s="521" t="s">
        <v>675</v>
      </c>
      <c r="C557" s="522" t="s">
        <v>4828</v>
      </c>
      <c r="D557" s="524" t="s">
        <v>4829</v>
      </c>
      <c r="E557" s="653">
        <f t="shared" si="43"/>
        <v>30</v>
      </c>
      <c r="F557" s="653" t="s">
        <v>1991</v>
      </c>
      <c r="G557" s="653">
        <v>30</v>
      </c>
      <c r="H557" s="653" t="s">
        <v>1991</v>
      </c>
      <c r="I557" s="653">
        <v>19.8</v>
      </c>
      <c r="J557" s="653" t="s">
        <v>1991</v>
      </c>
      <c r="K557" s="653">
        <v>19.8</v>
      </c>
      <c r="L557" s="698" t="s">
        <v>1991</v>
      </c>
      <c r="M557" s="957"/>
      <c r="N557" s="653" t="s">
        <v>1386</v>
      </c>
      <c r="O557" s="669" t="s">
        <v>1375</v>
      </c>
      <c r="P557" s="463" t="s">
        <v>1991</v>
      </c>
      <c r="Q557" s="852" t="s">
        <v>1991</v>
      </c>
      <c r="R557" s="852" t="s">
        <v>1991</v>
      </c>
      <c r="S557" s="852" t="s">
        <v>1991</v>
      </c>
      <c r="T557" s="852" t="s">
        <v>1991</v>
      </c>
      <c r="U557" s="463" t="s">
        <v>7465</v>
      </c>
      <c r="V557" s="463" t="s">
        <v>4827</v>
      </c>
      <c r="W557" s="653">
        <v>127</v>
      </c>
      <c r="X557" s="463" t="s">
        <v>2243</v>
      </c>
      <c r="Y557" s="463" t="s">
        <v>1273</v>
      </c>
      <c r="Z557" s="463" t="s">
        <v>1377</v>
      </c>
      <c r="AA557" s="463" t="s">
        <v>1592</v>
      </c>
      <c r="AB557" s="459" t="s">
        <v>1358</v>
      </c>
    </row>
    <row r="558" spans="1:28" ht="24" customHeight="1">
      <c r="A558" s="584"/>
      <c r="B558" s="521" t="s">
        <v>675</v>
      </c>
      <c r="C558" s="522" t="s">
        <v>4830</v>
      </c>
      <c r="D558" s="524" t="s">
        <v>4831</v>
      </c>
      <c r="E558" s="653">
        <v>20</v>
      </c>
      <c r="F558" s="653" t="s">
        <v>1991</v>
      </c>
      <c r="G558" s="653">
        <v>20</v>
      </c>
      <c r="H558" s="653" t="s">
        <v>1991</v>
      </c>
      <c r="I558" s="653">
        <v>15.9</v>
      </c>
      <c r="J558" s="653" t="s">
        <v>1991</v>
      </c>
      <c r="K558" s="653">
        <v>15.9</v>
      </c>
      <c r="L558" s="698" t="s">
        <v>1991</v>
      </c>
      <c r="M558" s="957"/>
      <c r="N558" s="653" t="s">
        <v>1386</v>
      </c>
      <c r="O558" s="669" t="s">
        <v>1375</v>
      </c>
      <c r="P558" s="463" t="s">
        <v>1991</v>
      </c>
      <c r="Q558" s="852" t="s">
        <v>1991</v>
      </c>
      <c r="R558" s="852" t="s">
        <v>1991</v>
      </c>
      <c r="S558" s="852" t="s">
        <v>1991</v>
      </c>
      <c r="T558" s="852" t="s">
        <v>1991</v>
      </c>
      <c r="U558" s="463" t="s">
        <v>7465</v>
      </c>
      <c r="V558" s="463" t="s">
        <v>1387</v>
      </c>
      <c r="W558" s="653">
        <v>124</v>
      </c>
      <c r="X558" s="463" t="s">
        <v>2243</v>
      </c>
      <c r="Y558" s="463" t="s">
        <v>1376</v>
      </c>
      <c r="Z558" s="463" t="s">
        <v>1377</v>
      </c>
      <c r="AA558" s="463" t="s">
        <v>1592</v>
      </c>
      <c r="AB558" s="459" t="s">
        <v>1358</v>
      </c>
    </row>
    <row r="559" spans="1:28" ht="24" customHeight="1">
      <c r="A559" s="584"/>
      <c r="B559" s="521" t="s">
        <v>675</v>
      </c>
      <c r="C559" s="522" t="s">
        <v>4832</v>
      </c>
      <c r="D559" s="524" t="s">
        <v>4833</v>
      </c>
      <c r="E559" s="653">
        <v>20</v>
      </c>
      <c r="F559" s="653" t="s">
        <v>1991</v>
      </c>
      <c r="G559" s="653">
        <v>20</v>
      </c>
      <c r="H559" s="653" t="s">
        <v>1991</v>
      </c>
      <c r="I559" s="653">
        <v>16</v>
      </c>
      <c r="J559" s="653" t="s">
        <v>1991</v>
      </c>
      <c r="K559" s="653">
        <v>16</v>
      </c>
      <c r="L559" s="698" t="s">
        <v>1991</v>
      </c>
      <c r="M559" s="957"/>
      <c r="N559" s="653" t="s">
        <v>1386</v>
      </c>
      <c r="O559" s="669" t="s">
        <v>1375</v>
      </c>
      <c r="P559" s="463" t="s">
        <v>1991</v>
      </c>
      <c r="Q559" s="852" t="s">
        <v>1991</v>
      </c>
      <c r="R559" s="852" t="s">
        <v>1991</v>
      </c>
      <c r="S559" s="852" t="s">
        <v>1991</v>
      </c>
      <c r="T559" s="852" t="s">
        <v>1991</v>
      </c>
      <c r="U559" s="463" t="s">
        <v>7465</v>
      </c>
      <c r="V559" s="463" t="s">
        <v>4834</v>
      </c>
      <c r="W559" s="653">
        <v>128</v>
      </c>
      <c r="X559" s="463" t="s">
        <v>2243</v>
      </c>
      <c r="Y559" s="463" t="s">
        <v>1273</v>
      </c>
      <c r="Z559" s="463" t="s">
        <v>1377</v>
      </c>
      <c r="AA559" s="463" t="s">
        <v>1592</v>
      </c>
      <c r="AB559" s="459" t="s">
        <v>1358</v>
      </c>
    </row>
    <row r="560" spans="1:28" ht="24" customHeight="1">
      <c r="A560" s="596" t="s">
        <v>1619</v>
      </c>
      <c r="B560" s="523" t="s">
        <v>2201</v>
      </c>
      <c r="C560" s="724" t="s">
        <v>2396</v>
      </c>
      <c r="D560" s="523" t="s">
        <v>4835</v>
      </c>
      <c r="E560" s="656">
        <f t="shared" ref="E560:E565" si="44">SUM(F560:H560)</f>
        <v>6000</v>
      </c>
      <c r="F560" s="656">
        <v>0</v>
      </c>
      <c r="G560" s="656">
        <v>0</v>
      </c>
      <c r="H560" s="656">
        <v>6000</v>
      </c>
      <c r="I560" s="656">
        <f>SUM(J560:L560)</f>
        <v>7426</v>
      </c>
      <c r="J560" s="653">
        <v>0</v>
      </c>
      <c r="K560" s="653">
        <v>0</v>
      </c>
      <c r="L560" s="698">
        <v>7426</v>
      </c>
      <c r="M560" s="957">
        <v>0.71102468131972285</v>
      </c>
      <c r="N560" s="653">
        <v>195.81777007629287</v>
      </c>
      <c r="O560" s="726" t="s">
        <v>2197</v>
      </c>
      <c r="P560" s="498" t="s">
        <v>1588</v>
      </c>
      <c r="Q560" s="856">
        <v>0</v>
      </c>
      <c r="R560" s="852">
        <v>11</v>
      </c>
      <c r="S560" s="856">
        <v>0</v>
      </c>
      <c r="T560" s="852">
        <v>0</v>
      </c>
      <c r="U560" s="506" t="s">
        <v>2268</v>
      </c>
      <c r="V560" s="494" t="s">
        <v>4836</v>
      </c>
      <c r="W560" s="656">
        <v>5692</v>
      </c>
      <c r="X560" s="132" t="s">
        <v>2199</v>
      </c>
      <c r="Y560" s="132" t="s">
        <v>3161</v>
      </c>
      <c r="Z560" s="132" t="s">
        <v>1620</v>
      </c>
      <c r="AA560" s="132" t="s">
        <v>4837</v>
      </c>
      <c r="AB560" s="133" t="s">
        <v>1592</v>
      </c>
    </row>
    <row r="561" spans="1:28" ht="24" customHeight="1">
      <c r="A561" s="597"/>
      <c r="B561" s="523" t="s">
        <v>2201</v>
      </c>
      <c r="C561" s="724" t="s">
        <v>4838</v>
      </c>
      <c r="D561" s="523" t="s">
        <v>4839</v>
      </c>
      <c r="E561" s="656">
        <f>SUM(F561:H561)</f>
        <v>4000</v>
      </c>
      <c r="F561" s="656">
        <v>0</v>
      </c>
      <c r="G561" s="656">
        <v>0</v>
      </c>
      <c r="H561" s="656">
        <v>4000</v>
      </c>
      <c r="I561" s="656">
        <f>SUM(J561:L561)</f>
        <v>1330</v>
      </c>
      <c r="J561" s="653">
        <v>0</v>
      </c>
      <c r="K561" s="653">
        <v>0</v>
      </c>
      <c r="L561" s="698">
        <v>1330</v>
      </c>
      <c r="M561" s="957">
        <v>0.97683923705722064</v>
      </c>
      <c r="N561" s="653">
        <v>95.361000000000018</v>
      </c>
      <c r="O561" s="726" t="s">
        <v>3347</v>
      </c>
      <c r="P561" s="664" t="s">
        <v>3538</v>
      </c>
      <c r="Q561" s="856">
        <v>0</v>
      </c>
      <c r="R561" s="856">
        <v>0</v>
      </c>
      <c r="S561" s="856">
        <v>0</v>
      </c>
      <c r="T561" s="852">
        <v>0</v>
      </c>
      <c r="U561" s="506" t="s">
        <v>4840</v>
      </c>
      <c r="V561" s="494" t="s">
        <v>4841</v>
      </c>
      <c r="W561" s="656">
        <v>11400</v>
      </c>
      <c r="X561" s="132" t="s">
        <v>2199</v>
      </c>
      <c r="Y561" s="132" t="s">
        <v>3161</v>
      </c>
      <c r="Z561" s="132" t="s">
        <v>1613</v>
      </c>
      <c r="AA561" s="132" t="s">
        <v>4842</v>
      </c>
      <c r="AB561" s="133" t="s">
        <v>1534</v>
      </c>
    </row>
    <row r="562" spans="1:28" ht="24" customHeight="1">
      <c r="A562" s="597"/>
      <c r="B562" s="523" t="s">
        <v>2201</v>
      </c>
      <c r="C562" s="724" t="s">
        <v>4843</v>
      </c>
      <c r="D562" s="523" t="s">
        <v>4844</v>
      </c>
      <c r="E562" s="656">
        <v>500</v>
      </c>
      <c r="F562" s="656">
        <v>0</v>
      </c>
      <c r="G562" s="656">
        <v>0</v>
      </c>
      <c r="H562" s="656">
        <v>500</v>
      </c>
      <c r="I562" s="656">
        <f t="shared" ref="I562:I572" si="45">SUM(J562:L562)</f>
        <v>382</v>
      </c>
      <c r="J562" s="653">
        <v>0</v>
      </c>
      <c r="K562" s="653">
        <v>0</v>
      </c>
      <c r="L562" s="698">
        <v>382</v>
      </c>
      <c r="M562" s="957">
        <v>0.98188405797101452</v>
      </c>
      <c r="N562" s="653">
        <v>31.0566</v>
      </c>
      <c r="O562" s="726" t="s">
        <v>3347</v>
      </c>
      <c r="P562" s="664" t="s">
        <v>3538</v>
      </c>
      <c r="Q562" s="856">
        <v>0</v>
      </c>
      <c r="R562" s="856">
        <v>0</v>
      </c>
      <c r="S562" s="856">
        <v>0</v>
      </c>
      <c r="T562" s="852">
        <v>0</v>
      </c>
      <c r="U562" s="506" t="s">
        <v>2268</v>
      </c>
      <c r="V562" s="494" t="s">
        <v>4845</v>
      </c>
      <c r="W562" s="656">
        <v>9065</v>
      </c>
      <c r="X562" s="132" t="s">
        <v>2199</v>
      </c>
      <c r="Y562" s="132" t="s">
        <v>3161</v>
      </c>
      <c r="Z562" s="132" t="s">
        <v>1621</v>
      </c>
      <c r="AA562" s="132" t="s">
        <v>4842</v>
      </c>
      <c r="AB562" s="133" t="s">
        <v>1592</v>
      </c>
    </row>
    <row r="563" spans="1:28" ht="24" customHeight="1">
      <c r="A563" s="597"/>
      <c r="B563" s="523" t="s">
        <v>2201</v>
      </c>
      <c r="C563" s="724" t="s">
        <v>4846</v>
      </c>
      <c r="D563" s="523" t="s">
        <v>4847</v>
      </c>
      <c r="E563" s="656">
        <f t="shared" si="44"/>
        <v>400</v>
      </c>
      <c r="F563" s="656">
        <v>0</v>
      </c>
      <c r="G563" s="656">
        <v>400</v>
      </c>
      <c r="H563" s="656">
        <v>0</v>
      </c>
      <c r="I563" s="656">
        <f t="shared" si="45"/>
        <v>255</v>
      </c>
      <c r="J563" s="653">
        <v>0</v>
      </c>
      <c r="K563" s="653">
        <v>255</v>
      </c>
      <c r="L563" s="698">
        <v>0</v>
      </c>
      <c r="M563" s="957">
        <v>0.96500530222693537</v>
      </c>
      <c r="N563" s="653">
        <v>23.204999999999998</v>
      </c>
      <c r="O563" s="726" t="s">
        <v>3221</v>
      </c>
      <c r="P563" s="664">
        <v>0</v>
      </c>
      <c r="Q563" s="856">
        <v>0</v>
      </c>
      <c r="R563" s="856">
        <v>0</v>
      </c>
      <c r="S563" s="856">
        <v>0</v>
      </c>
      <c r="T563" s="852">
        <v>0</v>
      </c>
      <c r="U563" s="506" t="s">
        <v>2268</v>
      </c>
      <c r="V563" s="494" t="s">
        <v>4848</v>
      </c>
      <c r="W563" s="656">
        <v>447</v>
      </c>
      <c r="X563" s="132" t="s">
        <v>2199</v>
      </c>
      <c r="Y563" s="132" t="s">
        <v>3161</v>
      </c>
      <c r="Z563" s="132" t="s">
        <v>1622</v>
      </c>
      <c r="AA563" s="132" t="s">
        <v>4837</v>
      </c>
      <c r="AB563" s="133" t="s">
        <v>1592</v>
      </c>
    </row>
    <row r="564" spans="1:28" ht="24" customHeight="1">
      <c r="A564" s="597"/>
      <c r="B564" s="523" t="s">
        <v>2201</v>
      </c>
      <c r="C564" s="724" t="s">
        <v>4849</v>
      </c>
      <c r="D564" s="523" t="s">
        <v>4850</v>
      </c>
      <c r="E564" s="653">
        <f t="shared" si="44"/>
        <v>330</v>
      </c>
      <c r="F564" s="656">
        <v>0</v>
      </c>
      <c r="G564" s="656">
        <v>330</v>
      </c>
      <c r="H564" s="656">
        <v>0</v>
      </c>
      <c r="I564" s="656">
        <f t="shared" si="45"/>
        <v>175</v>
      </c>
      <c r="J564" s="653">
        <v>0</v>
      </c>
      <c r="K564" s="653">
        <v>0</v>
      </c>
      <c r="L564" s="698">
        <v>175</v>
      </c>
      <c r="M564" s="957">
        <v>0.97959183673469385</v>
      </c>
      <c r="N564" s="653">
        <v>12.6</v>
      </c>
      <c r="O564" s="726" t="s">
        <v>2197</v>
      </c>
      <c r="P564" s="498" t="s">
        <v>1588</v>
      </c>
      <c r="Q564" s="856">
        <v>0</v>
      </c>
      <c r="R564" s="856">
        <v>0</v>
      </c>
      <c r="S564" s="856">
        <v>0</v>
      </c>
      <c r="T564" s="852">
        <v>0</v>
      </c>
      <c r="U564" s="506" t="s">
        <v>4851</v>
      </c>
      <c r="V564" s="494" t="s">
        <v>4848</v>
      </c>
      <c r="W564" s="656">
        <v>495</v>
      </c>
      <c r="X564" s="132" t="s">
        <v>2199</v>
      </c>
      <c r="Y564" s="132" t="s">
        <v>3161</v>
      </c>
      <c r="Z564" s="132" t="s">
        <v>1623</v>
      </c>
      <c r="AA564" s="132" t="s">
        <v>4837</v>
      </c>
      <c r="AB564" s="133" t="s">
        <v>1592</v>
      </c>
    </row>
    <row r="565" spans="1:28" ht="24" customHeight="1">
      <c r="A565" s="597"/>
      <c r="B565" s="523" t="s">
        <v>675</v>
      </c>
      <c r="C565" s="724" t="s">
        <v>4852</v>
      </c>
      <c r="D565" s="523" t="s">
        <v>4853</v>
      </c>
      <c r="E565" s="656">
        <f t="shared" si="44"/>
        <v>70</v>
      </c>
      <c r="F565" s="656">
        <v>0</v>
      </c>
      <c r="G565" s="656">
        <v>70</v>
      </c>
      <c r="H565" s="656">
        <v>0</v>
      </c>
      <c r="I565" s="656">
        <f t="shared" si="45"/>
        <v>37</v>
      </c>
      <c r="J565" s="653">
        <v>0</v>
      </c>
      <c r="K565" s="653">
        <v>37</v>
      </c>
      <c r="L565" s="698">
        <v>0</v>
      </c>
      <c r="M565" s="957">
        <v>0.98</v>
      </c>
      <c r="N565" s="653">
        <v>380.72999999999996</v>
      </c>
      <c r="O565" s="726" t="s">
        <v>4854</v>
      </c>
      <c r="P565" s="664">
        <v>0</v>
      </c>
      <c r="Q565" s="856">
        <v>0</v>
      </c>
      <c r="R565" s="856">
        <v>0</v>
      </c>
      <c r="S565" s="856">
        <v>0</v>
      </c>
      <c r="T565" s="852">
        <v>0</v>
      </c>
      <c r="U565" s="506" t="s">
        <v>2268</v>
      </c>
      <c r="V565" s="494" t="s">
        <v>4855</v>
      </c>
      <c r="W565" s="656">
        <v>397</v>
      </c>
      <c r="X565" s="132" t="s">
        <v>2199</v>
      </c>
      <c r="Y565" s="132" t="s">
        <v>3161</v>
      </c>
      <c r="Z565" s="132" t="s">
        <v>1623</v>
      </c>
      <c r="AA565" s="132" t="s">
        <v>4837</v>
      </c>
      <c r="AB565" s="133" t="s">
        <v>1592</v>
      </c>
    </row>
    <row r="566" spans="1:28" ht="24" customHeight="1">
      <c r="A566" s="597"/>
      <c r="B566" s="523" t="s">
        <v>675</v>
      </c>
      <c r="C566" s="724" t="s">
        <v>4856</v>
      </c>
      <c r="D566" s="523" t="s">
        <v>4857</v>
      </c>
      <c r="E566" s="656">
        <f>SUM(F566:H566)</f>
        <v>100</v>
      </c>
      <c r="F566" s="656">
        <v>0</v>
      </c>
      <c r="G566" s="656">
        <v>100</v>
      </c>
      <c r="H566" s="656">
        <v>0</v>
      </c>
      <c r="I566" s="656">
        <f t="shared" si="45"/>
        <v>23</v>
      </c>
      <c r="J566" s="653">
        <v>0</v>
      </c>
      <c r="K566" s="653">
        <v>23</v>
      </c>
      <c r="L566" s="698">
        <v>0</v>
      </c>
      <c r="M566" s="957">
        <v>0.94</v>
      </c>
      <c r="N566" s="653">
        <v>155.66399999999999</v>
      </c>
      <c r="O566" s="726" t="s">
        <v>3221</v>
      </c>
      <c r="P566" s="664">
        <v>0</v>
      </c>
      <c r="Q566" s="856">
        <v>0</v>
      </c>
      <c r="R566" s="856">
        <v>0</v>
      </c>
      <c r="S566" s="856">
        <v>0</v>
      </c>
      <c r="T566" s="852">
        <v>0</v>
      </c>
      <c r="U566" s="506" t="s">
        <v>2268</v>
      </c>
      <c r="V566" s="494" t="s">
        <v>4858</v>
      </c>
      <c r="W566" s="656">
        <v>316</v>
      </c>
      <c r="X566" s="132" t="s">
        <v>2199</v>
      </c>
      <c r="Y566" s="132" t="s">
        <v>3161</v>
      </c>
      <c r="Z566" s="132" t="s">
        <v>1613</v>
      </c>
      <c r="AA566" s="132" t="s">
        <v>4842</v>
      </c>
      <c r="AB566" s="133" t="s">
        <v>1534</v>
      </c>
    </row>
    <row r="567" spans="1:28" ht="24" customHeight="1">
      <c r="A567" s="597"/>
      <c r="B567" s="523" t="s">
        <v>675</v>
      </c>
      <c r="C567" s="724" t="s">
        <v>2087</v>
      </c>
      <c r="D567" s="523" t="s">
        <v>4859</v>
      </c>
      <c r="E567" s="656">
        <v>150</v>
      </c>
      <c r="F567" s="656">
        <v>0</v>
      </c>
      <c r="G567" s="656">
        <v>0</v>
      </c>
      <c r="H567" s="656">
        <v>150</v>
      </c>
      <c r="I567" s="656">
        <f t="shared" si="45"/>
        <v>118</v>
      </c>
      <c r="J567" s="653">
        <v>0</v>
      </c>
      <c r="K567" s="653">
        <v>0</v>
      </c>
      <c r="L567" s="698">
        <v>118</v>
      </c>
      <c r="M567" s="957">
        <v>0.94700000000000006</v>
      </c>
      <c r="N567" s="653">
        <v>1801.3455199999999</v>
      </c>
      <c r="O567" s="726" t="s">
        <v>3347</v>
      </c>
      <c r="P567" s="664" t="s">
        <v>4860</v>
      </c>
      <c r="Q567" s="856">
        <v>0</v>
      </c>
      <c r="R567" s="856">
        <v>0</v>
      </c>
      <c r="S567" s="856">
        <v>0</v>
      </c>
      <c r="T567" s="852">
        <v>0</v>
      </c>
      <c r="U567" s="506" t="s">
        <v>2268</v>
      </c>
      <c r="V567" s="506" t="s">
        <v>4861</v>
      </c>
      <c r="W567" s="656">
        <v>2404</v>
      </c>
      <c r="X567" s="132" t="s">
        <v>2199</v>
      </c>
      <c r="Y567" s="132" t="s">
        <v>3161</v>
      </c>
      <c r="Z567" s="132" t="s">
        <v>1613</v>
      </c>
      <c r="AA567" s="132" t="s">
        <v>4842</v>
      </c>
      <c r="AB567" s="133" t="s">
        <v>1534</v>
      </c>
    </row>
    <row r="568" spans="1:28" ht="24" customHeight="1">
      <c r="A568" s="597"/>
      <c r="B568" s="523" t="s">
        <v>675</v>
      </c>
      <c r="C568" s="724" t="s">
        <v>4862</v>
      </c>
      <c r="D568" s="523" t="s">
        <v>4863</v>
      </c>
      <c r="E568" s="656">
        <v>70</v>
      </c>
      <c r="F568" s="656">
        <v>0</v>
      </c>
      <c r="G568" s="656">
        <v>0</v>
      </c>
      <c r="H568" s="656">
        <v>70</v>
      </c>
      <c r="I568" s="656">
        <f t="shared" si="45"/>
        <v>53</v>
      </c>
      <c r="J568" s="653">
        <v>0</v>
      </c>
      <c r="K568" s="653">
        <v>0</v>
      </c>
      <c r="L568" s="698">
        <v>53</v>
      </c>
      <c r="M568" s="957">
        <v>0.94499999999999995</v>
      </c>
      <c r="N568" s="653">
        <v>770.80814999999996</v>
      </c>
      <c r="O568" s="726" t="s">
        <v>3347</v>
      </c>
      <c r="P568" s="664" t="s">
        <v>4860</v>
      </c>
      <c r="Q568" s="856">
        <v>0</v>
      </c>
      <c r="R568" s="856">
        <v>0</v>
      </c>
      <c r="S568" s="856">
        <v>0</v>
      </c>
      <c r="T568" s="852">
        <v>0</v>
      </c>
      <c r="U568" s="506" t="s">
        <v>2268</v>
      </c>
      <c r="V568" s="506" t="s">
        <v>4861</v>
      </c>
      <c r="W568" s="656">
        <v>3099</v>
      </c>
      <c r="X568" s="132" t="s">
        <v>2199</v>
      </c>
      <c r="Y568" s="132" t="s">
        <v>3161</v>
      </c>
      <c r="Z568" s="132" t="s">
        <v>1613</v>
      </c>
      <c r="AA568" s="132" t="s">
        <v>4842</v>
      </c>
      <c r="AB568" s="133" t="s">
        <v>1534</v>
      </c>
    </row>
    <row r="569" spans="1:28" ht="24" customHeight="1">
      <c r="A569" s="582" t="s">
        <v>1624</v>
      </c>
      <c r="B569" s="521" t="s">
        <v>2201</v>
      </c>
      <c r="C569" s="522" t="s">
        <v>2397</v>
      </c>
      <c r="D569" s="524" t="s">
        <v>4864</v>
      </c>
      <c r="E569" s="653">
        <v>18000</v>
      </c>
      <c r="F569" s="653">
        <v>0</v>
      </c>
      <c r="G569" s="653">
        <v>18000</v>
      </c>
      <c r="H569" s="653">
        <v>0</v>
      </c>
      <c r="I569" s="653">
        <f t="shared" si="45"/>
        <v>17800</v>
      </c>
      <c r="J569" s="653">
        <v>0</v>
      </c>
      <c r="K569" s="653">
        <v>17800</v>
      </c>
      <c r="L569" s="698">
        <v>0</v>
      </c>
      <c r="M569" s="957">
        <v>0.9830747531734837</v>
      </c>
      <c r="N569" s="653">
        <v>1240.6600000000001</v>
      </c>
      <c r="O569" s="669" t="s">
        <v>4865</v>
      </c>
      <c r="P569" s="463" t="s">
        <v>1588</v>
      </c>
      <c r="Q569" s="854">
        <v>117</v>
      </c>
      <c r="R569" s="852">
        <v>0</v>
      </c>
      <c r="S569" s="854">
        <v>45</v>
      </c>
      <c r="T569" s="852">
        <v>0</v>
      </c>
      <c r="U569" s="463" t="s">
        <v>4866</v>
      </c>
      <c r="V569" s="463" t="s">
        <v>4867</v>
      </c>
      <c r="W569" s="653">
        <v>18142</v>
      </c>
      <c r="X569" s="463" t="s">
        <v>2199</v>
      </c>
      <c r="Y569" s="463" t="s">
        <v>1273</v>
      </c>
      <c r="Z569" s="463" t="s">
        <v>4868</v>
      </c>
      <c r="AA569" s="463" t="s">
        <v>1592</v>
      </c>
      <c r="AB569" s="459" t="s">
        <v>1592</v>
      </c>
    </row>
    <row r="570" spans="1:28" ht="24" customHeight="1">
      <c r="A570" s="584"/>
      <c r="B570" s="521" t="s">
        <v>2201</v>
      </c>
      <c r="C570" s="522" t="s">
        <v>2180</v>
      </c>
      <c r="D570" s="524" t="s">
        <v>4869</v>
      </c>
      <c r="E570" s="653">
        <v>210</v>
      </c>
      <c r="F570" s="653">
        <v>0</v>
      </c>
      <c r="G570" s="653">
        <v>210</v>
      </c>
      <c r="H570" s="653">
        <v>0</v>
      </c>
      <c r="I570" s="653">
        <f t="shared" si="45"/>
        <v>114</v>
      </c>
      <c r="J570" s="653">
        <v>0</v>
      </c>
      <c r="K570" s="653">
        <v>114</v>
      </c>
      <c r="L570" s="698">
        <v>0</v>
      </c>
      <c r="M570" s="957">
        <v>0.96582733812949639</v>
      </c>
      <c r="N570" s="653">
        <v>6.1218000000000004</v>
      </c>
      <c r="O570" s="669" t="s">
        <v>4870</v>
      </c>
      <c r="P570" s="463" t="s">
        <v>1588</v>
      </c>
      <c r="Q570" s="852">
        <v>0</v>
      </c>
      <c r="R570" s="852">
        <v>0</v>
      </c>
      <c r="S570" s="852">
        <v>0</v>
      </c>
      <c r="T570" s="852">
        <v>0</v>
      </c>
      <c r="U570" s="463" t="s">
        <v>4866</v>
      </c>
      <c r="V570" s="463" t="s">
        <v>4871</v>
      </c>
      <c r="W570" s="653">
        <v>351</v>
      </c>
      <c r="X570" s="463" t="s">
        <v>2199</v>
      </c>
      <c r="Y570" s="463" t="s">
        <v>1273</v>
      </c>
      <c r="Z570" s="463" t="s">
        <v>1625</v>
      </c>
      <c r="AA570" s="463" t="s">
        <v>1592</v>
      </c>
      <c r="AB570" s="459" t="s">
        <v>1592</v>
      </c>
    </row>
    <row r="571" spans="1:28" ht="24" customHeight="1">
      <c r="A571" s="584"/>
      <c r="B571" s="521" t="s">
        <v>2201</v>
      </c>
      <c r="C571" s="522" t="s">
        <v>4872</v>
      </c>
      <c r="D571" s="524" t="s">
        <v>4873</v>
      </c>
      <c r="E571" s="653">
        <v>160</v>
      </c>
      <c r="F571" s="653">
        <v>0</v>
      </c>
      <c r="G571" s="653">
        <v>160</v>
      </c>
      <c r="H571" s="653">
        <v>0</v>
      </c>
      <c r="I571" s="653">
        <f t="shared" si="45"/>
        <v>106</v>
      </c>
      <c r="J571" s="653">
        <v>0</v>
      </c>
      <c r="K571" s="653">
        <v>106</v>
      </c>
      <c r="L571" s="698">
        <v>0</v>
      </c>
      <c r="M571" s="957">
        <v>0.92571428571428571</v>
      </c>
      <c r="N571" s="653">
        <v>3.4344000000000001</v>
      </c>
      <c r="O571" s="669" t="s">
        <v>4870</v>
      </c>
      <c r="P571" s="463" t="s">
        <v>1588</v>
      </c>
      <c r="Q571" s="852">
        <v>0</v>
      </c>
      <c r="R571" s="852">
        <v>0</v>
      </c>
      <c r="S571" s="852">
        <v>0</v>
      </c>
      <c r="T571" s="852">
        <v>0</v>
      </c>
      <c r="U571" s="463" t="s">
        <v>4866</v>
      </c>
      <c r="V571" s="463" t="s">
        <v>4871</v>
      </c>
      <c r="W571" s="653">
        <v>333</v>
      </c>
      <c r="X571" s="463" t="s">
        <v>2199</v>
      </c>
      <c r="Y571" s="463" t="s">
        <v>1273</v>
      </c>
      <c r="Z571" s="463" t="s">
        <v>1626</v>
      </c>
      <c r="AA571" s="463" t="s">
        <v>1592</v>
      </c>
      <c r="AB571" s="459" t="s">
        <v>1592</v>
      </c>
    </row>
    <row r="572" spans="1:28" ht="24" customHeight="1">
      <c r="A572" s="584"/>
      <c r="B572" s="521" t="s">
        <v>2201</v>
      </c>
      <c r="C572" s="522" t="s">
        <v>4874</v>
      </c>
      <c r="D572" s="524" t="s">
        <v>4875</v>
      </c>
      <c r="E572" s="653">
        <v>180</v>
      </c>
      <c r="F572" s="653">
        <v>0</v>
      </c>
      <c r="G572" s="653">
        <v>180</v>
      </c>
      <c r="H572" s="653">
        <v>0</v>
      </c>
      <c r="I572" s="653">
        <f t="shared" si="45"/>
        <v>108</v>
      </c>
      <c r="J572" s="653">
        <v>0</v>
      </c>
      <c r="K572" s="653">
        <v>108</v>
      </c>
      <c r="L572" s="698">
        <v>0</v>
      </c>
      <c r="M572" s="957">
        <v>0.94716242661448136</v>
      </c>
      <c r="N572" s="653">
        <v>5.2271999999999998</v>
      </c>
      <c r="O572" s="669" t="s">
        <v>4870</v>
      </c>
      <c r="P572" s="463" t="s">
        <v>1588</v>
      </c>
      <c r="Q572" s="852">
        <v>0</v>
      </c>
      <c r="R572" s="852">
        <v>0</v>
      </c>
      <c r="S572" s="852">
        <v>0</v>
      </c>
      <c r="T572" s="852">
        <v>0</v>
      </c>
      <c r="U572" s="463" t="s">
        <v>4866</v>
      </c>
      <c r="V572" s="463" t="s">
        <v>4871</v>
      </c>
      <c r="W572" s="653">
        <v>375</v>
      </c>
      <c r="X572" s="463" t="s">
        <v>2199</v>
      </c>
      <c r="Y572" s="463" t="s">
        <v>1273</v>
      </c>
      <c r="Z572" s="463" t="s">
        <v>1627</v>
      </c>
      <c r="AA572" s="463" t="s">
        <v>1592</v>
      </c>
      <c r="AB572" s="459" t="s">
        <v>1592</v>
      </c>
    </row>
    <row r="573" spans="1:28" ht="24" customHeight="1">
      <c r="A573" s="584"/>
      <c r="B573" s="521" t="s">
        <v>2201</v>
      </c>
      <c r="C573" s="522" t="s">
        <v>4876</v>
      </c>
      <c r="D573" s="524" t="s">
        <v>4877</v>
      </c>
      <c r="E573" s="653">
        <v>900</v>
      </c>
      <c r="F573" s="653">
        <v>0</v>
      </c>
      <c r="G573" s="653">
        <v>900</v>
      </c>
      <c r="H573" s="653">
        <v>0</v>
      </c>
      <c r="I573" s="653">
        <f>SUM(J573:L573)</f>
        <v>579</v>
      </c>
      <c r="J573" s="653">
        <v>0</v>
      </c>
      <c r="K573" s="653">
        <v>579</v>
      </c>
      <c r="L573" s="698">
        <v>0</v>
      </c>
      <c r="M573" s="957">
        <v>0.94210526315789467</v>
      </c>
      <c r="N573" s="653">
        <v>20.728199999999998</v>
      </c>
      <c r="O573" s="669" t="s">
        <v>4878</v>
      </c>
      <c r="P573" s="463" t="s">
        <v>1588</v>
      </c>
      <c r="Q573" s="852">
        <v>0</v>
      </c>
      <c r="R573" s="852">
        <v>0</v>
      </c>
      <c r="S573" s="852">
        <v>0</v>
      </c>
      <c r="T573" s="852">
        <v>0</v>
      </c>
      <c r="U573" s="463" t="s">
        <v>4866</v>
      </c>
      <c r="V573" s="463" t="s">
        <v>4879</v>
      </c>
      <c r="W573" s="653">
        <v>5889</v>
      </c>
      <c r="X573" s="463" t="s">
        <v>2199</v>
      </c>
      <c r="Y573" s="463" t="s">
        <v>3161</v>
      </c>
      <c r="Z573" s="463" t="s">
        <v>1628</v>
      </c>
      <c r="AA573" s="463" t="s">
        <v>1592</v>
      </c>
      <c r="AB573" s="459" t="s">
        <v>1592</v>
      </c>
    </row>
    <row r="574" spans="1:28" ht="24" customHeight="1">
      <c r="A574" s="584"/>
      <c r="B574" s="521" t="s">
        <v>675</v>
      </c>
      <c r="C574" s="522" t="s">
        <v>4880</v>
      </c>
      <c r="D574" s="524" t="s">
        <v>4881</v>
      </c>
      <c r="E574" s="653">
        <v>100</v>
      </c>
      <c r="F574" s="653">
        <v>0</v>
      </c>
      <c r="G574" s="653">
        <v>100</v>
      </c>
      <c r="H574" s="653">
        <v>0</v>
      </c>
      <c r="I574" s="653">
        <f>SUM(J574:L574)</f>
        <v>32.700000000000003</v>
      </c>
      <c r="J574" s="653">
        <v>0</v>
      </c>
      <c r="K574" s="653">
        <v>32.700000000000003</v>
      </c>
      <c r="L574" s="698">
        <v>0</v>
      </c>
      <c r="M574" s="957">
        <v>0.94117647058823517</v>
      </c>
      <c r="N574" s="653">
        <v>272.59858823529413</v>
      </c>
      <c r="O574" s="669" t="s">
        <v>4882</v>
      </c>
      <c r="P574" s="463" t="s">
        <v>1588</v>
      </c>
      <c r="Q574" s="852">
        <v>0</v>
      </c>
      <c r="R574" s="852">
        <v>0</v>
      </c>
      <c r="S574" s="852">
        <v>0</v>
      </c>
      <c r="T574" s="852">
        <v>0</v>
      </c>
      <c r="U574" s="463" t="s">
        <v>4866</v>
      </c>
      <c r="V574" s="463" t="s">
        <v>4883</v>
      </c>
      <c r="W574" s="653">
        <v>304</v>
      </c>
      <c r="X574" s="463" t="s">
        <v>2199</v>
      </c>
      <c r="Y574" s="463" t="s">
        <v>3161</v>
      </c>
      <c r="Z574" s="463" t="s">
        <v>1699</v>
      </c>
      <c r="AA574" s="463" t="s">
        <v>1592</v>
      </c>
      <c r="AB574" s="459" t="s">
        <v>1592</v>
      </c>
    </row>
    <row r="575" spans="1:28" ht="24" customHeight="1">
      <c r="A575" s="584"/>
      <c r="B575" s="521" t="s">
        <v>675</v>
      </c>
      <c r="C575" s="522" t="s">
        <v>4884</v>
      </c>
      <c r="D575" s="524" t="s">
        <v>4885</v>
      </c>
      <c r="E575" s="653">
        <v>30</v>
      </c>
      <c r="F575" s="653">
        <v>0</v>
      </c>
      <c r="G575" s="653">
        <v>30</v>
      </c>
      <c r="H575" s="653">
        <v>0</v>
      </c>
      <c r="I575" s="653">
        <f t="shared" ref="I575:I586" si="46">SUM(J575:L575)</f>
        <v>36</v>
      </c>
      <c r="J575" s="653">
        <v>0</v>
      </c>
      <c r="K575" s="653">
        <v>36</v>
      </c>
      <c r="L575" s="698">
        <v>0</v>
      </c>
      <c r="M575" s="957">
        <v>0.95</v>
      </c>
      <c r="N575" s="653">
        <v>275.1542</v>
      </c>
      <c r="O575" s="669" t="s">
        <v>4882</v>
      </c>
      <c r="P575" s="463" t="s">
        <v>1588</v>
      </c>
      <c r="Q575" s="852">
        <v>0</v>
      </c>
      <c r="R575" s="852">
        <v>0</v>
      </c>
      <c r="S575" s="852">
        <v>0</v>
      </c>
      <c r="T575" s="852">
        <v>0</v>
      </c>
      <c r="U575" s="463" t="s">
        <v>4866</v>
      </c>
      <c r="V575" s="463" t="s">
        <v>4886</v>
      </c>
      <c r="W575" s="653">
        <v>413</v>
      </c>
      <c r="X575" s="463" t="s">
        <v>2199</v>
      </c>
      <c r="Y575" s="463" t="s">
        <v>3161</v>
      </c>
      <c r="Z575" s="463" t="s">
        <v>4887</v>
      </c>
      <c r="AA575" s="463" t="s">
        <v>1592</v>
      </c>
      <c r="AB575" s="459" t="s">
        <v>1592</v>
      </c>
    </row>
    <row r="576" spans="1:28" ht="24" customHeight="1">
      <c r="A576" s="584"/>
      <c r="B576" s="521" t="s">
        <v>675</v>
      </c>
      <c r="C576" s="522" t="s">
        <v>907</v>
      </c>
      <c r="D576" s="524" t="s">
        <v>4888</v>
      </c>
      <c r="E576" s="653">
        <v>100</v>
      </c>
      <c r="F576" s="653">
        <v>0</v>
      </c>
      <c r="G576" s="653">
        <v>100</v>
      </c>
      <c r="H576" s="653">
        <v>0</v>
      </c>
      <c r="I576" s="653">
        <f t="shared" si="46"/>
        <v>45</v>
      </c>
      <c r="J576" s="653">
        <v>0</v>
      </c>
      <c r="K576" s="653">
        <v>45</v>
      </c>
      <c r="L576" s="698">
        <v>0</v>
      </c>
      <c r="M576" s="957">
        <v>0.9</v>
      </c>
      <c r="N576" s="653">
        <v>260.67239999999998</v>
      </c>
      <c r="O576" s="669" t="s">
        <v>4889</v>
      </c>
      <c r="P576" s="463" t="s">
        <v>1588</v>
      </c>
      <c r="Q576" s="852">
        <v>0</v>
      </c>
      <c r="R576" s="852">
        <v>0</v>
      </c>
      <c r="S576" s="852">
        <v>0</v>
      </c>
      <c r="T576" s="852">
        <v>0</v>
      </c>
      <c r="U576" s="463" t="s">
        <v>4866</v>
      </c>
      <c r="V576" s="463" t="s">
        <v>4890</v>
      </c>
      <c r="W576" s="653">
        <v>400</v>
      </c>
      <c r="X576" s="463" t="s">
        <v>2199</v>
      </c>
      <c r="Y576" s="463" t="s">
        <v>3161</v>
      </c>
      <c r="Z576" s="463" t="s">
        <v>4891</v>
      </c>
      <c r="AA576" s="463" t="s">
        <v>1592</v>
      </c>
      <c r="AB576" s="459" t="s">
        <v>1592</v>
      </c>
    </row>
    <row r="577" spans="1:28" ht="24" customHeight="1">
      <c r="A577" s="584"/>
      <c r="B577" s="521" t="s">
        <v>675</v>
      </c>
      <c r="C577" s="522" t="s">
        <v>2409</v>
      </c>
      <c r="D577" s="524" t="s">
        <v>4892</v>
      </c>
      <c r="E577" s="653">
        <v>100</v>
      </c>
      <c r="F577" s="653">
        <v>0</v>
      </c>
      <c r="G577" s="653">
        <v>100</v>
      </c>
      <c r="H577" s="653">
        <v>0</v>
      </c>
      <c r="I577" s="653">
        <f t="shared" si="46"/>
        <v>89</v>
      </c>
      <c r="J577" s="653">
        <v>0</v>
      </c>
      <c r="K577" s="653">
        <v>89</v>
      </c>
      <c r="L577" s="698">
        <v>0</v>
      </c>
      <c r="M577" s="957">
        <v>0.94047619047619047</v>
      </c>
      <c r="N577" s="653">
        <v>272.39576190476191</v>
      </c>
      <c r="O577" s="669" t="s">
        <v>4893</v>
      </c>
      <c r="P577" s="463" t="s">
        <v>1588</v>
      </c>
      <c r="Q577" s="852">
        <v>0</v>
      </c>
      <c r="R577" s="852">
        <v>0</v>
      </c>
      <c r="S577" s="852">
        <v>0</v>
      </c>
      <c r="T577" s="852">
        <v>0</v>
      </c>
      <c r="U577" s="463" t="s">
        <v>4866</v>
      </c>
      <c r="V577" s="463" t="s">
        <v>4894</v>
      </c>
      <c r="W577" s="653">
        <v>664</v>
      </c>
      <c r="X577" s="463" t="s">
        <v>2199</v>
      </c>
      <c r="Y577" s="463" t="s">
        <v>3161</v>
      </c>
      <c r="Z577" s="463" t="s">
        <v>1629</v>
      </c>
      <c r="AA577" s="463" t="s">
        <v>1592</v>
      </c>
      <c r="AB577" s="459" t="s">
        <v>1592</v>
      </c>
    </row>
    <row r="578" spans="1:28" ht="24" customHeight="1">
      <c r="A578" s="584"/>
      <c r="B578" s="521" t="s">
        <v>675</v>
      </c>
      <c r="C578" s="522" t="s">
        <v>4895</v>
      </c>
      <c r="D578" s="524" t="s">
        <v>4896</v>
      </c>
      <c r="E578" s="653">
        <v>60</v>
      </c>
      <c r="F578" s="653">
        <v>0</v>
      </c>
      <c r="G578" s="653">
        <v>60</v>
      </c>
      <c r="H578" s="653">
        <v>0</v>
      </c>
      <c r="I578" s="653">
        <f t="shared" si="46"/>
        <v>55</v>
      </c>
      <c r="J578" s="653">
        <v>0</v>
      </c>
      <c r="K578" s="653">
        <v>55</v>
      </c>
      <c r="L578" s="698">
        <v>0</v>
      </c>
      <c r="M578" s="957">
        <v>0.92592592592592593</v>
      </c>
      <c r="N578" s="653">
        <v>268.18148148148146</v>
      </c>
      <c r="O578" s="669" t="s">
        <v>4889</v>
      </c>
      <c r="P578" s="463" t="s">
        <v>1588</v>
      </c>
      <c r="Q578" s="852">
        <v>0</v>
      </c>
      <c r="R578" s="852">
        <v>0</v>
      </c>
      <c r="S578" s="852">
        <v>0</v>
      </c>
      <c r="T578" s="852">
        <v>0</v>
      </c>
      <c r="U578" s="463" t="s">
        <v>4866</v>
      </c>
      <c r="V578" s="463" t="s">
        <v>4879</v>
      </c>
      <c r="W578" s="653">
        <v>379</v>
      </c>
      <c r="X578" s="463" t="s">
        <v>2199</v>
      </c>
      <c r="Y578" s="463" t="s">
        <v>3161</v>
      </c>
      <c r="Z578" s="463" t="s">
        <v>1697</v>
      </c>
      <c r="AA578" s="463" t="s">
        <v>1592</v>
      </c>
      <c r="AB578" s="459" t="s">
        <v>1592</v>
      </c>
    </row>
    <row r="579" spans="1:28" ht="24" customHeight="1">
      <c r="A579" s="584"/>
      <c r="B579" s="521" t="s">
        <v>675</v>
      </c>
      <c r="C579" s="522" t="s">
        <v>4897</v>
      </c>
      <c r="D579" s="524" t="s">
        <v>4898</v>
      </c>
      <c r="E579" s="653">
        <v>60</v>
      </c>
      <c r="F579" s="653">
        <v>0</v>
      </c>
      <c r="G579" s="653">
        <v>60</v>
      </c>
      <c r="H579" s="653">
        <v>0</v>
      </c>
      <c r="I579" s="653">
        <f t="shared" si="46"/>
        <v>38</v>
      </c>
      <c r="J579" s="653">
        <v>0</v>
      </c>
      <c r="K579" s="653">
        <v>38</v>
      </c>
      <c r="L579" s="698">
        <v>0</v>
      </c>
      <c r="M579" s="957">
        <v>0.92592592592592593</v>
      </c>
      <c r="N579" s="653">
        <v>268.18148148148146</v>
      </c>
      <c r="O579" s="669" t="s">
        <v>4899</v>
      </c>
      <c r="P579" s="463" t="s">
        <v>1588</v>
      </c>
      <c r="Q579" s="852">
        <v>0</v>
      </c>
      <c r="R579" s="852">
        <v>0</v>
      </c>
      <c r="S579" s="852">
        <v>0</v>
      </c>
      <c r="T579" s="852">
        <v>0</v>
      </c>
      <c r="U579" s="463" t="s">
        <v>4866</v>
      </c>
      <c r="V579" s="463" t="s">
        <v>4900</v>
      </c>
      <c r="W579" s="653">
        <v>324</v>
      </c>
      <c r="X579" s="463" t="s">
        <v>2199</v>
      </c>
      <c r="Y579" s="463" t="s">
        <v>3161</v>
      </c>
      <c r="Z579" s="463" t="s">
        <v>4901</v>
      </c>
      <c r="AA579" s="463" t="s">
        <v>1592</v>
      </c>
      <c r="AB579" s="459" t="s">
        <v>1592</v>
      </c>
    </row>
    <row r="580" spans="1:28" ht="24" customHeight="1">
      <c r="A580" s="584"/>
      <c r="B580" s="521" t="s">
        <v>675</v>
      </c>
      <c r="C580" s="522" t="s">
        <v>2046</v>
      </c>
      <c r="D580" s="524" t="s">
        <v>4902</v>
      </c>
      <c r="E580" s="653">
        <v>50</v>
      </c>
      <c r="F580" s="653">
        <v>0</v>
      </c>
      <c r="G580" s="653">
        <v>50</v>
      </c>
      <c r="H580" s="653">
        <v>0</v>
      </c>
      <c r="I580" s="653">
        <f t="shared" si="46"/>
        <v>45</v>
      </c>
      <c r="J580" s="653">
        <v>0</v>
      </c>
      <c r="K580" s="653">
        <v>45</v>
      </c>
      <c r="L580" s="698">
        <v>0</v>
      </c>
      <c r="M580" s="957">
        <v>0.92592592592592593</v>
      </c>
      <c r="N580" s="653">
        <v>268.18148148148146</v>
      </c>
      <c r="O580" s="669" t="s">
        <v>4889</v>
      </c>
      <c r="P580" s="463" t="s">
        <v>1588</v>
      </c>
      <c r="Q580" s="852">
        <v>0</v>
      </c>
      <c r="R580" s="852">
        <v>0</v>
      </c>
      <c r="S580" s="852">
        <v>0</v>
      </c>
      <c r="T580" s="852">
        <v>0</v>
      </c>
      <c r="U580" s="463" t="s">
        <v>4866</v>
      </c>
      <c r="V580" s="463" t="s">
        <v>4903</v>
      </c>
      <c r="W580" s="653">
        <v>706</v>
      </c>
      <c r="X580" s="463" t="s">
        <v>2199</v>
      </c>
      <c r="Y580" s="463" t="s">
        <v>3161</v>
      </c>
      <c r="Z580" s="463" t="s">
        <v>4904</v>
      </c>
      <c r="AA580" s="463" t="s">
        <v>1592</v>
      </c>
      <c r="AB580" s="459" t="s">
        <v>1592</v>
      </c>
    </row>
    <row r="581" spans="1:28" ht="24" customHeight="1">
      <c r="A581" s="584"/>
      <c r="B581" s="521" t="s">
        <v>675</v>
      </c>
      <c r="C581" s="522" t="s">
        <v>4905</v>
      </c>
      <c r="D581" s="524" t="s">
        <v>4906</v>
      </c>
      <c r="E581" s="653">
        <v>50</v>
      </c>
      <c r="F581" s="653">
        <v>0</v>
      </c>
      <c r="G581" s="653">
        <v>50</v>
      </c>
      <c r="H581" s="653">
        <v>0</v>
      </c>
      <c r="I581" s="653">
        <f t="shared" si="46"/>
        <v>45</v>
      </c>
      <c r="J581" s="653">
        <v>0</v>
      </c>
      <c r="K581" s="653">
        <v>45</v>
      </c>
      <c r="L581" s="698">
        <v>0</v>
      </c>
      <c r="M581" s="957">
        <v>0.92592592592592593</v>
      </c>
      <c r="N581" s="653">
        <v>268.18148148148146</v>
      </c>
      <c r="O581" s="669" t="s">
        <v>4889</v>
      </c>
      <c r="P581" s="463" t="s">
        <v>1588</v>
      </c>
      <c r="Q581" s="852">
        <v>0</v>
      </c>
      <c r="R581" s="852">
        <v>0</v>
      </c>
      <c r="S581" s="852">
        <v>0</v>
      </c>
      <c r="T581" s="852">
        <v>0</v>
      </c>
      <c r="U581" s="463" t="s">
        <v>4866</v>
      </c>
      <c r="V581" s="463" t="s">
        <v>4907</v>
      </c>
      <c r="W581" s="653">
        <v>980</v>
      </c>
      <c r="X581" s="463" t="s">
        <v>2199</v>
      </c>
      <c r="Y581" s="463" t="s">
        <v>3161</v>
      </c>
      <c r="Z581" s="463" t="s">
        <v>4908</v>
      </c>
      <c r="AA581" s="463" t="s">
        <v>1592</v>
      </c>
      <c r="AB581" s="459" t="s">
        <v>1592</v>
      </c>
    </row>
    <row r="582" spans="1:28" ht="24" customHeight="1">
      <c r="A582" s="584"/>
      <c r="B582" s="521" t="s">
        <v>675</v>
      </c>
      <c r="C582" s="522" t="s">
        <v>4909</v>
      </c>
      <c r="D582" s="524" t="s">
        <v>4910</v>
      </c>
      <c r="E582" s="653">
        <v>50</v>
      </c>
      <c r="F582" s="653">
        <v>0</v>
      </c>
      <c r="G582" s="653">
        <v>50</v>
      </c>
      <c r="H582" s="653">
        <v>0</v>
      </c>
      <c r="I582" s="653">
        <f t="shared" si="46"/>
        <v>46</v>
      </c>
      <c r="J582" s="653">
        <v>0</v>
      </c>
      <c r="K582" s="653">
        <v>46</v>
      </c>
      <c r="L582" s="698">
        <v>0</v>
      </c>
      <c r="M582" s="957">
        <v>0.95</v>
      </c>
      <c r="N582" s="653">
        <v>275.1542</v>
      </c>
      <c r="O582" s="669" t="s">
        <v>4889</v>
      </c>
      <c r="P582" s="463" t="s">
        <v>1588</v>
      </c>
      <c r="Q582" s="852">
        <v>0</v>
      </c>
      <c r="R582" s="852">
        <v>0</v>
      </c>
      <c r="S582" s="852">
        <v>0</v>
      </c>
      <c r="T582" s="852">
        <v>0</v>
      </c>
      <c r="U582" s="463" t="s">
        <v>4866</v>
      </c>
      <c r="V582" s="463" t="s">
        <v>4911</v>
      </c>
      <c r="W582" s="653">
        <v>1000</v>
      </c>
      <c r="X582" s="463" t="s">
        <v>2199</v>
      </c>
      <c r="Y582" s="463" t="s">
        <v>3161</v>
      </c>
      <c r="Z582" s="463" t="s">
        <v>4912</v>
      </c>
      <c r="AA582" s="463" t="s">
        <v>1592</v>
      </c>
      <c r="AB582" s="459" t="s">
        <v>1592</v>
      </c>
    </row>
    <row r="583" spans="1:28" ht="24" customHeight="1">
      <c r="A583" s="584"/>
      <c r="B583" s="521" t="s">
        <v>675</v>
      </c>
      <c r="C583" s="522" t="s">
        <v>4913</v>
      </c>
      <c r="D583" s="524" t="s">
        <v>4914</v>
      </c>
      <c r="E583" s="653">
        <v>60</v>
      </c>
      <c r="F583" s="653">
        <v>0</v>
      </c>
      <c r="G583" s="653">
        <v>60</v>
      </c>
      <c r="H583" s="653">
        <v>0</v>
      </c>
      <c r="I583" s="653">
        <f t="shared" si="46"/>
        <v>55</v>
      </c>
      <c r="J583" s="653">
        <v>0</v>
      </c>
      <c r="K583" s="653">
        <v>55</v>
      </c>
      <c r="L583" s="698">
        <v>0</v>
      </c>
      <c r="M583" s="957">
        <v>0.95</v>
      </c>
      <c r="N583" s="653">
        <v>275.1542</v>
      </c>
      <c r="O583" s="669" t="s">
        <v>4889</v>
      </c>
      <c r="P583" s="463" t="s">
        <v>1588</v>
      </c>
      <c r="Q583" s="852">
        <v>0</v>
      </c>
      <c r="R583" s="852">
        <v>0</v>
      </c>
      <c r="S583" s="852">
        <v>0</v>
      </c>
      <c r="T583" s="852">
        <v>0</v>
      </c>
      <c r="U583" s="463" t="s">
        <v>4866</v>
      </c>
      <c r="V583" s="463" t="s">
        <v>4915</v>
      </c>
      <c r="W583" s="653">
        <v>1000</v>
      </c>
      <c r="X583" s="463" t="s">
        <v>2199</v>
      </c>
      <c r="Y583" s="463" t="s">
        <v>3161</v>
      </c>
      <c r="Z583" s="463" t="s">
        <v>4916</v>
      </c>
      <c r="AA583" s="463" t="s">
        <v>1592</v>
      </c>
      <c r="AB583" s="459" t="s">
        <v>1592</v>
      </c>
    </row>
    <row r="584" spans="1:28" ht="24" customHeight="1">
      <c r="A584" s="584"/>
      <c r="B584" s="521" t="s">
        <v>675</v>
      </c>
      <c r="C584" s="522" t="s">
        <v>4917</v>
      </c>
      <c r="D584" s="524" t="s">
        <v>4918</v>
      </c>
      <c r="E584" s="653">
        <v>50</v>
      </c>
      <c r="F584" s="653">
        <v>0</v>
      </c>
      <c r="G584" s="653">
        <v>50</v>
      </c>
      <c r="H584" s="653">
        <v>0</v>
      </c>
      <c r="I584" s="653">
        <f t="shared" si="46"/>
        <v>55</v>
      </c>
      <c r="J584" s="653">
        <v>0</v>
      </c>
      <c r="K584" s="653">
        <v>55</v>
      </c>
      <c r="L584" s="698">
        <v>0</v>
      </c>
      <c r="M584" s="957">
        <v>0.95</v>
      </c>
      <c r="N584" s="653">
        <v>275.1542</v>
      </c>
      <c r="O584" s="669" t="s">
        <v>4919</v>
      </c>
      <c r="P584" s="463" t="s">
        <v>1588</v>
      </c>
      <c r="Q584" s="852">
        <v>0</v>
      </c>
      <c r="R584" s="852">
        <v>0</v>
      </c>
      <c r="S584" s="852">
        <v>0</v>
      </c>
      <c r="T584" s="852">
        <v>0</v>
      </c>
      <c r="U584" s="463" t="s">
        <v>4866</v>
      </c>
      <c r="V584" s="463" t="s">
        <v>4915</v>
      </c>
      <c r="W584" s="653">
        <v>1000</v>
      </c>
      <c r="X584" s="463" t="s">
        <v>2199</v>
      </c>
      <c r="Y584" s="463" t="s">
        <v>3161</v>
      </c>
      <c r="Z584" s="463" t="s">
        <v>4920</v>
      </c>
      <c r="AA584" s="463" t="s">
        <v>1592</v>
      </c>
      <c r="AB584" s="459" t="s">
        <v>1592</v>
      </c>
    </row>
    <row r="585" spans="1:28" ht="24" customHeight="1">
      <c r="A585" s="582" t="s">
        <v>1630</v>
      </c>
      <c r="B585" s="521" t="s">
        <v>2239</v>
      </c>
      <c r="C585" s="522" t="s">
        <v>2398</v>
      </c>
      <c r="D585" s="524" t="s">
        <v>4921</v>
      </c>
      <c r="E585" s="653">
        <v>10000</v>
      </c>
      <c r="F585" s="653">
        <v>0</v>
      </c>
      <c r="G585" s="653">
        <v>0</v>
      </c>
      <c r="H585" s="653">
        <v>10000</v>
      </c>
      <c r="I585" s="653">
        <f t="shared" si="46"/>
        <v>8506</v>
      </c>
      <c r="J585" s="653">
        <v>0</v>
      </c>
      <c r="K585" s="653">
        <v>0</v>
      </c>
      <c r="L585" s="698">
        <v>8506</v>
      </c>
      <c r="M585" s="957">
        <v>0.82430453879941434</v>
      </c>
      <c r="N585" s="653">
        <v>957.77559999999983</v>
      </c>
      <c r="O585" s="669" t="s">
        <v>4922</v>
      </c>
      <c r="P585" s="463" t="s">
        <v>4922</v>
      </c>
      <c r="Q585" s="852">
        <v>61.4</v>
      </c>
      <c r="R585" s="852">
        <v>0</v>
      </c>
      <c r="S585" s="852">
        <v>40</v>
      </c>
      <c r="T585" s="852">
        <v>0</v>
      </c>
      <c r="U585" s="463" t="s">
        <v>4923</v>
      </c>
      <c r="V585" s="463" t="s">
        <v>1334</v>
      </c>
      <c r="W585" s="653">
        <v>33561</v>
      </c>
      <c r="X585" s="463" t="s">
        <v>2244</v>
      </c>
      <c r="Y585" s="463" t="s">
        <v>631</v>
      </c>
      <c r="Z585" s="463" t="s">
        <v>4924</v>
      </c>
      <c r="AA585" s="463" t="s">
        <v>1358</v>
      </c>
      <c r="AB585" s="459" t="s">
        <v>1358</v>
      </c>
    </row>
    <row r="586" spans="1:28" ht="24" customHeight="1">
      <c r="A586" s="584"/>
      <c r="B586" s="521" t="s">
        <v>3837</v>
      </c>
      <c r="C586" s="522" t="s">
        <v>4925</v>
      </c>
      <c r="D586" s="524" t="s">
        <v>4926</v>
      </c>
      <c r="E586" s="653">
        <v>200</v>
      </c>
      <c r="F586" s="653">
        <v>0</v>
      </c>
      <c r="G586" s="653">
        <v>200</v>
      </c>
      <c r="H586" s="653">
        <v>0</v>
      </c>
      <c r="I586" s="653">
        <f t="shared" si="46"/>
        <v>84</v>
      </c>
      <c r="J586" s="653">
        <v>0</v>
      </c>
      <c r="K586" s="653">
        <v>84</v>
      </c>
      <c r="L586" s="698">
        <v>0</v>
      </c>
      <c r="M586" s="957">
        <v>0.42</v>
      </c>
      <c r="N586" s="653">
        <v>0</v>
      </c>
      <c r="O586" s="669" t="s">
        <v>4927</v>
      </c>
      <c r="P586" s="463" t="s">
        <v>1588</v>
      </c>
      <c r="Q586" s="852">
        <v>0</v>
      </c>
      <c r="R586" s="852">
        <v>0</v>
      </c>
      <c r="S586" s="852">
        <v>0</v>
      </c>
      <c r="T586" s="852">
        <v>0</v>
      </c>
      <c r="U586" s="463" t="s">
        <v>4923</v>
      </c>
      <c r="V586" s="463" t="s">
        <v>4928</v>
      </c>
      <c r="W586" s="653">
        <v>219</v>
      </c>
      <c r="X586" s="465" t="s">
        <v>2244</v>
      </c>
      <c r="Y586" s="463"/>
      <c r="Z586" s="463" t="s">
        <v>4924</v>
      </c>
      <c r="AA586" s="463" t="s">
        <v>1358</v>
      </c>
      <c r="AB586" s="459" t="s">
        <v>1358</v>
      </c>
    </row>
    <row r="587" spans="1:28" ht="24" customHeight="1">
      <c r="A587" s="584"/>
      <c r="B587" s="521" t="s">
        <v>3837</v>
      </c>
      <c r="C587" s="522" t="s">
        <v>4929</v>
      </c>
      <c r="D587" s="524" t="s">
        <v>4930</v>
      </c>
      <c r="E587" s="653">
        <v>160</v>
      </c>
      <c r="F587" s="653">
        <v>0</v>
      </c>
      <c r="G587" s="653">
        <v>160</v>
      </c>
      <c r="H587" s="653">
        <v>0</v>
      </c>
      <c r="I587" s="653">
        <f t="shared" ref="I587:I599" si="47">SUM(J587:L587)</f>
        <v>160</v>
      </c>
      <c r="J587" s="653">
        <v>0</v>
      </c>
      <c r="K587" s="653">
        <v>160</v>
      </c>
      <c r="L587" s="698">
        <v>0</v>
      </c>
      <c r="M587" s="957">
        <v>1</v>
      </c>
      <c r="N587" s="653">
        <v>0</v>
      </c>
      <c r="O587" s="669" t="s">
        <v>4073</v>
      </c>
      <c r="P587" s="463" t="s">
        <v>1588</v>
      </c>
      <c r="Q587" s="852">
        <v>0</v>
      </c>
      <c r="R587" s="852">
        <v>0</v>
      </c>
      <c r="S587" s="852">
        <v>0</v>
      </c>
      <c r="T587" s="852">
        <v>0</v>
      </c>
      <c r="U587" s="463" t="s">
        <v>4923</v>
      </c>
      <c r="V587" s="463" t="s">
        <v>4931</v>
      </c>
      <c r="W587" s="653">
        <v>426</v>
      </c>
      <c r="X587" s="463" t="s">
        <v>2244</v>
      </c>
      <c r="Y587" s="463"/>
      <c r="Z587" s="463" t="s">
        <v>4932</v>
      </c>
      <c r="AA587" s="463" t="s">
        <v>1358</v>
      </c>
      <c r="AB587" s="459" t="s">
        <v>1358</v>
      </c>
    </row>
    <row r="588" spans="1:28" ht="24" customHeight="1">
      <c r="A588" s="584"/>
      <c r="B588" s="521" t="s">
        <v>3837</v>
      </c>
      <c r="C588" s="522" t="s">
        <v>4933</v>
      </c>
      <c r="D588" s="524" t="s">
        <v>4934</v>
      </c>
      <c r="E588" s="653">
        <v>80</v>
      </c>
      <c r="F588" s="653">
        <v>0</v>
      </c>
      <c r="G588" s="653">
        <v>0</v>
      </c>
      <c r="H588" s="653">
        <v>80</v>
      </c>
      <c r="I588" s="653">
        <f t="shared" si="47"/>
        <v>80</v>
      </c>
      <c r="J588" s="653">
        <v>0</v>
      </c>
      <c r="K588" s="653">
        <v>0</v>
      </c>
      <c r="L588" s="698">
        <v>80</v>
      </c>
      <c r="M588" s="957">
        <v>1</v>
      </c>
      <c r="N588" s="653">
        <v>0</v>
      </c>
      <c r="O588" s="669" t="s">
        <v>4935</v>
      </c>
      <c r="P588" s="463" t="s">
        <v>1588</v>
      </c>
      <c r="Q588" s="852">
        <v>0</v>
      </c>
      <c r="R588" s="852">
        <v>0</v>
      </c>
      <c r="S588" s="852">
        <v>0</v>
      </c>
      <c r="T588" s="852">
        <v>0</v>
      </c>
      <c r="U588" s="463" t="s">
        <v>4923</v>
      </c>
      <c r="V588" s="463" t="s">
        <v>4936</v>
      </c>
      <c r="W588" s="653">
        <v>430</v>
      </c>
      <c r="X588" s="463" t="s">
        <v>2244</v>
      </c>
      <c r="Y588" s="463"/>
      <c r="Z588" s="463" t="s">
        <v>4937</v>
      </c>
      <c r="AA588" s="463" t="s">
        <v>1358</v>
      </c>
      <c r="AB588" s="459" t="s">
        <v>1358</v>
      </c>
    </row>
    <row r="589" spans="1:28" ht="24" customHeight="1">
      <c r="A589" s="584"/>
      <c r="B589" s="521" t="s">
        <v>3837</v>
      </c>
      <c r="C589" s="522" t="s">
        <v>4938</v>
      </c>
      <c r="D589" s="524" t="s">
        <v>4939</v>
      </c>
      <c r="E589" s="653">
        <v>50</v>
      </c>
      <c r="F589" s="653">
        <v>0</v>
      </c>
      <c r="G589" s="653">
        <v>0</v>
      </c>
      <c r="H589" s="653">
        <v>50</v>
      </c>
      <c r="I589" s="653">
        <f t="shared" si="47"/>
        <v>50</v>
      </c>
      <c r="J589" s="653">
        <v>0</v>
      </c>
      <c r="K589" s="653">
        <v>0</v>
      </c>
      <c r="L589" s="698">
        <v>50</v>
      </c>
      <c r="M589" s="957">
        <v>1</v>
      </c>
      <c r="N589" s="653">
        <v>0</v>
      </c>
      <c r="O589" s="669" t="s">
        <v>4940</v>
      </c>
      <c r="P589" s="463" t="s">
        <v>1588</v>
      </c>
      <c r="Q589" s="852">
        <v>0</v>
      </c>
      <c r="R589" s="852">
        <v>0</v>
      </c>
      <c r="S589" s="852">
        <v>0</v>
      </c>
      <c r="T589" s="852">
        <v>0</v>
      </c>
      <c r="U589" s="463" t="s">
        <v>4923</v>
      </c>
      <c r="V589" s="463" t="s">
        <v>4941</v>
      </c>
      <c r="W589" s="653">
        <v>131</v>
      </c>
      <c r="X589" s="463" t="s">
        <v>2244</v>
      </c>
      <c r="Y589" s="463"/>
      <c r="Z589" s="463" t="s">
        <v>4942</v>
      </c>
      <c r="AA589" s="463" t="s">
        <v>1358</v>
      </c>
      <c r="AB589" s="459" t="s">
        <v>1358</v>
      </c>
    </row>
    <row r="590" spans="1:28" ht="24" customHeight="1">
      <c r="A590" s="584"/>
      <c r="B590" s="521" t="s">
        <v>3837</v>
      </c>
      <c r="C590" s="522" t="s">
        <v>4943</v>
      </c>
      <c r="D590" s="524" t="s">
        <v>4944</v>
      </c>
      <c r="E590" s="653">
        <v>50</v>
      </c>
      <c r="F590" s="653">
        <v>0</v>
      </c>
      <c r="G590" s="653">
        <v>0</v>
      </c>
      <c r="H590" s="653">
        <v>50</v>
      </c>
      <c r="I590" s="653">
        <f t="shared" si="47"/>
        <v>39.700000000000003</v>
      </c>
      <c r="J590" s="653">
        <v>0</v>
      </c>
      <c r="K590" s="653">
        <v>0</v>
      </c>
      <c r="L590" s="698">
        <v>39.700000000000003</v>
      </c>
      <c r="M590" s="957">
        <v>0.79400000000000004</v>
      </c>
      <c r="N590" s="653">
        <v>0</v>
      </c>
      <c r="O590" s="669" t="s">
        <v>4945</v>
      </c>
      <c r="P590" s="463" t="s">
        <v>1588</v>
      </c>
      <c r="Q590" s="852">
        <v>0</v>
      </c>
      <c r="R590" s="852">
        <v>0</v>
      </c>
      <c r="S590" s="852">
        <v>0</v>
      </c>
      <c r="T590" s="852">
        <v>0</v>
      </c>
      <c r="U590" s="463" t="s">
        <v>4923</v>
      </c>
      <c r="V590" s="463" t="s">
        <v>4946</v>
      </c>
      <c r="W590" s="653">
        <v>520</v>
      </c>
      <c r="X590" s="463" t="s">
        <v>2244</v>
      </c>
      <c r="Y590" s="463"/>
      <c r="Z590" s="463" t="s">
        <v>4937</v>
      </c>
      <c r="AA590" s="463" t="s">
        <v>1358</v>
      </c>
      <c r="AB590" s="459" t="s">
        <v>1358</v>
      </c>
    </row>
    <row r="591" spans="1:28" ht="24" customHeight="1">
      <c r="A591" s="582" t="s">
        <v>4947</v>
      </c>
      <c r="B591" s="521" t="s">
        <v>2201</v>
      </c>
      <c r="C591" s="522" t="s">
        <v>2399</v>
      </c>
      <c r="D591" s="524" t="s">
        <v>4948</v>
      </c>
      <c r="E591" s="653">
        <v>17000</v>
      </c>
      <c r="F591" s="653">
        <v>0</v>
      </c>
      <c r="G591" s="653">
        <v>0</v>
      </c>
      <c r="H591" s="653">
        <v>17000</v>
      </c>
      <c r="I591" s="653">
        <f t="shared" si="47"/>
        <v>15886</v>
      </c>
      <c r="J591" s="653">
        <v>0</v>
      </c>
      <c r="K591" s="653">
        <v>0</v>
      </c>
      <c r="L591" s="698">
        <v>15886</v>
      </c>
      <c r="M591" s="957">
        <v>0.98453608247422686</v>
      </c>
      <c r="N591" s="653">
        <v>1820.5356000000004</v>
      </c>
      <c r="O591" s="669" t="s">
        <v>4949</v>
      </c>
      <c r="P591" s="463" t="s">
        <v>1588</v>
      </c>
      <c r="Q591" s="852">
        <v>20.5</v>
      </c>
      <c r="R591" s="852">
        <v>33</v>
      </c>
      <c r="S591" s="852">
        <v>15</v>
      </c>
      <c r="T591" s="852">
        <v>0</v>
      </c>
      <c r="U591" s="463" t="s">
        <v>2271</v>
      </c>
      <c r="V591" s="466" t="s">
        <v>4950</v>
      </c>
      <c r="W591" s="653">
        <v>45962</v>
      </c>
      <c r="X591" s="463" t="s">
        <v>2276</v>
      </c>
      <c r="Y591" s="463"/>
      <c r="Z591" s="463" t="s">
        <v>1632</v>
      </c>
      <c r="AA591" s="463" t="s">
        <v>1592</v>
      </c>
      <c r="AB591" s="459" t="s">
        <v>1592</v>
      </c>
    </row>
    <row r="592" spans="1:28" ht="24" customHeight="1">
      <c r="A592" s="584"/>
      <c r="B592" s="521" t="s">
        <v>675</v>
      </c>
      <c r="C592" s="522" t="s">
        <v>903</v>
      </c>
      <c r="D592" s="524" t="s">
        <v>4951</v>
      </c>
      <c r="E592" s="653">
        <v>60</v>
      </c>
      <c r="F592" s="653">
        <v>0</v>
      </c>
      <c r="G592" s="653">
        <v>0</v>
      </c>
      <c r="H592" s="653">
        <v>60</v>
      </c>
      <c r="I592" s="653">
        <f t="shared" si="47"/>
        <v>938</v>
      </c>
      <c r="J592" s="653">
        <v>0</v>
      </c>
      <c r="K592" s="653">
        <v>0</v>
      </c>
      <c r="L592" s="698">
        <v>938</v>
      </c>
      <c r="M592" s="957">
        <v>0.73499999999999999</v>
      </c>
      <c r="N592" s="653">
        <v>1117.9000000000001</v>
      </c>
      <c r="O592" s="669" t="s">
        <v>4952</v>
      </c>
      <c r="P592" s="463" t="s">
        <v>1588</v>
      </c>
      <c r="Q592" s="852">
        <v>0</v>
      </c>
      <c r="R592" s="852">
        <v>0</v>
      </c>
      <c r="S592" s="852">
        <v>0</v>
      </c>
      <c r="T592" s="852">
        <v>0</v>
      </c>
      <c r="U592" s="463" t="s">
        <v>4953</v>
      </c>
      <c r="V592" s="466" t="s">
        <v>4954</v>
      </c>
      <c r="W592" s="653">
        <v>542</v>
      </c>
      <c r="X592" s="463" t="s">
        <v>2193</v>
      </c>
      <c r="Y592" s="463"/>
      <c r="Z592" s="463" t="s">
        <v>1632</v>
      </c>
      <c r="AA592" s="463" t="s">
        <v>1592</v>
      </c>
      <c r="AB592" s="459" t="s">
        <v>1592</v>
      </c>
    </row>
    <row r="593" spans="1:28" ht="24" customHeight="1">
      <c r="A593" s="582" t="s">
        <v>1633</v>
      </c>
      <c r="B593" s="521" t="s">
        <v>2201</v>
      </c>
      <c r="C593" s="522" t="s">
        <v>2400</v>
      </c>
      <c r="D593" s="524" t="s">
        <v>4955</v>
      </c>
      <c r="E593" s="653">
        <f t="shared" ref="E593:E604" si="48">F593+G593+H593</f>
        <v>8000</v>
      </c>
      <c r="F593" s="653">
        <v>0</v>
      </c>
      <c r="G593" s="653">
        <v>0</v>
      </c>
      <c r="H593" s="653">
        <v>8000</v>
      </c>
      <c r="I593" s="653">
        <f t="shared" si="47"/>
        <v>10253</v>
      </c>
      <c r="J593" s="653">
        <v>0</v>
      </c>
      <c r="K593" s="653">
        <v>0</v>
      </c>
      <c r="L593" s="698">
        <v>10253</v>
      </c>
      <c r="M593" s="957">
        <v>0.98199672667757776</v>
      </c>
      <c r="N593" s="653">
        <v>1230.3599999999999</v>
      </c>
      <c r="O593" s="669" t="s">
        <v>1070</v>
      </c>
      <c r="P593" s="463" t="s">
        <v>1588</v>
      </c>
      <c r="Q593" s="852">
        <v>60.1</v>
      </c>
      <c r="R593" s="852">
        <v>80.3</v>
      </c>
      <c r="S593" s="852">
        <v>79.900000000000006</v>
      </c>
      <c r="T593" s="852">
        <v>0</v>
      </c>
      <c r="U593" s="463" t="s">
        <v>2272</v>
      </c>
      <c r="V593" s="463" t="s">
        <v>4956</v>
      </c>
      <c r="W593" s="653">
        <v>26719</v>
      </c>
      <c r="X593" s="463" t="s">
        <v>2276</v>
      </c>
      <c r="Y593" s="463"/>
      <c r="Z593" s="463" t="s">
        <v>1618</v>
      </c>
      <c r="AA593" s="463" t="s">
        <v>1592</v>
      </c>
      <c r="AB593" s="459" t="s">
        <v>1592</v>
      </c>
    </row>
    <row r="594" spans="1:28" ht="24" customHeight="1">
      <c r="A594" s="584"/>
      <c r="B594" s="521" t="s">
        <v>2201</v>
      </c>
      <c r="C594" s="522" t="s">
        <v>4957</v>
      </c>
      <c r="D594" s="524" t="s">
        <v>4958</v>
      </c>
      <c r="E594" s="653">
        <f t="shared" si="48"/>
        <v>600</v>
      </c>
      <c r="F594" s="653">
        <v>0</v>
      </c>
      <c r="G594" s="653">
        <v>0</v>
      </c>
      <c r="H594" s="653">
        <v>600</v>
      </c>
      <c r="I594" s="653">
        <f t="shared" si="47"/>
        <v>526</v>
      </c>
      <c r="J594" s="653">
        <v>0</v>
      </c>
      <c r="K594" s="653">
        <v>0</v>
      </c>
      <c r="L594" s="698">
        <v>526</v>
      </c>
      <c r="M594" s="957">
        <v>0.98161065313887119</v>
      </c>
      <c r="N594" s="653">
        <v>81.424799999999991</v>
      </c>
      <c r="O594" s="669" t="s">
        <v>4959</v>
      </c>
      <c r="P594" s="463" t="s">
        <v>1588</v>
      </c>
      <c r="Q594" s="852">
        <v>0</v>
      </c>
      <c r="R594" s="852">
        <v>0</v>
      </c>
      <c r="S594" s="852">
        <v>0</v>
      </c>
      <c r="T594" s="852">
        <v>0</v>
      </c>
      <c r="U594" s="463" t="s">
        <v>4960</v>
      </c>
      <c r="V594" s="463" t="s">
        <v>4961</v>
      </c>
      <c r="W594" s="653">
        <v>11523</v>
      </c>
      <c r="X594" s="463" t="s">
        <v>2276</v>
      </c>
      <c r="Y594" s="463" t="s">
        <v>3161</v>
      </c>
      <c r="Z594" s="463" t="s">
        <v>1618</v>
      </c>
      <c r="AA594" s="463" t="s">
        <v>1592</v>
      </c>
      <c r="AB594" s="459" t="s">
        <v>1592</v>
      </c>
    </row>
    <row r="595" spans="1:28" ht="24" customHeight="1">
      <c r="A595" s="584"/>
      <c r="B595" s="521" t="s">
        <v>2201</v>
      </c>
      <c r="C595" s="522" t="s">
        <v>4962</v>
      </c>
      <c r="D595" s="524" t="s">
        <v>4963</v>
      </c>
      <c r="E595" s="653">
        <f t="shared" si="48"/>
        <v>1100</v>
      </c>
      <c r="F595" s="653">
        <v>0</v>
      </c>
      <c r="G595" s="653">
        <v>0</v>
      </c>
      <c r="H595" s="653">
        <v>1100</v>
      </c>
      <c r="I595" s="653">
        <f t="shared" si="47"/>
        <v>619</v>
      </c>
      <c r="J595" s="653">
        <v>0</v>
      </c>
      <c r="K595" s="653">
        <v>0</v>
      </c>
      <c r="L595" s="698">
        <v>619</v>
      </c>
      <c r="M595" s="957">
        <v>0.97039159503342887</v>
      </c>
      <c r="N595" s="653">
        <v>62.8904</v>
      </c>
      <c r="O595" s="669" t="s">
        <v>4959</v>
      </c>
      <c r="P595" s="463" t="s">
        <v>1588</v>
      </c>
      <c r="Q595" s="852">
        <v>0</v>
      </c>
      <c r="R595" s="852">
        <v>0</v>
      </c>
      <c r="S595" s="852">
        <v>0</v>
      </c>
      <c r="T595" s="852">
        <v>0</v>
      </c>
      <c r="U595" s="463" t="s">
        <v>4960</v>
      </c>
      <c r="V595" s="463" t="s">
        <v>4961</v>
      </c>
      <c r="W595" s="653">
        <v>10841</v>
      </c>
      <c r="X595" s="463" t="s">
        <v>2276</v>
      </c>
      <c r="Y595" s="463" t="s">
        <v>3161</v>
      </c>
      <c r="Z595" s="463" t="s">
        <v>1618</v>
      </c>
      <c r="AA595" s="463" t="s">
        <v>1592</v>
      </c>
      <c r="AB595" s="459" t="s">
        <v>1592</v>
      </c>
    </row>
    <row r="596" spans="1:28" ht="24" customHeight="1">
      <c r="A596" s="584"/>
      <c r="B596" s="521" t="s">
        <v>675</v>
      </c>
      <c r="C596" s="522" t="s">
        <v>907</v>
      </c>
      <c r="D596" s="524" t="s">
        <v>4964</v>
      </c>
      <c r="E596" s="653">
        <f t="shared" si="48"/>
        <v>190</v>
      </c>
      <c r="F596" s="653">
        <v>0</v>
      </c>
      <c r="G596" s="653">
        <v>190</v>
      </c>
      <c r="H596" s="653">
        <v>0</v>
      </c>
      <c r="I596" s="653">
        <f t="shared" si="47"/>
        <v>100</v>
      </c>
      <c r="J596" s="653">
        <v>0</v>
      </c>
      <c r="K596" s="653">
        <v>100</v>
      </c>
      <c r="L596" s="698">
        <v>0</v>
      </c>
      <c r="M596" s="957"/>
      <c r="N596" s="653">
        <v>15.4</v>
      </c>
      <c r="O596" s="669" t="s">
        <v>4965</v>
      </c>
      <c r="P596" s="463" t="s">
        <v>1588</v>
      </c>
      <c r="Q596" s="852">
        <v>0</v>
      </c>
      <c r="R596" s="852">
        <v>0</v>
      </c>
      <c r="S596" s="852">
        <v>0</v>
      </c>
      <c r="T596" s="852">
        <v>0</v>
      </c>
      <c r="U596" s="463" t="s">
        <v>4966</v>
      </c>
      <c r="V596" s="463" t="s">
        <v>4967</v>
      </c>
      <c r="W596" s="653">
        <v>400</v>
      </c>
      <c r="X596" s="463" t="s">
        <v>2361</v>
      </c>
      <c r="Y596" s="463" t="s">
        <v>1533</v>
      </c>
      <c r="Z596" s="463" t="s">
        <v>1618</v>
      </c>
      <c r="AA596" s="463" t="s">
        <v>1592</v>
      </c>
      <c r="AB596" s="459" t="s">
        <v>1592</v>
      </c>
    </row>
    <row r="597" spans="1:28" ht="24" customHeight="1">
      <c r="A597" s="584"/>
      <c r="B597" s="521" t="s">
        <v>675</v>
      </c>
      <c r="C597" s="522" t="s">
        <v>4968</v>
      </c>
      <c r="D597" s="524" t="s">
        <v>4969</v>
      </c>
      <c r="E597" s="653">
        <f t="shared" si="48"/>
        <v>80</v>
      </c>
      <c r="F597" s="653">
        <v>0</v>
      </c>
      <c r="G597" s="653">
        <v>80</v>
      </c>
      <c r="H597" s="653">
        <v>0</v>
      </c>
      <c r="I597" s="653">
        <f t="shared" si="47"/>
        <v>64.8</v>
      </c>
      <c r="J597" s="653">
        <v>0</v>
      </c>
      <c r="K597" s="653">
        <v>64.8</v>
      </c>
      <c r="L597" s="698">
        <v>0</v>
      </c>
      <c r="M597" s="957">
        <v>0.93</v>
      </c>
      <c r="N597" s="653">
        <v>6.26</v>
      </c>
      <c r="O597" s="669" t="s">
        <v>4970</v>
      </c>
      <c r="P597" s="463" t="s">
        <v>1588</v>
      </c>
      <c r="Q597" s="852">
        <v>0</v>
      </c>
      <c r="R597" s="852">
        <v>0</v>
      </c>
      <c r="S597" s="852">
        <v>0</v>
      </c>
      <c r="T597" s="852">
        <v>0</v>
      </c>
      <c r="U597" s="463" t="s">
        <v>4971</v>
      </c>
      <c r="V597" s="463" t="s">
        <v>4972</v>
      </c>
      <c r="W597" s="653">
        <v>389</v>
      </c>
      <c r="X597" s="463" t="s">
        <v>2361</v>
      </c>
      <c r="Y597" s="463" t="s">
        <v>1533</v>
      </c>
      <c r="Z597" s="463" t="s">
        <v>1618</v>
      </c>
      <c r="AA597" s="463" t="s">
        <v>1592</v>
      </c>
      <c r="AB597" s="459" t="s">
        <v>1592</v>
      </c>
    </row>
    <row r="598" spans="1:28" ht="24" customHeight="1">
      <c r="A598" s="584"/>
      <c r="B598" s="521" t="s">
        <v>675</v>
      </c>
      <c r="C598" s="522" t="s">
        <v>3681</v>
      </c>
      <c r="D598" s="524" t="s">
        <v>4973</v>
      </c>
      <c r="E598" s="653">
        <f t="shared" si="48"/>
        <v>100</v>
      </c>
      <c r="F598" s="653">
        <v>0</v>
      </c>
      <c r="G598" s="653">
        <v>100</v>
      </c>
      <c r="H598" s="653">
        <v>0</v>
      </c>
      <c r="I598" s="653">
        <f t="shared" si="47"/>
        <v>85.2</v>
      </c>
      <c r="J598" s="653">
        <v>0</v>
      </c>
      <c r="K598" s="653">
        <v>85.2</v>
      </c>
      <c r="L598" s="698">
        <v>0</v>
      </c>
      <c r="M598" s="957">
        <v>0.95</v>
      </c>
      <c r="N598" s="653">
        <v>11.06</v>
      </c>
      <c r="O598" s="669" t="s">
        <v>4974</v>
      </c>
      <c r="P598" s="463" t="s">
        <v>1588</v>
      </c>
      <c r="Q598" s="852">
        <v>0</v>
      </c>
      <c r="R598" s="852">
        <v>0</v>
      </c>
      <c r="S598" s="852">
        <v>0</v>
      </c>
      <c r="T598" s="852">
        <v>0</v>
      </c>
      <c r="U598" s="463" t="s">
        <v>4975</v>
      </c>
      <c r="V598" s="463" t="s">
        <v>4976</v>
      </c>
      <c r="W598" s="653">
        <v>531</v>
      </c>
      <c r="X598" s="463" t="s">
        <v>2361</v>
      </c>
      <c r="Y598" s="463" t="s">
        <v>1533</v>
      </c>
      <c r="Z598" s="463" t="s">
        <v>1618</v>
      </c>
      <c r="AA598" s="463" t="s">
        <v>1592</v>
      </c>
      <c r="AB598" s="459" t="s">
        <v>1592</v>
      </c>
    </row>
    <row r="599" spans="1:28" ht="24" customHeight="1">
      <c r="A599" s="584"/>
      <c r="B599" s="521" t="s">
        <v>675</v>
      </c>
      <c r="C599" s="522" t="s">
        <v>4977</v>
      </c>
      <c r="D599" s="524" t="s">
        <v>4978</v>
      </c>
      <c r="E599" s="653">
        <f t="shared" si="48"/>
        <v>60</v>
      </c>
      <c r="F599" s="653">
        <v>0</v>
      </c>
      <c r="G599" s="653">
        <v>0</v>
      </c>
      <c r="H599" s="653">
        <v>60</v>
      </c>
      <c r="I599" s="653">
        <f t="shared" si="47"/>
        <v>52</v>
      </c>
      <c r="J599" s="653">
        <v>0</v>
      </c>
      <c r="K599" s="653">
        <v>0</v>
      </c>
      <c r="L599" s="698">
        <v>52</v>
      </c>
      <c r="M599" s="957">
        <v>0.93500000000000005</v>
      </c>
      <c r="N599" s="653">
        <v>25.18</v>
      </c>
      <c r="O599" s="669" t="s">
        <v>4979</v>
      </c>
      <c r="P599" s="463" t="s">
        <v>1588</v>
      </c>
      <c r="Q599" s="852">
        <v>0</v>
      </c>
      <c r="R599" s="852">
        <v>0</v>
      </c>
      <c r="S599" s="852">
        <v>0</v>
      </c>
      <c r="T599" s="852">
        <v>0</v>
      </c>
      <c r="U599" s="463" t="s">
        <v>4980</v>
      </c>
      <c r="V599" s="463" t="s">
        <v>4981</v>
      </c>
      <c r="W599" s="653">
        <v>281</v>
      </c>
      <c r="X599" s="463" t="s">
        <v>2361</v>
      </c>
      <c r="Y599" s="463" t="s">
        <v>1533</v>
      </c>
      <c r="Z599" s="463" t="s">
        <v>1618</v>
      </c>
      <c r="AA599" s="463" t="s">
        <v>1592</v>
      </c>
      <c r="AB599" s="459" t="s">
        <v>1592</v>
      </c>
    </row>
    <row r="600" spans="1:28" ht="24" customHeight="1">
      <c r="A600" s="584"/>
      <c r="B600" s="521" t="s">
        <v>675</v>
      </c>
      <c r="C600" s="522" t="s">
        <v>4982</v>
      </c>
      <c r="D600" s="524" t="s">
        <v>4983</v>
      </c>
      <c r="E600" s="653">
        <f t="shared" si="48"/>
        <v>30</v>
      </c>
      <c r="F600" s="653">
        <v>0</v>
      </c>
      <c r="G600" s="653">
        <v>0</v>
      </c>
      <c r="H600" s="653">
        <v>30</v>
      </c>
      <c r="I600" s="653">
        <f t="shared" ref="I600:I634" si="49">SUM(J600:L600)</f>
        <v>23</v>
      </c>
      <c r="J600" s="653">
        <v>0</v>
      </c>
      <c r="K600" s="653">
        <v>0</v>
      </c>
      <c r="L600" s="698">
        <v>23</v>
      </c>
      <c r="M600" s="957">
        <v>0.95</v>
      </c>
      <c r="N600" s="653">
        <v>3.6</v>
      </c>
      <c r="O600" s="669" t="s">
        <v>4984</v>
      </c>
      <c r="P600" s="463" t="s">
        <v>1588</v>
      </c>
      <c r="Q600" s="852">
        <v>0</v>
      </c>
      <c r="R600" s="852">
        <v>0</v>
      </c>
      <c r="S600" s="852">
        <v>0</v>
      </c>
      <c r="T600" s="852">
        <v>0</v>
      </c>
      <c r="U600" s="463" t="s">
        <v>4985</v>
      </c>
      <c r="V600" s="463" t="s">
        <v>4986</v>
      </c>
      <c r="W600" s="653">
        <v>80</v>
      </c>
      <c r="X600" s="463" t="s">
        <v>2361</v>
      </c>
      <c r="Y600" s="463" t="s">
        <v>1533</v>
      </c>
      <c r="Z600" s="463" t="s">
        <v>1618</v>
      </c>
      <c r="AA600" s="463" t="s">
        <v>1592</v>
      </c>
      <c r="AB600" s="459" t="s">
        <v>1592</v>
      </c>
    </row>
    <row r="601" spans="1:28" ht="24" customHeight="1">
      <c r="A601" s="584"/>
      <c r="B601" s="521" t="s">
        <v>675</v>
      </c>
      <c r="C601" s="522" t="s">
        <v>4987</v>
      </c>
      <c r="D601" s="524" t="s">
        <v>4988</v>
      </c>
      <c r="E601" s="653">
        <f t="shared" si="48"/>
        <v>48</v>
      </c>
      <c r="F601" s="653">
        <v>0</v>
      </c>
      <c r="G601" s="653">
        <v>0</v>
      </c>
      <c r="H601" s="653">
        <v>48</v>
      </c>
      <c r="I601" s="653">
        <f t="shared" si="49"/>
        <v>40</v>
      </c>
      <c r="J601" s="653">
        <v>0</v>
      </c>
      <c r="K601" s="653">
        <v>0</v>
      </c>
      <c r="L601" s="698">
        <v>40</v>
      </c>
      <c r="M601" s="957">
        <v>0.92400000000000004</v>
      </c>
      <c r="N601" s="653">
        <v>3.84</v>
      </c>
      <c r="O601" s="669" t="s">
        <v>4989</v>
      </c>
      <c r="P601" s="463" t="s">
        <v>1588</v>
      </c>
      <c r="Q601" s="852">
        <v>0</v>
      </c>
      <c r="R601" s="852">
        <v>0</v>
      </c>
      <c r="S601" s="852">
        <v>0</v>
      </c>
      <c r="T601" s="852">
        <v>0</v>
      </c>
      <c r="U601" s="463" t="s">
        <v>4990</v>
      </c>
      <c r="V601" s="463" t="s">
        <v>4991</v>
      </c>
      <c r="W601" s="653">
        <v>484</v>
      </c>
      <c r="X601" s="463" t="s">
        <v>2361</v>
      </c>
      <c r="Y601" s="463" t="s">
        <v>1533</v>
      </c>
      <c r="Z601" s="463" t="s">
        <v>1618</v>
      </c>
      <c r="AA601" s="463" t="s">
        <v>1592</v>
      </c>
      <c r="AB601" s="459" t="s">
        <v>1592</v>
      </c>
    </row>
    <row r="602" spans="1:28" ht="24" customHeight="1">
      <c r="A602" s="584"/>
      <c r="B602" s="521" t="s">
        <v>675</v>
      </c>
      <c r="C602" s="522" t="s">
        <v>4992</v>
      </c>
      <c r="D602" s="524" t="s">
        <v>4993</v>
      </c>
      <c r="E602" s="653">
        <f t="shared" si="48"/>
        <v>40</v>
      </c>
      <c r="F602" s="653">
        <v>0</v>
      </c>
      <c r="G602" s="653">
        <v>0</v>
      </c>
      <c r="H602" s="653">
        <v>40</v>
      </c>
      <c r="I602" s="653">
        <f t="shared" si="49"/>
        <v>40</v>
      </c>
      <c r="J602" s="653">
        <v>0</v>
      </c>
      <c r="K602" s="653">
        <v>0</v>
      </c>
      <c r="L602" s="698">
        <v>40</v>
      </c>
      <c r="M602" s="957">
        <v>0.93599999999999994</v>
      </c>
      <c r="N602" s="653">
        <v>2.91</v>
      </c>
      <c r="O602" s="669" t="s">
        <v>4989</v>
      </c>
      <c r="P602" s="463" t="s">
        <v>1588</v>
      </c>
      <c r="Q602" s="852">
        <v>0</v>
      </c>
      <c r="R602" s="852">
        <v>0</v>
      </c>
      <c r="S602" s="852">
        <v>0</v>
      </c>
      <c r="T602" s="852">
        <v>0</v>
      </c>
      <c r="U602" s="463" t="s">
        <v>4994</v>
      </c>
      <c r="V602" s="463" t="s">
        <v>4995</v>
      </c>
      <c r="W602" s="653">
        <v>636</v>
      </c>
      <c r="X602" s="463" t="s">
        <v>2361</v>
      </c>
      <c r="Y602" s="463" t="s">
        <v>4034</v>
      </c>
      <c r="Z602" s="463" t="s">
        <v>1618</v>
      </c>
      <c r="AA602" s="463" t="s">
        <v>1592</v>
      </c>
      <c r="AB602" s="459" t="s">
        <v>1592</v>
      </c>
    </row>
    <row r="603" spans="1:28" ht="24" customHeight="1">
      <c r="A603" s="584"/>
      <c r="B603" s="521" t="s">
        <v>675</v>
      </c>
      <c r="C603" s="522" t="s">
        <v>4996</v>
      </c>
      <c r="D603" s="524" t="s">
        <v>4997</v>
      </c>
      <c r="E603" s="653">
        <f t="shared" si="48"/>
        <v>60</v>
      </c>
      <c r="F603" s="653">
        <v>0</v>
      </c>
      <c r="G603" s="653">
        <v>0</v>
      </c>
      <c r="H603" s="653">
        <v>60</v>
      </c>
      <c r="I603" s="653">
        <f t="shared" si="49"/>
        <v>60</v>
      </c>
      <c r="J603" s="653">
        <v>0</v>
      </c>
      <c r="K603" s="653">
        <v>0</v>
      </c>
      <c r="L603" s="698">
        <v>60</v>
      </c>
      <c r="M603" s="957">
        <v>0.94</v>
      </c>
      <c r="N603" s="653">
        <v>18.489999999999998</v>
      </c>
      <c r="O603" s="669" t="s">
        <v>4998</v>
      </c>
      <c r="P603" s="463" t="s">
        <v>1588</v>
      </c>
      <c r="Q603" s="852">
        <v>0</v>
      </c>
      <c r="R603" s="852">
        <v>0</v>
      </c>
      <c r="S603" s="852">
        <v>0</v>
      </c>
      <c r="T603" s="852">
        <v>0</v>
      </c>
      <c r="U603" s="463" t="s">
        <v>4999</v>
      </c>
      <c r="V603" s="463" t="s">
        <v>5000</v>
      </c>
      <c r="W603" s="653">
        <v>686</v>
      </c>
      <c r="X603" s="463" t="s">
        <v>2361</v>
      </c>
      <c r="Y603" s="463" t="s">
        <v>1533</v>
      </c>
      <c r="Z603" s="463" t="s">
        <v>1618</v>
      </c>
      <c r="AA603" s="463" t="s">
        <v>1592</v>
      </c>
      <c r="AB603" s="459" t="s">
        <v>1592</v>
      </c>
    </row>
    <row r="604" spans="1:28" ht="24" customHeight="1">
      <c r="A604" s="584"/>
      <c r="B604" s="521" t="s">
        <v>675</v>
      </c>
      <c r="C604" s="522" t="s">
        <v>5001</v>
      </c>
      <c r="D604" s="524" t="s">
        <v>5002</v>
      </c>
      <c r="E604" s="653">
        <f t="shared" si="48"/>
        <v>45</v>
      </c>
      <c r="F604" s="653">
        <v>0</v>
      </c>
      <c r="G604" s="653">
        <v>0</v>
      </c>
      <c r="H604" s="653">
        <v>45</v>
      </c>
      <c r="I604" s="653">
        <f t="shared" si="49"/>
        <v>40</v>
      </c>
      <c r="J604" s="653">
        <v>0</v>
      </c>
      <c r="K604" s="653">
        <v>0</v>
      </c>
      <c r="L604" s="698">
        <v>40</v>
      </c>
      <c r="M604" s="957">
        <v>0.95</v>
      </c>
      <c r="N604" s="653">
        <v>1.6</v>
      </c>
      <c r="O604" s="669" t="s">
        <v>4998</v>
      </c>
      <c r="P604" s="463" t="s">
        <v>1588</v>
      </c>
      <c r="Q604" s="852">
        <v>0</v>
      </c>
      <c r="R604" s="852">
        <v>0</v>
      </c>
      <c r="S604" s="852">
        <v>0</v>
      </c>
      <c r="T604" s="852">
        <v>0</v>
      </c>
      <c r="U604" s="463" t="s">
        <v>5003</v>
      </c>
      <c r="V604" s="463" t="s">
        <v>5004</v>
      </c>
      <c r="W604" s="653">
        <v>2100</v>
      </c>
      <c r="X604" s="463" t="s">
        <v>2361</v>
      </c>
      <c r="Y604" s="463" t="s">
        <v>4034</v>
      </c>
      <c r="Z604" s="463" t="s">
        <v>1618</v>
      </c>
      <c r="AA604" s="463" t="s">
        <v>1592</v>
      </c>
      <c r="AB604" s="459" t="s">
        <v>1592</v>
      </c>
    </row>
    <row r="605" spans="1:28" ht="24" customHeight="1">
      <c r="A605" s="590" t="s">
        <v>1634</v>
      </c>
      <c r="B605" s="524" t="s">
        <v>2201</v>
      </c>
      <c r="C605" s="522" t="s">
        <v>2401</v>
      </c>
      <c r="D605" s="524" t="s">
        <v>2273</v>
      </c>
      <c r="E605" s="653">
        <f>G605</f>
        <v>4000</v>
      </c>
      <c r="F605" s="653">
        <v>0</v>
      </c>
      <c r="G605" s="653">
        <v>4000</v>
      </c>
      <c r="H605" s="653">
        <v>0</v>
      </c>
      <c r="I605" s="653">
        <f t="shared" si="49"/>
        <v>3141.8</v>
      </c>
      <c r="J605" s="653">
        <v>0</v>
      </c>
      <c r="K605" s="653">
        <v>3141.8</v>
      </c>
      <c r="L605" s="698">
        <v>0</v>
      </c>
      <c r="M605" s="957">
        <v>0.94444444444444453</v>
      </c>
      <c r="N605" s="653">
        <v>176.25498000000005</v>
      </c>
      <c r="O605" s="727" t="s">
        <v>3714</v>
      </c>
      <c r="P605" s="482" t="s">
        <v>1588</v>
      </c>
      <c r="Q605" s="852">
        <v>64.3</v>
      </c>
      <c r="R605" s="852">
        <v>0</v>
      </c>
      <c r="S605" s="852">
        <v>55.8</v>
      </c>
      <c r="T605" s="852">
        <v>380.7</v>
      </c>
      <c r="U605" s="464" t="s">
        <v>2275</v>
      </c>
      <c r="V605" s="464" t="s">
        <v>5005</v>
      </c>
      <c r="W605" s="653">
        <v>16225</v>
      </c>
      <c r="X605" s="525" t="s">
        <v>2276</v>
      </c>
      <c r="Y605" s="463" t="s">
        <v>5006</v>
      </c>
      <c r="Z605" s="525" t="s">
        <v>1613</v>
      </c>
      <c r="AA605" s="514" t="s">
        <v>1615</v>
      </c>
      <c r="AB605" s="526" t="s">
        <v>1534</v>
      </c>
    </row>
    <row r="606" spans="1:28" ht="24" customHeight="1">
      <c r="A606" s="591"/>
      <c r="B606" s="524" t="s">
        <v>675</v>
      </c>
      <c r="C606" s="522" t="s">
        <v>5007</v>
      </c>
      <c r="D606" s="524" t="s">
        <v>5008</v>
      </c>
      <c r="E606" s="653">
        <f>G606</f>
        <v>10</v>
      </c>
      <c r="F606" s="653">
        <v>0</v>
      </c>
      <c r="G606" s="653">
        <v>10</v>
      </c>
      <c r="H606" s="653">
        <v>0</v>
      </c>
      <c r="I606" s="653">
        <f t="shared" si="49"/>
        <v>6.6</v>
      </c>
      <c r="J606" s="653">
        <v>0</v>
      </c>
      <c r="K606" s="653">
        <v>6.6</v>
      </c>
      <c r="L606" s="698">
        <v>0</v>
      </c>
      <c r="M606" s="957">
        <v>0.96</v>
      </c>
      <c r="N606" s="653">
        <v>0.55000000000000004</v>
      </c>
      <c r="O606" s="725" t="s">
        <v>5009</v>
      </c>
      <c r="P606" s="498" t="s">
        <v>1588</v>
      </c>
      <c r="Q606" s="852">
        <v>0</v>
      </c>
      <c r="R606" s="852">
        <v>0</v>
      </c>
      <c r="S606" s="852">
        <v>0</v>
      </c>
      <c r="T606" s="852">
        <v>0</v>
      </c>
      <c r="U606" s="464" t="s">
        <v>2275</v>
      </c>
      <c r="V606" s="520" t="s">
        <v>5010</v>
      </c>
      <c r="W606" s="653">
        <v>140</v>
      </c>
      <c r="X606" s="463" t="s">
        <v>2276</v>
      </c>
      <c r="Y606" s="463" t="s">
        <v>5006</v>
      </c>
      <c r="Z606" s="480" t="s">
        <v>1613</v>
      </c>
      <c r="AA606" s="503" t="s">
        <v>1615</v>
      </c>
      <c r="AB606" s="481" t="s">
        <v>1534</v>
      </c>
    </row>
    <row r="607" spans="1:28" ht="24" customHeight="1">
      <c r="A607" s="591"/>
      <c r="B607" s="524" t="s">
        <v>675</v>
      </c>
      <c r="C607" s="522" t="s">
        <v>5011</v>
      </c>
      <c r="D607" s="524" t="s">
        <v>5012</v>
      </c>
      <c r="E607" s="653">
        <v>20</v>
      </c>
      <c r="F607" s="653">
        <v>0</v>
      </c>
      <c r="G607" s="653">
        <v>20</v>
      </c>
      <c r="H607" s="653">
        <v>0</v>
      </c>
      <c r="I607" s="653">
        <f t="shared" si="49"/>
        <v>8.8000000000000007</v>
      </c>
      <c r="J607" s="653">
        <v>0</v>
      </c>
      <c r="K607" s="653">
        <v>8.8000000000000007</v>
      </c>
      <c r="L607" s="698">
        <v>0</v>
      </c>
      <c r="M607" s="957">
        <v>0.96</v>
      </c>
      <c r="N607" s="653">
        <v>1.28</v>
      </c>
      <c r="O607" s="725" t="s">
        <v>5009</v>
      </c>
      <c r="P607" s="498" t="s">
        <v>1588</v>
      </c>
      <c r="Q607" s="852">
        <v>0</v>
      </c>
      <c r="R607" s="852">
        <v>0</v>
      </c>
      <c r="S607" s="852">
        <v>0</v>
      </c>
      <c r="T607" s="852">
        <v>0</v>
      </c>
      <c r="U607" s="464" t="s">
        <v>2275</v>
      </c>
      <c r="V607" s="520" t="s">
        <v>5013</v>
      </c>
      <c r="W607" s="653">
        <v>200</v>
      </c>
      <c r="X607" s="463" t="s">
        <v>2276</v>
      </c>
      <c r="Y607" s="463" t="s">
        <v>5006</v>
      </c>
      <c r="Z607" s="480" t="s">
        <v>1613</v>
      </c>
      <c r="AA607" s="503" t="s">
        <v>1615</v>
      </c>
      <c r="AB607" s="481" t="s">
        <v>1534</v>
      </c>
    </row>
    <row r="608" spans="1:28" ht="24" customHeight="1">
      <c r="A608" s="591"/>
      <c r="B608" s="524" t="s">
        <v>675</v>
      </c>
      <c r="C608" s="522" t="s">
        <v>5014</v>
      </c>
      <c r="D608" s="524" t="s">
        <v>5015</v>
      </c>
      <c r="E608" s="653">
        <f t="shared" ref="E608:E615" si="50">G608</f>
        <v>10</v>
      </c>
      <c r="F608" s="653">
        <v>0</v>
      </c>
      <c r="G608" s="653">
        <v>10</v>
      </c>
      <c r="H608" s="653">
        <v>0</v>
      </c>
      <c r="I608" s="653">
        <f t="shared" si="49"/>
        <v>5.8</v>
      </c>
      <c r="J608" s="653">
        <v>0</v>
      </c>
      <c r="K608" s="653">
        <v>5.8</v>
      </c>
      <c r="L608" s="698">
        <v>0</v>
      </c>
      <c r="M608" s="957">
        <v>0.96</v>
      </c>
      <c r="N608" s="653">
        <v>0.45</v>
      </c>
      <c r="O608" s="725" t="s">
        <v>3742</v>
      </c>
      <c r="P608" s="498" t="s">
        <v>1588</v>
      </c>
      <c r="Q608" s="852">
        <v>0</v>
      </c>
      <c r="R608" s="852">
        <v>0</v>
      </c>
      <c r="S608" s="852">
        <v>0</v>
      </c>
      <c r="T608" s="852">
        <v>0</v>
      </c>
      <c r="U608" s="464" t="s">
        <v>2275</v>
      </c>
      <c r="V608" s="520" t="s">
        <v>5016</v>
      </c>
      <c r="W608" s="653">
        <v>300</v>
      </c>
      <c r="X608" s="463" t="s">
        <v>2276</v>
      </c>
      <c r="Y608" s="463" t="s">
        <v>5006</v>
      </c>
      <c r="Z608" s="480" t="s">
        <v>1613</v>
      </c>
      <c r="AA608" s="503" t="s">
        <v>1615</v>
      </c>
      <c r="AB608" s="481" t="s">
        <v>1534</v>
      </c>
    </row>
    <row r="609" spans="1:28" ht="24" customHeight="1">
      <c r="A609" s="591"/>
      <c r="B609" s="524" t="s">
        <v>675</v>
      </c>
      <c r="C609" s="522" t="s">
        <v>5017</v>
      </c>
      <c r="D609" s="524" t="s">
        <v>5018</v>
      </c>
      <c r="E609" s="653">
        <f t="shared" si="50"/>
        <v>23</v>
      </c>
      <c r="F609" s="653">
        <v>0</v>
      </c>
      <c r="G609" s="653">
        <v>23</v>
      </c>
      <c r="H609" s="653">
        <v>0</v>
      </c>
      <c r="I609" s="653">
        <f t="shared" si="49"/>
        <v>8.1999999999999993</v>
      </c>
      <c r="J609" s="653">
        <v>0</v>
      </c>
      <c r="K609" s="653">
        <v>8.1999999999999993</v>
      </c>
      <c r="L609" s="698">
        <v>0</v>
      </c>
      <c r="M609" s="957">
        <v>0.95</v>
      </c>
      <c r="N609" s="653">
        <v>0.76</v>
      </c>
      <c r="O609" s="725" t="s">
        <v>3742</v>
      </c>
      <c r="P609" s="498" t="s">
        <v>1588</v>
      </c>
      <c r="Q609" s="852">
        <v>0</v>
      </c>
      <c r="R609" s="852">
        <v>0</v>
      </c>
      <c r="S609" s="852">
        <v>0</v>
      </c>
      <c r="T609" s="852">
        <v>0</v>
      </c>
      <c r="U609" s="464" t="s">
        <v>2275</v>
      </c>
      <c r="V609" s="520" t="s">
        <v>5019</v>
      </c>
      <c r="W609" s="653">
        <v>200</v>
      </c>
      <c r="X609" s="463" t="s">
        <v>2276</v>
      </c>
      <c r="Y609" s="463" t="s">
        <v>3336</v>
      </c>
      <c r="Z609" s="480" t="s">
        <v>1613</v>
      </c>
      <c r="AA609" s="503" t="s">
        <v>1615</v>
      </c>
      <c r="AB609" s="481" t="s">
        <v>1534</v>
      </c>
    </row>
    <row r="610" spans="1:28" ht="24" customHeight="1">
      <c r="A610" s="591"/>
      <c r="B610" s="524" t="s">
        <v>675</v>
      </c>
      <c r="C610" s="522" t="s">
        <v>5020</v>
      </c>
      <c r="D610" s="524" t="s">
        <v>5021</v>
      </c>
      <c r="E610" s="653">
        <f t="shared" si="50"/>
        <v>25</v>
      </c>
      <c r="F610" s="653">
        <v>0</v>
      </c>
      <c r="G610" s="653">
        <v>25</v>
      </c>
      <c r="H610" s="653">
        <v>0</v>
      </c>
      <c r="I610" s="653">
        <f t="shared" si="49"/>
        <v>16.3</v>
      </c>
      <c r="J610" s="653">
        <v>0</v>
      </c>
      <c r="K610" s="653">
        <v>16.3</v>
      </c>
      <c r="L610" s="698">
        <v>0</v>
      </c>
      <c r="M610" s="957">
        <v>0.96</v>
      </c>
      <c r="N610" s="653">
        <v>1.3</v>
      </c>
      <c r="O610" s="725" t="s">
        <v>3742</v>
      </c>
      <c r="P610" s="498" t="s">
        <v>1588</v>
      </c>
      <c r="Q610" s="852">
        <v>0</v>
      </c>
      <c r="R610" s="852">
        <v>0</v>
      </c>
      <c r="S610" s="852">
        <v>0</v>
      </c>
      <c r="T610" s="852">
        <v>0</v>
      </c>
      <c r="U610" s="464" t="s">
        <v>2275</v>
      </c>
      <c r="V610" s="520" t="s">
        <v>5022</v>
      </c>
      <c r="W610" s="653">
        <v>100</v>
      </c>
      <c r="X610" s="463" t="s">
        <v>2276</v>
      </c>
      <c r="Y610" s="463" t="s">
        <v>3336</v>
      </c>
      <c r="Z610" s="480" t="s">
        <v>1613</v>
      </c>
      <c r="AA610" s="503" t="s">
        <v>1615</v>
      </c>
      <c r="AB610" s="481" t="s">
        <v>1534</v>
      </c>
    </row>
    <row r="611" spans="1:28" ht="24" customHeight="1">
      <c r="A611" s="591"/>
      <c r="B611" s="524" t="s">
        <v>675</v>
      </c>
      <c r="C611" s="522" t="s">
        <v>5023</v>
      </c>
      <c r="D611" s="524" t="s">
        <v>5024</v>
      </c>
      <c r="E611" s="653">
        <f t="shared" si="50"/>
        <v>40</v>
      </c>
      <c r="F611" s="653">
        <v>0</v>
      </c>
      <c r="G611" s="653">
        <v>40</v>
      </c>
      <c r="H611" s="653">
        <v>0</v>
      </c>
      <c r="I611" s="653">
        <f t="shared" si="49"/>
        <v>22.6</v>
      </c>
      <c r="J611" s="653">
        <v>0</v>
      </c>
      <c r="K611" s="653">
        <v>22.6</v>
      </c>
      <c r="L611" s="698">
        <v>0</v>
      </c>
      <c r="M611" s="957">
        <v>0.95</v>
      </c>
      <c r="N611" s="653">
        <v>1.7</v>
      </c>
      <c r="O611" s="725" t="s">
        <v>3742</v>
      </c>
      <c r="P611" s="498" t="s">
        <v>1588</v>
      </c>
      <c r="Q611" s="852">
        <v>0</v>
      </c>
      <c r="R611" s="852">
        <v>0</v>
      </c>
      <c r="S611" s="852">
        <v>0</v>
      </c>
      <c r="T611" s="852">
        <v>0</v>
      </c>
      <c r="U611" s="464" t="s">
        <v>2275</v>
      </c>
      <c r="V611" s="520" t="s">
        <v>5025</v>
      </c>
      <c r="W611" s="653">
        <v>218</v>
      </c>
      <c r="X611" s="463" t="s">
        <v>2276</v>
      </c>
      <c r="Y611" s="463" t="s">
        <v>5006</v>
      </c>
      <c r="Z611" s="480" t="s">
        <v>1613</v>
      </c>
      <c r="AA611" s="503" t="s">
        <v>1615</v>
      </c>
      <c r="AB611" s="481" t="s">
        <v>1534</v>
      </c>
    </row>
    <row r="612" spans="1:28" ht="24" customHeight="1">
      <c r="A612" s="591"/>
      <c r="B612" s="524" t="s">
        <v>675</v>
      </c>
      <c r="C612" s="522" t="s">
        <v>5026</v>
      </c>
      <c r="D612" s="524" t="s">
        <v>5027</v>
      </c>
      <c r="E612" s="653">
        <f t="shared" si="50"/>
        <v>50</v>
      </c>
      <c r="F612" s="653">
        <v>0</v>
      </c>
      <c r="G612" s="653">
        <v>50</v>
      </c>
      <c r="H612" s="653">
        <v>0</v>
      </c>
      <c r="I612" s="653">
        <f t="shared" si="49"/>
        <v>24.5</v>
      </c>
      <c r="J612" s="653">
        <v>0</v>
      </c>
      <c r="K612" s="653">
        <v>24.5</v>
      </c>
      <c r="L612" s="698">
        <v>0</v>
      </c>
      <c r="M612" s="957">
        <v>0.95</v>
      </c>
      <c r="N612" s="653">
        <v>1.88</v>
      </c>
      <c r="O612" s="725" t="s">
        <v>3742</v>
      </c>
      <c r="P612" s="498" t="s">
        <v>1588</v>
      </c>
      <c r="Q612" s="852">
        <v>0</v>
      </c>
      <c r="R612" s="852">
        <v>0</v>
      </c>
      <c r="S612" s="852">
        <v>0</v>
      </c>
      <c r="T612" s="852">
        <v>0</v>
      </c>
      <c r="U612" s="464" t="s">
        <v>2275</v>
      </c>
      <c r="V612" s="520" t="s">
        <v>5028</v>
      </c>
      <c r="W612" s="653">
        <v>351</v>
      </c>
      <c r="X612" s="463" t="s">
        <v>2276</v>
      </c>
      <c r="Y612" s="463" t="s">
        <v>3336</v>
      </c>
      <c r="Z612" s="480" t="s">
        <v>1613</v>
      </c>
      <c r="AA612" s="503" t="s">
        <v>1615</v>
      </c>
      <c r="AB612" s="481" t="s">
        <v>1534</v>
      </c>
    </row>
    <row r="613" spans="1:28" ht="24" customHeight="1">
      <c r="A613" s="591"/>
      <c r="B613" s="524" t="s">
        <v>675</v>
      </c>
      <c r="C613" s="522" t="s">
        <v>5029</v>
      </c>
      <c r="D613" s="524" t="s">
        <v>5030</v>
      </c>
      <c r="E613" s="653">
        <f t="shared" si="50"/>
        <v>50</v>
      </c>
      <c r="F613" s="653">
        <v>0</v>
      </c>
      <c r="G613" s="653">
        <v>50</v>
      </c>
      <c r="H613" s="653">
        <v>0</v>
      </c>
      <c r="I613" s="653">
        <f t="shared" si="49"/>
        <v>28.4</v>
      </c>
      <c r="J613" s="653">
        <v>0</v>
      </c>
      <c r="K613" s="653">
        <v>28.4</v>
      </c>
      <c r="L613" s="698">
        <v>0</v>
      </c>
      <c r="M613" s="957">
        <v>0.96</v>
      </c>
      <c r="N613" s="653">
        <v>2.21</v>
      </c>
      <c r="O613" s="725" t="s">
        <v>3742</v>
      </c>
      <c r="P613" s="498" t="s">
        <v>1588</v>
      </c>
      <c r="Q613" s="852">
        <v>0</v>
      </c>
      <c r="R613" s="852">
        <v>0</v>
      </c>
      <c r="S613" s="852">
        <v>0</v>
      </c>
      <c r="T613" s="852">
        <v>0</v>
      </c>
      <c r="U613" s="464" t="s">
        <v>2275</v>
      </c>
      <c r="V613" s="520" t="s">
        <v>5028</v>
      </c>
      <c r="W613" s="653">
        <v>350</v>
      </c>
      <c r="X613" s="463" t="s">
        <v>2276</v>
      </c>
      <c r="Y613" s="463" t="s">
        <v>3336</v>
      </c>
      <c r="Z613" s="480" t="s">
        <v>1613</v>
      </c>
      <c r="AA613" s="503" t="s">
        <v>1615</v>
      </c>
      <c r="AB613" s="481" t="s">
        <v>1534</v>
      </c>
    </row>
    <row r="614" spans="1:28" ht="24" customHeight="1">
      <c r="A614" s="591"/>
      <c r="B614" s="524" t="s">
        <v>675</v>
      </c>
      <c r="C614" s="522" t="s">
        <v>5031</v>
      </c>
      <c r="D614" s="524" t="s">
        <v>5032</v>
      </c>
      <c r="E614" s="653">
        <f t="shared" si="50"/>
        <v>310</v>
      </c>
      <c r="F614" s="653">
        <v>0</v>
      </c>
      <c r="G614" s="653">
        <v>310</v>
      </c>
      <c r="H614" s="653">
        <v>0</v>
      </c>
      <c r="I614" s="653">
        <f t="shared" si="49"/>
        <v>200.1</v>
      </c>
      <c r="J614" s="653">
        <v>0</v>
      </c>
      <c r="K614" s="653">
        <v>200.1</v>
      </c>
      <c r="L614" s="698">
        <v>0</v>
      </c>
      <c r="M614" s="957">
        <v>0.96</v>
      </c>
      <c r="N614" s="653">
        <v>17.850000000000001</v>
      </c>
      <c r="O614" s="725" t="s">
        <v>5033</v>
      </c>
      <c r="P614" s="498" t="s">
        <v>1588</v>
      </c>
      <c r="Q614" s="852">
        <v>0</v>
      </c>
      <c r="R614" s="852">
        <v>0</v>
      </c>
      <c r="S614" s="852">
        <v>0</v>
      </c>
      <c r="T614" s="852">
        <v>0</v>
      </c>
      <c r="U614" s="464" t="s">
        <v>2275</v>
      </c>
      <c r="V614" s="520" t="s">
        <v>5034</v>
      </c>
      <c r="W614" s="653">
        <v>400</v>
      </c>
      <c r="X614" s="463" t="s">
        <v>2276</v>
      </c>
      <c r="Y614" s="463" t="s">
        <v>5006</v>
      </c>
      <c r="Z614" s="480" t="s">
        <v>1632</v>
      </c>
      <c r="AA614" s="480" t="s">
        <v>1592</v>
      </c>
      <c r="AB614" s="481" t="s">
        <v>1592</v>
      </c>
    </row>
    <row r="615" spans="1:28" ht="24" customHeight="1">
      <c r="A615" s="591"/>
      <c r="B615" s="524" t="s">
        <v>675</v>
      </c>
      <c r="C615" s="522" t="s">
        <v>5035</v>
      </c>
      <c r="D615" s="524" t="s">
        <v>5036</v>
      </c>
      <c r="E615" s="653">
        <f t="shared" si="50"/>
        <v>30</v>
      </c>
      <c r="F615" s="653">
        <v>0</v>
      </c>
      <c r="G615" s="653">
        <v>30</v>
      </c>
      <c r="H615" s="653">
        <v>0</v>
      </c>
      <c r="I615" s="653" t="e">
        <f t="shared" si="49"/>
        <v>#REF!</v>
      </c>
      <c r="J615" s="653">
        <v>0</v>
      </c>
      <c r="K615" s="653" t="e">
        <f>#REF!</f>
        <v>#REF!</v>
      </c>
      <c r="L615" s="698">
        <v>0</v>
      </c>
      <c r="M615" s="957">
        <v>0.95</v>
      </c>
      <c r="N615" s="653">
        <v>1.32</v>
      </c>
      <c r="O615" s="725" t="s">
        <v>3742</v>
      </c>
      <c r="P615" s="498" t="s">
        <v>1588</v>
      </c>
      <c r="Q615" s="852">
        <v>0</v>
      </c>
      <c r="R615" s="852">
        <v>0</v>
      </c>
      <c r="S615" s="852">
        <v>0</v>
      </c>
      <c r="T615" s="852">
        <v>0</v>
      </c>
      <c r="U615" s="464" t="s">
        <v>2275</v>
      </c>
      <c r="V615" s="520" t="s">
        <v>5037</v>
      </c>
      <c r="W615" s="653">
        <v>275</v>
      </c>
      <c r="X615" s="463" t="s">
        <v>2276</v>
      </c>
      <c r="Y615" s="463" t="s">
        <v>5006</v>
      </c>
      <c r="Z615" s="480" t="s">
        <v>1632</v>
      </c>
      <c r="AA615" s="480" t="s">
        <v>1592</v>
      </c>
      <c r="AB615" s="481" t="s">
        <v>1592</v>
      </c>
    </row>
    <row r="616" spans="1:28" ht="24" customHeight="1">
      <c r="A616" s="591"/>
      <c r="B616" s="524" t="s">
        <v>675</v>
      </c>
      <c r="C616" s="522" t="s">
        <v>877</v>
      </c>
      <c r="D616" s="524" t="s">
        <v>5038</v>
      </c>
      <c r="E616" s="653">
        <v>100</v>
      </c>
      <c r="F616" s="653">
        <v>0</v>
      </c>
      <c r="G616" s="653">
        <v>100</v>
      </c>
      <c r="H616" s="653">
        <v>0</v>
      </c>
      <c r="I616" s="653">
        <f t="shared" si="49"/>
        <v>56.6</v>
      </c>
      <c r="J616" s="653">
        <v>0</v>
      </c>
      <c r="K616" s="653">
        <v>56.6</v>
      </c>
      <c r="L616" s="698">
        <v>0</v>
      </c>
      <c r="M616" s="957">
        <v>0.96</v>
      </c>
      <c r="N616" s="653">
        <v>4.1900000000000004</v>
      </c>
      <c r="O616" s="725" t="s">
        <v>3742</v>
      </c>
      <c r="P616" s="498" t="s">
        <v>1588</v>
      </c>
      <c r="Q616" s="852">
        <v>0</v>
      </c>
      <c r="R616" s="852">
        <v>0</v>
      </c>
      <c r="S616" s="852">
        <v>0</v>
      </c>
      <c r="T616" s="852">
        <v>0</v>
      </c>
      <c r="U616" s="464" t="s">
        <v>2275</v>
      </c>
      <c r="V616" s="520" t="s">
        <v>5039</v>
      </c>
      <c r="W616" s="653">
        <v>527</v>
      </c>
      <c r="X616" s="463" t="s">
        <v>2276</v>
      </c>
      <c r="Y616" s="463" t="s">
        <v>3336</v>
      </c>
      <c r="Z616" s="480" t="s">
        <v>1613</v>
      </c>
      <c r="AA616" s="503" t="s">
        <v>1615</v>
      </c>
      <c r="AB616" s="481" t="s">
        <v>1534</v>
      </c>
    </row>
    <row r="617" spans="1:28" ht="24" customHeight="1">
      <c r="A617" s="591"/>
      <c r="B617" s="524" t="s">
        <v>675</v>
      </c>
      <c r="C617" s="522" t="s">
        <v>5040</v>
      </c>
      <c r="D617" s="524" t="s">
        <v>5041</v>
      </c>
      <c r="E617" s="653">
        <v>50</v>
      </c>
      <c r="F617" s="653">
        <v>0</v>
      </c>
      <c r="G617" s="653">
        <v>50</v>
      </c>
      <c r="H617" s="653">
        <v>0</v>
      </c>
      <c r="I617" s="653">
        <f t="shared" si="49"/>
        <v>28.8</v>
      </c>
      <c r="J617" s="653">
        <v>0</v>
      </c>
      <c r="K617" s="653">
        <v>28.8</v>
      </c>
      <c r="L617" s="698">
        <v>0</v>
      </c>
      <c r="M617" s="957">
        <v>0.96</v>
      </c>
      <c r="N617" s="653">
        <v>2.23</v>
      </c>
      <c r="O617" s="725" t="s">
        <v>3742</v>
      </c>
      <c r="P617" s="498" t="s">
        <v>1588</v>
      </c>
      <c r="Q617" s="852">
        <v>0</v>
      </c>
      <c r="R617" s="852">
        <v>0</v>
      </c>
      <c r="S617" s="852">
        <v>0</v>
      </c>
      <c r="T617" s="852">
        <v>0</v>
      </c>
      <c r="U617" s="464" t="s">
        <v>2275</v>
      </c>
      <c r="V617" s="520" t="s">
        <v>5039</v>
      </c>
      <c r="W617" s="653">
        <v>679</v>
      </c>
      <c r="X617" s="463" t="s">
        <v>2276</v>
      </c>
      <c r="Y617" s="463" t="s">
        <v>3336</v>
      </c>
      <c r="Z617" s="480" t="s">
        <v>1613</v>
      </c>
      <c r="AA617" s="503" t="s">
        <v>1615</v>
      </c>
      <c r="AB617" s="481" t="s">
        <v>1534</v>
      </c>
    </row>
    <row r="618" spans="1:28" ht="24" customHeight="1">
      <c r="A618" s="591"/>
      <c r="B618" s="524" t="s">
        <v>675</v>
      </c>
      <c r="C618" s="522" t="s">
        <v>5042</v>
      </c>
      <c r="D618" s="524" t="s">
        <v>5043</v>
      </c>
      <c r="E618" s="653">
        <v>200</v>
      </c>
      <c r="F618" s="653">
        <v>0</v>
      </c>
      <c r="G618" s="653">
        <v>200</v>
      </c>
      <c r="H618" s="653">
        <v>0</v>
      </c>
      <c r="I618" s="653">
        <f t="shared" si="49"/>
        <v>71</v>
      </c>
      <c r="J618" s="653">
        <v>0</v>
      </c>
      <c r="K618" s="653">
        <v>71</v>
      </c>
      <c r="L618" s="698">
        <v>0</v>
      </c>
      <c r="M618" s="957">
        <v>0.97</v>
      </c>
      <c r="N618" s="653">
        <v>5.36</v>
      </c>
      <c r="O618" s="725" t="s">
        <v>3742</v>
      </c>
      <c r="P618" s="498" t="s">
        <v>1588</v>
      </c>
      <c r="Q618" s="852">
        <v>0</v>
      </c>
      <c r="R618" s="852">
        <v>0</v>
      </c>
      <c r="S618" s="852">
        <v>0</v>
      </c>
      <c r="T618" s="852">
        <v>0</v>
      </c>
      <c r="U618" s="464" t="s">
        <v>2275</v>
      </c>
      <c r="V618" s="520" t="s">
        <v>5044</v>
      </c>
      <c r="W618" s="653">
        <v>1854</v>
      </c>
      <c r="X618" s="463" t="s">
        <v>2276</v>
      </c>
      <c r="Y618" s="463" t="s">
        <v>5006</v>
      </c>
      <c r="Z618" s="480" t="s">
        <v>1613</v>
      </c>
      <c r="AA618" s="503" t="s">
        <v>1615</v>
      </c>
      <c r="AB618" s="481" t="s">
        <v>1534</v>
      </c>
    </row>
    <row r="619" spans="1:28" ht="24" customHeight="1">
      <c r="A619" s="591"/>
      <c r="B619" s="524" t="s">
        <v>675</v>
      </c>
      <c r="C619" s="522" t="s">
        <v>5045</v>
      </c>
      <c r="D619" s="524" t="s">
        <v>5046</v>
      </c>
      <c r="E619" s="653">
        <v>350</v>
      </c>
      <c r="F619" s="653">
        <v>0</v>
      </c>
      <c r="G619" s="653">
        <v>350</v>
      </c>
      <c r="H619" s="653">
        <v>0</v>
      </c>
      <c r="I619" s="653">
        <f t="shared" si="49"/>
        <v>231.6</v>
      </c>
      <c r="J619" s="653">
        <v>0</v>
      </c>
      <c r="K619" s="653">
        <v>231.6</v>
      </c>
      <c r="L619" s="698">
        <v>0</v>
      </c>
      <c r="M619" s="957">
        <v>0.95</v>
      </c>
      <c r="N619" s="653">
        <v>13.11</v>
      </c>
      <c r="O619" s="725" t="s">
        <v>3347</v>
      </c>
      <c r="P619" s="498" t="s">
        <v>1588</v>
      </c>
      <c r="Q619" s="852">
        <v>0</v>
      </c>
      <c r="R619" s="852">
        <v>0</v>
      </c>
      <c r="S619" s="852">
        <v>0</v>
      </c>
      <c r="T619" s="852">
        <v>0</v>
      </c>
      <c r="U619" s="464" t="s">
        <v>2275</v>
      </c>
      <c r="V619" s="520" t="s">
        <v>5044</v>
      </c>
      <c r="W619" s="653">
        <v>3639</v>
      </c>
      <c r="X619" s="463" t="s">
        <v>2276</v>
      </c>
      <c r="Y619" s="463" t="s">
        <v>5006</v>
      </c>
      <c r="Z619" s="480" t="s">
        <v>1632</v>
      </c>
      <c r="AA619" s="480" t="s">
        <v>1592</v>
      </c>
      <c r="AB619" s="481" t="s">
        <v>1592</v>
      </c>
    </row>
    <row r="620" spans="1:28" ht="24" customHeight="1">
      <c r="A620" s="591"/>
      <c r="B620" s="524" t="s">
        <v>675</v>
      </c>
      <c r="C620" s="522" t="s">
        <v>5047</v>
      </c>
      <c r="D620" s="524" t="s">
        <v>5048</v>
      </c>
      <c r="E620" s="653">
        <v>300</v>
      </c>
      <c r="F620" s="653">
        <v>0</v>
      </c>
      <c r="G620" s="653">
        <v>300</v>
      </c>
      <c r="H620" s="653">
        <v>0</v>
      </c>
      <c r="I620" s="653">
        <f t="shared" si="49"/>
        <v>166.5</v>
      </c>
      <c r="J620" s="653">
        <v>0</v>
      </c>
      <c r="K620" s="653">
        <v>166.5</v>
      </c>
      <c r="L620" s="698">
        <v>0</v>
      </c>
      <c r="M620" s="957">
        <v>0.95</v>
      </c>
      <c r="N620" s="653">
        <v>11.47</v>
      </c>
      <c r="O620" s="725" t="s">
        <v>3347</v>
      </c>
      <c r="P620" s="498" t="s">
        <v>1588</v>
      </c>
      <c r="Q620" s="852">
        <v>0</v>
      </c>
      <c r="R620" s="852">
        <v>0</v>
      </c>
      <c r="S620" s="852">
        <v>0</v>
      </c>
      <c r="T620" s="852">
        <v>0</v>
      </c>
      <c r="U620" s="464" t="s">
        <v>2275</v>
      </c>
      <c r="V620" s="520" t="s">
        <v>5044</v>
      </c>
      <c r="W620" s="653">
        <v>3437</v>
      </c>
      <c r="X620" s="463" t="s">
        <v>2276</v>
      </c>
      <c r="Y620" s="463" t="s">
        <v>3336</v>
      </c>
      <c r="Z620" s="480" t="s">
        <v>1613</v>
      </c>
      <c r="AA620" s="480" t="s">
        <v>1615</v>
      </c>
      <c r="AB620" s="481" t="s">
        <v>1534</v>
      </c>
    </row>
    <row r="621" spans="1:28" ht="24" customHeight="1">
      <c r="A621" s="590" t="s">
        <v>1635</v>
      </c>
      <c r="B621" s="524" t="s">
        <v>2201</v>
      </c>
      <c r="C621" s="522" t="s">
        <v>2402</v>
      </c>
      <c r="D621" s="524" t="s">
        <v>5049</v>
      </c>
      <c r="E621" s="653">
        <v>7000</v>
      </c>
      <c r="F621" s="653">
        <v>0</v>
      </c>
      <c r="G621" s="653">
        <v>0</v>
      </c>
      <c r="H621" s="653">
        <v>7000</v>
      </c>
      <c r="I621" s="653">
        <f t="shared" si="49"/>
        <v>9021</v>
      </c>
      <c r="J621" s="653">
        <v>2021</v>
      </c>
      <c r="K621" s="653">
        <v>0</v>
      </c>
      <c r="L621" s="698">
        <v>7000</v>
      </c>
      <c r="M621" s="957">
        <v>0.97051886792452835</v>
      </c>
      <c r="N621" s="653">
        <v>742.42829999999992</v>
      </c>
      <c r="O621" s="725" t="s">
        <v>3274</v>
      </c>
      <c r="P621" s="498" t="s">
        <v>1588</v>
      </c>
      <c r="Q621" s="852">
        <v>38</v>
      </c>
      <c r="R621" s="852">
        <v>0</v>
      </c>
      <c r="S621" s="852">
        <v>0</v>
      </c>
      <c r="T621" s="852">
        <v>0</v>
      </c>
      <c r="U621" s="465" t="s">
        <v>2277</v>
      </c>
      <c r="V621" s="465" t="s">
        <v>5050</v>
      </c>
      <c r="W621" s="653">
        <v>19981</v>
      </c>
      <c r="X621" s="463" t="s">
        <v>2276</v>
      </c>
      <c r="Y621" s="463" t="s">
        <v>3161</v>
      </c>
      <c r="Z621" s="463" t="s">
        <v>1613</v>
      </c>
      <c r="AA621" s="463" t="s">
        <v>1615</v>
      </c>
      <c r="AB621" s="459" t="s">
        <v>1534</v>
      </c>
    </row>
    <row r="622" spans="1:28" ht="24" customHeight="1">
      <c r="A622" s="591"/>
      <c r="B622" s="524" t="s">
        <v>2201</v>
      </c>
      <c r="C622" s="522" t="s">
        <v>2403</v>
      </c>
      <c r="D622" s="524" t="s">
        <v>5051</v>
      </c>
      <c r="E622" s="653">
        <v>6000</v>
      </c>
      <c r="F622" s="653">
        <v>0</v>
      </c>
      <c r="G622" s="653">
        <v>0</v>
      </c>
      <c r="H622" s="653">
        <v>6000</v>
      </c>
      <c r="I622" s="653">
        <f t="shared" si="49"/>
        <v>6460</v>
      </c>
      <c r="J622" s="653">
        <v>460</v>
      </c>
      <c r="K622" s="653">
        <v>0</v>
      </c>
      <c r="L622" s="698">
        <v>6000</v>
      </c>
      <c r="M622" s="957">
        <v>0.94582723279648606</v>
      </c>
      <c r="N622" s="653">
        <v>417.31599999999997</v>
      </c>
      <c r="O622" s="725" t="s">
        <v>5052</v>
      </c>
      <c r="P622" s="498" t="s">
        <v>1588</v>
      </c>
      <c r="Q622" s="852">
        <v>34.200000000000003</v>
      </c>
      <c r="R622" s="852">
        <v>0</v>
      </c>
      <c r="S622" s="852">
        <v>0</v>
      </c>
      <c r="T622" s="852">
        <v>0</v>
      </c>
      <c r="U622" s="506" t="s">
        <v>2278</v>
      </c>
      <c r="V622" s="506" t="s">
        <v>5053</v>
      </c>
      <c r="W622" s="656">
        <v>16023</v>
      </c>
      <c r="X622" s="132" t="s">
        <v>2276</v>
      </c>
      <c r="Y622" s="132" t="s">
        <v>1588</v>
      </c>
      <c r="Z622" s="463" t="s">
        <v>1598</v>
      </c>
      <c r="AA622" s="463" t="s">
        <v>1615</v>
      </c>
      <c r="AB622" s="459" t="s">
        <v>1534</v>
      </c>
    </row>
    <row r="623" spans="1:28" ht="24" customHeight="1">
      <c r="A623" s="591"/>
      <c r="B623" s="524" t="s">
        <v>675</v>
      </c>
      <c r="C623" s="522" t="s">
        <v>5054</v>
      </c>
      <c r="D623" s="524" t="s">
        <v>5055</v>
      </c>
      <c r="E623" s="653">
        <v>140</v>
      </c>
      <c r="F623" s="653">
        <v>0</v>
      </c>
      <c r="G623" s="653">
        <v>140</v>
      </c>
      <c r="H623" s="653">
        <v>0</v>
      </c>
      <c r="I623" s="653">
        <f t="shared" si="49"/>
        <v>141.6</v>
      </c>
      <c r="J623" s="653">
        <v>0</v>
      </c>
      <c r="K623" s="653">
        <v>141.6</v>
      </c>
      <c r="L623" s="698">
        <v>0</v>
      </c>
      <c r="M623" s="957">
        <v>0.69</v>
      </c>
      <c r="N623" s="653">
        <v>6</v>
      </c>
      <c r="O623" s="725" t="s">
        <v>3742</v>
      </c>
      <c r="P623" s="498" t="s">
        <v>1588</v>
      </c>
      <c r="Q623" s="852">
        <v>0</v>
      </c>
      <c r="R623" s="852">
        <v>0</v>
      </c>
      <c r="S623" s="852">
        <v>0</v>
      </c>
      <c r="T623" s="852">
        <v>0</v>
      </c>
      <c r="U623" s="506" t="s">
        <v>5056</v>
      </c>
      <c r="V623" s="506" t="s">
        <v>5057</v>
      </c>
      <c r="W623" s="656">
        <v>450</v>
      </c>
      <c r="X623" s="132" t="s">
        <v>2276</v>
      </c>
      <c r="Y623" s="132" t="s">
        <v>1588</v>
      </c>
      <c r="Z623" s="463" t="s">
        <v>1618</v>
      </c>
      <c r="AA623" s="463" t="s">
        <v>1618</v>
      </c>
      <c r="AB623" s="459" t="s">
        <v>1592</v>
      </c>
    </row>
    <row r="624" spans="1:28" ht="24" customHeight="1">
      <c r="A624" s="591"/>
      <c r="B624" s="524" t="s">
        <v>675</v>
      </c>
      <c r="C624" s="522" t="s">
        <v>5058</v>
      </c>
      <c r="D624" s="524" t="s">
        <v>5059</v>
      </c>
      <c r="E624" s="653">
        <v>60</v>
      </c>
      <c r="F624" s="653">
        <v>0</v>
      </c>
      <c r="G624" s="653">
        <v>60</v>
      </c>
      <c r="H624" s="653">
        <v>0</v>
      </c>
      <c r="I624" s="653">
        <f t="shared" si="49"/>
        <v>20</v>
      </c>
      <c r="J624" s="653">
        <v>0</v>
      </c>
      <c r="K624" s="653">
        <v>20</v>
      </c>
      <c r="L624" s="698">
        <v>0</v>
      </c>
      <c r="M624" s="957">
        <v>0.82</v>
      </c>
      <c r="N624" s="653">
        <v>0.8</v>
      </c>
      <c r="O624" s="725" t="s">
        <v>5060</v>
      </c>
      <c r="P624" s="498" t="s">
        <v>1588</v>
      </c>
      <c r="Q624" s="852">
        <v>0</v>
      </c>
      <c r="R624" s="852">
        <v>0</v>
      </c>
      <c r="S624" s="852">
        <v>0</v>
      </c>
      <c r="T624" s="852">
        <v>0</v>
      </c>
      <c r="U624" s="506" t="s">
        <v>2278</v>
      </c>
      <c r="V624" s="506" t="s">
        <v>5061</v>
      </c>
      <c r="W624" s="656">
        <v>300</v>
      </c>
      <c r="X624" s="132" t="s">
        <v>2276</v>
      </c>
      <c r="Y624" s="132" t="s">
        <v>1588</v>
      </c>
      <c r="Z624" s="463" t="s">
        <v>1618</v>
      </c>
      <c r="AA624" s="463" t="s">
        <v>1618</v>
      </c>
      <c r="AB624" s="459" t="s">
        <v>1592</v>
      </c>
    </row>
    <row r="625" spans="1:28" ht="24" customHeight="1">
      <c r="A625" s="591"/>
      <c r="B625" s="524" t="s">
        <v>675</v>
      </c>
      <c r="C625" s="522" t="s">
        <v>5062</v>
      </c>
      <c r="D625" s="524" t="s">
        <v>5063</v>
      </c>
      <c r="E625" s="653">
        <v>100</v>
      </c>
      <c r="F625" s="653">
        <v>0</v>
      </c>
      <c r="G625" s="653">
        <v>0</v>
      </c>
      <c r="H625" s="653">
        <v>100</v>
      </c>
      <c r="I625" s="653">
        <f t="shared" si="49"/>
        <v>74.3</v>
      </c>
      <c r="J625" s="653">
        <v>0</v>
      </c>
      <c r="K625" s="653">
        <v>0</v>
      </c>
      <c r="L625" s="698">
        <v>74.3</v>
      </c>
      <c r="M625" s="957">
        <v>0.94</v>
      </c>
      <c r="N625" s="653">
        <v>7</v>
      </c>
      <c r="O625" s="725" t="s">
        <v>5064</v>
      </c>
      <c r="P625" s="498" t="s">
        <v>1588</v>
      </c>
      <c r="Q625" s="852">
        <v>0</v>
      </c>
      <c r="R625" s="852">
        <v>0</v>
      </c>
      <c r="S625" s="852">
        <v>0</v>
      </c>
      <c r="T625" s="852">
        <v>0</v>
      </c>
      <c r="U625" s="506" t="s">
        <v>2278</v>
      </c>
      <c r="V625" s="506" t="s">
        <v>5065</v>
      </c>
      <c r="W625" s="656">
        <v>479</v>
      </c>
      <c r="X625" s="132" t="s">
        <v>2276</v>
      </c>
      <c r="Y625" s="132" t="s">
        <v>3161</v>
      </c>
      <c r="Z625" s="463" t="s">
        <v>1618</v>
      </c>
      <c r="AA625" s="463" t="s">
        <v>1618</v>
      </c>
      <c r="AB625" s="459" t="s">
        <v>1592</v>
      </c>
    </row>
    <row r="626" spans="1:28" ht="24" customHeight="1">
      <c r="A626" s="591"/>
      <c r="B626" s="524" t="s">
        <v>675</v>
      </c>
      <c r="C626" s="522" t="s">
        <v>5066</v>
      </c>
      <c r="D626" s="524" t="s">
        <v>5067</v>
      </c>
      <c r="E626" s="653">
        <v>50</v>
      </c>
      <c r="F626" s="653">
        <v>0</v>
      </c>
      <c r="G626" s="653">
        <v>0</v>
      </c>
      <c r="H626" s="653">
        <v>50</v>
      </c>
      <c r="I626" s="653">
        <f t="shared" si="49"/>
        <v>26.1</v>
      </c>
      <c r="J626" s="653">
        <v>0</v>
      </c>
      <c r="K626" s="653">
        <v>0</v>
      </c>
      <c r="L626" s="698">
        <v>26.1</v>
      </c>
      <c r="M626" s="957">
        <v>0.94</v>
      </c>
      <c r="N626" s="653">
        <v>2</v>
      </c>
      <c r="O626" s="725" t="s">
        <v>3592</v>
      </c>
      <c r="P626" s="498" t="s">
        <v>1588</v>
      </c>
      <c r="Q626" s="852">
        <v>0</v>
      </c>
      <c r="R626" s="852">
        <v>0</v>
      </c>
      <c r="S626" s="852">
        <v>0</v>
      </c>
      <c r="T626" s="852">
        <v>0</v>
      </c>
      <c r="U626" s="506" t="s">
        <v>2278</v>
      </c>
      <c r="V626" s="494" t="s">
        <v>5068</v>
      </c>
      <c r="W626" s="656">
        <v>867</v>
      </c>
      <c r="X626" s="132" t="s">
        <v>2276</v>
      </c>
      <c r="Y626" s="132" t="s">
        <v>3161</v>
      </c>
      <c r="Z626" s="463" t="s">
        <v>1618</v>
      </c>
      <c r="AA626" s="463" t="s">
        <v>1618</v>
      </c>
      <c r="AB626" s="459" t="s">
        <v>1592</v>
      </c>
    </row>
    <row r="627" spans="1:28" ht="24" customHeight="1">
      <c r="A627" s="591"/>
      <c r="B627" s="524" t="s">
        <v>675</v>
      </c>
      <c r="C627" s="522" t="s">
        <v>5069</v>
      </c>
      <c r="D627" s="524" t="s">
        <v>5070</v>
      </c>
      <c r="E627" s="653">
        <v>100</v>
      </c>
      <c r="F627" s="653">
        <v>0</v>
      </c>
      <c r="G627" s="653">
        <v>100</v>
      </c>
      <c r="H627" s="653">
        <v>0</v>
      </c>
      <c r="I627" s="653">
        <f t="shared" si="49"/>
        <v>75</v>
      </c>
      <c r="J627" s="653">
        <v>0</v>
      </c>
      <c r="K627" s="653">
        <v>75</v>
      </c>
      <c r="L627" s="698">
        <v>0</v>
      </c>
      <c r="M627" s="957">
        <v>0.96</v>
      </c>
      <c r="N627" s="653">
        <v>8</v>
      </c>
      <c r="O627" s="725" t="s">
        <v>5071</v>
      </c>
      <c r="P627" s="498" t="s">
        <v>1588</v>
      </c>
      <c r="Q627" s="852">
        <v>0</v>
      </c>
      <c r="R627" s="852">
        <v>0</v>
      </c>
      <c r="S627" s="852">
        <v>0</v>
      </c>
      <c r="T627" s="852">
        <v>0</v>
      </c>
      <c r="U627" s="506" t="s">
        <v>5072</v>
      </c>
      <c r="V627" s="506" t="s">
        <v>5073</v>
      </c>
      <c r="W627" s="656">
        <v>382</v>
      </c>
      <c r="X627" s="132" t="s">
        <v>1532</v>
      </c>
      <c r="Y627" s="132" t="s">
        <v>720</v>
      </c>
      <c r="Z627" s="463" t="s">
        <v>1618</v>
      </c>
      <c r="AA627" s="463" t="s">
        <v>1618</v>
      </c>
      <c r="AB627" s="459" t="s">
        <v>1592</v>
      </c>
    </row>
    <row r="628" spans="1:28" ht="24" customHeight="1">
      <c r="A628" s="591"/>
      <c r="B628" s="524" t="s">
        <v>675</v>
      </c>
      <c r="C628" s="522" t="s">
        <v>2181</v>
      </c>
      <c r="D628" s="524" t="s">
        <v>5074</v>
      </c>
      <c r="E628" s="653">
        <v>450</v>
      </c>
      <c r="F628" s="653">
        <v>0</v>
      </c>
      <c r="G628" s="653">
        <v>0</v>
      </c>
      <c r="H628" s="653">
        <v>450</v>
      </c>
      <c r="I628" s="653">
        <f t="shared" si="49"/>
        <v>211.3</v>
      </c>
      <c r="J628" s="653">
        <v>0</v>
      </c>
      <c r="K628" s="653">
        <v>0</v>
      </c>
      <c r="L628" s="698">
        <v>211.3</v>
      </c>
      <c r="M628" s="957">
        <v>0.95</v>
      </c>
      <c r="N628" s="653">
        <v>14</v>
      </c>
      <c r="O628" s="725" t="s">
        <v>5075</v>
      </c>
      <c r="P628" s="498" t="s">
        <v>1588</v>
      </c>
      <c r="Q628" s="852">
        <v>0</v>
      </c>
      <c r="R628" s="852">
        <v>0</v>
      </c>
      <c r="S628" s="852">
        <v>0</v>
      </c>
      <c r="T628" s="852">
        <v>0</v>
      </c>
      <c r="U628" s="506" t="s">
        <v>2278</v>
      </c>
      <c r="V628" s="494" t="s">
        <v>5076</v>
      </c>
      <c r="W628" s="656">
        <v>5130</v>
      </c>
      <c r="X628" s="132" t="s">
        <v>2276</v>
      </c>
      <c r="Y628" s="132"/>
      <c r="Z628" s="463" t="s">
        <v>1598</v>
      </c>
      <c r="AA628" s="463" t="s">
        <v>1615</v>
      </c>
      <c r="AB628" s="459" t="s">
        <v>1534</v>
      </c>
    </row>
    <row r="629" spans="1:28" ht="24" customHeight="1">
      <c r="A629" s="591"/>
      <c r="B629" s="524" t="s">
        <v>675</v>
      </c>
      <c r="C629" s="522" t="s">
        <v>5077</v>
      </c>
      <c r="D629" s="524" t="s">
        <v>5078</v>
      </c>
      <c r="E629" s="653">
        <v>125</v>
      </c>
      <c r="F629" s="653">
        <v>0</v>
      </c>
      <c r="G629" s="653">
        <v>125</v>
      </c>
      <c r="H629" s="653">
        <v>0</v>
      </c>
      <c r="I629" s="653">
        <f t="shared" si="49"/>
        <v>77.5</v>
      </c>
      <c r="J629" s="653">
        <v>0</v>
      </c>
      <c r="K629" s="653">
        <v>77.5</v>
      </c>
      <c r="L629" s="698">
        <v>0</v>
      </c>
      <c r="M629" s="957">
        <v>0.89</v>
      </c>
      <c r="N629" s="653">
        <v>2</v>
      </c>
      <c r="O629" s="725" t="s">
        <v>1092</v>
      </c>
      <c r="P629" s="498" t="s">
        <v>1588</v>
      </c>
      <c r="Q629" s="852">
        <v>0</v>
      </c>
      <c r="R629" s="852">
        <v>0</v>
      </c>
      <c r="S629" s="852">
        <v>0</v>
      </c>
      <c r="T629" s="852">
        <v>0</v>
      </c>
      <c r="U629" s="506" t="s">
        <v>5072</v>
      </c>
      <c r="V629" s="506" t="s">
        <v>5079</v>
      </c>
      <c r="W629" s="656">
        <v>400</v>
      </c>
      <c r="X629" s="132" t="s">
        <v>1532</v>
      </c>
      <c r="Y629" s="132" t="s">
        <v>720</v>
      </c>
      <c r="Z629" s="463" t="s">
        <v>1598</v>
      </c>
      <c r="AA629" s="463" t="s">
        <v>1615</v>
      </c>
      <c r="AB629" s="459" t="s">
        <v>1534</v>
      </c>
    </row>
    <row r="630" spans="1:28" ht="24" customHeight="1">
      <c r="A630" s="590" t="s">
        <v>1636</v>
      </c>
      <c r="B630" s="524" t="s">
        <v>2201</v>
      </c>
      <c r="C630" s="522" t="s">
        <v>2404</v>
      </c>
      <c r="D630" s="524" t="s">
        <v>5080</v>
      </c>
      <c r="E630" s="653">
        <f>SUM(F630:H630)</f>
        <v>5000</v>
      </c>
      <c r="F630" s="728">
        <v>0</v>
      </c>
      <c r="G630" s="653">
        <v>5000</v>
      </c>
      <c r="H630" s="653">
        <v>0</v>
      </c>
      <c r="I630" s="653">
        <f t="shared" si="49"/>
        <v>3315</v>
      </c>
      <c r="J630" s="653">
        <v>0</v>
      </c>
      <c r="K630" s="653">
        <v>3315</v>
      </c>
      <c r="L630" s="698">
        <v>0</v>
      </c>
      <c r="M630" s="957">
        <v>0.95577746077032821</v>
      </c>
      <c r="N630" s="653">
        <v>222.10499999999999</v>
      </c>
      <c r="O630" s="725" t="s">
        <v>3434</v>
      </c>
      <c r="P630" s="498" t="s">
        <v>1588</v>
      </c>
      <c r="Q630" s="852">
        <v>0</v>
      </c>
      <c r="R630" s="852">
        <v>0</v>
      </c>
      <c r="S630" s="852">
        <v>0</v>
      </c>
      <c r="T630" s="852">
        <v>0</v>
      </c>
      <c r="U630" s="465" t="s">
        <v>5081</v>
      </c>
      <c r="V630" s="506" t="s">
        <v>5082</v>
      </c>
      <c r="W630" s="656">
        <v>3990</v>
      </c>
      <c r="X630" s="132" t="s">
        <v>2193</v>
      </c>
      <c r="Y630" s="132" t="s">
        <v>3232</v>
      </c>
      <c r="Z630" s="463"/>
      <c r="AA630" s="463" t="s">
        <v>1534</v>
      </c>
      <c r="AB630" s="459" t="s">
        <v>1534</v>
      </c>
    </row>
    <row r="631" spans="1:28" ht="24" customHeight="1">
      <c r="A631" s="591"/>
      <c r="B631" s="524" t="s">
        <v>2201</v>
      </c>
      <c r="C631" s="522" t="s">
        <v>2279</v>
      </c>
      <c r="D631" s="524" t="s">
        <v>5083</v>
      </c>
      <c r="E631" s="653">
        <f>SUM(F631:H631)</f>
        <v>4000</v>
      </c>
      <c r="F631" s="728">
        <v>0</v>
      </c>
      <c r="G631" s="653">
        <v>0</v>
      </c>
      <c r="H631" s="653">
        <v>4000</v>
      </c>
      <c r="I631" s="653">
        <f t="shared" si="49"/>
        <v>1107</v>
      </c>
      <c r="J631" s="653">
        <v>0</v>
      </c>
      <c r="K631" s="653">
        <v>0</v>
      </c>
      <c r="L631" s="698">
        <v>1107</v>
      </c>
      <c r="M631" s="957">
        <v>0.96469366562824499</v>
      </c>
      <c r="N631" s="653">
        <v>102.84029999999998</v>
      </c>
      <c r="O631" s="725" t="s">
        <v>5084</v>
      </c>
      <c r="P631" s="498" t="s">
        <v>1588</v>
      </c>
      <c r="Q631" s="852">
        <v>0</v>
      </c>
      <c r="R631" s="852">
        <v>0</v>
      </c>
      <c r="S631" s="852">
        <v>26.4</v>
      </c>
      <c r="T631" s="852">
        <v>0</v>
      </c>
      <c r="U631" s="465" t="s">
        <v>5085</v>
      </c>
      <c r="V631" s="465" t="s">
        <v>5086</v>
      </c>
      <c r="W631" s="653">
        <v>16602</v>
      </c>
      <c r="X631" s="463" t="s">
        <v>2193</v>
      </c>
      <c r="Y631" s="463" t="s">
        <v>3161</v>
      </c>
      <c r="Z631" s="463"/>
      <c r="AA631" s="463" t="s">
        <v>1534</v>
      </c>
      <c r="AB631" s="459" t="s">
        <v>1534</v>
      </c>
    </row>
    <row r="632" spans="1:28" ht="24" customHeight="1">
      <c r="A632" s="591"/>
      <c r="B632" s="524" t="s">
        <v>675</v>
      </c>
      <c r="C632" s="522" t="s">
        <v>5087</v>
      </c>
      <c r="D632" s="524" t="s">
        <v>5088</v>
      </c>
      <c r="E632" s="653">
        <v>92</v>
      </c>
      <c r="F632" s="653">
        <v>0</v>
      </c>
      <c r="G632" s="653">
        <v>92</v>
      </c>
      <c r="H632" s="653">
        <v>0</v>
      </c>
      <c r="I632" s="653">
        <f t="shared" si="49"/>
        <v>92</v>
      </c>
      <c r="J632" s="653">
        <v>0</v>
      </c>
      <c r="K632" s="653">
        <v>92</v>
      </c>
      <c r="L632" s="698">
        <v>0</v>
      </c>
      <c r="M632" s="957">
        <v>0.94299999999999995</v>
      </c>
      <c r="N632" s="653">
        <v>5.32</v>
      </c>
      <c r="O632" s="725" t="s">
        <v>5089</v>
      </c>
      <c r="P632" s="498" t="s">
        <v>1588</v>
      </c>
      <c r="Q632" s="852">
        <v>0</v>
      </c>
      <c r="R632" s="852">
        <v>0</v>
      </c>
      <c r="S632" s="852">
        <v>0</v>
      </c>
      <c r="T632" s="852">
        <v>0</v>
      </c>
      <c r="U632" s="465" t="s">
        <v>5090</v>
      </c>
      <c r="V632" s="465" t="s">
        <v>5091</v>
      </c>
      <c r="W632" s="653">
        <v>360</v>
      </c>
      <c r="X632" s="463" t="s">
        <v>2193</v>
      </c>
      <c r="Y632" s="463" t="s">
        <v>3232</v>
      </c>
      <c r="Z632" s="463"/>
      <c r="AA632" s="463" t="s">
        <v>1534</v>
      </c>
      <c r="AB632" s="459" t="s">
        <v>1534</v>
      </c>
    </row>
    <row r="633" spans="1:28" ht="24" customHeight="1">
      <c r="A633" s="591"/>
      <c r="B633" s="524" t="s">
        <v>675</v>
      </c>
      <c r="C633" s="522" t="s">
        <v>5092</v>
      </c>
      <c r="D633" s="524" t="s">
        <v>5093</v>
      </c>
      <c r="E633" s="653">
        <f>SUM(F633:H633)</f>
        <v>150</v>
      </c>
      <c r="F633" s="653">
        <v>0</v>
      </c>
      <c r="G633" s="653">
        <v>150</v>
      </c>
      <c r="H633" s="653">
        <v>0</v>
      </c>
      <c r="I633" s="653">
        <f t="shared" si="49"/>
        <v>150</v>
      </c>
      <c r="J633" s="653">
        <v>0</v>
      </c>
      <c r="K633" s="653">
        <v>150</v>
      </c>
      <c r="L633" s="698">
        <v>0</v>
      </c>
      <c r="M633" s="957">
        <v>0.93400000000000005</v>
      </c>
      <c r="N633" s="653">
        <v>5.95</v>
      </c>
      <c r="O633" s="725" t="s">
        <v>5094</v>
      </c>
      <c r="P633" s="498" t="s">
        <v>1588</v>
      </c>
      <c r="Q633" s="852">
        <v>0</v>
      </c>
      <c r="R633" s="852">
        <v>0</v>
      </c>
      <c r="S633" s="852">
        <v>0</v>
      </c>
      <c r="T633" s="852">
        <v>0</v>
      </c>
      <c r="U633" s="465" t="s">
        <v>5095</v>
      </c>
      <c r="V633" s="465" t="s">
        <v>5096</v>
      </c>
      <c r="W633" s="653">
        <v>330</v>
      </c>
      <c r="X633" s="463" t="s">
        <v>2193</v>
      </c>
      <c r="Y633" s="466" t="s">
        <v>1588</v>
      </c>
      <c r="Z633" s="463"/>
      <c r="AA633" s="463" t="s">
        <v>1534</v>
      </c>
      <c r="AB633" s="459" t="s">
        <v>1534</v>
      </c>
    </row>
    <row r="634" spans="1:28" ht="24" customHeight="1">
      <c r="A634" s="588"/>
      <c r="B634" s="524" t="s">
        <v>675</v>
      </c>
      <c r="C634" s="522" t="s">
        <v>5097</v>
      </c>
      <c r="D634" s="524" t="s">
        <v>5098</v>
      </c>
      <c r="E634" s="653">
        <f>SUM(F634:H634)</f>
        <v>46</v>
      </c>
      <c r="F634" s="653">
        <v>0</v>
      </c>
      <c r="G634" s="653">
        <v>46</v>
      </c>
      <c r="H634" s="653">
        <v>0</v>
      </c>
      <c r="I634" s="653">
        <f t="shared" si="49"/>
        <v>46</v>
      </c>
      <c r="J634" s="653">
        <v>0</v>
      </c>
      <c r="K634" s="653">
        <v>46</v>
      </c>
      <c r="L634" s="698">
        <v>0</v>
      </c>
      <c r="M634" s="957">
        <v>0.95</v>
      </c>
      <c r="N634" s="653">
        <v>4.5</v>
      </c>
      <c r="O634" s="725" t="s">
        <v>5089</v>
      </c>
      <c r="P634" s="498" t="s">
        <v>1588</v>
      </c>
      <c r="Q634" s="852">
        <v>0</v>
      </c>
      <c r="R634" s="852">
        <v>0</v>
      </c>
      <c r="S634" s="852">
        <v>0</v>
      </c>
      <c r="T634" s="852">
        <v>0</v>
      </c>
      <c r="U634" s="465" t="s">
        <v>5095</v>
      </c>
      <c r="V634" s="465" t="s">
        <v>5099</v>
      </c>
      <c r="W634" s="653">
        <v>200</v>
      </c>
      <c r="X634" s="463" t="s">
        <v>2193</v>
      </c>
      <c r="Y634" s="466" t="s">
        <v>1588</v>
      </c>
      <c r="Z634" s="463" t="s">
        <v>1534</v>
      </c>
      <c r="AA634" s="463" t="s">
        <v>1534</v>
      </c>
      <c r="AB634" s="459" t="s">
        <v>1534</v>
      </c>
    </row>
    <row r="635" spans="1:28" ht="24" customHeight="1">
      <c r="A635" s="583" t="s">
        <v>1637</v>
      </c>
      <c r="B635" s="458" t="s">
        <v>6040</v>
      </c>
      <c r="C635" s="458"/>
      <c r="D635" s="510"/>
      <c r="E635" s="498" t="s">
        <v>7320</v>
      </c>
      <c r="F635" s="498">
        <v>0</v>
      </c>
      <c r="G635" s="498" t="s">
        <v>7555</v>
      </c>
      <c r="H635" s="498" t="s">
        <v>7556</v>
      </c>
      <c r="I635" s="498" t="s">
        <v>7323</v>
      </c>
      <c r="J635" s="498">
        <v>0</v>
      </c>
      <c r="K635" s="498" t="s">
        <v>7324</v>
      </c>
      <c r="L635" s="668" t="s">
        <v>7325</v>
      </c>
      <c r="M635" s="956"/>
      <c r="N635" s="498" t="s">
        <v>7326</v>
      </c>
      <c r="O635" s="669" t="s">
        <v>1588</v>
      </c>
      <c r="P635" s="463" t="s">
        <v>1588</v>
      </c>
      <c r="Q635" s="852">
        <f>Q636+Q698</f>
        <v>1288.46</v>
      </c>
      <c r="R635" s="852">
        <f>R636+R698</f>
        <v>301</v>
      </c>
      <c r="S635" s="852">
        <f>S636+S698</f>
        <v>737.6</v>
      </c>
      <c r="T635" s="852">
        <f>T636+T698</f>
        <v>68.599999999999994</v>
      </c>
      <c r="U635" s="463" t="s">
        <v>7534</v>
      </c>
      <c r="V635" s="463"/>
      <c r="W635" s="498">
        <f>W636+W698</f>
        <v>873399</v>
      </c>
      <c r="X635" s="463"/>
      <c r="Y635" s="463"/>
      <c r="Z635" s="463"/>
      <c r="AA635" s="463"/>
      <c r="AB635" s="459"/>
    </row>
    <row r="636" spans="1:28" ht="24" customHeight="1">
      <c r="A636" s="582" t="s">
        <v>1674</v>
      </c>
      <c r="B636" s="458" t="s">
        <v>6039</v>
      </c>
      <c r="C636" s="579"/>
      <c r="D636" s="579"/>
      <c r="E636" s="498" t="s">
        <v>6185</v>
      </c>
      <c r="F636" s="498">
        <v>0</v>
      </c>
      <c r="G636" s="498" t="s">
        <v>6186</v>
      </c>
      <c r="H636" s="498" t="s">
        <v>6187</v>
      </c>
      <c r="I636" s="498" t="s">
        <v>6188</v>
      </c>
      <c r="J636" s="498">
        <v>0</v>
      </c>
      <c r="K636" s="498" t="s">
        <v>6189</v>
      </c>
      <c r="L636" s="668" t="s">
        <v>6190</v>
      </c>
      <c r="M636" s="956"/>
      <c r="N636" s="498" t="s">
        <v>6191</v>
      </c>
      <c r="O636" s="669" t="s">
        <v>1588</v>
      </c>
      <c r="P636" s="463" t="s">
        <v>1588</v>
      </c>
      <c r="Q636" s="852">
        <f>SUM(Q637:Q697)</f>
        <v>956.95999999999992</v>
      </c>
      <c r="R636" s="852">
        <f>SUM(R637:R697)</f>
        <v>156</v>
      </c>
      <c r="S636" s="852">
        <f>SUM(S637:S697)</f>
        <v>487.20000000000005</v>
      </c>
      <c r="T636" s="852">
        <f>SUM(T637:T697)</f>
        <v>68.599999999999994</v>
      </c>
      <c r="U636" s="463"/>
      <c r="V636" s="463"/>
      <c r="W636" s="498">
        <f>SUM(W637:W697)</f>
        <v>449249</v>
      </c>
      <c r="X636" s="463"/>
      <c r="Y636" s="463"/>
      <c r="Z636" s="463"/>
      <c r="AA636" s="463"/>
      <c r="AB636" s="459"/>
    </row>
    <row r="637" spans="1:28" ht="24" customHeight="1">
      <c r="A637" s="582" t="s">
        <v>1638</v>
      </c>
      <c r="B637" s="460" t="s">
        <v>2201</v>
      </c>
      <c r="C637" s="458" t="s">
        <v>2280</v>
      </c>
      <c r="D637" s="510" t="s">
        <v>5100</v>
      </c>
      <c r="E637" s="498">
        <v>150000</v>
      </c>
      <c r="F637" s="498">
        <v>0</v>
      </c>
      <c r="G637" s="498">
        <v>0</v>
      </c>
      <c r="H637" s="653">
        <v>150000</v>
      </c>
      <c r="I637" s="498">
        <v>141580</v>
      </c>
      <c r="J637" s="498">
        <v>0</v>
      </c>
      <c r="K637" s="498">
        <v>0</v>
      </c>
      <c r="L637" s="698">
        <v>141580</v>
      </c>
      <c r="M637" s="957">
        <v>0.96111111111111114</v>
      </c>
      <c r="N637" s="653">
        <v>12246.67</v>
      </c>
      <c r="O637" s="669" t="s">
        <v>5973</v>
      </c>
      <c r="P637" s="463" t="s">
        <v>1588</v>
      </c>
      <c r="Q637" s="852">
        <v>346</v>
      </c>
      <c r="R637" s="852">
        <v>0</v>
      </c>
      <c r="S637" s="852">
        <v>123</v>
      </c>
      <c r="T637" s="852">
        <v>0</v>
      </c>
      <c r="U637" s="463" t="s">
        <v>5101</v>
      </c>
      <c r="V637" s="466" t="s">
        <v>5102</v>
      </c>
      <c r="W637" s="498">
        <v>119245</v>
      </c>
      <c r="X637" s="463" t="s">
        <v>1532</v>
      </c>
      <c r="Y637" s="463" t="s">
        <v>1533</v>
      </c>
      <c r="Z637" s="463" t="s">
        <v>5103</v>
      </c>
      <c r="AA637" s="463" t="s">
        <v>1646</v>
      </c>
      <c r="AB637" s="459" t="s">
        <v>2294</v>
      </c>
    </row>
    <row r="638" spans="1:28" ht="24" customHeight="1">
      <c r="A638" s="584"/>
      <c r="B638" s="460" t="s">
        <v>2201</v>
      </c>
      <c r="C638" s="458" t="s">
        <v>216</v>
      </c>
      <c r="D638" s="510" t="s">
        <v>5104</v>
      </c>
      <c r="E638" s="653">
        <v>24000</v>
      </c>
      <c r="F638" s="498">
        <v>0</v>
      </c>
      <c r="G638" s="498">
        <v>0</v>
      </c>
      <c r="H638" s="653">
        <v>24000</v>
      </c>
      <c r="I638" s="653">
        <v>15460</v>
      </c>
      <c r="J638" s="498">
        <v>0</v>
      </c>
      <c r="K638" s="498">
        <v>0</v>
      </c>
      <c r="L638" s="698">
        <v>15460</v>
      </c>
      <c r="M638" s="956">
        <v>0.94557823129251706</v>
      </c>
      <c r="N638" s="653">
        <v>2148.94</v>
      </c>
      <c r="O638" s="669" t="s">
        <v>5973</v>
      </c>
      <c r="P638" s="463" t="s">
        <v>1588</v>
      </c>
      <c r="Q638" s="852">
        <v>0</v>
      </c>
      <c r="R638" s="852">
        <v>0</v>
      </c>
      <c r="S638" s="852">
        <v>0</v>
      </c>
      <c r="T638" s="852">
        <v>0</v>
      </c>
      <c r="U638" s="463" t="s">
        <v>5105</v>
      </c>
      <c r="V638" s="466" t="s">
        <v>5106</v>
      </c>
      <c r="W638" s="653">
        <v>70800</v>
      </c>
      <c r="X638" s="463" t="s">
        <v>2276</v>
      </c>
      <c r="Y638" s="463"/>
      <c r="Z638" s="463"/>
      <c r="AA638" s="463" t="s">
        <v>5107</v>
      </c>
      <c r="AB638" s="459" t="s">
        <v>2294</v>
      </c>
    </row>
    <row r="639" spans="1:28" ht="24" customHeight="1">
      <c r="A639" s="584"/>
      <c r="B639" s="460" t="s">
        <v>675</v>
      </c>
      <c r="C639" s="458" t="s">
        <v>5944</v>
      </c>
      <c r="D639" s="510" t="s">
        <v>5959</v>
      </c>
      <c r="E639" s="653">
        <f t="shared" ref="E639:E654" si="51">F639+G639+H639</f>
        <v>30</v>
      </c>
      <c r="F639" s="684">
        <v>0</v>
      </c>
      <c r="G639" s="653">
        <v>30</v>
      </c>
      <c r="H639" s="653">
        <v>0</v>
      </c>
      <c r="I639" s="498">
        <f>J639+K639+L639</f>
        <v>25</v>
      </c>
      <c r="J639" s="498">
        <v>0</v>
      </c>
      <c r="K639" s="498">
        <v>25</v>
      </c>
      <c r="L639" s="698">
        <v>0</v>
      </c>
      <c r="M639" s="956">
        <v>0.83299999999999996</v>
      </c>
      <c r="N639" s="653">
        <v>0.25</v>
      </c>
      <c r="O639" s="669" t="s">
        <v>5152</v>
      </c>
      <c r="P639" s="463" t="s">
        <v>1588</v>
      </c>
      <c r="Q639" s="852">
        <v>0</v>
      </c>
      <c r="R639" s="852">
        <v>0</v>
      </c>
      <c r="S639" s="852">
        <v>0</v>
      </c>
      <c r="T639" s="852">
        <v>0</v>
      </c>
      <c r="U639" s="463" t="s">
        <v>5101</v>
      </c>
      <c r="V639" s="466" t="s">
        <v>5977</v>
      </c>
      <c r="W639" s="653">
        <v>180</v>
      </c>
      <c r="X639" s="463" t="s">
        <v>626</v>
      </c>
      <c r="Y639" s="463" t="s">
        <v>636</v>
      </c>
      <c r="Z639" s="463"/>
      <c r="AA639" s="463" t="s">
        <v>5986</v>
      </c>
      <c r="AB639" s="459" t="s">
        <v>1358</v>
      </c>
    </row>
    <row r="640" spans="1:28" ht="24" customHeight="1">
      <c r="A640" s="584"/>
      <c r="B640" s="460" t="s">
        <v>675</v>
      </c>
      <c r="C640" s="458" t="s">
        <v>5945</v>
      </c>
      <c r="D640" s="510" t="s">
        <v>5960</v>
      </c>
      <c r="E640" s="653">
        <f t="shared" si="51"/>
        <v>35</v>
      </c>
      <c r="F640" s="684">
        <v>0</v>
      </c>
      <c r="G640" s="653">
        <v>35</v>
      </c>
      <c r="H640" s="653">
        <v>0</v>
      </c>
      <c r="I640" s="498">
        <f t="shared" ref="I640:I654" si="52">J640+K640+L640</f>
        <v>28</v>
      </c>
      <c r="J640" s="498">
        <v>0</v>
      </c>
      <c r="K640" s="498">
        <v>28</v>
      </c>
      <c r="L640" s="698">
        <v>0</v>
      </c>
      <c r="M640" s="956">
        <v>0.8</v>
      </c>
      <c r="N640" s="653">
        <v>0.28000000000000003</v>
      </c>
      <c r="O640" s="669" t="s">
        <v>5152</v>
      </c>
      <c r="P640" s="463" t="s">
        <v>1588</v>
      </c>
      <c r="Q640" s="852">
        <v>0</v>
      </c>
      <c r="R640" s="852">
        <v>0</v>
      </c>
      <c r="S640" s="852">
        <v>0</v>
      </c>
      <c r="T640" s="852">
        <v>0</v>
      </c>
      <c r="U640" s="463" t="s">
        <v>5101</v>
      </c>
      <c r="V640" s="466" t="s">
        <v>5978</v>
      </c>
      <c r="W640" s="653">
        <v>184</v>
      </c>
      <c r="X640" s="463" t="s">
        <v>626</v>
      </c>
      <c r="Y640" s="463" t="s">
        <v>636</v>
      </c>
      <c r="Z640" s="463"/>
      <c r="AA640" s="463" t="s">
        <v>5986</v>
      </c>
      <c r="AB640" s="459" t="s">
        <v>1358</v>
      </c>
    </row>
    <row r="641" spans="1:28" ht="24" customHeight="1">
      <c r="A641" s="584"/>
      <c r="B641" s="460" t="s">
        <v>675</v>
      </c>
      <c r="C641" s="458" t="s">
        <v>5946</v>
      </c>
      <c r="D641" s="510" t="s">
        <v>5961</v>
      </c>
      <c r="E641" s="653">
        <f t="shared" si="51"/>
        <v>20</v>
      </c>
      <c r="F641" s="684">
        <v>0</v>
      </c>
      <c r="G641" s="653">
        <v>20</v>
      </c>
      <c r="H641" s="653">
        <v>0</v>
      </c>
      <c r="I641" s="498">
        <f t="shared" si="52"/>
        <v>20</v>
      </c>
      <c r="J641" s="498">
        <v>0</v>
      </c>
      <c r="K641" s="498">
        <v>20</v>
      </c>
      <c r="L641" s="698">
        <v>0</v>
      </c>
      <c r="M641" s="956">
        <v>1</v>
      </c>
      <c r="N641" s="653">
        <v>0.2</v>
      </c>
      <c r="O641" s="669" t="s">
        <v>3742</v>
      </c>
      <c r="P641" s="463" t="s">
        <v>1588</v>
      </c>
      <c r="Q641" s="852">
        <v>0</v>
      </c>
      <c r="R641" s="852">
        <v>0</v>
      </c>
      <c r="S641" s="852">
        <v>0</v>
      </c>
      <c r="T641" s="852">
        <v>0</v>
      </c>
      <c r="U641" s="463" t="s">
        <v>5101</v>
      </c>
      <c r="V641" s="466" t="s">
        <v>5979</v>
      </c>
      <c r="W641" s="653">
        <v>186</v>
      </c>
      <c r="X641" s="463" t="s">
        <v>626</v>
      </c>
      <c r="Y641" s="463" t="s">
        <v>636</v>
      </c>
      <c r="Z641" s="463"/>
      <c r="AA641" s="463" t="s">
        <v>5986</v>
      </c>
      <c r="AB641" s="459" t="s">
        <v>1358</v>
      </c>
    </row>
    <row r="642" spans="1:28" ht="24" customHeight="1">
      <c r="A642" s="584"/>
      <c r="B642" s="460" t="s">
        <v>675</v>
      </c>
      <c r="C642" s="458" t="s">
        <v>5947</v>
      </c>
      <c r="D642" s="510" t="s">
        <v>5962</v>
      </c>
      <c r="E642" s="653">
        <f t="shared" si="51"/>
        <v>38</v>
      </c>
      <c r="F642" s="684">
        <v>0</v>
      </c>
      <c r="G642" s="653">
        <v>38</v>
      </c>
      <c r="H642" s="653">
        <v>0</v>
      </c>
      <c r="I642" s="498">
        <f t="shared" si="52"/>
        <v>33</v>
      </c>
      <c r="J642" s="498">
        <v>0</v>
      </c>
      <c r="K642" s="498">
        <v>33</v>
      </c>
      <c r="L642" s="698">
        <v>0</v>
      </c>
      <c r="M642" s="956">
        <v>0.86799999999999999</v>
      </c>
      <c r="N642" s="653">
        <v>0.33</v>
      </c>
      <c r="O642" s="669" t="s">
        <v>3742</v>
      </c>
      <c r="P642" s="463" t="s">
        <v>1588</v>
      </c>
      <c r="Q642" s="852">
        <v>0</v>
      </c>
      <c r="R642" s="852">
        <v>0</v>
      </c>
      <c r="S642" s="852">
        <v>0</v>
      </c>
      <c r="T642" s="852">
        <v>0</v>
      </c>
      <c r="U642" s="463" t="s">
        <v>5101</v>
      </c>
      <c r="V642" s="466" t="s">
        <v>5979</v>
      </c>
      <c r="W642" s="653">
        <v>258</v>
      </c>
      <c r="X642" s="463" t="s">
        <v>626</v>
      </c>
      <c r="Y642" s="463" t="s">
        <v>636</v>
      </c>
      <c r="Z642" s="463"/>
      <c r="AA642" s="463" t="s">
        <v>5986</v>
      </c>
      <c r="AB642" s="459" t="s">
        <v>1358</v>
      </c>
    </row>
    <row r="643" spans="1:28" ht="24" customHeight="1">
      <c r="A643" s="584"/>
      <c r="B643" s="460" t="s">
        <v>675</v>
      </c>
      <c r="C643" s="458" t="s">
        <v>5948</v>
      </c>
      <c r="D643" s="510" t="s">
        <v>5963</v>
      </c>
      <c r="E643" s="653">
        <f t="shared" si="51"/>
        <v>16</v>
      </c>
      <c r="F643" s="684">
        <v>0</v>
      </c>
      <c r="G643" s="653">
        <v>16</v>
      </c>
      <c r="H643" s="653">
        <v>0</v>
      </c>
      <c r="I643" s="498">
        <f t="shared" si="52"/>
        <v>16</v>
      </c>
      <c r="J643" s="498">
        <v>0</v>
      </c>
      <c r="K643" s="498">
        <v>16</v>
      </c>
      <c r="L643" s="698">
        <v>0</v>
      </c>
      <c r="M643" s="956">
        <v>1</v>
      </c>
      <c r="N643" s="653">
        <v>0.12</v>
      </c>
      <c r="O643" s="669" t="s">
        <v>5152</v>
      </c>
      <c r="P643" s="463" t="s">
        <v>1588</v>
      </c>
      <c r="Q643" s="852">
        <v>0</v>
      </c>
      <c r="R643" s="852">
        <v>0</v>
      </c>
      <c r="S643" s="852">
        <v>0</v>
      </c>
      <c r="T643" s="852">
        <v>0</v>
      </c>
      <c r="U643" s="463" t="s">
        <v>5101</v>
      </c>
      <c r="V643" s="466" t="s">
        <v>5978</v>
      </c>
      <c r="W643" s="653">
        <v>80</v>
      </c>
      <c r="X643" s="463" t="s">
        <v>626</v>
      </c>
      <c r="Y643" s="463" t="s">
        <v>636</v>
      </c>
      <c r="Z643" s="463"/>
      <c r="AA643" s="463" t="s">
        <v>5986</v>
      </c>
      <c r="AB643" s="459" t="s">
        <v>1358</v>
      </c>
    </row>
    <row r="644" spans="1:28" ht="24" customHeight="1">
      <c r="A644" s="584"/>
      <c r="B644" s="460" t="s">
        <v>675</v>
      </c>
      <c r="C644" s="458" t="s">
        <v>5949</v>
      </c>
      <c r="D644" s="510" t="s">
        <v>5964</v>
      </c>
      <c r="E644" s="653">
        <f t="shared" si="51"/>
        <v>13</v>
      </c>
      <c r="F644" s="684">
        <v>0</v>
      </c>
      <c r="G644" s="653">
        <v>13</v>
      </c>
      <c r="H644" s="653">
        <v>0</v>
      </c>
      <c r="I644" s="498">
        <f t="shared" si="52"/>
        <v>13</v>
      </c>
      <c r="J644" s="498">
        <v>0</v>
      </c>
      <c r="K644" s="498">
        <v>13</v>
      </c>
      <c r="L644" s="698">
        <v>0</v>
      </c>
      <c r="M644" s="956">
        <v>1</v>
      </c>
      <c r="N644" s="653">
        <v>0.13</v>
      </c>
      <c r="O644" s="669" t="s">
        <v>3742</v>
      </c>
      <c r="P644" s="463" t="s">
        <v>1588</v>
      </c>
      <c r="Q644" s="852">
        <v>0</v>
      </c>
      <c r="R644" s="852">
        <v>0</v>
      </c>
      <c r="S644" s="852">
        <v>0</v>
      </c>
      <c r="T644" s="852">
        <v>0</v>
      </c>
      <c r="U644" s="463" t="s">
        <v>5101</v>
      </c>
      <c r="V644" s="466" t="s">
        <v>5980</v>
      </c>
      <c r="W644" s="653">
        <v>318</v>
      </c>
      <c r="X644" s="463" t="s">
        <v>626</v>
      </c>
      <c r="Y644" s="463" t="s">
        <v>636</v>
      </c>
      <c r="Z644" s="463"/>
      <c r="AA644" s="463" t="s">
        <v>5987</v>
      </c>
      <c r="AB644" s="459" t="s">
        <v>5988</v>
      </c>
    </row>
    <row r="645" spans="1:28" ht="24" customHeight="1">
      <c r="A645" s="584"/>
      <c r="B645" s="460" t="s">
        <v>675</v>
      </c>
      <c r="C645" s="458" t="s">
        <v>5950</v>
      </c>
      <c r="D645" s="510" t="s">
        <v>5965</v>
      </c>
      <c r="E645" s="653">
        <f t="shared" si="51"/>
        <v>30</v>
      </c>
      <c r="F645" s="684">
        <v>0</v>
      </c>
      <c r="G645" s="653">
        <v>30</v>
      </c>
      <c r="H645" s="653">
        <v>0</v>
      </c>
      <c r="I645" s="498">
        <f t="shared" si="52"/>
        <v>25</v>
      </c>
      <c r="J645" s="498">
        <v>0</v>
      </c>
      <c r="K645" s="498">
        <v>25</v>
      </c>
      <c r="L645" s="698">
        <v>0</v>
      </c>
      <c r="M645" s="956">
        <v>0.83299999999999996</v>
      </c>
      <c r="N645" s="653">
        <v>0.25</v>
      </c>
      <c r="O645" s="669" t="s">
        <v>3742</v>
      </c>
      <c r="P645" s="463" t="s">
        <v>1588</v>
      </c>
      <c r="Q645" s="852">
        <v>0</v>
      </c>
      <c r="R645" s="852">
        <v>0</v>
      </c>
      <c r="S645" s="852">
        <v>0</v>
      </c>
      <c r="T645" s="852">
        <v>0</v>
      </c>
      <c r="U645" s="463" t="s">
        <v>5101</v>
      </c>
      <c r="V645" s="466" t="s">
        <v>5980</v>
      </c>
      <c r="W645" s="653">
        <v>134</v>
      </c>
      <c r="X645" s="463" t="s">
        <v>626</v>
      </c>
      <c r="Y645" s="463" t="s">
        <v>636</v>
      </c>
      <c r="Z645" s="463"/>
      <c r="AA645" s="463" t="s">
        <v>5987</v>
      </c>
      <c r="AB645" s="459" t="s">
        <v>5988</v>
      </c>
    </row>
    <row r="646" spans="1:28" ht="24" customHeight="1">
      <c r="A646" s="584"/>
      <c r="B646" s="460" t="s">
        <v>675</v>
      </c>
      <c r="C646" s="458" t="s">
        <v>5951</v>
      </c>
      <c r="D646" s="510" t="s">
        <v>5964</v>
      </c>
      <c r="E646" s="653">
        <f t="shared" si="51"/>
        <v>6</v>
      </c>
      <c r="F646" s="684">
        <v>0</v>
      </c>
      <c r="G646" s="653">
        <v>6</v>
      </c>
      <c r="H646" s="653">
        <v>0</v>
      </c>
      <c r="I646" s="498">
        <f t="shared" si="52"/>
        <v>6</v>
      </c>
      <c r="J646" s="498">
        <v>0</v>
      </c>
      <c r="K646" s="498">
        <v>6</v>
      </c>
      <c r="L646" s="698">
        <v>0</v>
      </c>
      <c r="M646" s="956">
        <v>1</v>
      </c>
      <c r="N646" s="653">
        <v>0.06</v>
      </c>
      <c r="O646" s="669" t="s">
        <v>3742</v>
      </c>
      <c r="P646" s="463" t="s">
        <v>1588</v>
      </c>
      <c r="Q646" s="852">
        <v>0</v>
      </c>
      <c r="R646" s="852">
        <v>0</v>
      </c>
      <c r="S646" s="852">
        <v>0</v>
      </c>
      <c r="T646" s="852">
        <v>0</v>
      </c>
      <c r="U646" s="463" t="s">
        <v>5101</v>
      </c>
      <c r="V646" s="466" t="s">
        <v>5980</v>
      </c>
      <c r="W646" s="653">
        <v>64</v>
      </c>
      <c r="X646" s="463" t="s">
        <v>626</v>
      </c>
      <c r="Y646" s="463" t="s">
        <v>636</v>
      </c>
      <c r="Z646" s="463"/>
      <c r="AA646" s="463" t="s">
        <v>5987</v>
      </c>
      <c r="AB646" s="459" t="s">
        <v>5988</v>
      </c>
    </row>
    <row r="647" spans="1:28" ht="24" customHeight="1">
      <c r="A647" s="584"/>
      <c r="B647" s="460" t="s">
        <v>675</v>
      </c>
      <c r="C647" s="458" t="s">
        <v>5952</v>
      </c>
      <c r="D647" s="510" t="s">
        <v>5966</v>
      </c>
      <c r="E647" s="653">
        <f t="shared" si="51"/>
        <v>40</v>
      </c>
      <c r="F647" s="684">
        <v>0</v>
      </c>
      <c r="G647" s="653">
        <v>40</v>
      </c>
      <c r="H647" s="653">
        <v>0</v>
      </c>
      <c r="I647" s="498">
        <f t="shared" si="52"/>
        <v>35</v>
      </c>
      <c r="J647" s="498">
        <v>0</v>
      </c>
      <c r="K647" s="498">
        <v>0</v>
      </c>
      <c r="L647" s="698">
        <v>35</v>
      </c>
      <c r="M647" s="956">
        <v>0.875</v>
      </c>
      <c r="N647" s="653">
        <v>0.35</v>
      </c>
      <c r="O647" s="669" t="s">
        <v>5974</v>
      </c>
      <c r="P647" s="463" t="s">
        <v>1588</v>
      </c>
      <c r="Q647" s="852">
        <v>0</v>
      </c>
      <c r="R647" s="852">
        <v>0</v>
      </c>
      <c r="S647" s="852">
        <v>0</v>
      </c>
      <c r="T647" s="852">
        <v>0</v>
      </c>
      <c r="U647" s="463" t="s">
        <v>5101</v>
      </c>
      <c r="V647" s="466" t="s">
        <v>5981</v>
      </c>
      <c r="W647" s="653">
        <v>629</v>
      </c>
      <c r="X647" s="463" t="s">
        <v>626</v>
      </c>
      <c r="Y647" s="463" t="s">
        <v>636</v>
      </c>
      <c r="Z647" s="463"/>
      <c r="AA647" s="463" t="s">
        <v>5987</v>
      </c>
      <c r="AB647" s="459" t="s">
        <v>5988</v>
      </c>
    </row>
    <row r="648" spans="1:28" ht="24" customHeight="1">
      <c r="A648" s="584"/>
      <c r="B648" s="460" t="s">
        <v>675</v>
      </c>
      <c r="C648" s="458" t="s">
        <v>5953</v>
      </c>
      <c r="D648" s="510" t="s">
        <v>5967</v>
      </c>
      <c r="E648" s="653">
        <f t="shared" si="51"/>
        <v>70</v>
      </c>
      <c r="F648" s="684">
        <v>0</v>
      </c>
      <c r="G648" s="653">
        <v>70</v>
      </c>
      <c r="H648" s="653">
        <v>0</v>
      </c>
      <c r="I648" s="498">
        <f t="shared" si="52"/>
        <v>50</v>
      </c>
      <c r="J648" s="498">
        <v>0</v>
      </c>
      <c r="K648" s="498">
        <v>0</v>
      </c>
      <c r="L648" s="698">
        <v>50</v>
      </c>
      <c r="M648" s="956">
        <v>0.71400000000000008</v>
      </c>
      <c r="N648" s="653">
        <v>0.5</v>
      </c>
      <c r="O648" s="669" t="s">
        <v>5975</v>
      </c>
      <c r="P648" s="463" t="s">
        <v>1588</v>
      </c>
      <c r="Q648" s="852">
        <v>0</v>
      </c>
      <c r="R648" s="852">
        <v>0</v>
      </c>
      <c r="S648" s="852">
        <v>0</v>
      </c>
      <c r="T648" s="852">
        <v>0</v>
      </c>
      <c r="U648" s="463" t="s">
        <v>5101</v>
      </c>
      <c r="V648" s="466" t="s">
        <v>5982</v>
      </c>
      <c r="W648" s="653">
        <v>760</v>
      </c>
      <c r="X648" s="463" t="s">
        <v>626</v>
      </c>
      <c r="Y648" s="463" t="s">
        <v>5989</v>
      </c>
      <c r="Z648" s="463"/>
      <c r="AA648" s="463" t="s">
        <v>5987</v>
      </c>
      <c r="AB648" s="459" t="s">
        <v>5988</v>
      </c>
    </row>
    <row r="649" spans="1:28" ht="24" customHeight="1">
      <c r="A649" s="584"/>
      <c r="B649" s="460" t="s">
        <v>675</v>
      </c>
      <c r="C649" s="458" t="s">
        <v>5954</v>
      </c>
      <c r="D649" s="510" t="s">
        <v>5968</v>
      </c>
      <c r="E649" s="653">
        <f t="shared" si="51"/>
        <v>48</v>
      </c>
      <c r="F649" s="684">
        <v>0</v>
      </c>
      <c r="G649" s="653">
        <v>48</v>
      </c>
      <c r="H649" s="653">
        <v>0</v>
      </c>
      <c r="I649" s="498">
        <f t="shared" si="52"/>
        <v>48</v>
      </c>
      <c r="J649" s="498">
        <v>0</v>
      </c>
      <c r="K649" s="498">
        <v>48</v>
      </c>
      <c r="L649" s="698">
        <v>0</v>
      </c>
      <c r="M649" s="956">
        <v>1</v>
      </c>
      <c r="N649" s="653">
        <v>0.48</v>
      </c>
      <c r="O649" s="669" t="s">
        <v>3742</v>
      </c>
      <c r="P649" s="463" t="s">
        <v>1588</v>
      </c>
      <c r="Q649" s="852">
        <v>0</v>
      </c>
      <c r="R649" s="852">
        <v>0</v>
      </c>
      <c r="S649" s="852">
        <v>0</v>
      </c>
      <c r="T649" s="852">
        <v>0</v>
      </c>
      <c r="U649" s="463" t="s">
        <v>5101</v>
      </c>
      <c r="V649" s="466" t="s">
        <v>5980</v>
      </c>
      <c r="W649" s="653">
        <v>234</v>
      </c>
      <c r="X649" s="463" t="s">
        <v>626</v>
      </c>
      <c r="Y649" s="463" t="s">
        <v>636</v>
      </c>
      <c r="Z649" s="463"/>
      <c r="AA649" s="463" t="s">
        <v>5987</v>
      </c>
      <c r="AB649" s="459" t="s">
        <v>5988</v>
      </c>
    </row>
    <row r="650" spans="1:28" ht="24" customHeight="1">
      <c r="A650" s="584"/>
      <c r="B650" s="460" t="s">
        <v>675</v>
      </c>
      <c r="C650" s="458" t="s">
        <v>5955</v>
      </c>
      <c r="D650" s="510" t="s">
        <v>5969</v>
      </c>
      <c r="E650" s="653">
        <f t="shared" si="51"/>
        <v>140</v>
      </c>
      <c r="F650" s="684">
        <v>0</v>
      </c>
      <c r="G650" s="653">
        <v>140</v>
      </c>
      <c r="H650" s="653">
        <v>0</v>
      </c>
      <c r="I650" s="498">
        <f t="shared" si="52"/>
        <v>140</v>
      </c>
      <c r="J650" s="498">
        <v>0</v>
      </c>
      <c r="K650" s="498">
        <v>0</v>
      </c>
      <c r="L650" s="698">
        <v>140</v>
      </c>
      <c r="M650" s="956">
        <v>1</v>
      </c>
      <c r="N650" s="653">
        <v>1.4</v>
      </c>
      <c r="O650" s="669" t="s">
        <v>5976</v>
      </c>
      <c r="P650" s="463" t="s">
        <v>1588</v>
      </c>
      <c r="Q650" s="852">
        <v>0</v>
      </c>
      <c r="R650" s="852">
        <v>0</v>
      </c>
      <c r="S650" s="852">
        <v>0</v>
      </c>
      <c r="T650" s="852">
        <v>0</v>
      </c>
      <c r="U650" s="463" t="s">
        <v>5101</v>
      </c>
      <c r="V650" s="466" t="s">
        <v>5982</v>
      </c>
      <c r="W650" s="653">
        <v>1154</v>
      </c>
      <c r="X650" s="463" t="s">
        <v>626</v>
      </c>
      <c r="Y650" s="463" t="s">
        <v>636</v>
      </c>
      <c r="Z650" s="463"/>
      <c r="AA650" s="463" t="s">
        <v>5990</v>
      </c>
      <c r="AB650" s="459" t="s">
        <v>5988</v>
      </c>
    </row>
    <row r="651" spans="1:28" ht="24" customHeight="1">
      <c r="A651" s="584"/>
      <c r="B651" s="460" t="s">
        <v>675</v>
      </c>
      <c r="C651" s="458" t="s">
        <v>5956</v>
      </c>
      <c r="D651" s="510" t="s">
        <v>5970</v>
      </c>
      <c r="E651" s="653">
        <f t="shared" si="51"/>
        <v>100</v>
      </c>
      <c r="F651" s="684">
        <v>0</v>
      </c>
      <c r="G651" s="653">
        <v>100</v>
      </c>
      <c r="H651" s="653">
        <v>0</v>
      </c>
      <c r="I651" s="498">
        <f t="shared" si="52"/>
        <v>60</v>
      </c>
      <c r="J651" s="498">
        <v>0</v>
      </c>
      <c r="K651" s="498">
        <v>60</v>
      </c>
      <c r="L651" s="698">
        <v>0</v>
      </c>
      <c r="M651" s="956">
        <v>0.6</v>
      </c>
      <c r="N651" s="653">
        <v>0.6</v>
      </c>
      <c r="O651" s="669" t="s">
        <v>5122</v>
      </c>
      <c r="P651" s="463" t="s">
        <v>1588</v>
      </c>
      <c r="Q651" s="852">
        <v>0</v>
      </c>
      <c r="R651" s="852">
        <v>0</v>
      </c>
      <c r="S651" s="852">
        <v>0</v>
      </c>
      <c r="T651" s="852">
        <v>0</v>
      </c>
      <c r="U651" s="463" t="s">
        <v>5101</v>
      </c>
      <c r="V651" s="466" t="s">
        <v>5983</v>
      </c>
      <c r="W651" s="653">
        <v>400</v>
      </c>
      <c r="X651" s="463" t="s">
        <v>626</v>
      </c>
      <c r="Y651" s="463" t="s">
        <v>636</v>
      </c>
      <c r="Z651" s="463"/>
      <c r="AA651" s="463" t="s">
        <v>5986</v>
      </c>
      <c r="AB651" s="459" t="s">
        <v>1358</v>
      </c>
    </row>
    <row r="652" spans="1:28" ht="24" customHeight="1">
      <c r="A652" s="584"/>
      <c r="B652" s="460" t="s">
        <v>675</v>
      </c>
      <c r="C652" s="458" t="s">
        <v>5957</v>
      </c>
      <c r="D652" s="510" t="s">
        <v>5971</v>
      </c>
      <c r="E652" s="653">
        <f t="shared" si="51"/>
        <v>35</v>
      </c>
      <c r="F652" s="684">
        <v>0</v>
      </c>
      <c r="G652" s="653">
        <v>35</v>
      </c>
      <c r="H652" s="653">
        <v>0</v>
      </c>
      <c r="I652" s="498">
        <f t="shared" si="52"/>
        <v>30</v>
      </c>
      <c r="J652" s="498">
        <v>0</v>
      </c>
      <c r="K652" s="498">
        <v>30</v>
      </c>
      <c r="L652" s="698">
        <v>0</v>
      </c>
      <c r="M652" s="956">
        <v>0.85699999999999998</v>
      </c>
      <c r="N652" s="653">
        <v>0.3</v>
      </c>
      <c r="O652" s="669" t="s">
        <v>1408</v>
      </c>
      <c r="P652" s="463" t="s">
        <v>1588</v>
      </c>
      <c r="Q652" s="852">
        <v>0</v>
      </c>
      <c r="R652" s="852">
        <v>0</v>
      </c>
      <c r="S652" s="852">
        <v>0</v>
      </c>
      <c r="T652" s="852">
        <v>0</v>
      </c>
      <c r="U652" s="463" t="s">
        <v>5101</v>
      </c>
      <c r="V652" s="466" t="s">
        <v>5984</v>
      </c>
      <c r="W652" s="653">
        <v>99</v>
      </c>
      <c r="X652" s="463" t="s">
        <v>626</v>
      </c>
      <c r="Y652" s="463" t="s">
        <v>636</v>
      </c>
      <c r="Z652" s="463"/>
      <c r="AA652" s="463" t="s">
        <v>5986</v>
      </c>
      <c r="AB652" s="459" t="s">
        <v>1358</v>
      </c>
    </row>
    <row r="653" spans="1:28" ht="24" customHeight="1">
      <c r="A653" s="584"/>
      <c r="B653" s="460" t="s">
        <v>675</v>
      </c>
      <c r="C653" s="458" t="s">
        <v>5958</v>
      </c>
      <c r="D653" s="510" t="s">
        <v>5972</v>
      </c>
      <c r="E653" s="653">
        <f t="shared" si="51"/>
        <v>48</v>
      </c>
      <c r="F653" s="684">
        <v>0</v>
      </c>
      <c r="G653" s="653">
        <v>48</v>
      </c>
      <c r="H653" s="653">
        <v>0</v>
      </c>
      <c r="I653" s="498">
        <f t="shared" si="52"/>
        <v>40</v>
      </c>
      <c r="J653" s="498">
        <v>0</v>
      </c>
      <c r="K653" s="498">
        <v>0</v>
      </c>
      <c r="L653" s="698">
        <v>40</v>
      </c>
      <c r="M653" s="956">
        <v>0.83299999999999996</v>
      </c>
      <c r="N653" s="653">
        <v>0.4</v>
      </c>
      <c r="O653" s="669" t="s">
        <v>5974</v>
      </c>
      <c r="P653" s="463" t="s">
        <v>1588</v>
      </c>
      <c r="Q653" s="852">
        <v>0</v>
      </c>
      <c r="R653" s="852">
        <v>0</v>
      </c>
      <c r="S653" s="852">
        <v>0</v>
      </c>
      <c r="T653" s="852">
        <v>0</v>
      </c>
      <c r="U653" s="463" t="s">
        <v>5101</v>
      </c>
      <c r="V653" s="466" t="s">
        <v>5985</v>
      </c>
      <c r="W653" s="653">
        <v>634</v>
      </c>
      <c r="X653" s="463" t="s">
        <v>626</v>
      </c>
      <c r="Y653" s="463" t="s">
        <v>636</v>
      </c>
      <c r="Z653" s="463"/>
      <c r="AA653" s="463" t="s">
        <v>5991</v>
      </c>
      <c r="AB653" s="459" t="s">
        <v>5988</v>
      </c>
    </row>
    <row r="654" spans="1:28" ht="24" customHeight="1">
      <c r="A654" s="582" t="s">
        <v>1639</v>
      </c>
      <c r="B654" s="460" t="s">
        <v>2201</v>
      </c>
      <c r="C654" s="458" t="s">
        <v>2405</v>
      </c>
      <c r="D654" s="510" t="s">
        <v>2282</v>
      </c>
      <c r="E654" s="653">
        <f t="shared" si="51"/>
        <v>35000</v>
      </c>
      <c r="F654" s="653">
        <v>0</v>
      </c>
      <c r="G654" s="653">
        <v>0</v>
      </c>
      <c r="H654" s="653">
        <v>35000</v>
      </c>
      <c r="I654" s="653">
        <f t="shared" si="52"/>
        <v>31869</v>
      </c>
      <c r="J654" s="653">
        <v>0</v>
      </c>
      <c r="K654" s="653">
        <v>0</v>
      </c>
      <c r="L654" s="698">
        <v>31869</v>
      </c>
      <c r="M654" s="956">
        <v>0.71587743732590525</v>
      </c>
      <c r="N654" s="653">
        <v>819.03329999999983</v>
      </c>
      <c r="O654" s="669" t="s">
        <v>5108</v>
      </c>
      <c r="P654" s="463" t="s">
        <v>1588</v>
      </c>
      <c r="Q654" s="852">
        <v>78.06</v>
      </c>
      <c r="R654" s="852">
        <v>0</v>
      </c>
      <c r="S654" s="852">
        <v>50.8</v>
      </c>
      <c r="T654" s="852">
        <v>0</v>
      </c>
      <c r="U654" s="463" t="s">
        <v>5109</v>
      </c>
      <c r="V654" s="463" t="s">
        <v>5110</v>
      </c>
      <c r="W654" s="653">
        <v>49207</v>
      </c>
      <c r="X654" s="463" t="s">
        <v>2276</v>
      </c>
      <c r="Y654" s="463" t="s">
        <v>5111</v>
      </c>
      <c r="Z654" s="463"/>
      <c r="AA654" s="463" t="s">
        <v>1592</v>
      </c>
      <c r="AB654" s="459" t="s">
        <v>1592</v>
      </c>
    </row>
    <row r="655" spans="1:28" ht="24" customHeight="1">
      <c r="A655" s="584"/>
      <c r="B655" s="460" t="s">
        <v>2201</v>
      </c>
      <c r="C655" s="458" t="s">
        <v>5112</v>
      </c>
      <c r="D655" s="510" t="s">
        <v>5113</v>
      </c>
      <c r="E655" s="653">
        <v>3400</v>
      </c>
      <c r="F655" s="653">
        <v>0</v>
      </c>
      <c r="G655" s="653">
        <v>0</v>
      </c>
      <c r="H655" s="653">
        <v>3400</v>
      </c>
      <c r="I655" s="653">
        <v>2617</v>
      </c>
      <c r="J655" s="653">
        <v>0</v>
      </c>
      <c r="K655" s="653">
        <v>0</v>
      </c>
      <c r="L655" s="698">
        <v>2617</v>
      </c>
      <c r="M655" s="957">
        <v>0.95228215767634861</v>
      </c>
      <c r="N655" s="653">
        <v>240.24060000000003</v>
      </c>
      <c r="O655" s="669" t="s">
        <v>3282</v>
      </c>
      <c r="P655" s="463" t="s">
        <v>1588</v>
      </c>
      <c r="Q655" s="852">
        <v>0</v>
      </c>
      <c r="R655" s="852">
        <v>0</v>
      </c>
      <c r="S655" s="852">
        <v>0</v>
      </c>
      <c r="T655" s="852">
        <v>0</v>
      </c>
      <c r="U655" s="463" t="s">
        <v>5114</v>
      </c>
      <c r="V655" s="466" t="s">
        <v>2053</v>
      </c>
      <c r="W655" s="653">
        <v>13551</v>
      </c>
      <c r="X655" s="463" t="s">
        <v>2276</v>
      </c>
      <c r="Y655" s="463" t="s">
        <v>3161</v>
      </c>
      <c r="Z655" s="463" t="s">
        <v>1640</v>
      </c>
      <c r="AA655" s="463" t="s">
        <v>1592</v>
      </c>
      <c r="AB655" s="459" t="s">
        <v>1592</v>
      </c>
    </row>
    <row r="656" spans="1:28" ht="24" customHeight="1">
      <c r="A656" s="584"/>
      <c r="B656" s="460" t="s">
        <v>2201</v>
      </c>
      <c r="C656" s="458" t="s">
        <v>5115</v>
      </c>
      <c r="D656" s="510" t="s">
        <v>5116</v>
      </c>
      <c r="E656" s="653">
        <v>1800</v>
      </c>
      <c r="F656" s="653">
        <v>0</v>
      </c>
      <c r="G656" s="653">
        <v>0</v>
      </c>
      <c r="H656" s="653">
        <v>1800</v>
      </c>
      <c r="I656" s="653">
        <v>606</v>
      </c>
      <c r="J656" s="653">
        <v>0</v>
      </c>
      <c r="K656" s="653">
        <v>0</v>
      </c>
      <c r="L656" s="698">
        <v>606</v>
      </c>
      <c r="M656" s="957">
        <v>0.91136363636363638</v>
      </c>
      <c r="N656" s="653">
        <v>24.300599999999999</v>
      </c>
      <c r="O656" s="669" t="s">
        <v>3282</v>
      </c>
      <c r="P656" s="463" t="s">
        <v>1588</v>
      </c>
      <c r="Q656" s="852">
        <v>0</v>
      </c>
      <c r="R656" s="852">
        <v>0</v>
      </c>
      <c r="S656" s="852">
        <v>0</v>
      </c>
      <c r="T656" s="852">
        <v>0</v>
      </c>
      <c r="U656" s="463" t="s">
        <v>5114</v>
      </c>
      <c r="V656" s="466" t="s">
        <v>2053</v>
      </c>
      <c r="W656" s="653">
        <v>10136</v>
      </c>
      <c r="X656" s="463" t="s">
        <v>2276</v>
      </c>
      <c r="Y656" s="463" t="s">
        <v>3161</v>
      </c>
      <c r="Z656" s="463" t="s">
        <v>5117</v>
      </c>
      <c r="AA656" s="463" t="s">
        <v>1592</v>
      </c>
      <c r="AB656" s="459" t="s">
        <v>1592</v>
      </c>
    </row>
    <row r="657" spans="1:28" ht="24" customHeight="1">
      <c r="A657" s="584"/>
      <c r="B657" s="460" t="s">
        <v>2201</v>
      </c>
      <c r="C657" s="458" t="s">
        <v>5118</v>
      </c>
      <c r="D657" s="510" t="s">
        <v>5119</v>
      </c>
      <c r="E657" s="653">
        <v>1800</v>
      </c>
      <c r="F657" s="653">
        <v>0</v>
      </c>
      <c r="G657" s="653">
        <v>0</v>
      </c>
      <c r="H657" s="653">
        <v>1800</v>
      </c>
      <c r="I657" s="653">
        <v>544</v>
      </c>
      <c r="J657" s="653">
        <v>0</v>
      </c>
      <c r="K657" s="653">
        <v>0</v>
      </c>
      <c r="L657" s="698">
        <v>544</v>
      </c>
      <c r="M657" s="957">
        <v>0.92494929006085191</v>
      </c>
      <c r="N657" s="653">
        <v>24.806399999999996</v>
      </c>
      <c r="O657" s="669" t="s">
        <v>3282</v>
      </c>
      <c r="P657" s="463" t="s">
        <v>1588</v>
      </c>
      <c r="Q657" s="852">
        <v>0</v>
      </c>
      <c r="R657" s="852">
        <v>0</v>
      </c>
      <c r="S657" s="852">
        <v>0</v>
      </c>
      <c r="T657" s="852">
        <v>0</v>
      </c>
      <c r="U657" s="463" t="s">
        <v>5114</v>
      </c>
      <c r="V657" s="466" t="s">
        <v>2053</v>
      </c>
      <c r="W657" s="653">
        <v>8576</v>
      </c>
      <c r="X657" s="463" t="s">
        <v>2276</v>
      </c>
      <c r="Y657" s="463" t="s">
        <v>3161</v>
      </c>
      <c r="Z657" s="463" t="s">
        <v>5117</v>
      </c>
      <c r="AA657" s="463" t="s">
        <v>1592</v>
      </c>
      <c r="AB657" s="459" t="s">
        <v>1592</v>
      </c>
    </row>
    <row r="658" spans="1:28" ht="24" customHeight="1">
      <c r="A658" s="584"/>
      <c r="B658" s="460" t="s">
        <v>675</v>
      </c>
      <c r="C658" s="458" t="s">
        <v>5120</v>
      </c>
      <c r="D658" s="510" t="s">
        <v>5121</v>
      </c>
      <c r="E658" s="653">
        <f>F658+G658+H658</f>
        <v>130</v>
      </c>
      <c r="F658" s="653">
        <v>0</v>
      </c>
      <c r="G658" s="653">
        <v>130</v>
      </c>
      <c r="H658" s="653">
        <v>0</v>
      </c>
      <c r="I658" s="653">
        <f>J658+K658+L658</f>
        <v>120.8</v>
      </c>
      <c r="J658" s="653">
        <v>0</v>
      </c>
      <c r="K658" s="653">
        <v>120.8</v>
      </c>
      <c r="L658" s="698">
        <v>0</v>
      </c>
      <c r="M658" s="957">
        <v>0.89200000000000002</v>
      </c>
      <c r="N658" s="653">
        <v>7.7</v>
      </c>
      <c r="O658" s="669" t="s">
        <v>5122</v>
      </c>
      <c r="P658" s="463" t="s">
        <v>1588</v>
      </c>
      <c r="Q658" s="852">
        <v>0</v>
      </c>
      <c r="R658" s="852">
        <v>0</v>
      </c>
      <c r="S658" s="852">
        <v>0</v>
      </c>
      <c r="T658" s="852">
        <v>0</v>
      </c>
      <c r="U658" s="463" t="s">
        <v>5109</v>
      </c>
      <c r="V658" s="463" t="s">
        <v>5123</v>
      </c>
      <c r="W658" s="653">
        <v>315</v>
      </c>
      <c r="X658" s="463" t="s">
        <v>2276</v>
      </c>
      <c r="Y658" s="463" t="s">
        <v>5111</v>
      </c>
      <c r="Z658" s="463" t="s">
        <v>5124</v>
      </c>
      <c r="AA658" s="463" t="s">
        <v>1592</v>
      </c>
      <c r="AB658" s="459" t="s">
        <v>1592</v>
      </c>
    </row>
    <row r="659" spans="1:28" ht="24" customHeight="1">
      <c r="A659" s="584"/>
      <c r="B659" s="460" t="s">
        <v>675</v>
      </c>
      <c r="C659" s="458" t="s">
        <v>5125</v>
      </c>
      <c r="D659" s="510" t="s">
        <v>5126</v>
      </c>
      <c r="E659" s="653">
        <f>F659+G659+H659</f>
        <v>150</v>
      </c>
      <c r="F659" s="653">
        <v>0</v>
      </c>
      <c r="G659" s="653">
        <v>150</v>
      </c>
      <c r="H659" s="653">
        <v>0</v>
      </c>
      <c r="I659" s="653">
        <f>J659+K659+L659</f>
        <v>133.19999999999999</v>
      </c>
      <c r="J659" s="653">
        <v>0</v>
      </c>
      <c r="K659" s="653">
        <v>133.19999999999999</v>
      </c>
      <c r="L659" s="698">
        <v>0</v>
      </c>
      <c r="M659" s="957">
        <v>0.94700000000000006</v>
      </c>
      <c r="N659" s="653">
        <v>6.5</v>
      </c>
      <c r="O659" s="669" t="s">
        <v>5122</v>
      </c>
      <c r="P659" s="463" t="s">
        <v>1588</v>
      </c>
      <c r="Q659" s="852">
        <v>0</v>
      </c>
      <c r="R659" s="852">
        <v>0</v>
      </c>
      <c r="S659" s="852">
        <v>0</v>
      </c>
      <c r="T659" s="852">
        <v>0</v>
      </c>
      <c r="U659" s="463" t="s">
        <v>5109</v>
      </c>
      <c r="V659" s="463" t="s">
        <v>5127</v>
      </c>
      <c r="W659" s="498">
        <v>400</v>
      </c>
      <c r="X659" s="463" t="s">
        <v>2276</v>
      </c>
      <c r="Y659" s="463" t="s">
        <v>5111</v>
      </c>
      <c r="Z659" s="463" t="s">
        <v>5128</v>
      </c>
      <c r="AA659" s="463" t="s">
        <v>1592</v>
      </c>
      <c r="AB659" s="459" t="s">
        <v>1592</v>
      </c>
    </row>
    <row r="660" spans="1:28" ht="24" customHeight="1">
      <c r="A660" s="584"/>
      <c r="B660" s="460" t="s">
        <v>675</v>
      </c>
      <c r="C660" s="458" t="s">
        <v>5129</v>
      </c>
      <c r="D660" s="510" t="s">
        <v>5130</v>
      </c>
      <c r="E660" s="653">
        <f>F660+G660+H660</f>
        <v>102</v>
      </c>
      <c r="F660" s="653">
        <v>0</v>
      </c>
      <c r="G660" s="653">
        <v>102</v>
      </c>
      <c r="H660" s="653">
        <v>0</v>
      </c>
      <c r="I660" s="653">
        <f>J660+K660+L660</f>
        <v>43.6</v>
      </c>
      <c r="J660" s="653">
        <v>0</v>
      </c>
      <c r="K660" s="653">
        <v>43.6</v>
      </c>
      <c r="L660" s="698">
        <v>0</v>
      </c>
      <c r="M660" s="957">
        <v>0.90700000000000003</v>
      </c>
      <c r="N660" s="653">
        <v>3.1</v>
      </c>
      <c r="O660" s="669" t="s">
        <v>5089</v>
      </c>
      <c r="P660" s="463" t="s">
        <v>1588</v>
      </c>
      <c r="Q660" s="852">
        <v>0</v>
      </c>
      <c r="R660" s="852">
        <v>0</v>
      </c>
      <c r="S660" s="852">
        <v>0</v>
      </c>
      <c r="T660" s="852">
        <v>0</v>
      </c>
      <c r="U660" s="463" t="s">
        <v>5109</v>
      </c>
      <c r="V660" s="463" t="s">
        <v>5131</v>
      </c>
      <c r="W660" s="498">
        <v>400</v>
      </c>
      <c r="X660" s="463" t="s">
        <v>2276</v>
      </c>
      <c r="Y660" s="463" t="s">
        <v>5111</v>
      </c>
      <c r="Z660" s="463" t="s">
        <v>1640</v>
      </c>
      <c r="AA660" s="463" t="s">
        <v>1592</v>
      </c>
      <c r="AB660" s="459" t="s">
        <v>1592</v>
      </c>
    </row>
    <row r="661" spans="1:28" ht="24" customHeight="1">
      <c r="A661" s="584"/>
      <c r="B661" s="460" t="s">
        <v>675</v>
      </c>
      <c r="C661" s="458" t="s">
        <v>5132</v>
      </c>
      <c r="D661" s="510" t="s">
        <v>5133</v>
      </c>
      <c r="E661" s="653">
        <f>F661+G661+H661</f>
        <v>40</v>
      </c>
      <c r="F661" s="653">
        <v>0</v>
      </c>
      <c r="G661" s="653">
        <v>40</v>
      </c>
      <c r="H661" s="653">
        <v>0</v>
      </c>
      <c r="I661" s="653">
        <f>J661+K661+L661</f>
        <v>158.9</v>
      </c>
      <c r="J661" s="653">
        <v>0</v>
      </c>
      <c r="K661" s="653">
        <v>158.9</v>
      </c>
      <c r="L661" s="698">
        <v>0</v>
      </c>
      <c r="M661" s="957">
        <v>0.95400000000000007</v>
      </c>
      <c r="N661" s="653">
        <v>17.600000000000001</v>
      </c>
      <c r="O661" s="669" t="s">
        <v>5089</v>
      </c>
      <c r="P661" s="463" t="s">
        <v>1588</v>
      </c>
      <c r="Q661" s="852">
        <v>0</v>
      </c>
      <c r="R661" s="852">
        <v>0</v>
      </c>
      <c r="S661" s="852">
        <v>0</v>
      </c>
      <c r="T661" s="852">
        <v>0</v>
      </c>
      <c r="U661" s="463" t="s">
        <v>5109</v>
      </c>
      <c r="V661" s="463" t="s">
        <v>5131</v>
      </c>
      <c r="W661" s="498">
        <v>151</v>
      </c>
      <c r="X661" s="463" t="s">
        <v>2276</v>
      </c>
      <c r="Y661" s="463" t="s">
        <v>5111</v>
      </c>
      <c r="Z661" s="463" t="s">
        <v>5134</v>
      </c>
      <c r="AA661" s="463" t="s">
        <v>1592</v>
      </c>
      <c r="AB661" s="459" t="s">
        <v>1592</v>
      </c>
    </row>
    <row r="662" spans="1:28" ht="24" customHeight="1">
      <c r="A662" s="584"/>
      <c r="B662" s="460" t="s">
        <v>675</v>
      </c>
      <c r="C662" s="458" t="s">
        <v>5135</v>
      </c>
      <c r="D662" s="510" t="s">
        <v>5136</v>
      </c>
      <c r="E662" s="653">
        <f>F662+G662+H662</f>
        <v>36</v>
      </c>
      <c r="F662" s="653">
        <v>0</v>
      </c>
      <c r="G662" s="653">
        <v>36</v>
      </c>
      <c r="H662" s="653">
        <v>0</v>
      </c>
      <c r="I662" s="653">
        <f>J662+K662+L662</f>
        <v>56.6</v>
      </c>
      <c r="J662" s="653">
        <v>0</v>
      </c>
      <c r="K662" s="653">
        <v>56.6</v>
      </c>
      <c r="L662" s="698">
        <v>0</v>
      </c>
      <c r="M662" s="957">
        <v>0.75599999999999989</v>
      </c>
      <c r="N662" s="653">
        <v>1.3</v>
      </c>
      <c r="O662" s="669" t="s">
        <v>5089</v>
      </c>
      <c r="P662" s="463" t="s">
        <v>1588</v>
      </c>
      <c r="Q662" s="852">
        <v>0</v>
      </c>
      <c r="R662" s="852">
        <v>0</v>
      </c>
      <c r="S662" s="852">
        <v>0</v>
      </c>
      <c r="T662" s="852">
        <v>0</v>
      </c>
      <c r="U662" s="463" t="s">
        <v>5109</v>
      </c>
      <c r="V662" s="463" t="s">
        <v>5137</v>
      </c>
      <c r="W662" s="498">
        <v>131</v>
      </c>
      <c r="X662" s="463" t="s">
        <v>2276</v>
      </c>
      <c r="Y662" s="463" t="s">
        <v>5111</v>
      </c>
      <c r="Z662" s="463" t="s">
        <v>1640</v>
      </c>
      <c r="AA662" s="463" t="s">
        <v>1592</v>
      </c>
      <c r="AB662" s="459" t="s">
        <v>1592</v>
      </c>
    </row>
    <row r="663" spans="1:28" ht="24" customHeight="1">
      <c r="A663" s="593" t="s">
        <v>1641</v>
      </c>
      <c r="B663" s="521" t="s">
        <v>2201</v>
      </c>
      <c r="C663" s="522" t="s">
        <v>2406</v>
      </c>
      <c r="D663" s="524" t="s">
        <v>5138</v>
      </c>
      <c r="E663" s="653">
        <v>30000</v>
      </c>
      <c r="F663" s="498">
        <v>0</v>
      </c>
      <c r="G663" s="498">
        <v>30000</v>
      </c>
      <c r="H663" s="498">
        <v>0</v>
      </c>
      <c r="I663" s="498">
        <v>25000</v>
      </c>
      <c r="J663" s="498">
        <v>0</v>
      </c>
      <c r="K663" s="498">
        <v>25000</v>
      </c>
      <c r="L663" s="668">
        <v>0</v>
      </c>
      <c r="M663" s="957">
        <v>0.81215469613259672</v>
      </c>
      <c r="N663" s="653">
        <v>367.50000000000006</v>
      </c>
      <c r="O663" s="699" t="s">
        <v>1535</v>
      </c>
      <c r="P663" s="463" t="s">
        <v>1588</v>
      </c>
      <c r="Q663" s="852">
        <v>100</v>
      </c>
      <c r="R663" s="852">
        <v>0</v>
      </c>
      <c r="S663" s="852">
        <v>69</v>
      </c>
      <c r="T663" s="852">
        <v>0</v>
      </c>
      <c r="U663" s="462" t="s">
        <v>7466</v>
      </c>
      <c r="V663" s="462" t="s">
        <v>5139</v>
      </c>
      <c r="W663" s="653">
        <v>52</v>
      </c>
      <c r="X663" s="462" t="s">
        <v>2199</v>
      </c>
      <c r="Y663" s="462" t="s">
        <v>5140</v>
      </c>
      <c r="Z663" s="462"/>
      <c r="AA663" s="462"/>
      <c r="AB663" s="467" t="s">
        <v>1596</v>
      </c>
    </row>
    <row r="664" spans="1:28" ht="24" customHeight="1">
      <c r="A664" s="594"/>
      <c r="B664" s="521" t="s">
        <v>2201</v>
      </c>
      <c r="C664" s="522" t="s">
        <v>220</v>
      </c>
      <c r="D664" s="524" t="s">
        <v>5141</v>
      </c>
      <c r="E664" s="653">
        <v>15000</v>
      </c>
      <c r="F664" s="498">
        <v>0</v>
      </c>
      <c r="G664" s="498">
        <v>15000</v>
      </c>
      <c r="H664" s="498">
        <v>0</v>
      </c>
      <c r="I664" s="498">
        <v>1888</v>
      </c>
      <c r="J664" s="498">
        <v>0</v>
      </c>
      <c r="K664" s="498">
        <v>1888</v>
      </c>
      <c r="L664" s="668">
        <v>0</v>
      </c>
      <c r="M664" s="957">
        <v>0.86029411764705876</v>
      </c>
      <c r="N664" s="653">
        <v>88.358399999999989</v>
      </c>
      <c r="O664" s="699" t="s">
        <v>5142</v>
      </c>
      <c r="P664" s="463" t="s">
        <v>1588</v>
      </c>
      <c r="Q664" s="852">
        <v>0</v>
      </c>
      <c r="R664" s="852">
        <v>0</v>
      </c>
      <c r="S664" s="852">
        <v>0</v>
      </c>
      <c r="T664" s="852">
        <v>0</v>
      </c>
      <c r="U664" s="462" t="s">
        <v>7467</v>
      </c>
      <c r="V664" s="462" t="s">
        <v>5143</v>
      </c>
      <c r="W664" s="653">
        <v>162</v>
      </c>
      <c r="X664" s="462" t="s">
        <v>5144</v>
      </c>
      <c r="Y664" s="462" t="s">
        <v>5145</v>
      </c>
      <c r="Z664" s="462"/>
      <c r="AA664" s="462"/>
      <c r="AB664" s="467" t="s">
        <v>1596</v>
      </c>
    </row>
    <row r="665" spans="1:28" ht="24" customHeight="1">
      <c r="A665" s="594"/>
      <c r="B665" s="521" t="s">
        <v>675</v>
      </c>
      <c r="C665" s="522" t="s">
        <v>5146</v>
      </c>
      <c r="D665" s="524" t="s">
        <v>5147</v>
      </c>
      <c r="E665" s="653">
        <v>380</v>
      </c>
      <c r="F665" s="498">
        <v>0</v>
      </c>
      <c r="G665" s="653">
        <v>380</v>
      </c>
      <c r="H665" s="498">
        <v>0</v>
      </c>
      <c r="I665" s="498">
        <v>301</v>
      </c>
      <c r="J665" s="498">
        <v>0</v>
      </c>
      <c r="K665" s="498">
        <v>301</v>
      </c>
      <c r="L665" s="668">
        <v>0</v>
      </c>
      <c r="M665" s="957">
        <v>0.93</v>
      </c>
      <c r="N665" s="653">
        <v>2</v>
      </c>
      <c r="O665" s="699" t="s">
        <v>5148</v>
      </c>
      <c r="P665" s="463" t="s">
        <v>1588</v>
      </c>
      <c r="Q665" s="852">
        <v>0</v>
      </c>
      <c r="R665" s="852">
        <v>0</v>
      </c>
      <c r="S665" s="852">
        <v>0</v>
      </c>
      <c r="T665" s="852">
        <v>0</v>
      </c>
      <c r="U665" s="462" t="s">
        <v>7468</v>
      </c>
      <c r="V665" s="527" t="s">
        <v>5149</v>
      </c>
      <c r="W665" s="653">
        <v>935</v>
      </c>
      <c r="X665" s="462" t="s">
        <v>2193</v>
      </c>
      <c r="Y665" s="462"/>
      <c r="Z665" s="462"/>
      <c r="AA665" s="462"/>
      <c r="AB665" s="467" t="s">
        <v>1596</v>
      </c>
    </row>
    <row r="666" spans="1:28" ht="24" customHeight="1">
      <c r="A666" s="584"/>
      <c r="B666" s="460" t="s">
        <v>3837</v>
      </c>
      <c r="C666" s="458" t="s">
        <v>5150</v>
      </c>
      <c r="D666" s="510" t="s">
        <v>5151</v>
      </c>
      <c r="E666" s="498">
        <v>74</v>
      </c>
      <c r="F666" s="498">
        <v>0</v>
      </c>
      <c r="G666" s="498">
        <v>74</v>
      </c>
      <c r="H666" s="498">
        <v>0</v>
      </c>
      <c r="I666" s="498">
        <v>65.45</v>
      </c>
      <c r="J666" s="498">
        <v>0</v>
      </c>
      <c r="K666" s="498">
        <v>65.45</v>
      </c>
      <c r="L666" s="668">
        <v>0</v>
      </c>
      <c r="M666" s="956">
        <v>0.87</v>
      </c>
      <c r="N666" s="653">
        <v>3</v>
      </c>
      <c r="O666" s="669" t="s">
        <v>5152</v>
      </c>
      <c r="P666" s="463" t="s">
        <v>1588</v>
      </c>
      <c r="Q666" s="852">
        <v>0</v>
      </c>
      <c r="R666" s="852">
        <v>0</v>
      </c>
      <c r="S666" s="852">
        <v>0</v>
      </c>
      <c r="T666" s="852">
        <v>0</v>
      </c>
      <c r="U666" s="463" t="s">
        <v>7469</v>
      </c>
      <c r="V666" s="463" t="s">
        <v>5153</v>
      </c>
      <c r="W666" s="498">
        <v>544</v>
      </c>
      <c r="X666" s="463" t="s">
        <v>2247</v>
      </c>
      <c r="Y666" s="463" t="s">
        <v>5154</v>
      </c>
      <c r="Z666" s="463" t="s">
        <v>5155</v>
      </c>
      <c r="AA666" s="463" t="s">
        <v>680</v>
      </c>
      <c r="AB666" s="467" t="s">
        <v>1596</v>
      </c>
    </row>
    <row r="667" spans="1:28" ht="24" customHeight="1">
      <c r="A667" s="584"/>
      <c r="B667" s="460" t="s">
        <v>3837</v>
      </c>
      <c r="C667" s="458" t="s">
        <v>5156</v>
      </c>
      <c r="D667" s="510" t="s">
        <v>5151</v>
      </c>
      <c r="E667" s="498">
        <v>23</v>
      </c>
      <c r="F667" s="498">
        <v>0</v>
      </c>
      <c r="G667" s="498">
        <v>23</v>
      </c>
      <c r="H667" s="498">
        <v>0</v>
      </c>
      <c r="I667" s="498">
        <v>21.45</v>
      </c>
      <c r="J667" s="498">
        <v>0</v>
      </c>
      <c r="K667" s="498">
        <v>21.45</v>
      </c>
      <c r="L667" s="668">
        <v>0</v>
      </c>
      <c r="M667" s="956">
        <v>0.87</v>
      </c>
      <c r="N667" s="653">
        <v>3</v>
      </c>
      <c r="O667" s="669" t="s">
        <v>5152</v>
      </c>
      <c r="P667" s="463" t="s">
        <v>1588</v>
      </c>
      <c r="Q667" s="852">
        <v>0</v>
      </c>
      <c r="R667" s="852">
        <v>0</v>
      </c>
      <c r="S667" s="852">
        <v>0</v>
      </c>
      <c r="T667" s="852">
        <v>0</v>
      </c>
      <c r="U667" s="463" t="s">
        <v>7469</v>
      </c>
      <c r="V667" s="463" t="s">
        <v>5157</v>
      </c>
      <c r="W667" s="498">
        <v>133</v>
      </c>
      <c r="X667" s="463" t="s">
        <v>2247</v>
      </c>
      <c r="Y667" s="463" t="s">
        <v>5154</v>
      </c>
      <c r="Z667" s="463" t="s">
        <v>5155</v>
      </c>
      <c r="AA667" s="463" t="s">
        <v>680</v>
      </c>
      <c r="AB667" s="467" t="s">
        <v>1596</v>
      </c>
    </row>
    <row r="668" spans="1:28" ht="24" customHeight="1">
      <c r="A668" s="584"/>
      <c r="B668" s="460" t="s">
        <v>3837</v>
      </c>
      <c r="C668" s="458" t="s">
        <v>5158</v>
      </c>
      <c r="D668" s="510" t="s">
        <v>5159</v>
      </c>
      <c r="E668" s="498">
        <v>30</v>
      </c>
      <c r="F668" s="498">
        <v>0</v>
      </c>
      <c r="G668" s="498">
        <v>30</v>
      </c>
      <c r="H668" s="498">
        <v>0</v>
      </c>
      <c r="I668" s="498">
        <v>28.45</v>
      </c>
      <c r="J668" s="498">
        <v>0</v>
      </c>
      <c r="K668" s="498">
        <v>28.45</v>
      </c>
      <c r="L668" s="668">
        <v>0</v>
      </c>
      <c r="M668" s="956">
        <v>0.91</v>
      </c>
      <c r="N668" s="653">
        <v>2</v>
      </c>
      <c r="O668" s="669" t="s">
        <v>5152</v>
      </c>
      <c r="P668" s="463" t="s">
        <v>1588</v>
      </c>
      <c r="Q668" s="852">
        <v>0</v>
      </c>
      <c r="R668" s="852">
        <v>0</v>
      </c>
      <c r="S668" s="852">
        <v>0</v>
      </c>
      <c r="T668" s="852">
        <v>0</v>
      </c>
      <c r="U668" s="463" t="s">
        <v>7469</v>
      </c>
      <c r="V668" s="463" t="s">
        <v>5157</v>
      </c>
      <c r="W668" s="498">
        <v>123</v>
      </c>
      <c r="X668" s="463" t="s">
        <v>2247</v>
      </c>
      <c r="Y668" s="463" t="s">
        <v>5154</v>
      </c>
      <c r="Z668" s="463"/>
      <c r="AA668" s="463" t="s">
        <v>5160</v>
      </c>
      <c r="AB668" s="467" t="s">
        <v>1596</v>
      </c>
    </row>
    <row r="669" spans="1:28" ht="24" customHeight="1">
      <c r="A669" s="584"/>
      <c r="B669" s="460" t="s">
        <v>3837</v>
      </c>
      <c r="C669" s="458" t="s">
        <v>5161</v>
      </c>
      <c r="D669" s="510" t="s">
        <v>5162</v>
      </c>
      <c r="E669" s="498">
        <v>30</v>
      </c>
      <c r="F669" s="498">
        <v>0</v>
      </c>
      <c r="G669" s="498">
        <v>30</v>
      </c>
      <c r="H669" s="498">
        <v>0</v>
      </c>
      <c r="I669" s="498">
        <v>24.45</v>
      </c>
      <c r="J669" s="498">
        <v>0</v>
      </c>
      <c r="K669" s="498">
        <v>24.45</v>
      </c>
      <c r="L669" s="668">
        <v>0</v>
      </c>
      <c r="M669" s="956">
        <v>0.91</v>
      </c>
      <c r="N669" s="653">
        <v>3</v>
      </c>
      <c r="O669" s="669" t="s">
        <v>5152</v>
      </c>
      <c r="P669" s="463" t="s">
        <v>1588</v>
      </c>
      <c r="Q669" s="852">
        <v>0</v>
      </c>
      <c r="R669" s="852">
        <v>0</v>
      </c>
      <c r="S669" s="852">
        <v>0</v>
      </c>
      <c r="T669" s="852">
        <v>0</v>
      </c>
      <c r="U669" s="463" t="s">
        <v>7469</v>
      </c>
      <c r="V669" s="463" t="s">
        <v>5163</v>
      </c>
      <c r="W669" s="498">
        <v>144</v>
      </c>
      <c r="X669" s="463" t="s">
        <v>2247</v>
      </c>
      <c r="Y669" s="463" t="s">
        <v>5154</v>
      </c>
      <c r="Z669" s="463"/>
      <c r="AA669" s="463" t="s">
        <v>5164</v>
      </c>
      <c r="AB669" s="467" t="s">
        <v>1596</v>
      </c>
    </row>
    <row r="670" spans="1:28" ht="24" customHeight="1">
      <c r="A670" s="584"/>
      <c r="B670" s="460" t="s">
        <v>3837</v>
      </c>
      <c r="C670" s="458" t="s">
        <v>5165</v>
      </c>
      <c r="D670" s="510" t="s">
        <v>5166</v>
      </c>
      <c r="E670" s="498">
        <v>34</v>
      </c>
      <c r="F670" s="498">
        <v>0</v>
      </c>
      <c r="G670" s="498">
        <v>34</v>
      </c>
      <c r="H670" s="498">
        <v>0</v>
      </c>
      <c r="I670" s="498">
        <v>30.25</v>
      </c>
      <c r="J670" s="498">
        <v>0</v>
      </c>
      <c r="K670" s="498">
        <v>30.25</v>
      </c>
      <c r="L670" s="668">
        <v>0</v>
      </c>
      <c r="M670" s="956">
        <v>0.93</v>
      </c>
      <c r="N670" s="653">
        <v>2</v>
      </c>
      <c r="O670" s="669" t="s">
        <v>5152</v>
      </c>
      <c r="P670" s="463" t="s">
        <v>1588</v>
      </c>
      <c r="Q670" s="852">
        <v>0</v>
      </c>
      <c r="R670" s="852">
        <v>0</v>
      </c>
      <c r="S670" s="852">
        <v>0</v>
      </c>
      <c r="T670" s="852">
        <v>0</v>
      </c>
      <c r="U670" s="463" t="s">
        <v>7469</v>
      </c>
      <c r="V670" s="463" t="s">
        <v>5157</v>
      </c>
      <c r="W670" s="498">
        <v>138</v>
      </c>
      <c r="X670" s="463" t="s">
        <v>2247</v>
      </c>
      <c r="Y670" s="463" t="s">
        <v>5154</v>
      </c>
      <c r="Z670" s="463"/>
      <c r="AA670" s="463" t="s">
        <v>5167</v>
      </c>
      <c r="AB670" s="467" t="s">
        <v>1596</v>
      </c>
    </row>
    <row r="671" spans="1:28" ht="24" customHeight="1">
      <c r="A671" s="584"/>
      <c r="B671" s="460" t="s">
        <v>3837</v>
      </c>
      <c r="C671" s="458" t="s">
        <v>5168</v>
      </c>
      <c r="D671" s="510" t="s">
        <v>5169</v>
      </c>
      <c r="E671" s="498">
        <v>28</v>
      </c>
      <c r="F671" s="498">
        <v>0</v>
      </c>
      <c r="G671" s="498">
        <v>28</v>
      </c>
      <c r="H671" s="498">
        <v>0</v>
      </c>
      <c r="I671" s="498">
        <v>25.3</v>
      </c>
      <c r="J671" s="498">
        <v>0</v>
      </c>
      <c r="K671" s="498">
        <v>25.3</v>
      </c>
      <c r="L671" s="668">
        <v>0</v>
      </c>
      <c r="M671" s="956">
        <v>0.9</v>
      </c>
      <c r="N671" s="653">
        <v>2</v>
      </c>
      <c r="O671" s="669" t="s">
        <v>5152</v>
      </c>
      <c r="P671" s="463" t="s">
        <v>1588</v>
      </c>
      <c r="Q671" s="852">
        <v>0</v>
      </c>
      <c r="R671" s="852">
        <v>0</v>
      </c>
      <c r="S671" s="852">
        <v>0</v>
      </c>
      <c r="T671" s="852">
        <v>0</v>
      </c>
      <c r="U671" s="463" t="s">
        <v>7469</v>
      </c>
      <c r="V671" s="463" t="s">
        <v>5157</v>
      </c>
      <c r="W671" s="498">
        <v>156</v>
      </c>
      <c r="X671" s="463" t="s">
        <v>2247</v>
      </c>
      <c r="Y671" s="463" t="s">
        <v>5154</v>
      </c>
      <c r="Z671" s="463"/>
      <c r="AA671" s="463" t="s">
        <v>5164</v>
      </c>
      <c r="AB671" s="467" t="s">
        <v>1596</v>
      </c>
    </row>
    <row r="672" spans="1:28" ht="24" customHeight="1">
      <c r="A672" s="584"/>
      <c r="B672" s="460" t="s">
        <v>3837</v>
      </c>
      <c r="C672" s="458" t="s">
        <v>5170</v>
      </c>
      <c r="D672" s="510" t="s">
        <v>5171</v>
      </c>
      <c r="E672" s="498">
        <v>150</v>
      </c>
      <c r="F672" s="498">
        <v>0</v>
      </c>
      <c r="G672" s="498">
        <v>150</v>
      </c>
      <c r="H672" s="498">
        <v>0</v>
      </c>
      <c r="I672" s="498">
        <v>100</v>
      </c>
      <c r="J672" s="498">
        <v>0</v>
      </c>
      <c r="K672" s="498">
        <v>100</v>
      </c>
      <c r="L672" s="668">
        <v>0</v>
      </c>
      <c r="M672" s="956">
        <v>0.9</v>
      </c>
      <c r="N672" s="653">
        <v>2</v>
      </c>
      <c r="O672" s="669" t="s">
        <v>3412</v>
      </c>
      <c r="P672" s="463" t="s">
        <v>1588</v>
      </c>
      <c r="Q672" s="852">
        <v>0</v>
      </c>
      <c r="R672" s="852">
        <v>0</v>
      </c>
      <c r="S672" s="852">
        <v>0</v>
      </c>
      <c r="T672" s="852">
        <v>0</v>
      </c>
      <c r="U672" s="463" t="s">
        <v>7469</v>
      </c>
      <c r="V672" s="463" t="s">
        <v>2178</v>
      </c>
      <c r="W672" s="498">
        <v>1000</v>
      </c>
      <c r="X672" s="463" t="s">
        <v>2247</v>
      </c>
      <c r="Y672" s="463" t="s">
        <v>3161</v>
      </c>
      <c r="Z672" s="463"/>
      <c r="AA672" s="463"/>
      <c r="AB672" s="467" t="s">
        <v>1596</v>
      </c>
    </row>
    <row r="673" spans="1:28" ht="24" customHeight="1">
      <c r="A673" s="584"/>
      <c r="B673" s="460" t="s">
        <v>675</v>
      </c>
      <c r="C673" s="458" t="s">
        <v>5172</v>
      </c>
      <c r="D673" s="510" t="s">
        <v>5173</v>
      </c>
      <c r="E673" s="498">
        <v>100</v>
      </c>
      <c r="F673" s="498">
        <v>0</v>
      </c>
      <c r="G673" s="498">
        <v>100</v>
      </c>
      <c r="H673" s="498">
        <v>0</v>
      </c>
      <c r="I673" s="498">
        <v>63.8</v>
      </c>
      <c r="J673" s="498">
        <v>0</v>
      </c>
      <c r="K673" s="498">
        <v>63.8</v>
      </c>
      <c r="L673" s="668">
        <v>0</v>
      </c>
      <c r="M673" s="956">
        <v>0.93</v>
      </c>
      <c r="N673" s="653">
        <v>2</v>
      </c>
      <c r="O673" s="669" t="s">
        <v>5174</v>
      </c>
      <c r="P673" s="462" t="s">
        <v>1588</v>
      </c>
      <c r="Q673" s="854">
        <v>0</v>
      </c>
      <c r="R673" s="854">
        <v>0</v>
      </c>
      <c r="S673" s="854">
        <v>0</v>
      </c>
      <c r="T673" s="854">
        <v>0</v>
      </c>
      <c r="U673" s="462" t="s">
        <v>7470</v>
      </c>
      <c r="V673" s="462" t="s">
        <v>5175</v>
      </c>
      <c r="W673" s="653">
        <v>400</v>
      </c>
      <c r="X673" s="462" t="s">
        <v>2193</v>
      </c>
      <c r="Y673" s="462" t="s">
        <v>4034</v>
      </c>
      <c r="Z673" s="462" t="s">
        <v>1644</v>
      </c>
      <c r="AA673" s="462" t="s">
        <v>1643</v>
      </c>
      <c r="AB673" s="467" t="s">
        <v>1596</v>
      </c>
    </row>
    <row r="674" spans="1:28" ht="24" customHeight="1">
      <c r="A674" s="594"/>
      <c r="B674" s="521" t="s">
        <v>675</v>
      </c>
      <c r="C674" s="522" t="s">
        <v>2342</v>
      </c>
      <c r="D674" s="524" t="s">
        <v>5176</v>
      </c>
      <c r="E674" s="653">
        <v>700</v>
      </c>
      <c r="F674" s="498">
        <v>0</v>
      </c>
      <c r="G674" s="653">
        <v>700</v>
      </c>
      <c r="H674" s="498">
        <v>0</v>
      </c>
      <c r="I674" s="498">
        <v>680</v>
      </c>
      <c r="J674" s="498">
        <v>0</v>
      </c>
      <c r="K674" s="498">
        <v>680</v>
      </c>
      <c r="L674" s="668">
        <v>0</v>
      </c>
      <c r="M674" s="957">
        <v>0.9</v>
      </c>
      <c r="N674" s="653">
        <v>17</v>
      </c>
      <c r="O674" s="699" t="s">
        <v>5177</v>
      </c>
      <c r="P674" s="463" t="s">
        <v>1588</v>
      </c>
      <c r="Q674" s="852">
        <v>0</v>
      </c>
      <c r="R674" s="852">
        <v>0</v>
      </c>
      <c r="S674" s="852">
        <v>0</v>
      </c>
      <c r="T674" s="852">
        <v>0</v>
      </c>
      <c r="U674" s="462" t="s">
        <v>7466</v>
      </c>
      <c r="V674" s="462" t="s">
        <v>5178</v>
      </c>
      <c r="W674" s="653">
        <v>3000</v>
      </c>
      <c r="X674" s="462" t="s">
        <v>2276</v>
      </c>
      <c r="Y674" s="462" t="s">
        <v>5006</v>
      </c>
      <c r="Z674" s="462"/>
      <c r="AA674" s="462" t="s">
        <v>5179</v>
      </c>
      <c r="AB674" s="467" t="s">
        <v>1596</v>
      </c>
    </row>
    <row r="675" spans="1:28" ht="24" customHeight="1">
      <c r="A675" s="584"/>
      <c r="B675" s="460" t="s">
        <v>675</v>
      </c>
      <c r="C675" s="458" t="s">
        <v>5180</v>
      </c>
      <c r="D675" s="510" t="s">
        <v>5181</v>
      </c>
      <c r="E675" s="498">
        <v>102</v>
      </c>
      <c r="F675" s="498">
        <v>0</v>
      </c>
      <c r="G675" s="498">
        <v>102</v>
      </c>
      <c r="H675" s="498">
        <v>0</v>
      </c>
      <c r="I675" s="498">
        <v>52</v>
      </c>
      <c r="J675" s="498">
        <v>0</v>
      </c>
      <c r="K675" s="498">
        <v>52</v>
      </c>
      <c r="L675" s="668">
        <v>0</v>
      </c>
      <c r="M675" s="956">
        <v>0.9</v>
      </c>
      <c r="N675" s="653">
        <v>2</v>
      </c>
      <c r="O675" s="669" t="s">
        <v>5182</v>
      </c>
      <c r="P675" s="463" t="s">
        <v>1588</v>
      </c>
      <c r="Q675" s="852">
        <v>0</v>
      </c>
      <c r="R675" s="852">
        <v>0</v>
      </c>
      <c r="S675" s="852">
        <v>0</v>
      </c>
      <c r="T675" s="852">
        <v>0</v>
      </c>
      <c r="U675" s="463" t="s">
        <v>7470</v>
      </c>
      <c r="V675" s="463">
        <v>2002.08</v>
      </c>
      <c r="W675" s="498">
        <v>400</v>
      </c>
      <c r="X675" s="463" t="s">
        <v>2193</v>
      </c>
      <c r="Y675" s="463" t="s">
        <v>4034</v>
      </c>
      <c r="Z675" s="463" t="s">
        <v>5183</v>
      </c>
      <c r="AA675" s="462" t="s">
        <v>5183</v>
      </c>
      <c r="AB675" s="467" t="s">
        <v>1596</v>
      </c>
    </row>
    <row r="676" spans="1:28" ht="24" customHeight="1">
      <c r="A676" s="582" t="s">
        <v>1645</v>
      </c>
      <c r="B676" s="460" t="s">
        <v>2201</v>
      </c>
      <c r="C676" s="458" t="s">
        <v>2407</v>
      </c>
      <c r="D676" s="510" t="s">
        <v>5184</v>
      </c>
      <c r="E676" s="498">
        <f>F676+G676+H676</f>
        <v>36000</v>
      </c>
      <c r="F676" s="498">
        <v>0</v>
      </c>
      <c r="G676" s="653">
        <v>36000</v>
      </c>
      <c r="H676" s="498">
        <v>0</v>
      </c>
      <c r="I676" s="498">
        <f>J676+K676+L676</f>
        <v>36788</v>
      </c>
      <c r="J676" s="498">
        <v>0</v>
      </c>
      <c r="K676" s="653">
        <v>36788</v>
      </c>
      <c r="L676" s="668">
        <v>0</v>
      </c>
      <c r="M676" s="957">
        <v>0.97796143250688705</v>
      </c>
      <c r="N676" s="653">
        <v>3917.922</v>
      </c>
      <c r="O676" s="669" t="s">
        <v>1535</v>
      </c>
      <c r="P676" s="463" t="s">
        <v>1588</v>
      </c>
      <c r="Q676" s="852">
        <v>364</v>
      </c>
      <c r="R676" s="852">
        <v>156</v>
      </c>
      <c r="S676" s="852">
        <v>106</v>
      </c>
      <c r="T676" s="852">
        <v>50</v>
      </c>
      <c r="U676" s="463" t="s">
        <v>7471</v>
      </c>
      <c r="V676" s="622" t="s">
        <v>5185</v>
      </c>
      <c r="W676" s="498">
        <v>29216</v>
      </c>
      <c r="X676" s="463" t="s">
        <v>2199</v>
      </c>
      <c r="Y676" s="463" t="s">
        <v>4034</v>
      </c>
      <c r="Z676" s="463" t="s">
        <v>1646</v>
      </c>
      <c r="AA676" s="463" t="s">
        <v>1646</v>
      </c>
      <c r="AB676" s="459" t="s">
        <v>1596</v>
      </c>
    </row>
    <row r="677" spans="1:28" ht="24" customHeight="1">
      <c r="A677" s="584"/>
      <c r="B677" s="460" t="s">
        <v>675</v>
      </c>
      <c r="C677" s="458" t="s">
        <v>5186</v>
      </c>
      <c r="D677" s="510" t="s">
        <v>5187</v>
      </c>
      <c r="E677" s="498">
        <v>50</v>
      </c>
      <c r="F677" s="498">
        <v>0</v>
      </c>
      <c r="G677" s="653">
        <v>50</v>
      </c>
      <c r="H677" s="498">
        <v>0</v>
      </c>
      <c r="I677" s="498">
        <v>45</v>
      </c>
      <c r="J677" s="498">
        <v>0</v>
      </c>
      <c r="K677" s="653">
        <v>45</v>
      </c>
      <c r="L677" s="668">
        <v>0</v>
      </c>
      <c r="M677" s="956">
        <v>0.9</v>
      </c>
      <c r="N677" s="653">
        <v>16</v>
      </c>
      <c r="O677" s="669" t="s">
        <v>3298</v>
      </c>
      <c r="P677" s="463" t="s">
        <v>1588</v>
      </c>
      <c r="Q677" s="852">
        <v>0</v>
      </c>
      <c r="R677" s="852">
        <v>0</v>
      </c>
      <c r="S677" s="852">
        <v>0</v>
      </c>
      <c r="T677" s="852">
        <v>0</v>
      </c>
      <c r="U677" s="463"/>
      <c r="V677" s="458" t="s">
        <v>5188</v>
      </c>
      <c r="W677" s="498">
        <v>219</v>
      </c>
      <c r="X677" s="463" t="s">
        <v>2199</v>
      </c>
      <c r="Y677" s="463"/>
      <c r="Z677" s="463" t="s">
        <v>5189</v>
      </c>
      <c r="AA677" s="463" t="s">
        <v>1669</v>
      </c>
      <c r="AB677" s="459" t="s">
        <v>1596</v>
      </c>
    </row>
    <row r="678" spans="1:28" ht="24" customHeight="1">
      <c r="A678" s="584"/>
      <c r="B678" s="460" t="s">
        <v>675</v>
      </c>
      <c r="C678" s="458" t="s">
        <v>5190</v>
      </c>
      <c r="D678" s="510" t="s">
        <v>5191</v>
      </c>
      <c r="E678" s="498">
        <v>23</v>
      </c>
      <c r="F678" s="498">
        <v>0</v>
      </c>
      <c r="G678" s="653">
        <v>23</v>
      </c>
      <c r="H678" s="498">
        <v>0</v>
      </c>
      <c r="I678" s="498">
        <v>20</v>
      </c>
      <c r="J678" s="498">
        <v>0</v>
      </c>
      <c r="K678" s="653">
        <v>20</v>
      </c>
      <c r="L678" s="668">
        <v>0</v>
      </c>
      <c r="M678" s="956">
        <v>0.86900000000000011</v>
      </c>
      <c r="N678" s="653">
        <v>4</v>
      </c>
      <c r="O678" s="669" t="s">
        <v>3298</v>
      </c>
      <c r="P678" s="463" t="s">
        <v>1588</v>
      </c>
      <c r="Q678" s="852">
        <v>0</v>
      </c>
      <c r="R678" s="852">
        <v>0</v>
      </c>
      <c r="S678" s="852">
        <v>0</v>
      </c>
      <c r="T678" s="852">
        <v>0</v>
      </c>
      <c r="U678" s="463"/>
      <c r="V678" s="458" t="s">
        <v>2025</v>
      </c>
      <c r="W678" s="498">
        <v>177</v>
      </c>
      <c r="X678" s="463" t="s">
        <v>2199</v>
      </c>
      <c r="Y678" s="463" t="s">
        <v>3161</v>
      </c>
      <c r="Z678" s="463" t="s">
        <v>5192</v>
      </c>
      <c r="AA678" s="463" t="s">
        <v>1669</v>
      </c>
      <c r="AB678" s="459" t="s">
        <v>1596</v>
      </c>
    </row>
    <row r="679" spans="1:28" ht="24" customHeight="1">
      <c r="A679" s="584"/>
      <c r="B679" s="460" t="s">
        <v>675</v>
      </c>
      <c r="C679" s="458" t="s">
        <v>5193</v>
      </c>
      <c r="D679" s="510" t="s">
        <v>5194</v>
      </c>
      <c r="E679" s="498">
        <v>80</v>
      </c>
      <c r="F679" s="498">
        <v>0</v>
      </c>
      <c r="G679" s="653">
        <v>80</v>
      </c>
      <c r="H679" s="498">
        <v>0</v>
      </c>
      <c r="I679" s="498">
        <v>70</v>
      </c>
      <c r="J679" s="498">
        <v>0</v>
      </c>
      <c r="K679" s="653">
        <v>70</v>
      </c>
      <c r="L679" s="668">
        <v>0</v>
      </c>
      <c r="M679" s="956">
        <v>0.875</v>
      </c>
      <c r="N679" s="653">
        <v>39</v>
      </c>
      <c r="O679" s="669" t="s">
        <v>3298</v>
      </c>
      <c r="P679" s="463" t="s">
        <v>1588</v>
      </c>
      <c r="Q679" s="852">
        <v>0</v>
      </c>
      <c r="R679" s="852">
        <v>0</v>
      </c>
      <c r="S679" s="852">
        <v>0</v>
      </c>
      <c r="T679" s="852">
        <v>0</v>
      </c>
      <c r="U679" s="463"/>
      <c r="V679" s="458" t="s">
        <v>2028</v>
      </c>
      <c r="W679" s="498">
        <v>400</v>
      </c>
      <c r="X679" s="463" t="s">
        <v>2199</v>
      </c>
      <c r="Y679" s="463" t="s">
        <v>3161</v>
      </c>
      <c r="Z679" s="463" t="s">
        <v>1647</v>
      </c>
      <c r="AA679" s="463" t="s">
        <v>1820</v>
      </c>
      <c r="AB679" s="459" t="s">
        <v>1596</v>
      </c>
    </row>
    <row r="680" spans="1:28" ht="24" customHeight="1">
      <c r="A680" s="584"/>
      <c r="B680" s="460" t="s">
        <v>675</v>
      </c>
      <c r="C680" s="458" t="s">
        <v>5195</v>
      </c>
      <c r="D680" s="510" t="s">
        <v>5196</v>
      </c>
      <c r="E680" s="498">
        <v>60</v>
      </c>
      <c r="F680" s="498">
        <v>0</v>
      </c>
      <c r="G680" s="498">
        <v>0</v>
      </c>
      <c r="H680" s="498">
        <v>60</v>
      </c>
      <c r="I680" s="498">
        <v>50</v>
      </c>
      <c r="J680" s="498">
        <v>0</v>
      </c>
      <c r="K680" s="498">
        <v>0</v>
      </c>
      <c r="L680" s="668">
        <v>50</v>
      </c>
      <c r="M680" s="956">
        <v>0.83299999999999996</v>
      </c>
      <c r="N680" s="653">
        <v>24</v>
      </c>
      <c r="O680" s="669" t="s">
        <v>2285</v>
      </c>
      <c r="P680" s="463" t="s">
        <v>1588</v>
      </c>
      <c r="Q680" s="852">
        <v>0</v>
      </c>
      <c r="R680" s="852">
        <v>0</v>
      </c>
      <c r="S680" s="852">
        <v>0</v>
      </c>
      <c r="T680" s="852">
        <v>0</v>
      </c>
      <c r="U680" s="463"/>
      <c r="V680" s="458" t="s">
        <v>5197</v>
      </c>
      <c r="W680" s="498">
        <v>600</v>
      </c>
      <c r="X680" s="463" t="s">
        <v>2199</v>
      </c>
      <c r="Y680" s="463"/>
      <c r="Z680" s="463" t="s">
        <v>1647</v>
      </c>
      <c r="AA680" s="463" t="s">
        <v>1820</v>
      </c>
      <c r="AB680" s="459" t="s">
        <v>1596</v>
      </c>
    </row>
    <row r="681" spans="1:28" ht="24" customHeight="1">
      <c r="A681" s="584"/>
      <c r="B681" s="460" t="s">
        <v>675</v>
      </c>
      <c r="C681" s="458" t="s">
        <v>5198</v>
      </c>
      <c r="D681" s="510" t="s">
        <v>5199</v>
      </c>
      <c r="E681" s="498">
        <v>90</v>
      </c>
      <c r="F681" s="498">
        <v>0</v>
      </c>
      <c r="G681" s="498">
        <v>0</v>
      </c>
      <c r="H681" s="498">
        <v>90</v>
      </c>
      <c r="I681" s="498">
        <v>75</v>
      </c>
      <c r="J681" s="498">
        <v>0</v>
      </c>
      <c r="K681" s="498">
        <v>0</v>
      </c>
      <c r="L681" s="668">
        <v>75</v>
      </c>
      <c r="M681" s="956">
        <v>0.83299999999999996</v>
      </c>
      <c r="N681" s="653">
        <v>48</v>
      </c>
      <c r="O681" s="669" t="s">
        <v>2285</v>
      </c>
      <c r="P681" s="463" t="s">
        <v>1588</v>
      </c>
      <c r="Q681" s="852">
        <v>0</v>
      </c>
      <c r="R681" s="852">
        <v>0</v>
      </c>
      <c r="S681" s="852">
        <v>0</v>
      </c>
      <c r="T681" s="852">
        <v>0</v>
      </c>
      <c r="U681" s="463"/>
      <c r="V681" s="458" t="s">
        <v>5200</v>
      </c>
      <c r="W681" s="498">
        <v>852</v>
      </c>
      <c r="X681" s="463" t="s">
        <v>2199</v>
      </c>
      <c r="Y681" s="463" t="s">
        <v>3161</v>
      </c>
      <c r="Z681" s="463" t="s">
        <v>1648</v>
      </c>
      <c r="AA681" s="463" t="s">
        <v>1669</v>
      </c>
      <c r="AB681" s="459" t="s">
        <v>1596</v>
      </c>
    </row>
    <row r="682" spans="1:28" ht="24" customHeight="1">
      <c r="A682" s="584"/>
      <c r="B682" s="460" t="s">
        <v>675</v>
      </c>
      <c r="C682" s="458" t="s">
        <v>5201</v>
      </c>
      <c r="D682" s="510" t="s">
        <v>5202</v>
      </c>
      <c r="E682" s="498">
        <v>50</v>
      </c>
      <c r="F682" s="498">
        <v>0</v>
      </c>
      <c r="G682" s="498">
        <v>0</v>
      </c>
      <c r="H682" s="498">
        <v>50</v>
      </c>
      <c r="I682" s="498">
        <v>40</v>
      </c>
      <c r="J682" s="498">
        <v>0</v>
      </c>
      <c r="K682" s="498">
        <v>0</v>
      </c>
      <c r="L682" s="668">
        <v>40</v>
      </c>
      <c r="M682" s="956">
        <v>0.8</v>
      </c>
      <c r="N682" s="653">
        <v>13</v>
      </c>
      <c r="O682" s="669" t="s">
        <v>2285</v>
      </c>
      <c r="P682" s="463" t="s">
        <v>1588</v>
      </c>
      <c r="Q682" s="852">
        <v>0</v>
      </c>
      <c r="R682" s="852">
        <v>0</v>
      </c>
      <c r="S682" s="852">
        <v>0</v>
      </c>
      <c r="T682" s="852">
        <v>0</v>
      </c>
      <c r="U682" s="463"/>
      <c r="V682" s="458" t="s">
        <v>5200</v>
      </c>
      <c r="W682" s="498">
        <v>495</v>
      </c>
      <c r="X682" s="463" t="s">
        <v>2199</v>
      </c>
      <c r="Y682" s="463" t="s">
        <v>3161</v>
      </c>
      <c r="Z682" s="463" t="s">
        <v>1646</v>
      </c>
      <c r="AA682" s="463" t="s">
        <v>1669</v>
      </c>
      <c r="AB682" s="459" t="s">
        <v>1596</v>
      </c>
    </row>
    <row r="683" spans="1:28" ht="24" customHeight="1">
      <c r="A683" s="582" t="s">
        <v>1649</v>
      </c>
      <c r="B683" s="460" t="s">
        <v>2201</v>
      </c>
      <c r="C683" s="458" t="s">
        <v>2173</v>
      </c>
      <c r="D683" s="510" t="s">
        <v>5203</v>
      </c>
      <c r="E683" s="498">
        <f>SUM(F683:H683)</f>
        <v>30000</v>
      </c>
      <c r="F683" s="498">
        <v>0</v>
      </c>
      <c r="G683" s="498">
        <v>30000</v>
      </c>
      <c r="H683" s="498">
        <v>0</v>
      </c>
      <c r="I683" s="498">
        <f>SUM(J683:L683)</f>
        <v>37309</v>
      </c>
      <c r="J683" s="498">
        <v>0</v>
      </c>
      <c r="K683" s="498">
        <v>37309</v>
      </c>
      <c r="L683" s="668">
        <v>0</v>
      </c>
      <c r="M683" s="957">
        <v>0.92612137203166234</v>
      </c>
      <c r="N683" s="653">
        <v>5238.1835999999994</v>
      </c>
      <c r="O683" s="669" t="s">
        <v>1535</v>
      </c>
      <c r="P683" s="463" t="s">
        <v>1588</v>
      </c>
      <c r="Q683" s="852">
        <v>68.900000000000006</v>
      </c>
      <c r="R683" s="852">
        <v>0</v>
      </c>
      <c r="S683" s="852">
        <v>119.4</v>
      </c>
      <c r="T683" s="852">
        <v>18.600000000000001</v>
      </c>
      <c r="U683" s="463" t="s">
        <v>7472</v>
      </c>
      <c r="V683" s="463" t="s">
        <v>5204</v>
      </c>
      <c r="W683" s="498">
        <v>37452</v>
      </c>
      <c r="X683" s="463" t="s">
        <v>3205</v>
      </c>
      <c r="Y683" s="463"/>
      <c r="Z683" s="463"/>
      <c r="AA683" s="463"/>
      <c r="AB683" s="459"/>
    </row>
    <row r="684" spans="1:28" ht="24" customHeight="1">
      <c r="A684" s="584"/>
      <c r="B684" s="460" t="s">
        <v>2201</v>
      </c>
      <c r="C684" s="458" t="s">
        <v>5205</v>
      </c>
      <c r="D684" s="510" t="s">
        <v>5206</v>
      </c>
      <c r="E684" s="498">
        <f t="shared" ref="E684:E690" si="53">SUM(F684:H684)</f>
        <v>600</v>
      </c>
      <c r="F684" s="498">
        <v>0</v>
      </c>
      <c r="G684" s="498">
        <v>0</v>
      </c>
      <c r="H684" s="498">
        <v>600</v>
      </c>
      <c r="I684" s="498">
        <f t="shared" ref="I684:I690" si="54">SUM(J684:L684)</f>
        <v>190</v>
      </c>
      <c r="J684" s="498">
        <v>0</v>
      </c>
      <c r="K684" s="498">
        <v>0</v>
      </c>
      <c r="L684" s="668">
        <v>190</v>
      </c>
      <c r="M684" s="956">
        <v>0.92747784045124904</v>
      </c>
      <c r="N684" s="653">
        <v>21.869</v>
      </c>
      <c r="O684" s="669" t="s">
        <v>3274</v>
      </c>
      <c r="P684" s="463" t="s">
        <v>1588</v>
      </c>
      <c r="Q684" s="852">
        <v>0</v>
      </c>
      <c r="R684" s="852">
        <v>0</v>
      </c>
      <c r="S684" s="852">
        <v>0</v>
      </c>
      <c r="T684" s="852">
        <v>0</v>
      </c>
      <c r="U684" s="463" t="s">
        <v>7472</v>
      </c>
      <c r="V684" s="463" t="s">
        <v>5207</v>
      </c>
      <c r="W684" s="1803">
        <v>6308</v>
      </c>
      <c r="X684" s="463" t="s">
        <v>3205</v>
      </c>
      <c r="Y684" s="463"/>
      <c r="Z684" s="463"/>
      <c r="AA684" s="463"/>
      <c r="AB684" s="459"/>
    </row>
    <row r="685" spans="1:28" ht="24" customHeight="1">
      <c r="A685" s="584"/>
      <c r="B685" s="460" t="s">
        <v>2201</v>
      </c>
      <c r="C685" s="458" t="s">
        <v>5208</v>
      </c>
      <c r="D685" s="510" t="s">
        <v>5209</v>
      </c>
      <c r="E685" s="498">
        <f t="shared" si="53"/>
        <v>800</v>
      </c>
      <c r="F685" s="498">
        <v>0</v>
      </c>
      <c r="G685" s="498">
        <v>0</v>
      </c>
      <c r="H685" s="498">
        <v>800</v>
      </c>
      <c r="I685" s="498">
        <f t="shared" si="54"/>
        <v>378.3</v>
      </c>
      <c r="J685" s="498">
        <v>0</v>
      </c>
      <c r="K685" s="498">
        <v>0</v>
      </c>
      <c r="L685" s="668">
        <v>378.3</v>
      </c>
      <c r="M685" s="956">
        <v>0.97620180866254169</v>
      </c>
      <c r="N685" s="653">
        <v>77.589330000000004</v>
      </c>
      <c r="O685" s="669" t="s">
        <v>3274</v>
      </c>
      <c r="P685" s="463" t="s">
        <v>1588</v>
      </c>
      <c r="Q685" s="852">
        <v>0</v>
      </c>
      <c r="R685" s="852">
        <v>0</v>
      </c>
      <c r="S685" s="852">
        <v>0</v>
      </c>
      <c r="T685" s="852">
        <v>0</v>
      </c>
      <c r="U685" s="463" t="s">
        <v>7472</v>
      </c>
      <c r="V685" s="463" t="s">
        <v>5207</v>
      </c>
      <c r="W685" s="1803"/>
      <c r="X685" s="463" t="s">
        <v>3205</v>
      </c>
      <c r="Y685" s="463"/>
      <c r="Z685" s="463"/>
      <c r="AA685" s="463"/>
      <c r="AB685" s="459"/>
    </row>
    <row r="686" spans="1:28" ht="24" customHeight="1">
      <c r="A686" s="584"/>
      <c r="B686" s="460" t="s">
        <v>675</v>
      </c>
      <c r="C686" s="458" t="s">
        <v>5210</v>
      </c>
      <c r="D686" s="510" t="s">
        <v>5211</v>
      </c>
      <c r="E686" s="498">
        <f t="shared" si="53"/>
        <v>60</v>
      </c>
      <c r="F686" s="498">
        <v>0</v>
      </c>
      <c r="G686" s="498">
        <v>60</v>
      </c>
      <c r="H686" s="498">
        <v>0</v>
      </c>
      <c r="I686" s="498">
        <f t="shared" si="54"/>
        <v>0</v>
      </c>
      <c r="J686" s="498">
        <v>0</v>
      </c>
      <c r="K686" s="498">
        <v>0</v>
      </c>
      <c r="L686" s="668">
        <v>0</v>
      </c>
      <c r="M686" s="956">
        <v>9.2700000000000005E-3</v>
      </c>
      <c r="N686" s="653">
        <v>2.6849257200000003</v>
      </c>
      <c r="O686" s="669" t="s">
        <v>5212</v>
      </c>
      <c r="P686" s="463" t="s">
        <v>1588</v>
      </c>
      <c r="Q686" s="852">
        <v>0</v>
      </c>
      <c r="R686" s="852">
        <v>0</v>
      </c>
      <c r="S686" s="852">
        <v>0</v>
      </c>
      <c r="T686" s="852">
        <v>0</v>
      </c>
      <c r="U686" s="463" t="s">
        <v>7472</v>
      </c>
      <c r="V686" s="463" t="s">
        <v>5213</v>
      </c>
      <c r="W686" s="498">
        <v>93</v>
      </c>
      <c r="X686" s="463" t="s">
        <v>3205</v>
      </c>
      <c r="Y686" s="463"/>
      <c r="Z686" s="463"/>
      <c r="AA686" s="463"/>
      <c r="AB686" s="459"/>
    </row>
    <row r="687" spans="1:28" ht="24" customHeight="1">
      <c r="A687" s="584"/>
      <c r="B687" s="460" t="s">
        <v>675</v>
      </c>
      <c r="C687" s="458" t="s">
        <v>5214</v>
      </c>
      <c r="D687" s="510" t="s">
        <v>5215</v>
      </c>
      <c r="E687" s="498">
        <f t="shared" si="53"/>
        <v>45</v>
      </c>
      <c r="F687" s="498">
        <v>0</v>
      </c>
      <c r="G687" s="498">
        <v>0</v>
      </c>
      <c r="H687" s="498">
        <v>45</v>
      </c>
      <c r="I687" s="498">
        <f t="shared" si="54"/>
        <v>21.3</v>
      </c>
      <c r="J687" s="498">
        <v>0</v>
      </c>
      <c r="K687" s="498">
        <v>0</v>
      </c>
      <c r="L687" s="668">
        <v>21.3</v>
      </c>
      <c r="M687" s="956">
        <v>8.43E-3</v>
      </c>
      <c r="N687" s="653">
        <v>2.4416314799999999</v>
      </c>
      <c r="O687" s="669" t="s">
        <v>3412</v>
      </c>
      <c r="P687" s="463" t="s">
        <v>1588</v>
      </c>
      <c r="Q687" s="852">
        <v>0</v>
      </c>
      <c r="R687" s="852">
        <v>0</v>
      </c>
      <c r="S687" s="852">
        <v>0</v>
      </c>
      <c r="T687" s="852">
        <v>0</v>
      </c>
      <c r="U687" s="463" t="s">
        <v>7472</v>
      </c>
      <c r="V687" s="463" t="s">
        <v>5216</v>
      </c>
      <c r="W687" s="498">
        <v>244</v>
      </c>
      <c r="X687" s="463" t="s">
        <v>3205</v>
      </c>
      <c r="Y687" s="463"/>
      <c r="Z687" s="463"/>
      <c r="AA687" s="463"/>
      <c r="AB687" s="459"/>
    </row>
    <row r="688" spans="1:28" ht="24" customHeight="1">
      <c r="A688" s="584"/>
      <c r="B688" s="460" t="s">
        <v>675</v>
      </c>
      <c r="C688" s="458" t="s">
        <v>5217</v>
      </c>
      <c r="D688" s="510" t="s">
        <v>5218</v>
      </c>
      <c r="E688" s="498">
        <f t="shared" si="53"/>
        <v>40</v>
      </c>
      <c r="F688" s="498">
        <v>0</v>
      </c>
      <c r="G688" s="498">
        <v>0</v>
      </c>
      <c r="H688" s="498">
        <v>40</v>
      </c>
      <c r="I688" s="498">
        <f t="shared" si="54"/>
        <v>22.3</v>
      </c>
      <c r="J688" s="498">
        <v>0</v>
      </c>
      <c r="K688" s="498">
        <v>0</v>
      </c>
      <c r="L688" s="668">
        <v>22.3</v>
      </c>
      <c r="M688" s="956">
        <v>8.6E-3</v>
      </c>
      <c r="N688" s="653">
        <v>2.4908695999999999</v>
      </c>
      <c r="O688" s="669" t="s">
        <v>3412</v>
      </c>
      <c r="P688" s="463" t="s">
        <v>1588</v>
      </c>
      <c r="Q688" s="852">
        <v>0</v>
      </c>
      <c r="R688" s="852">
        <v>0</v>
      </c>
      <c r="S688" s="852">
        <v>0</v>
      </c>
      <c r="T688" s="852">
        <v>0</v>
      </c>
      <c r="U688" s="463" t="s">
        <v>7472</v>
      </c>
      <c r="V688" s="463" t="s">
        <v>5216</v>
      </c>
      <c r="W688" s="498">
        <v>237</v>
      </c>
      <c r="X688" s="463" t="s">
        <v>3205</v>
      </c>
      <c r="Y688" s="463"/>
      <c r="Z688" s="463"/>
      <c r="AA688" s="463"/>
      <c r="AB688" s="459"/>
    </row>
    <row r="689" spans="1:28" ht="24" customHeight="1">
      <c r="A689" s="584"/>
      <c r="B689" s="460" t="s">
        <v>675</v>
      </c>
      <c r="C689" s="458" t="s">
        <v>5219</v>
      </c>
      <c r="D689" s="510" t="s">
        <v>5220</v>
      </c>
      <c r="E689" s="498">
        <f t="shared" si="53"/>
        <v>43</v>
      </c>
      <c r="F689" s="498">
        <v>0</v>
      </c>
      <c r="G689" s="498">
        <v>43</v>
      </c>
      <c r="H689" s="498">
        <v>0</v>
      </c>
      <c r="I689" s="498">
        <f t="shared" si="54"/>
        <v>0</v>
      </c>
      <c r="J689" s="498">
        <v>0</v>
      </c>
      <c r="K689" s="498">
        <v>0</v>
      </c>
      <c r="L689" s="668">
        <v>0</v>
      </c>
      <c r="M689" s="956">
        <v>0</v>
      </c>
      <c r="N689" s="653">
        <v>0</v>
      </c>
      <c r="O689" s="669" t="s">
        <v>3517</v>
      </c>
      <c r="P689" s="463" t="s">
        <v>1588</v>
      </c>
      <c r="Q689" s="852">
        <v>0</v>
      </c>
      <c r="R689" s="852">
        <v>0</v>
      </c>
      <c r="S689" s="852">
        <v>0</v>
      </c>
      <c r="T689" s="852">
        <v>0</v>
      </c>
      <c r="U689" s="463"/>
      <c r="V689" s="463" t="s">
        <v>5221</v>
      </c>
      <c r="W689" s="498">
        <v>85</v>
      </c>
      <c r="X689" s="463"/>
      <c r="Y689" s="463"/>
      <c r="Z689" s="463"/>
      <c r="AA689" s="463"/>
      <c r="AB689" s="459"/>
    </row>
    <row r="690" spans="1:28" ht="24" customHeight="1">
      <c r="A690" s="584"/>
      <c r="B690" s="460" t="s">
        <v>675</v>
      </c>
      <c r="C690" s="458" t="s">
        <v>5222</v>
      </c>
      <c r="D690" s="510" t="s">
        <v>5223</v>
      </c>
      <c r="E690" s="498">
        <f t="shared" si="53"/>
        <v>100</v>
      </c>
      <c r="F690" s="498">
        <v>0</v>
      </c>
      <c r="G690" s="498">
        <v>100</v>
      </c>
      <c r="H690" s="498">
        <v>0</v>
      </c>
      <c r="I690" s="498">
        <f t="shared" si="54"/>
        <v>0</v>
      </c>
      <c r="J690" s="498">
        <v>0</v>
      </c>
      <c r="K690" s="498">
        <v>0</v>
      </c>
      <c r="L690" s="668">
        <v>0</v>
      </c>
      <c r="M690" s="956">
        <v>7.9500000000000005E-3</v>
      </c>
      <c r="N690" s="653">
        <v>2.3026062</v>
      </c>
      <c r="O690" s="669" t="s">
        <v>5224</v>
      </c>
      <c r="P690" s="463" t="s">
        <v>1588</v>
      </c>
      <c r="Q690" s="852">
        <v>0</v>
      </c>
      <c r="R690" s="852">
        <v>0</v>
      </c>
      <c r="S690" s="852">
        <v>0</v>
      </c>
      <c r="T690" s="852">
        <v>0</v>
      </c>
      <c r="U690" s="463" t="s">
        <v>7472</v>
      </c>
      <c r="V690" s="463" t="s">
        <v>5221</v>
      </c>
      <c r="W690" s="498">
        <v>196</v>
      </c>
      <c r="X690" s="463" t="s">
        <v>3205</v>
      </c>
      <c r="Y690" s="463"/>
      <c r="Z690" s="463"/>
      <c r="AA690" s="463"/>
      <c r="AB690" s="459"/>
    </row>
    <row r="691" spans="1:28" ht="24" customHeight="1">
      <c r="A691" s="582" t="s">
        <v>1651</v>
      </c>
      <c r="B691" s="460" t="s">
        <v>2201</v>
      </c>
      <c r="C691" s="458" t="s">
        <v>2408</v>
      </c>
      <c r="D691" s="510" t="s">
        <v>1530</v>
      </c>
      <c r="E691" s="498">
        <v>20000</v>
      </c>
      <c r="F691" s="498">
        <v>0</v>
      </c>
      <c r="G691" s="498">
        <v>20000</v>
      </c>
      <c r="H691" s="498">
        <v>0</v>
      </c>
      <c r="I691" s="498">
        <f t="shared" ref="I691:I696" si="55">J691+K691+L691</f>
        <v>13116</v>
      </c>
      <c r="J691" s="498">
        <v>0</v>
      </c>
      <c r="K691" s="498">
        <v>13116</v>
      </c>
      <c r="L691" s="668">
        <v>0</v>
      </c>
      <c r="M691" s="956">
        <v>0.97681539807524054</v>
      </c>
      <c r="N691" s="653">
        <v>2928.8027999999999</v>
      </c>
      <c r="O691" s="669" t="s">
        <v>1535</v>
      </c>
      <c r="P691" s="463" t="s">
        <v>1588</v>
      </c>
      <c r="Q691" s="852">
        <v>0</v>
      </c>
      <c r="R691" s="852">
        <v>0</v>
      </c>
      <c r="S691" s="852">
        <v>12</v>
      </c>
      <c r="T691" s="852">
        <v>0</v>
      </c>
      <c r="U691" s="463" t="s">
        <v>5225</v>
      </c>
      <c r="V691" s="463" t="s">
        <v>5226</v>
      </c>
      <c r="W691" s="498">
        <v>54513</v>
      </c>
      <c r="X691" s="463" t="s">
        <v>1532</v>
      </c>
      <c r="Y691" s="463" t="s">
        <v>1533</v>
      </c>
      <c r="Z691" s="463" t="s">
        <v>1652</v>
      </c>
      <c r="AA691" s="463" t="s">
        <v>1592</v>
      </c>
      <c r="AB691" s="459" t="s">
        <v>2286</v>
      </c>
    </row>
    <row r="692" spans="1:28" ht="24" customHeight="1">
      <c r="A692" s="584"/>
      <c r="B692" s="460" t="s">
        <v>675</v>
      </c>
      <c r="C692" s="458" t="s">
        <v>5227</v>
      </c>
      <c r="D692" s="510" t="s">
        <v>5228</v>
      </c>
      <c r="E692" s="498">
        <v>60</v>
      </c>
      <c r="F692" s="498">
        <v>0</v>
      </c>
      <c r="G692" s="498">
        <v>60</v>
      </c>
      <c r="H692" s="498">
        <v>0</v>
      </c>
      <c r="I692" s="498">
        <f t="shared" si="55"/>
        <v>50.9</v>
      </c>
      <c r="J692" s="498">
        <v>0</v>
      </c>
      <c r="K692" s="498">
        <v>50.9</v>
      </c>
      <c r="L692" s="668">
        <v>0</v>
      </c>
      <c r="M692" s="957">
        <v>0.96400000000000008</v>
      </c>
      <c r="N692" s="653">
        <v>11.3</v>
      </c>
      <c r="O692" s="669" t="s">
        <v>5229</v>
      </c>
      <c r="P692" s="463" t="s">
        <v>1588</v>
      </c>
      <c r="Q692" s="852">
        <v>0</v>
      </c>
      <c r="R692" s="852">
        <v>0</v>
      </c>
      <c r="S692" s="852">
        <v>0</v>
      </c>
      <c r="T692" s="852">
        <v>0</v>
      </c>
      <c r="U692" s="463" t="s">
        <v>5225</v>
      </c>
      <c r="V692" s="463" t="s">
        <v>5230</v>
      </c>
      <c r="W692" s="498">
        <v>326</v>
      </c>
      <c r="X692" s="463" t="s">
        <v>1532</v>
      </c>
      <c r="Y692" s="463" t="s">
        <v>1533</v>
      </c>
      <c r="Z692" s="463" t="s">
        <v>1652</v>
      </c>
      <c r="AA692" s="463" t="s">
        <v>1592</v>
      </c>
      <c r="AB692" s="459" t="s">
        <v>2286</v>
      </c>
    </row>
    <row r="693" spans="1:28" ht="24" customHeight="1">
      <c r="A693" s="584"/>
      <c r="B693" s="460" t="s">
        <v>675</v>
      </c>
      <c r="C693" s="458" t="s">
        <v>5231</v>
      </c>
      <c r="D693" s="510" t="s">
        <v>5232</v>
      </c>
      <c r="E693" s="498">
        <v>170</v>
      </c>
      <c r="F693" s="498">
        <v>0</v>
      </c>
      <c r="G693" s="498">
        <v>170</v>
      </c>
      <c r="H693" s="498">
        <v>0</v>
      </c>
      <c r="I693" s="498">
        <f t="shared" si="55"/>
        <v>163.1</v>
      </c>
      <c r="J693" s="498">
        <v>0</v>
      </c>
      <c r="K693" s="498">
        <v>163.1</v>
      </c>
      <c r="L693" s="668">
        <v>0</v>
      </c>
      <c r="M693" s="957">
        <v>0.94400000000000006</v>
      </c>
      <c r="N693" s="653">
        <v>18.8</v>
      </c>
      <c r="O693" s="669" t="s">
        <v>5233</v>
      </c>
      <c r="P693" s="463" t="s">
        <v>1588</v>
      </c>
      <c r="Q693" s="852">
        <v>0</v>
      </c>
      <c r="R693" s="852">
        <v>0</v>
      </c>
      <c r="S693" s="852">
        <v>0</v>
      </c>
      <c r="T693" s="852">
        <v>0</v>
      </c>
      <c r="U693" s="463" t="s">
        <v>5225</v>
      </c>
      <c r="V693" s="463" t="s">
        <v>2260</v>
      </c>
      <c r="W693" s="498">
        <v>400</v>
      </c>
      <c r="X693" s="463" t="s">
        <v>1532</v>
      </c>
      <c r="Y693" s="463" t="s">
        <v>1533</v>
      </c>
      <c r="Z693" s="463" t="s">
        <v>1652</v>
      </c>
      <c r="AA693" s="463" t="s">
        <v>1592</v>
      </c>
      <c r="AB693" s="459" t="s">
        <v>2286</v>
      </c>
    </row>
    <row r="694" spans="1:28" ht="24" customHeight="1">
      <c r="A694" s="584"/>
      <c r="B694" s="460" t="s">
        <v>675</v>
      </c>
      <c r="C694" s="458" t="s">
        <v>3681</v>
      </c>
      <c r="D694" s="510" t="s">
        <v>5234</v>
      </c>
      <c r="E694" s="498">
        <v>70</v>
      </c>
      <c r="F694" s="498">
        <v>0</v>
      </c>
      <c r="G694" s="498">
        <v>70</v>
      </c>
      <c r="H694" s="498">
        <v>0</v>
      </c>
      <c r="I694" s="498">
        <f t="shared" si="55"/>
        <v>21.5</v>
      </c>
      <c r="J694" s="498">
        <v>0</v>
      </c>
      <c r="K694" s="498">
        <v>0</v>
      </c>
      <c r="L694" s="668">
        <v>21.5</v>
      </c>
      <c r="M694" s="957">
        <v>0.95</v>
      </c>
      <c r="N694" s="653">
        <v>1.5</v>
      </c>
      <c r="O694" s="669" t="s">
        <v>5235</v>
      </c>
      <c r="P694" s="463" t="s">
        <v>1588</v>
      </c>
      <c r="Q694" s="852">
        <v>0</v>
      </c>
      <c r="R694" s="852">
        <v>0</v>
      </c>
      <c r="S694" s="852">
        <v>0</v>
      </c>
      <c r="T694" s="852">
        <v>0</v>
      </c>
      <c r="U694" s="463" t="s">
        <v>5225</v>
      </c>
      <c r="V694" s="458" t="s">
        <v>5236</v>
      </c>
      <c r="W694" s="498">
        <v>957</v>
      </c>
      <c r="X694" s="463" t="s">
        <v>1532</v>
      </c>
      <c r="Y694" s="463" t="s">
        <v>3399</v>
      </c>
      <c r="Z694" s="463" t="s">
        <v>1652</v>
      </c>
      <c r="AA694" s="463" t="s">
        <v>1592</v>
      </c>
      <c r="AB694" s="459" t="s">
        <v>2286</v>
      </c>
    </row>
    <row r="695" spans="1:28" ht="24" customHeight="1">
      <c r="A695" s="584"/>
      <c r="B695" s="460" t="s">
        <v>675</v>
      </c>
      <c r="C695" s="458" t="s">
        <v>5237</v>
      </c>
      <c r="D695" s="510" t="s">
        <v>5238</v>
      </c>
      <c r="E695" s="498">
        <v>50</v>
      </c>
      <c r="F695" s="498">
        <v>0</v>
      </c>
      <c r="G695" s="498">
        <v>50</v>
      </c>
      <c r="H695" s="498">
        <v>0</v>
      </c>
      <c r="I695" s="498">
        <f t="shared" si="55"/>
        <v>44.7</v>
      </c>
      <c r="J695" s="498">
        <v>0</v>
      </c>
      <c r="K695" s="498">
        <v>0</v>
      </c>
      <c r="L695" s="668">
        <v>44.7</v>
      </c>
      <c r="M695" s="957">
        <v>0.93</v>
      </c>
      <c r="N695" s="653">
        <v>3.1</v>
      </c>
      <c r="O695" s="669" t="s">
        <v>5235</v>
      </c>
      <c r="P695" s="463" t="s">
        <v>1588</v>
      </c>
      <c r="Q695" s="852">
        <v>0</v>
      </c>
      <c r="R695" s="852">
        <v>0</v>
      </c>
      <c r="S695" s="852">
        <v>0</v>
      </c>
      <c r="T695" s="852">
        <v>0</v>
      </c>
      <c r="U695" s="463" t="s">
        <v>5225</v>
      </c>
      <c r="V695" s="458" t="s">
        <v>2118</v>
      </c>
      <c r="W695" s="1804">
        <v>806</v>
      </c>
      <c r="X695" s="463" t="s">
        <v>1532</v>
      </c>
      <c r="Y695" s="463" t="s">
        <v>3399</v>
      </c>
      <c r="Z695" s="463" t="s">
        <v>1652</v>
      </c>
      <c r="AA695" s="463" t="s">
        <v>1592</v>
      </c>
      <c r="AB695" s="459" t="s">
        <v>2286</v>
      </c>
    </row>
    <row r="696" spans="1:28" ht="24" customHeight="1">
      <c r="A696" s="583"/>
      <c r="B696" s="460" t="s">
        <v>675</v>
      </c>
      <c r="C696" s="458" t="s">
        <v>5237</v>
      </c>
      <c r="D696" s="510" t="s">
        <v>5239</v>
      </c>
      <c r="E696" s="498">
        <v>50</v>
      </c>
      <c r="F696" s="498">
        <v>0</v>
      </c>
      <c r="G696" s="498">
        <v>50</v>
      </c>
      <c r="H696" s="498">
        <v>0</v>
      </c>
      <c r="I696" s="498">
        <f t="shared" si="55"/>
        <v>41.4</v>
      </c>
      <c r="J696" s="498">
        <v>0</v>
      </c>
      <c r="K696" s="498">
        <v>0</v>
      </c>
      <c r="L696" s="668">
        <v>41.4</v>
      </c>
      <c r="M696" s="957">
        <v>0.93</v>
      </c>
      <c r="N696" s="653">
        <v>3.1</v>
      </c>
      <c r="O696" s="669" t="s">
        <v>5235</v>
      </c>
      <c r="P696" s="463" t="s">
        <v>1588</v>
      </c>
      <c r="Q696" s="852">
        <v>0</v>
      </c>
      <c r="R696" s="852">
        <v>0</v>
      </c>
      <c r="S696" s="852">
        <v>0</v>
      </c>
      <c r="T696" s="852">
        <v>0</v>
      </c>
      <c r="U696" s="463" t="s">
        <v>5225</v>
      </c>
      <c r="V696" s="458" t="s">
        <v>2118</v>
      </c>
      <c r="W696" s="1804"/>
      <c r="X696" s="463" t="s">
        <v>1532</v>
      </c>
      <c r="Y696" s="463" t="s">
        <v>3399</v>
      </c>
      <c r="Z696" s="463" t="s">
        <v>1652</v>
      </c>
      <c r="AA696" s="463" t="s">
        <v>1592</v>
      </c>
      <c r="AB696" s="459" t="s">
        <v>2286</v>
      </c>
    </row>
    <row r="697" spans="1:28" ht="24" customHeight="1">
      <c r="A697" s="583" t="s">
        <v>1653</v>
      </c>
      <c r="B697" s="460" t="s">
        <v>2201</v>
      </c>
      <c r="C697" s="458" t="s">
        <v>373</v>
      </c>
      <c r="D697" s="510" t="s">
        <v>5240</v>
      </c>
      <c r="E697" s="498">
        <v>27000</v>
      </c>
      <c r="F697" s="498">
        <v>0</v>
      </c>
      <c r="G697" s="498">
        <v>0</v>
      </c>
      <c r="H697" s="498">
        <v>27000</v>
      </c>
      <c r="I697" s="498">
        <f>J697+K697+L697</f>
        <v>12866</v>
      </c>
      <c r="J697" s="498">
        <v>0</v>
      </c>
      <c r="K697" s="498">
        <v>0</v>
      </c>
      <c r="L697" s="698">
        <v>12866</v>
      </c>
      <c r="M697" s="956">
        <v>0.96714361420243777</v>
      </c>
      <c r="N697" s="653">
        <v>2348.0450000000001</v>
      </c>
      <c r="O697" s="669" t="s">
        <v>5241</v>
      </c>
      <c r="P697" s="463" t="s">
        <v>1588</v>
      </c>
      <c r="Q697" s="852">
        <v>0</v>
      </c>
      <c r="R697" s="852">
        <v>0</v>
      </c>
      <c r="S697" s="852">
        <v>7</v>
      </c>
      <c r="T697" s="852">
        <v>0</v>
      </c>
      <c r="U697" s="463" t="s">
        <v>7473</v>
      </c>
      <c r="V697" s="463" t="s">
        <v>5242</v>
      </c>
      <c r="W697" s="498">
        <v>30260</v>
      </c>
      <c r="X697" s="463" t="s">
        <v>2199</v>
      </c>
      <c r="Y697" s="463" t="s">
        <v>3336</v>
      </c>
      <c r="Z697" s="463" t="s">
        <v>1654</v>
      </c>
      <c r="AA697" s="463" t="s">
        <v>1592</v>
      </c>
      <c r="AB697" s="459" t="s">
        <v>1596</v>
      </c>
    </row>
    <row r="698" spans="1:28" ht="24" customHeight="1">
      <c r="A698" s="582" t="s">
        <v>1616</v>
      </c>
      <c r="B698" s="458" t="s">
        <v>6041</v>
      </c>
      <c r="C698" s="579"/>
      <c r="D698" s="579"/>
      <c r="E698" s="498" t="s">
        <v>6195</v>
      </c>
      <c r="F698" s="498">
        <v>0</v>
      </c>
      <c r="G698" s="498" t="s">
        <v>7557</v>
      </c>
      <c r="H698" s="498" t="s">
        <v>7558</v>
      </c>
      <c r="I698" s="498" t="s">
        <v>6198</v>
      </c>
      <c r="J698" s="498">
        <v>0</v>
      </c>
      <c r="K698" s="498" t="s">
        <v>6199</v>
      </c>
      <c r="L698" s="668" t="s">
        <v>6200</v>
      </c>
      <c r="M698" s="956"/>
      <c r="N698" s="498" t="s">
        <v>6201</v>
      </c>
      <c r="O698" s="669" t="s">
        <v>1588</v>
      </c>
      <c r="P698" s="463" t="s">
        <v>1588</v>
      </c>
      <c r="Q698" s="852">
        <f>SUM(Q699:Q787)</f>
        <v>331.5</v>
      </c>
      <c r="R698" s="852">
        <f>SUM(R699:R787)</f>
        <v>145</v>
      </c>
      <c r="S698" s="852">
        <f>SUM(S699:S787)</f>
        <v>250.4</v>
      </c>
      <c r="T698" s="852">
        <f>SUM(T699:T787)</f>
        <v>0</v>
      </c>
      <c r="U698" s="463"/>
      <c r="V698" s="463"/>
      <c r="W698" s="498">
        <f>SUM(W699:W787)</f>
        <v>424150</v>
      </c>
      <c r="X698" s="463"/>
      <c r="Y698" s="463"/>
      <c r="Z698" s="463"/>
      <c r="AA698" s="463"/>
      <c r="AB698" s="459"/>
    </row>
    <row r="699" spans="1:28" ht="24" customHeight="1">
      <c r="A699" s="582" t="s">
        <v>1655</v>
      </c>
      <c r="B699" s="460" t="s">
        <v>2201</v>
      </c>
      <c r="C699" s="458" t="s">
        <v>2409</v>
      </c>
      <c r="D699" s="510" t="s">
        <v>5243</v>
      </c>
      <c r="E699" s="498">
        <f t="shared" ref="E699:E746" si="56">F699+G699+H699</f>
        <v>10000</v>
      </c>
      <c r="F699" s="498">
        <v>0</v>
      </c>
      <c r="G699" s="498">
        <v>10000</v>
      </c>
      <c r="H699" s="498">
        <v>0</v>
      </c>
      <c r="I699" s="498">
        <f t="shared" ref="I699:I705" si="57">J699+K699+L699</f>
        <v>8341</v>
      </c>
      <c r="J699" s="498">
        <v>0</v>
      </c>
      <c r="K699" s="498">
        <v>8341</v>
      </c>
      <c r="L699" s="668">
        <v>0</v>
      </c>
      <c r="M699" s="956">
        <v>0.96750748182984181</v>
      </c>
      <c r="N699" s="653">
        <v>1887.5683000000001</v>
      </c>
      <c r="O699" s="669" t="s">
        <v>1535</v>
      </c>
      <c r="P699" s="463" t="s">
        <v>1588</v>
      </c>
      <c r="Q699" s="852">
        <v>40</v>
      </c>
      <c r="R699" s="852">
        <v>0</v>
      </c>
      <c r="S699" s="852">
        <v>0</v>
      </c>
      <c r="T699" s="852">
        <v>0</v>
      </c>
      <c r="U699" s="463" t="s">
        <v>7474</v>
      </c>
      <c r="V699" s="463" t="s">
        <v>5244</v>
      </c>
      <c r="W699" s="498">
        <v>18686</v>
      </c>
      <c r="X699" s="463" t="s">
        <v>2193</v>
      </c>
      <c r="Y699" s="463"/>
      <c r="Z699" s="463" t="s">
        <v>1629</v>
      </c>
      <c r="AA699" s="463" t="s">
        <v>1592</v>
      </c>
      <c r="AB699" s="459" t="s">
        <v>1592</v>
      </c>
    </row>
    <row r="700" spans="1:28" ht="24" customHeight="1">
      <c r="A700" s="584"/>
      <c r="B700" s="460" t="s">
        <v>675</v>
      </c>
      <c r="C700" s="458" t="s">
        <v>5245</v>
      </c>
      <c r="D700" s="510" t="s">
        <v>5246</v>
      </c>
      <c r="E700" s="498">
        <f t="shared" si="56"/>
        <v>60</v>
      </c>
      <c r="F700" s="498">
        <v>0</v>
      </c>
      <c r="G700" s="498">
        <v>60</v>
      </c>
      <c r="H700" s="498">
        <v>0</v>
      </c>
      <c r="I700" s="498">
        <f t="shared" si="57"/>
        <v>34</v>
      </c>
      <c r="J700" s="498">
        <v>0</v>
      </c>
      <c r="K700" s="498">
        <v>34</v>
      </c>
      <c r="L700" s="668">
        <v>0</v>
      </c>
      <c r="M700" s="956">
        <v>0.56700000000000006</v>
      </c>
      <c r="N700" s="653">
        <v>0</v>
      </c>
      <c r="O700" s="669" t="s">
        <v>5247</v>
      </c>
      <c r="P700" s="463" t="s">
        <v>1588</v>
      </c>
      <c r="Q700" s="852">
        <v>0</v>
      </c>
      <c r="R700" s="852">
        <v>0</v>
      </c>
      <c r="S700" s="852">
        <v>0</v>
      </c>
      <c r="T700" s="852">
        <v>0</v>
      </c>
      <c r="U700" s="463" t="s">
        <v>7475</v>
      </c>
      <c r="V700" s="466" t="s">
        <v>5248</v>
      </c>
      <c r="W700" s="498">
        <v>313</v>
      </c>
      <c r="X700" s="463" t="s">
        <v>2193</v>
      </c>
      <c r="Y700" s="463" t="s">
        <v>4034</v>
      </c>
      <c r="Z700" s="463" t="s">
        <v>1592</v>
      </c>
      <c r="AA700" s="463" t="s">
        <v>1592</v>
      </c>
      <c r="AB700" s="459" t="s">
        <v>1592</v>
      </c>
    </row>
    <row r="701" spans="1:28" ht="24" customHeight="1">
      <c r="A701" s="584"/>
      <c r="B701" s="460" t="s">
        <v>675</v>
      </c>
      <c r="C701" s="458" t="s">
        <v>5249</v>
      </c>
      <c r="D701" s="510" t="s">
        <v>5250</v>
      </c>
      <c r="E701" s="498">
        <f t="shared" si="56"/>
        <v>50</v>
      </c>
      <c r="F701" s="498">
        <v>0</v>
      </c>
      <c r="G701" s="498">
        <v>50</v>
      </c>
      <c r="H701" s="498">
        <v>0</v>
      </c>
      <c r="I701" s="498">
        <f t="shared" si="57"/>
        <v>40</v>
      </c>
      <c r="J701" s="498">
        <v>0</v>
      </c>
      <c r="K701" s="498">
        <v>40</v>
      </c>
      <c r="L701" s="668">
        <v>0</v>
      </c>
      <c r="M701" s="956">
        <v>0.8</v>
      </c>
      <c r="N701" s="653">
        <v>0</v>
      </c>
      <c r="O701" s="669" t="s">
        <v>5251</v>
      </c>
      <c r="P701" s="463" t="s">
        <v>1588</v>
      </c>
      <c r="Q701" s="852">
        <v>0</v>
      </c>
      <c r="R701" s="852">
        <v>0</v>
      </c>
      <c r="S701" s="852">
        <v>0</v>
      </c>
      <c r="T701" s="852">
        <v>0</v>
      </c>
      <c r="U701" s="463" t="s">
        <v>7475</v>
      </c>
      <c r="V701" s="466" t="s">
        <v>5252</v>
      </c>
      <c r="W701" s="498">
        <v>360</v>
      </c>
      <c r="X701" s="463" t="s">
        <v>2193</v>
      </c>
      <c r="Y701" s="463"/>
      <c r="Z701" s="463" t="s">
        <v>1592</v>
      </c>
      <c r="AA701" s="463" t="s">
        <v>1592</v>
      </c>
      <c r="AB701" s="459" t="s">
        <v>1592</v>
      </c>
    </row>
    <row r="702" spans="1:28" ht="24" customHeight="1">
      <c r="A702" s="584"/>
      <c r="B702" s="460" t="s">
        <v>675</v>
      </c>
      <c r="C702" s="458" t="s">
        <v>5253</v>
      </c>
      <c r="D702" s="510" t="s">
        <v>5254</v>
      </c>
      <c r="E702" s="498">
        <f t="shared" si="56"/>
        <v>50</v>
      </c>
      <c r="F702" s="498">
        <v>0</v>
      </c>
      <c r="G702" s="498">
        <v>50</v>
      </c>
      <c r="H702" s="498">
        <v>0</v>
      </c>
      <c r="I702" s="498">
        <f t="shared" si="57"/>
        <v>36</v>
      </c>
      <c r="J702" s="498">
        <v>0</v>
      </c>
      <c r="K702" s="498">
        <v>36</v>
      </c>
      <c r="L702" s="668">
        <v>0</v>
      </c>
      <c r="M702" s="956">
        <v>0.72</v>
      </c>
      <c r="N702" s="653">
        <v>0</v>
      </c>
      <c r="O702" s="669" t="s">
        <v>5255</v>
      </c>
      <c r="P702" s="463" t="s">
        <v>1588</v>
      </c>
      <c r="Q702" s="852">
        <v>0</v>
      </c>
      <c r="R702" s="852">
        <v>0</v>
      </c>
      <c r="S702" s="852">
        <v>0</v>
      </c>
      <c r="T702" s="852">
        <v>0</v>
      </c>
      <c r="U702" s="463" t="s">
        <v>7475</v>
      </c>
      <c r="V702" s="466" t="s">
        <v>5256</v>
      </c>
      <c r="W702" s="498">
        <v>261</v>
      </c>
      <c r="X702" s="463" t="s">
        <v>2193</v>
      </c>
      <c r="Y702" s="463"/>
      <c r="Z702" s="463" t="s">
        <v>1656</v>
      </c>
      <c r="AA702" s="463" t="s">
        <v>1592</v>
      </c>
      <c r="AB702" s="459" t="s">
        <v>1592</v>
      </c>
    </row>
    <row r="703" spans="1:28" ht="24" customHeight="1">
      <c r="A703" s="584"/>
      <c r="B703" s="460" t="s">
        <v>675</v>
      </c>
      <c r="C703" s="458" t="s">
        <v>5257</v>
      </c>
      <c r="D703" s="510" t="s">
        <v>5258</v>
      </c>
      <c r="E703" s="498">
        <f t="shared" si="56"/>
        <v>70</v>
      </c>
      <c r="F703" s="498">
        <v>0</v>
      </c>
      <c r="G703" s="498">
        <v>70</v>
      </c>
      <c r="H703" s="498">
        <v>0</v>
      </c>
      <c r="I703" s="498">
        <f t="shared" si="57"/>
        <v>62</v>
      </c>
      <c r="J703" s="498">
        <v>0</v>
      </c>
      <c r="K703" s="498">
        <v>62</v>
      </c>
      <c r="L703" s="668">
        <v>0</v>
      </c>
      <c r="M703" s="956">
        <v>0.8859999999999999</v>
      </c>
      <c r="N703" s="653">
        <v>0</v>
      </c>
      <c r="O703" s="669" t="s">
        <v>5259</v>
      </c>
      <c r="P703" s="463" t="s">
        <v>1588</v>
      </c>
      <c r="Q703" s="852">
        <v>0</v>
      </c>
      <c r="R703" s="852">
        <v>0</v>
      </c>
      <c r="S703" s="852">
        <v>0</v>
      </c>
      <c r="T703" s="852">
        <v>0</v>
      </c>
      <c r="U703" s="463" t="s">
        <v>7475</v>
      </c>
      <c r="V703" s="466" t="s">
        <v>5260</v>
      </c>
      <c r="W703" s="498">
        <v>415</v>
      </c>
      <c r="X703" s="463" t="s">
        <v>2193</v>
      </c>
      <c r="Y703" s="463"/>
      <c r="Z703" s="463" t="s">
        <v>1657</v>
      </c>
      <c r="AA703" s="463" t="s">
        <v>1592</v>
      </c>
      <c r="AB703" s="459" t="s">
        <v>1592</v>
      </c>
    </row>
    <row r="704" spans="1:28" ht="24" customHeight="1">
      <c r="A704" s="584"/>
      <c r="B704" s="460" t="s">
        <v>675</v>
      </c>
      <c r="C704" s="458" t="s">
        <v>5261</v>
      </c>
      <c r="D704" s="510" t="s">
        <v>5262</v>
      </c>
      <c r="E704" s="498">
        <f t="shared" si="56"/>
        <v>65</v>
      </c>
      <c r="F704" s="498">
        <v>0</v>
      </c>
      <c r="G704" s="498">
        <v>65</v>
      </c>
      <c r="H704" s="498">
        <v>0</v>
      </c>
      <c r="I704" s="498">
        <f t="shared" si="57"/>
        <v>56</v>
      </c>
      <c r="J704" s="498">
        <v>0</v>
      </c>
      <c r="K704" s="498">
        <v>56</v>
      </c>
      <c r="L704" s="668">
        <v>0</v>
      </c>
      <c r="M704" s="956">
        <v>0.86199999999999999</v>
      </c>
      <c r="N704" s="653">
        <v>0</v>
      </c>
      <c r="O704" s="669" t="s">
        <v>5255</v>
      </c>
      <c r="P704" s="463" t="s">
        <v>1588</v>
      </c>
      <c r="Q704" s="852">
        <v>0</v>
      </c>
      <c r="R704" s="852">
        <v>0</v>
      </c>
      <c r="S704" s="852">
        <v>0</v>
      </c>
      <c r="T704" s="852">
        <v>0</v>
      </c>
      <c r="U704" s="463" t="s">
        <v>7475</v>
      </c>
      <c r="V704" s="466" t="s">
        <v>5260</v>
      </c>
      <c r="W704" s="498">
        <v>445</v>
      </c>
      <c r="X704" s="463" t="s">
        <v>2193</v>
      </c>
      <c r="Y704" s="463"/>
      <c r="Z704" s="463" t="s">
        <v>1657</v>
      </c>
      <c r="AA704" s="463" t="s">
        <v>1592</v>
      </c>
      <c r="AB704" s="459" t="s">
        <v>1592</v>
      </c>
    </row>
    <row r="705" spans="1:28" ht="24" customHeight="1">
      <c r="A705" s="584"/>
      <c r="B705" s="460" t="s">
        <v>675</v>
      </c>
      <c r="C705" s="458" t="s">
        <v>907</v>
      </c>
      <c r="D705" s="510" t="s">
        <v>5263</v>
      </c>
      <c r="E705" s="498">
        <f t="shared" si="56"/>
        <v>60</v>
      </c>
      <c r="F705" s="498">
        <v>0</v>
      </c>
      <c r="G705" s="498">
        <v>60</v>
      </c>
      <c r="H705" s="498">
        <v>0</v>
      </c>
      <c r="I705" s="498">
        <f t="shared" si="57"/>
        <v>50</v>
      </c>
      <c r="J705" s="498">
        <v>0</v>
      </c>
      <c r="K705" s="498">
        <v>50</v>
      </c>
      <c r="L705" s="668">
        <v>0</v>
      </c>
      <c r="M705" s="956">
        <v>0.83299999999999996</v>
      </c>
      <c r="N705" s="653">
        <v>0</v>
      </c>
      <c r="O705" s="669" t="s">
        <v>3439</v>
      </c>
      <c r="P705" s="463" t="s">
        <v>1588</v>
      </c>
      <c r="Q705" s="852">
        <v>0</v>
      </c>
      <c r="R705" s="852">
        <v>0</v>
      </c>
      <c r="S705" s="852">
        <v>0</v>
      </c>
      <c r="T705" s="852">
        <v>0</v>
      </c>
      <c r="U705" s="463" t="s">
        <v>7475</v>
      </c>
      <c r="V705" s="466" t="s">
        <v>5260</v>
      </c>
      <c r="W705" s="498">
        <v>400</v>
      </c>
      <c r="X705" s="463" t="s">
        <v>2193</v>
      </c>
      <c r="Y705" s="463"/>
      <c r="Z705" s="463" t="s">
        <v>1657</v>
      </c>
      <c r="AA705" s="463" t="s">
        <v>1592</v>
      </c>
      <c r="AB705" s="459" t="s">
        <v>1592</v>
      </c>
    </row>
    <row r="706" spans="1:28" ht="24" customHeight="1">
      <c r="A706" s="582" t="s">
        <v>1658</v>
      </c>
      <c r="B706" s="460" t="s">
        <v>2201</v>
      </c>
      <c r="C706" s="458" t="s">
        <v>1659</v>
      </c>
      <c r="D706" s="510" t="s">
        <v>2287</v>
      </c>
      <c r="E706" s="653">
        <f t="shared" si="56"/>
        <v>20000</v>
      </c>
      <c r="F706" s="653">
        <v>0</v>
      </c>
      <c r="G706" s="653">
        <v>0</v>
      </c>
      <c r="H706" s="653">
        <v>20000</v>
      </c>
      <c r="I706" s="498">
        <f>J706+K706+L706</f>
        <v>22578</v>
      </c>
      <c r="J706" s="498">
        <v>0</v>
      </c>
      <c r="K706" s="498">
        <v>0</v>
      </c>
      <c r="L706" s="698">
        <v>22578</v>
      </c>
      <c r="M706" s="956">
        <v>0.92255125284738049</v>
      </c>
      <c r="N706" s="653">
        <v>1828.818</v>
      </c>
      <c r="O706" s="669" t="s">
        <v>5264</v>
      </c>
      <c r="P706" s="463" t="s">
        <v>1588</v>
      </c>
      <c r="Q706" s="852">
        <v>63</v>
      </c>
      <c r="R706" s="852">
        <v>0</v>
      </c>
      <c r="S706" s="852">
        <v>0</v>
      </c>
      <c r="T706" s="852">
        <v>0</v>
      </c>
      <c r="U706" s="463" t="s">
        <v>2447</v>
      </c>
      <c r="V706" s="463" t="s">
        <v>5265</v>
      </c>
      <c r="W706" s="498">
        <v>41643</v>
      </c>
      <c r="X706" s="463" t="s">
        <v>1532</v>
      </c>
      <c r="Y706" s="463"/>
      <c r="Z706" s="463" t="s">
        <v>1660</v>
      </c>
      <c r="AA706" s="463" t="s">
        <v>1592</v>
      </c>
      <c r="AB706" s="459" t="s">
        <v>1592</v>
      </c>
    </row>
    <row r="707" spans="1:28" ht="24" customHeight="1">
      <c r="A707" s="584"/>
      <c r="B707" s="460" t="s">
        <v>2201</v>
      </c>
      <c r="C707" s="458" t="s">
        <v>2410</v>
      </c>
      <c r="D707" s="510" t="s">
        <v>2288</v>
      </c>
      <c r="E707" s="653">
        <f t="shared" si="56"/>
        <v>2000</v>
      </c>
      <c r="F707" s="653">
        <v>0</v>
      </c>
      <c r="G707" s="653">
        <v>0</v>
      </c>
      <c r="H707" s="653">
        <v>2000</v>
      </c>
      <c r="I707" s="498">
        <f>J707+K707+L707</f>
        <v>1826</v>
      </c>
      <c r="J707" s="498">
        <v>0</v>
      </c>
      <c r="K707" s="498">
        <v>0</v>
      </c>
      <c r="L707" s="698">
        <v>1826</v>
      </c>
      <c r="M707" s="956">
        <v>0.89414694894146951</v>
      </c>
      <c r="N707" s="653">
        <v>131.10679999999999</v>
      </c>
      <c r="O707" s="669" t="s">
        <v>3173</v>
      </c>
      <c r="P707" s="463" t="s">
        <v>1588</v>
      </c>
      <c r="Q707" s="852">
        <v>2</v>
      </c>
      <c r="R707" s="852">
        <v>0</v>
      </c>
      <c r="S707" s="852">
        <v>0</v>
      </c>
      <c r="T707" s="852">
        <v>0</v>
      </c>
      <c r="U707" s="463" t="s">
        <v>7476</v>
      </c>
      <c r="V707" s="463" t="s">
        <v>2289</v>
      </c>
      <c r="W707" s="653">
        <v>9687</v>
      </c>
      <c r="X707" s="463" t="s">
        <v>1532</v>
      </c>
      <c r="Y707" s="463" t="s">
        <v>3399</v>
      </c>
      <c r="Z707" s="463" t="s">
        <v>1660</v>
      </c>
      <c r="AA707" s="463" t="s">
        <v>1592</v>
      </c>
      <c r="AB707" s="459" t="s">
        <v>1592</v>
      </c>
    </row>
    <row r="708" spans="1:28" ht="24" customHeight="1">
      <c r="A708" s="584"/>
      <c r="B708" s="460" t="s">
        <v>675</v>
      </c>
      <c r="C708" s="458" t="s">
        <v>327</v>
      </c>
      <c r="D708" s="510" t="s">
        <v>5266</v>
      </c>
      <c r="E708" s="498">
        <f t="shared" si="56"/>
        <v>46</v>
      </c>
      <c r="F708" s="498">
        <v>0</v>
      </c>
      <c r="G708" s="498">
        <v>46</v>
      </c>
      <c r="H708" s="498">
        <v>0</v>
      </c>
      <c r="I708" s="498">
        <v>40</v>
      </c>
      <c r="J708" s="498">
        <v>0</v>
      </c>
      <c r="K708" s="498">
        <v>40</v>
      </c>
      <c r="L708" s="668">
        <v>0</v>
      </c>
      <c r="M708" s="956">
        <v>0.87</v>
      </c>
      <c r="N708" s="653">
        <v>0</v>
      </c>
      <c r="O708" s="669" t="s">
        <v>1153</v>
      </c>
      <c r="P708" s="463" t="s">
        <v>1588</v>
      </c>
      <c r="Q708" s="852">
        <v>0</v>
      </c>
      <c r="R708" s="852">
        <v>0</v>
      </c>
      <c r="S708" s="852">
        <v>0</v>
      </c>
      <c r="T708" s="852">
        <v>0</v>
      </c>
      <c r="U708" s="463"/>
      <c r="V708" s="463" t="s">
        <v>5267</v>
      </c>
      <c r="W708" s="498">
        <v>224</v>
      </c>
      <c r="X708" s="463" t="s">
        <v>2193</v>
      </c>
      <c r="Y708" s="463"/>
      <c r="Z708" s="463" t="s">
        <v>1660</v>
      </c>
      <c r="AA708" s="463"/>
      <c r="AB708" s="459" t="s">
        <v>1592</v>
      </c>
    </row>
    <row r="709" spans="1:28" ht="24" customHeight="1">
      <c r="A709" s="584"/>
      <c r="B709" s="460" t="s">
        <v>675</v>
      </c>
      <c r="C709" s="458" t="s">
        <v>2020</v>
      </c>
      <c r="D709" s="510" t="s">
        <v>5268</v>
      </c>
      <c r="E709" s="498">
        <f t="shared" si="56"/>
        <v>70</v>
      </c>
      <c r="F709" s="498">
        <v>0</v>
      </c>
      <c r="G709" s="498">
        <v>0</v>
      </c>
      <c r="H709" s="498">
        <v>70</v>
      </c>
      <c r="I709" s="498">
        <v>56</v>
      </c>
      <c r="J709" s="498">
        <v>0</v>
      </c>
      <c r="K709" s="498">
        <v>0</v>
      </c>
      <c r="L709" s="668">
        <v>56</v>
      </c>
      <c r="M709" s="956">
        <v>0.8</v>
      </c>
      <c r="N709" s="653">
        <v>0</v>
      </c>
      <c r="O709" s="669" t="s">
        <v>5269</v>
      </c>
      <c r="P709" s="463" t="s">
        <v>1588</v>
      </c>
      <c r="Q709" s="852">
        <v>0</v>
      </c>
      <c r="R709" s="852">
        <v>0</v>
      </c>
      <c r="S709" s="852">
        <v>0</v>
      </c>
      <c r="T709" s="852">
        <v>0</v>
      </c>
      <c r="U709" s="463"/>
      <c r="V709" s="463" t="s">
        <v>5270</v>
      </c>
      <c r="W709" s="498">
        <v>404</v>
      </c>
      <c r="X709" s="463" t="s">
        <v>2193</v>
      </c>
      <c r="Y709" s="463" t="s">
        <v>3399</v>
      </c>
      <c r="Z709" s="463" t="s">
        <v>1660</v>
      </c>
      <c r="AA709" s="463"/>
      <c r="AB709" s="459" t="s">
        <v>1592</v>
      </c>
    </row>
    <row r="710" spans="1:28" ht="24" customHeight="1">
      <c r="A710" s="584"/>
      <c r="B710" s="460" t="s">
        <v>675</v>
      </c>
      <c r="C710" s="458" t="s">
        <v>5271</v>
      </c>
      <c r="D710" s="510" t="s">
        <v>5272</v>
      </c>
      <c r="E710" s="498">
        <f t="shared" si="56"/>
        <v>50</v>
      </c>
      <c r="F710" s="498">
        <v>0</v>
      </c>
      <c r="G710" s="498">
        <v>0</v>
      </c>
      <c r="H710" s="498">
        <v>50</v>
      </c>
      <c r="I710" s="498">
        <v>41</v>
      </c>
      <c r="J710" s="498">
        <v>0</v>
      </c>
      <c r="K710" s="498">
        <v>0</v>
      </c>
      <c r="L710" s="668">
        <v>41</v>
      </c>
      <c r="M710" s="956">
        <v>0.82</v>
      </c>
      <c r="N710" s="653">
        <v>0</v>
      </c>
      <c r="O710" s="669" t="s">
        <v>5269</v>
      </c>
      <c r="P710" s="463" t="s">
        <v>1588</v>
      </c>
      <c r="Q710" s="852">
        <v>0</v>
      </c>
      <c r="R710" s="852">
        <v>0</v>
      </c>
      <c r="S710" s="852">
        <v>0</v>
      </c>
      <c r="T710" s="852">
        <v>0</v>
      </c>
      <c r="U710" s="463"/>
      <c r="V710" s="463" t="s">
        <v>5270</v>
      </c>
      <c r="W710" s="498">
        <v>365</v>
      </c>
      <c r="X710" s="463" t="s">
        <v>2193</v>
      </c>
      <c r="Y710" s="463" t="s">
        <v>3399</v>
      </c>
      <c r="Z710" s="463" t="s">
        <v>1660</v>
      </c>
      <c r="AA710" s="463"/>
      <c r="AB710" s="459" t="s">
        <v>1592</v>
      </c>
    </row>
    <row r="711" spans="1:28" ht="24" customHeight="1">
      <c r="A711" s="584"/>
      <c r="B711" s="460" t="s">
        <v>675</v>
      </c>
      <c r="C711" s="458" t="s">
        <v>5273</v>
      </c>
      <c r="D711" s="510" t="s">
        <v>5274</v>
      </c>
      <c r="E711" s="498">
        <f t="shared" si="56"/>
        <v>50</v>
      </c>
      <c r="F711" s="498">
        <v>0</v>
      </c>
      <c r="G711" s="498">
        <v>50</v>
      </c>
      <c r="H711" s="498">
        <v>0</v>
      </c>
      <c r="I711" s="498">
        <v>40</v>
      </c>
      <c r="J711" s="498">
        <v>0</v>
      </c>
      <c r="K711" s="498">
        <v>40</v>
      </c>
      <c r="L711" s="668">
        <v>0</v>
      </c>
      <c r="M711" s="956">
        <v>0.8</v>
      </c>
      <c r="N711" s="653">
        <v>0</v>
      </c>
      <c r="O711" s="669" t="s">
        <v>1153</v>
      </c>
      <c r="P711" s="463" t="s">
        <v>1588</v>
      </c>
      <c r="Q711" s="852">
        <v>0</v>
      </c>
      <c r="R711" s="852">
        <v>0</v>
      </c>
      <c r="S711" s="852">
        <v>0</v>
      </c>
      <c r="T711" s="852">
        <v>0</v>
      </c>
      <c r="U711" s="463"/>
      <c r="V711" s="463" t="s">
        <v>5275</v>
      </c>
      <c r="W711" s="498">
        <v>26</v>
      </c>
      <c r="X711" s="463" t="s">
        <v>2193</v>
      </c>
      <c r="Y711" s="463"/>
      <c r="Z711" s="463" t="s">
        <v>5276</v>
      </c>
      <c r="AA711" s="463" t="s">
        <v>1618</v>
      </c>
      <c r="AB711" s="459" t="s">
        <v>1592</v>
      </c>
    </row>
    <row r="712" spans="1:28" ht="24" customHeight="1">
      <c r="A712" s="584"/>
      <c r="B712" s="460" t="s">
        <v>675</v>
      </c>
      <c r="C712" s="458" t="s">
        <v>5277</v>
      </c>
      <c r="D712" s="510" t="s">
        <v>5278</v>
      </c>
      <c r="E712" s="498">
        <f t="shared" si="56"/>
        <v>60</v>
      </c>
      <c r="F712" s="498">
        <v>0</v>
      </c>
      <c r="G712" s="498">
        <v>60</v>
      </c>
      <c r="H712" s="498">
        <v>0</v>
      </c>
      <c r="I712" s="498">
        <v>40</v>
      </c>
      <c r="J712" s="498">
        <v>0</v>
      </c>
      <c r="K712" s="498">
        <v>40</v>
      </c>
      <c r="L712" s="668">
        <v>0</v>
      </c>
      <c r="M712" s="956">
        <v>0.66700000000000004</v>
      </c>
      <c r="N712" s="653">
        <v>0</v>
      </c>
      <c r="O712" s="669" t="s">
        <v>1153</v>
      </c>
      <c r="P712" s="463" t="s">
        <v>1588</v>
      </c>
      <c r="Q712" s="852">
        <v>0</v>
      </c>
      <c r="R712" s="852">
        <v>0</v>
      </c>
      <c r="S712" s="852">
        <v>0</v>
      </c>
      <c r="T712" s="852">
        <v>0</v>
      </c>
      <c r="U712" s="463"/>
      <c r="V712" s="463" t="s">
        <v>5279</v>
      </c>
      <c r="W712" s="498">
        <v>374</v>
      </c>
      <c r="X712" s="463" t="s">
        <v>2193</v>
      </c>
      <c r="Y712" s="463"/>
      <c r="Z712" s="463" t="s">
        <v>2395</v>
      </c>
      <c r="AA712" s="463"/>
      <c r="AB712" s="459" t="s">
        <v>1592</v>
      </c>
    </row>
    <row r="713" spans="1:28" ht="24" customHeight="1">
      <c r="A713" s="584"/>
      <c r="B713" s="460" t="s">
        <v>675</v>
      </c>
      <c r="C713" s="458" t="s">
        <v>5280</v>
      </c>
      <c r="D713" s="510" t="s">
        <v>5281</v>
      </c>
      <c r="E713" s="498">
        <f t="shared" si="56"/>
        <v>68</v>
      </c>
      <c r="F713" s="498">
        <v>0</v>
      </c>
      <c r="G713" s="498">
        <v>68</v>
      </c>
      <c r="H713" s="498">
        <v>0</v>
      </c>
      <c r="I713" s="498">
        <v>58</v>
      </c>
      <c r="J713" s="498">
        <v>0</v>
      </c>
      <c r="K713" s="498">
        <v>58</v>
      </c>
      <c r="L713" s="668">
        <v>0</v>
      </c>
      <c r="M713" s="956">
        <v>0.85299999999999998</v>
      </c>
      <c r="N713" s="653">
        <v>0</v>
      </c>
      <c r="O713" s="669" t="s">
        <v>1153</v>
      </c>
      <c r="P713" s="463" t="s">
        <v>1588</v>
      </c>
      <c r="Q713" s="852">
        <v>0</v>
      </c>
      <c r="R713" s="852">
        <v>0</v>
      </c>
      <c r="S713" s="852">
        <v>0</v>
      </c>
      <c r="T713" s="852">
        <v>0</v>
      </c>
      <c r="U713" s="463"/>
      <c r="V713" s="463" t="s">
        <v>5282</v>
      </c>
      <c r="W713" s="498">
        <v>319</v>
      </c>
      <c r="X713" s="463" t="s">
        <v>2193</v>
      </c>
      <c r="Y713" s="463"/>
      <c r="Z713" s="463" t="s">
        <v>1662</v>
      </c>
      <c r="AA713" s="463" t="s">
        <v>5117</v>
      </c>
      <c r="AB713" s="459" t="s">
        <v>1592</v>
      </c>
    </row>
    <row r="714" spans="1:28" ht="24" customHeight="1">
      <c r="A714" s="584"/>
      <c r="B714" s="460" t="s">
        <v>675</v>
      </c>
      <c r="C714" s="458" t="s">
        <v>5283</v>
      </c>
      <c r="D714" s="510" t="s">
        <v>5284</v>
      </c>
      <c r="E714" s="498">
        <f t="shared" si="56"/>
        <v>60</v>
      </c>
      <c r="F714" s="498">
        <v>0</v>
      </c>
      <c r="G714" s="498">
        <v>0</v>
      </c>
      <c r="H714" s="498">
        <v>60</v>
      </c>
      <c r="I714" s="498">
        <v>60</v>
      </c>
      <c r="J714" s="498">
        <v>0</v>
      </c>
      <c r="K714" s="498">
        <v>0</v>
      </c>
      <c r="L714" s="668">
        <v>60</v>
      </c>
      <c r="M714" s="956">
        <v>1</v>
      </c>
      <c r="N714" s="653">
        <v>0</v>
      </c>
      <c r="O714" s="669" t="s">
        <v>5285</v>
      </c>
      <c r="P714" s="463" t="s">
        <v>1588</v>
      </c>
      <c r="Q714" s="857">
        <v>0</v>
      </c>
      <c r="R714" s="857">
        <v>0</v>
      </c>
      <c r="S714" s="852">
        <v>0</v>
      </c>
      <c r="T714" s="852">
        <v>0</v>
      </c>
      <c r="U714" s="463"/>
      <c r="V714" s="463" t="s">
        <v>5286</v>
      </c>
      <c r="W714" s="498">
        <v>369</v>
      </c>
      <c r="X714" s="463" t="s">
        <v>2193</v>
      </c>
      <c r="Y714" s="463"/>
      <c r="Z714" s="463" t="s">
        <v>1660</v>
      </c>
      <c r="AA714" s="463"/>
      <c r="AB714" s="459" t="s">
        <v>1592</v>
      </c>
    </row>
    <row r="715" spans="1:28" ht="24" customHeight="1">
      <c r="A715" s="584"/>
      <c r="B715" s="460" t="s">
        <v>675</v>
      </c>
      <c r="C715" s="458" t="s">
        <v>5287</v>
      </c>
      <c r="D715" s="510" t="s">
        <v>5288</v>
      </c>
      <c r="E715" s="498">
        <f t="shared" si="56"/>
        <v>70</v>
      </c>
      <c r="F715" s="498">
        <v>0</v>
      </c>
      <c r="G715" s="498">
        <v>70</v>
      </c>
      <c r="H715" s="498">
        <v>0</v>
      </c>
      <c r="I715" s="498">
        <v>55</v>
      </c>
      <c r="J715" s="498">
        <v>0</v>
      </c>
      <c r="K715" s="498">
        <v>55</v>
      </c>
      <c r="L715" s="668">
        <v>0</v>
      </c>
      <c r="M715" s="956">
        <v>0.78599999999999992</v>
      </c>
      <c r="N715" s="653">
        <v>0</v>
      </c>
      <c r="O715" s="669" t="s">
        <v>1153</v>
      </c>
      <c r="P715" s="463" t="s">
        <v>1588</v>
      </c>
      <c r="Q715" s="852">
        <v>0</v>
      </c>
      <c r="R715" s="852">
        <v>0</v>
      </c>
      <c r="S715" s="852">
        <v>0</v>
      </c>
      <c r="T715" s="852">
        <v>0</v>
      </c>
      <c r="U715" s="463"/>
      <c r="V715" s="463" t="s">
        <v>5289</v>
      </c>
      <c r="W715" s="498">
        <v>261</v>
      </c>
      <c r="X715" s="463" t="s">
        <v>2193</v>
      </c>
      <c r="Y715" s="463"/>
      <c r="Z715" s="463" t="s">
        <v>1660</v>
      </c>
      <c r="AA715" s="463"/>
      <c r="AB715" s="459" t="s">
        <v>1592</v>
      </c>
    </row>
    <row r="716" spans="1:28" ht="24" customHeight="1">
      <c r="A716" s="584"/>
      <c r="B716" s="460" t="s">
        <v>675</v>
      </c>
      <c r="C716" s="458" t="s">
        <v>5290</v>
      </c>
      <c r="D716" s="510" t="s">
        <v>5291</v>
      </c>
      <c r="E716" s="498">
        <f t="shared" si="56"/>
        <v>50</v>
      </c>
      <c r="F716" s="498">
        <v>0</v>
      </c>
      <c r="G716" s="498">
        <v>0</v>
      </c>
      <c r="H716" s="498">
        <v>50</v>
      </c>
      <c r="I716" s="498">
        <v>42</v>
      </c>
      <c r="J716" s="498">
        <v>0</v>
      </c>
      <c r="K716" s="498">
        <v>0</v>
      </c>
      <c r="L716" s="668">
        <v>42</v>
      </c>
      <c r="M716" s="956">
        <v>0.84</v>
      </c>
      <c r="N716" s="653">
        <v>0</v>
      </c>
      <c r="O716" s="669" t="s">
        <v>5285</v>
      </c>
      <c r="P716" s="463" t="s">
        <v>1588</v>
      </c>
      <c r="Q716" s="852">
        <v>0</v>
      </c>
      <c r="R716" s="852">
        <v>0</v>
      </c>
      <c r="S716" s="852">
        <v>0</v>
      </c>
      <c r="T716" s="852">
        <v>0</v>
      </c>
      <c r="U716" s="463"/>
      <c r="V716" s="463" t="s">
        <v>5292</v>
      </c>
      <c r="W716" s="498">
        <v>501</v>
      </c>
      <c r="X716" s="463" t="s">
        <v>2193</v>
      </c>
      <c r="Y716" s="463" t="s">
        <v>3399</v>
      </c>
      <c r="Z716" s="463" t="s">
        <v>5293</v>
      </c>
      <c r="AA716" s="463" t="s">
        <v>1618</v>
      </c>
      <c r="AB716" s="459" t="s">
        <v>1592</v>
      </c>
    </row>
    <row r="717" spans="1:28" ht="24" customHeight="1">
      <c r="A717" s="582" t="s">
        <v>1661</v>
      </c>
      <c r="B717" s="460" t="s">
        <v>2201</v>
      </c>
      <c r="C717" s="458" t="s">
        <v>2411</v>
      </c>
      <c r="D717" s="510" t="s">
        <v>5294</v>
      </c>
      <c r="E717" s="498">
        <f t="shared" si="56"/>
        <v>15000</v>
      </c>
      <c r="F717" s="498">
        <v>0</v>
      </c>
      <c r="G717" s="498">
        <v>0</v>
      </c>
      <c r="H717" s="498">
        <v>15000</v>
      </c>
      <c r="I717" s="498">
        <v>11708</v>
      </c>
      <c r="J717" s="498">
        <v>0</v>
      </c>
      <c r="K717" s="498">
        <v>0</v>
      </c>
      <c r="L717" s="698">
        <v>11708</v>
      </c>
      <c r="M717" s="956">
        <v>0.95604395604395609</v>
      </c>
      <c r="N717" s="653">
        <v>1018.596</v>
      </c>
      <c r="O717" s="669" t="s">
        <v>2211</v>
      </c>
      <c r="P717" s="463" t="s">
        <v>2211</v>
      </c>
      <c r="Q717" s="852">
        <v>0</v>
      </c>
      <c r="R717" s="852">
        <v>0</v>
      </c>
      <c r="S717" s="852">
        <v>0</v>
      </c>
      <c r="T717" s="852">
        <v>0</v>
      </c>
      <c r="U717" s="463" t="s">
        <v>7477</v>
      </c>
      <c r="V717" s="480" t="s">
        <v>5295</v>
      </c>
      <c r="W717" s="578">
        <v>41341</v>
      </c>
      <c r="X717" s="463" t="s">
        <v>2199</v>
      </c>
      <c r="Y717" s="463"/>
      <c r="Z717" s="463"/>
      <c r="AA717" s="463" t="s">
        <v>1592</v>
      </c>
      <c r="AB717" s="459" t="s">
        <v>1592</v>
      </c>
    </row>
    <row r="718" spans="1:28" ht="24" customHeight="1">
      <c r="A718" s="584"/>
      <c r="B718" s="460" t="s">
        <v>2201</v>
      </c>
      <c r="C718" s="458" t="s">
        <v>5296</v>
      </c>
      <c r="D718" s="510" t="s">
        <v>5297</v>
      </c>
      <c r="E718" s="498">
        <f t="shared" si="56"/>
        <v>1800</v>
      </c>
      <c r="F718" s="498">
        <v>0</v>
      </c>
      <c r="G718" s="498">
        <v>0</v>
      </c>
      <c r="H718" s="498">
        <v>1800</v>
      </c>
      <c r="I718" s="498">
        <v>230</v>
      </c>
      <c r="J718" s="498">
        <v>0</v>
      </c>
      <c r="K718" s="498">
        <v>0</v>
      </c>
      <c r="L718" s="698">
        <v>230</v>
      </c>
      <c r="M718" s="956">
        <v>0.89403973509933776</v>
      </c>
      <c r="N718" s="653">
        <v>12.42</v>
      </c>
      <c r="O718" s="669" t="s">
        <v>3538</v>
      </c>
      <c r="P718" s="463" t="s">
        <v>3538</v>
      </c>
      <c r="Q718" s="852">
        <v>0</v>
      </c>
      <c r="R718" s="852">
        <v>0</v>
      </c>
      <c r="S718" s="852">
        <v>0</v>
      </c>
      <c r="T718" s="852">
        <v>0</v>
      </c>
      <c r="U718" s="463" t="s">
        <v>7477</v>
      </c>
      <c r="V718" s="463" t="s">
        <v>5298</v>
      </c>
      <c r="W718" s="498">
        <v>7800</v>
      </c>
      <c r="X718" s="463" t="s">
        <v>2199</v>
      </c>
      <c r="Y718" s="463"/>
      <c r="Z718" s="463"/>
      <c r="AA718" s="463" t="s">
        <v>1592</v>
      </c>
      <c r="AB718" s="459" t="s">
        <v>1592</v>
      </c>
    </row>
    <row r="719" spans="1:28" ht="24" customHeight="1">
      <c r="A719" s="584"/>
      <c r="B719" s="460" t="s">
        <v>675</v>
      </c>
      <c r="C719" s="458" t="s">
        <v>5299</v>
      </c>
      <c r="D719" s="510" t="s">
        <v>5300</v>
      </c>
      <c r="E719" s="498">
        <f t="shared" si="56"/>
        <v>120</v>
      </c>
      <c r="F719" s="498">
        <v>0</v>
      </c>
      <c r="G719" s="498">
        <v>120</v>
      </c>
      <c r="H719" s="498">
        <v>0</v>
      </c>
      <c r="I719" s="498">
        <v>94</v>
      </c>
      <c r="J719" s="498">
        <v>0</v>
      </c>
      <c r="K719" s="498">
        <v>94</v>
      </c>
      <c r="L719" s="668">
        <v>0</v>
      </c>
      <c r="M719" s="956">
        <v>0.92</v>
      </c>
      <c r="N719" s="653">
        <v>216</v>
      </c>
      <c r="O719" s="669" t="s">
        <v>5301</v>
      </c>
      <c r="P719" s="463" t="s">
        <v>5301</v>
      </c>
      <c r="Q719" s="852">
        <v>0</v>
      </c>
      <c r="R719" s="852">
        <v>0</v>
      </c>
      <c r="S719" s="852">
        <v>0</v>
      </c>
      <c r="T719" s="852">
        <v>0</v>
      </c>
      <c r="U719" s="463" t="s">
        <v>7478</v>
      </c>
      <c r="V719" s="463" t="s">
        <v>5302</v>
      </c>
      <c r="W719" s="498">
        <v>400</v>
      </c>
      <c r="X719" s="463" t="s">
        <v>2193</v>
      </c>
      <c r="Y719" s="463"/>
      <c r="Z719" s="463"/>
      <c r="AA719" s="463" t="s">
        <v>5303</v>
      </c>
      <c r="AB719" s="459" t="s">
        <v>1592</v>
      </c>
    </row>
    <row r="720" spans="1:28" ht="24" customHeight="1">
      <c r="A720" s="584"/>
      <c r="B720" s="460" t="s">
        <v>675</v>
      </c>
      <c r="C720" s="458" t="s">
        <v>5304</v>
      </c>
      <c r="D720" s="510" t="s">
        <v>5305</v>
      </c>
      <c r="E720" s="498">
        <f t="shared" si="56"/>
        <v>103</v>
      </c>
      <c r="F720" s="498">
        <v>0</v>
      </c>
      <c r="G720" s="498">
        <v>103</v>
      </c>
      <c r="H720" s="498">
        <v>0</v>
      </c>
      <c r="I720" s="498">
        <v>64</v>
      </c>
      <c r="J720" s="498">
        <v>0</v>
      </c>
      <c r="K720" s="498">
        <v>64</v>
      </c>
      <c r="L720" s="668">
        <v>0</v>
      </c>
      <c r="M720" s="956">
        <v>0.92</v>
      </c>
      <c r="N720" s="653">
        <v>436.8</v>
      </c>
      <c r="O720" s="669" t="s">
        <v>5301</v>
      </c>
      <c r="P720" s="463" t="s">
        <v>5301</v>
      </c>
      <c r="Q720" s="852">
        <v>0</v>
      </c>
      <c r="R720" s="852">
        <v>0</v>
      </c>
      <c r="S720" s="852">
        <v>0</v>
      </c>
      <c r="T720" s="852">
        <v>0</v>
      </c>
      <c r="U720" s="463" t="s">
        <v>7479</v>
      </c>
      <c r="V720" s="463" t="s">
        <v>5306</v>
      </c>
      <c r="W720" s="498">
        <v>528</v>
      </c>
      <c r="X720" s="463" t="s">
        <v>2193</v>
      </c>
      <c r="Y720" s="463"/>
      <c r="Z720" s="463"/>
      <c r="AA720" s="463" t="s">
        <v>1592</v>
      </c>
      <c r="AB720" s="459" t="s">
        <v>1592</v>
      </c>
    </row>
    <row r="721" spans="1:28" ht="24" customHeight="1">
      <c r="A721" s="584"/>
      <c r="B721" s="460" t="s">
        <v>675</v>
      </c>
      <c r="C721" s="458" t="s">
        <v>884</v>
      </c>
      <c r="D721" s="510" t="s">
        <v>5307</v>
      </c>
      <c r="E721" s="498">
        <f t="shared" si="56"/>
        <v>32</v>
      </c>
      <c r="F721" s="498">
        <v>0</v>
      </c>
      <c r="G721" s="498">
        <v>32</v>
      </c>
      <c r="H721" s="498">
        <v>0</v>
      </c>
      <c r="I721" s="498">
        <v>21</v>
      </c>
      <c r="J721" s="498">
        <v>0</v>
      </c>
      <c r="K721" s="498">
        <v>21</v>
      </c>
      <c r="L721" s="668">
        <v>0</v>
      </c>
      <c r="M721" s="956">
        <v>0.92</v>
      </c>
      <c r="N721" s="653">
        <v>41.1</v>
      </c>
      <c r="O721" s="669" t="s">
        <v>5301</v>
      </c>
      <c r="P721" s="463" t="s">
        <v>5301</v>
      </c>
      <c r="Q721" s="852">
        <v>0</v>
      </c>
      <c r="R721" s="852">
        <v>0</v>
      </c>
      <c r="S721" s="852">
        <v>0</v>
      </c>
      <c r="T721" s="852">
        <v>0</v>
      </c>
      <c r="U721" s="463" t="s">
        <v>7479</v>
      </c>
      <c r="V721" s="463" t="s">
        <v>5308</v>
      </c>
      <c r="W721" s="498">
        <v>68</v>
      </c>
      <c r="X721" s="463" t="s">
        <v>2193</v>
      </c>
      <c r="Y721" s="463"/>
      <c r="Z721" s="463" t="s">
        <v>1662</v>
      </c>
      <c r="AA721" s="463" t="s">
        <v>1592</v>
      </c>
      <c r="AB721" s="459" t="s">
        <v>1592</v>
      </c>
    </row>
    <row r="722" spans="1:28" ht="24" customHeight="1">
      <c r="A722" s="584"/>
      <c r="B722" s="460" t="s">
        <v>675</v>
      </c>
      <c r="C722" s="458" t="s">
        <v>5309</v>
      </c>
      <c r="D722" s="510" t="s">
        <v>5310</v>
      </c>
      <c r="E722" s="498">
        <f t="shared" si="56"/>
        <v>32</v>
      </c>
      <c r="F722" s="498">
        <v>0</v>
      </c>
      <c r="G722" s="498">
        <v>32</v>
      </c>
      <c r="H722" s="498">
        <v>0</v>
      </c>
      <c r="I722" s="498">
        <v>19</v>
      </c>
      <c r="J722" s="498">
        <v>0</v>
      </c>
      <c r="K722" s="498">
        <v>19</v>
      </c>
      <c r="L722" s="668">
        <v>0</v>
      </c>
      <c r="M722" s="956">
        <v>0.92</v>
      </c>
      <c r="N722" s="653">
        <v>42.8</v>
      </c>
      <c r="O722" s="669" t="s">
        <v>5301</v>
      </c>
      <c r="P722" s="463" t="s">
        <v>5301</v>
      </c>
      <c r="Q722" s="852">
        <v>0</v>
      </c>
      <c r="R722" s="852">
        <v>0</v>
      </c>
      <c r="S722" s="852">
        <v>0</v>
      </c>
      <c r="T722" s="852">
        <v>0</v>
      </c>
      <c r="U722" s="463" t="s">
        <v>7479</v>
      </c>
      <c r="V722" s="463" t="s">
        <v>5311</v>
      </c>
      <c r="W722" s="498">
        <v>159</v>
      </c>
      <c r="X722" s="463" t="s">
        <v>2193</v>
      </c>
      <c r="Y722" s="463"/>
      <c r="Z722" s="463"/>
      <c r="AA722" s="463" t="s">
        <v>1592</v>
      </c>
      <c r="AB722" s="459" t="s">
        <v>1592</v>
      </c>
    </row>
    <row r="723" spans="1:28" ht="24" customHeight="1">
      <c r="A723" s="584"/>
      <c r="B723" s="460" t="s">
        <v>675</v>
      </c>
      <c r="C723" s="458" t="s">
        <v>5312</v>
      </c>
      <c r="D723" s="510" t="s">
        <v>5313</v>
      </c>
      <c r="E723" s="498">
        <f t="shared" si="56"/>
        <v>250</v>
      </c>
      <c r="F723" s="498">
        <v>0</v>
      </c>
      <c r="G723" s="498">
        <v>250</v>
      </c>
      <c r="H723" s="498">
        <v>0</v>
      </c>
      <c r="I723" s="498">
        <v>216</v>
      </c>
      <c r="J723" s="498">
        <v>0</v>
      </c>
      <c r="K723" s="498">
        <v>216</v>
      </c>
      <c r="L723" s="668">
        <v>0</v>
      </c>
      <c r="M723" s="956">
        <v>0.92</v>
      </c>
      <c r="N723" s="653">
        <v>160.9</v>
      </c>
      <c r="O723" s="669" t="s">
        <v>5301</v>
      </c>
      <c r="P723" s="463" t="s">
        <v>5301</v>
      </c>
      <c r="Q723" s="852">
        <v>0</v>
      </c>
      <c r="R723" s="852">
        <v>0</v>
      </c>
      <c r="S723" s="852">
        <v>0</v>
      </c>
      <c r="T723" s="852">
        <v>0</v>
      </c>
      <c r="U723" s="463" t="s">
        <v>7480</v>
      </c>
      <c r="V723" s="463">
        <v>2000.09</v>
      </c>
      <c r="W723" s="498">
        <v>1200</v>
      </c>
      <c r="X723" s="463" t="s">
        <v>2193</v>
      </c>
      <c r="Y723" s="463"/>
      <c r="Z723" s="463"/>
      <c r="AA723" s="463" t="s">
        <v>1642</v>
      </c>
      <c r="AB723" s="459" t="s">
        <v>1596</v>
      </c>
    </row>
    <row r="724" spans="1:28" ht="24" customHeight="1">
      <c r="A724" s="584"/>
      <c r="B724" s="460" t="s">
        <v>675</v>
      </c>
      <c r="C724" s="458" t="s">
        <v>5314</v>
      </c>
      <c r="D724" s="510" t="s">
        <v>5315</v>
      </c>
      <c r="E724" s="498">
        <f t="shared" si="56"/>
        <v>68</v>
      </c>
      <c r="F724" s="498">
        <v>0</v>
      </c>
      <c r="G724" s="498">
        <v>68</v>
      </c>
      <c r="H724" s="498">
        <v>0</v>
      </c>
      <c r="I724" s="498">
        <v>66</v>
      </c>
      <c r="J724" s="498">
        <v>0</v>
      </c>
      <c r="K724" s="498">
        <v>66</v>
      </c>
      <c r="L724" s="668">
        <v>0</v>
      </c>
      <c r="M724" s="956">
        <v>0.92</v>
      </c>
      <c r="N724" s="653">
        <v>72.8</v>
      </c>
      <c r="O724" s="669" t="s">
        <v>5301</v>
      </c>
      <c r="P724" s="463" t="s">
        <v>5301</v>
      </c>
      <c r="Q724" s="852">
        <v>0</v>
      </c>
      <c r="R724" s="852">
        <v>0</v>
      </c>
      <c r="S724" s="852">
        <v>0</v>
      </c>
      <c r="T724" s="852">
        <v>0</v>
      </c>
      <c r="U724" s="463" t="s">
        <v>7479</v>
      </c>
      <c r="V724" s="463" t="s">
        <v>5316</v>
      </c>
      <c r="W724" s="498">
        <v>450</v>
      </c>
      <c r="X724" s="463" t="s">
        <v>2193</v>
      </c>
      <c r="Y724" s="463"/>
      <c r="Z724" s="463"/>
      <c r="AA724" s="463" t="s">
        <v>1642</v>
      </c>
      <c r="AB724" s="459" t="s">
        <v>1596</v>
      </c>
    </row>
    <row r="725" spans="1:28" ht="24" customHeight="1">
      <c r="A725" s="584"/>
      <c r="B725" s="460" t="s">
        <v>675</v>
      </c>
      <c r="C725" s="458" t="s">
        <v>5317</v>
      </c>
      <c r="D725" s="510" t="s">
        <v>5318</v>
      </c>
      <c r="E725" s="498">
        <f t="shared" si="56"/>
        <v>68</v>
      </c>
      <c r="F725" s="498">
        <v>0</v>
      </c>
      <c r="G725" s="498">
        <v>68</v>
      </c>
      <c r="H725" s="498">
        <v>0</v>
      </c>
      <c r="I725" s="498">
        <v>48</v>
      </c>
      <c r="J725" s="498">
        <v>0</v>
      </c>
      <c r="K725" s="498">
        <v>48</v>
      </c>
      <c r="L725" s="668">
        <v>0</v>
      </c>
      <c r="M725" s="956">
        <v>0.92</v>
      </c>
      <c r="N725" s="653">
        <v>220.8</v>
      </c>
      <c r="O725" s="669" t="s">
        <v>5301</v>
      </c>
      <c r="P725" s="463" t="s">
        <v>5301</v>
      </c>
      <c r="Q725" s="852">
        <v>0</v>
      </c>
      <c r="R725" s="852">
        <v>0</v>
      </c>
      <c r="S725" s="852">
        <v>0</v>
      </c>
      <c r="T725" s="852">
        <v>0</v>
      </c>
      <c r="U725" s="463" t="s">
        <v>7479</v>
      </c>
      <c r="V725" s="463" t="s">
        <v>5319</v>
      </c>
      <c r="W725" s="498">
        <v>450</v>
      </c>
      <c r="X725" s="463" t="s">
        <v>2193</v>
      </c>
      <c r="Y725" s="463"/>
      <c r="Z725" s="463"/>
      <c r="AA725" s="463" t="s">
        <v>1642</v>
      </c>
      <c r="AB725" s="459" t="s">
        <v>1596</v>
      </c>
    </row>
    <row r="726" spans="1:28" ht="24" customHeight="1">
      <c r="A726" s="584"/>
      <c r="B726" s="460" t="s">
        <v>675</v>
      </c>
      <c r="C726" s="458" t="s">
        <v>1799</v>
      </c>
      <c r="D726" s="510" t="s">
        <v>5313</v>
      </c>
      <c r="E726" s="498">
        <f t="shared" si="56"/>
        <v>70</v>
      </c>
      <c r="F726" s="498">
        <v>0</v>
      </c>
      <c r="G726" s="498">
        <v>70</v>
      </c>
      <c r="H726" s="498">
        <v>0</v>
      </c>
      <c r="I726" s="498">
        <v>47</v>
      </c>
      <c r="J726" s="498">
        <v>0</v>
      </c>
      <c r="K726" s="498">
        <v>47</v>
      </c>
      <c r="L726" s="668">
        <v>0</v>
      </c>
      <c r="M726" s="956">
        <v>0.92</v>
      </c>
      <c r="N726" s="653">
        <v>99.4</v>
      </c>
      <c r="O726" s="669" t="s">
        <v>5301</v>
      </c>
      <c r="P726" s="463" t="s">
        <v>5301</v>
      </c>
      <c r="Q726" s="852">
        <v>0</v>
      </c>
      <c r="R726" s="852">
        <v>0</v>
      </c>
      <c r="S726" s="852">
        <v>0</v>
      </c>
      <c r="T726" s="852">
        <v>0</v>
      </c>
      <c r="U726" s="463" t="s">
        <v>7479</v>
      </c>
      <c r="V726" s="463" t="s">
        <v>5306</v>
      </c>
      <c r="W726" s="498">
        <v>351</v>
      </c>
      <c r="X726" s="463" t="s">
        <v>2193</v>
      </c>
      <c r="Y726" s="463"/>
      <c r="Z726" s="463"/>
      <c r="AA726" s="463" t="s">
        <v>1642</v>
      </c>
      <c r="AB726" s="459" t="s">
        <v>1596</v>
      </c>
    </row>
    <row r="727" spans="1:28" ht="24" customHeight="1">
      <c r="A727" s="584"/>
      <c r="B727" s="460" t="s">
        <v>675</v>
      </c>
      <c r="C727" s="458" t="s">
        <v>5320</v>
      </c>
      <c r="D727" s="510" t="s">
        <v>5321</v>
      </c>
      <c r="E727" s="498">
        <f t="shared" si="56"/>
        <v>136</v>
      </c>
      <c r="F727" s="498">
        <v>0</v>
      </c>
      <c r="G727" s="498">
        <v>136</v>
      </c>
      <c r="H727" s="498">
        <v>0</v>
      </c>
      <c r="I727" s="498">
        <v>91</v>
      </c>
      <c r="J727" s="498">
        <v>0</v>
      </c>
      <c r="K727" s="498">
        <v>91</v>
      </c>
      <c r="L727" s="668">
        <v>0</v>
      </c>
      <c r="M727" s="956">
        <v>0.92</v>
      </c>
      <c r="N727" s="653">
        <v>392.6</v>
      </c>
      <c r="O727" s="669" t="s">
        <v>5301</v>
      </c>
      <c r="P727" s="463" t="s">
        <v>5301</v>
      </c>
      <c r="Q727" s="852">
        <v>0</v>
      </c>
      <c r="R727" s="852">
        <v>0</v>
      </c>
      <c r="S727" s="852">
        <v>0</v>
      </c>
      <c r="T727" s="852">
        <v>0</v>
      </c>
      <c r="U727" s="463" t="s">
        <v>7479</v>
      </c>
      <c r="V727" s="463" t="s">
        <v>3857</v>
      </c>
      <c r="W727" s="498">
        <v>519</v>
      </c>
      <c r="X727" s="463" t="s">
        <v>2193</v>
      </c>
      <c r="Y727" s="463"/>
      <c r="Z727" s="463" t="s">
        <v>1662</v>
      </c>
      <c r="AA727" s="463" t="s">
        <v>1592</v>
      </c>
      <c r="AB727" s="459" t="s">
        <v>1592</v>
      </c>
    </row>
    <row r="728" spans="1:28" ht="24" customHeight="1">
      <c r="A728" s="584"/>
      <c r="B728" s="460" t="s">
        <v>675</v>
      </c>
      <c r="C728" s="458" t="s">
        <v>2067</v>
      </c>
      <c r="D728" s="510" t="s">
        <v>5322</v>
      </c>
      <c r="E728" s="498">
        <f t="shared" si="56"/>
        <v>97</v>
      </c>
      <c r="F728" s="498">
        <v>0</v>
      </c>
      <c r="G728" s="498">
        <v>97</v>
      </c>
      <c r="H728" s="498">
        <v>0</v>
      </c>
      <c r="I728" s="498">
        <v>80</v>
      </c>
      <c r="J728" s="498">
        <v>0</v>
      </c>
      <c r="K728" s="498">
        <v>80</v>
      </c>
      <c r="L728" s="668">
        <v>0</v>
      </c>
      <c r="M728" s="956">
        <v>0.92</v>
      </c>
      <c r="N728" s="653">
        <v>41.2</v>
      </c>
      <c r="O728" s="669" t="s">
        <v>5301</v>
      </c>
      <c r="P728" s="463" t="s">
        <v>5301</v>
      </c>
      <c r="Q728" s="852">
        <v>0</v>
      </c>
      <c r="R728" s="852">
        <v>0</v>
      </c>
      <c r="S728" s="852">
        <v>0</v>
      </c>
      <c r="T728" s="852">
        <v>0</v>
      </c>
      <c r="U728" s="463" t="s">
        <v>7478</v>
      </c>
      <c r="V728" s="463" t="s">
        <v>5323</v>
      </c>
      <c r="W728" s="498">
        <v>400</v>
      </c>
      <c r="X728" s="463" t="s">
        <v>2193</v>
      </c>
      <c r="Y728" s="463"/>
      <c r="Z728" s="463" t="s">
        <v>1662</v>
      </c>
      <c r="AA728" s="463" t="s">
        <v>1592</v>
      </c>
      <c r="AB728" s="459" t="s">
        <v>1592</v>
      </c>
    </row>
    <row r="729" spans="1:28" ht="24" customHeight="1">
      <c r="A729" s="584"/>
      <c r="B729" s="460" t="s">
        <v>675</v>
      </c>
      <c r="C729" s="458" t="s">
        <v>5324</v>
      </c>
      <c r="D729" s="510" t="s">
        <v>5325</v>
      </c>
      <c r="E729" s="498">
        <f t="shared" si="56"/>
        <v>120</v>
      </c>
      <c r="F729" s="498">
        <v>0</v>
      </c>
      <c r="G729" s="498">
        <v>120</v>
      </c>
      <c r="H729" s="498">
        <v>0</v>
      </c>
      <c r="I729" s="498">
        <v>99</v>
      </c>
      <c r="J729" s="498">
        <v>0</v>
      </c>
      <c r="K729" s="498">
        <v>99</v>
      </c>
      <c r="L729" s="668">
        <v>0</v>
      </c>
      <c r="M729" s="956">
        <v>0.92</v>
      </c>
      <c r="N729" s="653">
        <v>182</v>
      </c>
      <c r="O729" s="669" t="s">
        <v>5301</v>
      </c>
      <c r="P729" s="463" t="s">
        <v>5301</v>
      </c>
      <c r="Q729" s="852">
        <v>0</v>
      </c>
      <c r="R729" s="852">
        <v>0</v>
      </c>
      <c r="S729" s="852">
        <v>0</v>
      </c>
      <c r="T729" s="852">
        <v>0</v>
      </c>
      <c r="U729" s="463" t="s">
        <v>7478</v>
      </c>
      <c r="V729" s="463" t="s">
        <v>5326</v>
      </c>
      <c r="W729" s="498">
        <v>400</v>
      </c>
      <c r="X729" s="463" t="s">
        <v>2193</v>
      </c>
      <c r="Y729" s="463"/>
      <c r="Z729" s="463" t="s">
        <v>1663</v>
      </c>
      <c r="AA729" s="463" t="s">
        <v>1592</v>
      </c>
      <c r="AB729" s="459" t="s">
        <v>1592</v>
      </c>
    </row>
    <row r="730" spans="1:28" ht="24" customHeight="1">
      <c r="A730" s="584"/>
      <c r="B730" s="460" t="s">
        <v>675</v>
      </c>
      <c r="C730" s="458" t="s">
        <v>5327</v>
      </c>
      <c r="D730" s="510" t="s">
        <v>5328</v>
      </c>
      <c r="E730" s="498">
        <f t="shared" si="56"/>
        <v>170</v>
      </c>
      <c r="F730" s="498">
        <v>0</v>
      </c>
      <c r="G730" s="498">
        <v>170</v>
      </c>
      <c r="H730" s="498">
        <v>0</v>
      </c>
      <c r="I730" s="498">
        <v>136</v>
      </c>
      <c r="J730" s="498">
        <v>0</v>
      </c>
      <c r="K730" s="498">
        <v>136</v>
      </c>
      <c r="L730" s="668">
        <v>0</v>
      </c>
      <c r="M730" s="956">
        <v>0.92</v>
      </c>
      <c r="N730" s="653">
        <v>188.9</v>
      </c>
      <c r="O730" s="669" t="s">
        <v>5329</v>
      </c>
      <c r="P730" s="463" t="s">
        <v>5330</v>
      </c>
      <c r="Q730" s="852">
        <v>0</v>
      </c>
      <c r="R730" s="852">
        <v>0</v>
      </c>
      <c r="S730" s="852">
        <v>0</v>
      </c>
      <c r="T730" s="852">
        <v>0</v>
      </c>
      <c r="U730" s="463" t="s">
        <v>7478</v>
      </c>
      <c r="V730" s="463" t="s">
        <v>5331</v>
      </c>
      <c r="W730" s="498">
        <v>400</v>
      </c>
      <c r="X730" s="463" t="s">
        <v>2193</v>
      </c>
      <c r="Y730" s="463"/>
      <c r="Z730" s="463" t="s">
        <v>1663</v>
      </c>
      <c r="AA730" s="463" t="s">
        <v>1592</v>
      </c>
      <c r="AB730" s="459" t="s">
        <v>1592</v>
      </c>
    </row>
    <row r="731" spans="1:28" ht="24" customHeight="1">
      <c r="A731" s="582" t="s">
        <v>1664</v>
      </c>
      <c r="B731" s="460" t="s">
        <v>2201</v>
      </c>
      <c r="C731" s="458" t="s">
        <v>1607</v>
      </c>
      <c r="D731" s="510" t="s">
        <v>5332</v>
      </c>
      <c r="E731" s="498">
        <f t="shared" si="56"/>
        <v>5000</v>
      </c>
      <c r="F731" s="498">
        <v>0</v>
      </c>
      <c r="G731" s="498">
        <v>0</v>
      </c>
      <c r="H731" s="498">
        <v>5000</v>
      </c>
      <c r="I731" s="498">
        <f>J731+K731+L731</f>
        <v>3657</v>
      </c>
      <c r="J731" s="498">
        <v>0</v>
      </c>
      <c r="K731" s="498">
        <v>0</v>
      </c>
      <c r="L731" s="668">
        <v>3657</v>
      </c>
      <c r="M731" s="956">
        <v>0.91317365269461082</v>
      </c>
      <c r="N731" s="653">
        <v>223.077</v>
      </c>
      <c r="O731" s="669" t="s">
        <v>1535</v>
      </c>
      <c r="P731" s="463" t="s">
        <v>3388</v>
      </c>
      <c r="Q731" s="852">
        <v>0</v>
      </c>
      <c r="R731" s="852">
        <v>0</v>
      </c>
      <c r="S731" s="852">
        <v>0</v>
      </c>
      <c r="T731" s="852">
        <v>0</v>
      </c>
      <c r="U731" s="463" t="s">
        <v>5333</v>
      </c>
      <c r="V731" s="466" t="s">
        <v>5334</v>
      </c>
      <c r="W731" s="653">
        <v>17470</v>
      </c>
      <c r="X731" s="463" t="s">
        <v>2199</v>
      </c>
      <c r="Y731" s="463" t="s">
        <v>3336</v>
      </c>
      <c r="Z731" s="463" t="s">
        <v>5335</v>
      </c>
      <c r="AA731" s="463" t="s">
        <v>1592</v>
      </c>
      <c r="AB731" s="459" t="s">
        <v>1596</v>
      </c>
    </row>
    <row r="732" spans="1:28" ht="24" customHeight="1">
      <c r="A732" s="584"/>
      <c r="B732" s="460" t="s">
        <v>675</v>
      </c>
      <c r="C732" s="458" t="s">
        <v>5336</v>
      </c>
      <c r="D732" s="510" t="s">
        <v>5337</v>
      </c>
      <c r="E732" s="498">
        <f t="shared" si="56"/>
        <v>36</v>
      </c>
      <c r="F732" s="498">
        <v>0</v>
      </c>
      <c r="G732" s="498">
        <v>36</v>
      </c>
      <c r="H732" s="498">
        <v>0</v>
      </c>
      <c r="I732" s="498">
        <v>0</v>
      </c>
      <c r="J732" s="498">
        <v>0</v>
      </c>
      <c r="K732" s="498">
        <v>0</v>
      </c>
      <c r="L732" s="668">
        <v>0</v>
      </c>
      <c r="M732" s="956">
        <v>0</v>
      </c>
      <c r="N732" s="653">
        <v>0</v>
      </c>
      <c r="O732" s="669" t="s">
        <v>5338</v>
      </c>
      <c r="P732" s="463" t="s">
        <v>1588</v>
      </c>
      <c r="Q732" s="852">
        <v>0</v>
      </c>
      <c r="R732" s="852">
        <v>0</v>
      </c>
      <c r="S732" s="852">
        <v>0</v>
      </c>
      <c r="T732" s="852">
        <v>0</v>
      </c>
      <c r="U732" s="463" t="s">
        <v>5339</v>
      </c>
      <c r="V732" s="463" t="s">
        <v>5340</v>
      </c>
      <c r="W732" s="653">
        <v>271</v>
      </c>
      <c r="X732" s="463" t="s">
        <v>2199</v>
      </c>
      <c r="Y732" s="463"/>
      <c r="Z732" s="463" t="s">
        <v>5341</v>
      </c>
      <c r="AA732" s="463" t="s">
        <v>1592</v>
      </c>
      <c r="AB732" s="459" t="s">
        <v>1596</v>
      </c>
    </row>
    <row r="733" spans="1:28" ht="24" customHeight="1">
      <c r="A733" s="584"/>
      <c r="B733" s="460" t="s">
        <v>675</v>
      </c>
      <c r="C733" s="458" t="s">
        <v>5342</v>
      </c>
      <c r="D733" s="510" t="s">
        <v>5343</v>
      </c>
      <c r="E733" s="498">
        <f t="shared" si="56"/>
        <v>36</v>
      </c>
      <c r="F733" s="498">
        <v>0</v>
      </c>
      <c r="G733" s="498">
        <v>36</v>
      </c>
      <c r="H733" s="498">
        <v>0</v>
      </c>
      <c r="I733" s="498">
        <v>0.36</v>
      </c>
      <c r="J733" s="498">
        <v>0</v>
      </c>
      <c r="K733" s="498">
        <v>0.36</v>
      </c>
      <c r="L733" s="668">
        <v>0</v>
      </c>
      <c r="M733" s="956">
        <v>0.01</v>
      </c>
      <c r="N733" s="653">
        <v>9</v>
      </c>
      <c r="O733" s="669" t="s">
        <v>5338</v>
      </c>
      <c r="P733" s="463" t="s">
        <v>1588</v>
      </c>
      <c r="Q733" s="852">
        <v>0</v>
      </c>
      <c r="R733" s="852">
        <v>0</v>
      </c>
      <c r="S733" s="852">
        <v>0</v>
      </c>
      <c r="T733" s="852">
        <v>0</v>
      </c>
      <c r="U733" s="463" t="s">
        <v>5339</v>
      </c>
      <c r="V733" s="463" t="s">
        <v>5344</v>
      </c>
      <c r="W733" s="653">
        <v>425</v>
      </c>
      <c r="X733" s="463" t="s">
        <v>2199</v>
      </c>
      <c r="Y733" s="463"/>
      <c r="Z733" s="463" t="s">
        <v>5341</v>
      </c>
      <c r="AA733" s="463" t="s">
        <v>1592</v>
      </c>
      <c r="AB733" s="459" t="s">
        <v>1596</v>
      </c>
    </row>
    <row r="734" spans="1:28" ht="24" customHeight="1">
      <c r="A734" s="584"/>
      <c r="B734" s="460" t="s">
        <v>675</v>
      </c>
      <c r="C734" s="458" t="s">
        <v>5345</v>
      </c>
      <c r="D734" s="510" t="s">
        <v>5346</v>
      </c>
      <c r="E734" s="498">
        <f t="shared" si="56"/>
        <v>50</v>
      </c>
      <c r="F734" s="498">
        <v>0</v>
      </c>
      <c r="G734" s="498">
        <v>0</v>
      </c>
      <c r="H734" s="498">
        <v>50</v>
      </c>
      <c r="I734" s="498">
        <v>5</v>
      </c>
      <c r="J734" s="498">
        <v>0</v>
      </c>
      <c r="K734" s="498">
        <v>0</v>
      </c>
      <c r="L734" s="668">
        <v>5</v>
      </c>
      <c r="M734" s="956">
        <v>0.1</v>
      </c>
      <c r="N734" s="653">
        <v>35</v>
      </c>
      <c r="O734" s="669" t="s">
        <v>5347</v>
      </c>
      <c r="P734" s="463" t="s">
        <v>5348</v>
      </c>
      <c r="Q734" s="852">
        <v>0</v>
      </c>
      <c r="R734" s="852">
        <v>0</v>
      </c>
      <c r="S734" s="852">
        <v>0</v>
      </c>
      <c r="T734" s="852">
        <v>0</v>
      </c>
      <c r="U734" s="463" t="s">
        <v>5349</v>
      </c>
      <c r="V734" s="463" t="s">
        <v>5350</v>
      </c>
      <c r="W734" s="653">
        <v>484</v>
      </c>
      <c r="X734" s="463" t="s">
        <v>2199</v>
      </c>
      <c r="Y734" s="463"/>
      <c r="Z734" s="463" t="s">
        <v>5351</v>
      </c>
      <c r="AA734" s="463" t="s">
        <v>1592</v>
      </c>
      <c r="AB734" s="459" t="s">
        <v>1596</v>
      </c>
    </row>
    <row r="735" spans="1:28" ht="24" customHeight="1">
      <c r="A735" s="584"/>
      <c r="B735" s="460" t="s">
        <v>675</v>
      </c>
      <c r="C735" s="458" t="s">
        <v>5352</v>
      </c>
      <c r="D735" s="510" t="s">
        <v>5353</v>
      </c>
      <c r="E735" s="498">
        <f t="shared" si="56"/>
        <v>70</v>
      </c>
      <c r="F735" s="498">
        <v>0</v>
      </c>
      <c r="G735" s="498">
        <v>0</v>
      </c>
      <c r="H735" s="498">
        <v>70</v>
      </c>
      <c r="I735" s="498">
        <v>28.4</v>
      </c>
      <c r="J735" s="498">
        <v>0</v>
      </c>
      <c r="K735" s="498">
        <v>0</v>
      </c>
      <c r="L735" s="668">
        <v>28.4</v>
      </c>
      <c r="M735" s="956">
        <v>0.40600000000000003</v>
      </c>
      <c r="N735" s="653">
        <v>139</v>
      </c>
      <c r="O735" s="669" t="s">
        <v>5347</v>
      </c>
      <c r="P735" s="463" t="s">
        <v>5348</v>
      </c>
      <c r="Q735" s="852">
        <v>0</v>
      </c>
      <c r="R735" s="852">
        <v>0</v>
      </c>
      <c r="S735" s="852">
        <v>0</v>
      </c>
      <c r="T735" s="852">
        <v>0</v>
      </c>
      <c r="U735" s="463" t="s">
        <v>5349</v>
      </c>
      <c r="V735" s="463" t="s">
        <v>5354</v>
      </c>
      <c r="W735" s="653">
        <v>546</v>
      </c>
      <c r="X735" s="463" t="s">
        <v>2199</v>
      </c>
      <c r="Y735" s="463"/>
      <c r="Z735" s="463" t="s">
        <v>5355</v>
      </c>
      <c r="AA735" s="463"/>
      <c r="AB735" s="459" t="s">
        <v>1596</v>
      </c>
    </row>
    <row r="736" spans="1:28" ht="24" customHeight="1">
      <c r="A736" s="584"/>
      <c r="B736" s="460" t="s">
        <v>675</v>
      </c>
      <c r="C736" s="458" t="s">
        <v>5356</v>
      </c>
      <c r="D736" s="510" t="s">
        <v>5357</v>
      </c>
      <c r="E736" s="498">
        <f t="shared" si="56"/>
        <v>50</v>
      </c>
      <c r="F736" s="498">
        <v>0</v>
      </c>
      <c r="G736" s="498">
        <v>50</v>
      </c>
      <c r="H736" s="498">
        <v>0</v>
      </c>
      <c r="I736" s="498">
        <v>0</v>
      </c>
      <c r="J736" s="498">
        <v>0</v>
      </c>
      <c r="K736" s="498">
        <v>0</v>
      </c>
      <c r="L736" s="668">
        <v>0</v>
      </c>
      <c r="M736" s="956">
        <v>0</v>
      </c>
      <c r="N736" s="653">
        <v>0</v>
      </c>
      <c r="O736" s="669" t="s">
        <v>5338</v>
      </c>
      <c r="P736" s="463" t="s">
        <v>1588</v>
      </c>
      <c r="Q736" s="852">
        <v>0</v>
      </c>
      <c r="R736" s="852">
        <v>0</v>
      </c>
      <c r="S736" s="852">
        <v>0</v>
      </c>
      <c r="T736" s="852">
        <v>0</v>
      </c>
      <c r="U736" s="463" t="s">
        <v>5349</v>
      </c>
      <c r="V736" s="463"/>
      <c r="W736" s="653">
        <v>400</v>
      </c>
      <c r="X736" s="463" t="s">
        <v>2199</v>
      </c>
      <c r="Y736" s="463"/>
      <c r="Z736" s="463" t="s">
        <v>2290</v>
      </c>
      <c r="AA736" s="463"/>
      <c r="AB736" s="459" t="s">
        <v>1596</v>
      </c>
    </row>
    <row r="737" spans="1:28" ht="24" customHeight="1">
      <c r="A737" s="584"/>
      <c r="B737" s="460" t="s">
        <v>675</v>
      </c>
      <c r="C737" s="458" t="s">
        <v>5358</v>
      </c>
      <c r="D737" s="510" t="s">
        <v>5359</v>
      </c>
      <c r="E737" s="498">
        <f t="shared" si="56"/>
        <v>40</v>
      </c>
      <c r="F737" s="498">
        <v>0</v>
      </c>
      <c r="G737" s="498">
        <v>40</v>
      </c>
      <c r="H737" s="498">
        <v>0</v>
      </c>
      <c r="I737" s="498">
        <v>11.5</v>
      </c>
      <c r="J737" s="498">
        <v>0</v>
      </c>
      <c r="K737" s="498">
        <v>11.5</v>
      </c>
      <c r="L737" s="668">
        <v>0</v>
      </c>
      <c r="M737" s="956">
        <v>0.28800000000000003</v>
      </c>
      <c r="N737" s="653">
        <v>91.98</v>
      </c>
      <c r="O737" s="669" t="s">
        <v>5338</v>
      </c>
      <c r="P737" s="463" t="s">
        <v>1588</v>
      </c>
      <c r="Q737" s="852">
        <v>0</v>
      </c>
      <c r="R737" s="852">
        <v>0</v>
      </c>
      <c r="S737" s="852">
        <v>0</v>
      </c>
      <c r="T737" s="852">
        <v>0</v>
      </c>
      <c r="U737" s="463" t="s">
        <v>5349</v>
      </c>
      <c r="V737" s="463" t="s">
        <v>5360</v>
      </c>
      <c r="W737" s="653">
        <v>302</v>
      </c>
      <c r="X737" s="463" t="s">
        <v>2199</v>
      </c>
      <c r="Y737" s="463"/>
      <c r="Z737" s="463"/>
      <c r="AA737" s="463" t="s">
        <v>1592</v>
      </c>
      <c r="AB737" s="459" t="s">
        <v>1596</v>
      </c>
    </row>
    <row r="738" spans="1:28" ht="24" customHeight="1">
      <c r="A738" s="598" t="s">
        <v>1665</v>
      </c>
      <c r="B738" s="528" t="s">
        <v>2201</v>
      </c>
      <c r="C738" s="724" t="s">
        <v>2412</v>
      </c>
      <c r="D738" s="523" t="s">
        <v>5361</v>
      </c>
      <c r="E738" s="656">
        <f t="shared" si="56"/>
        <v>3200</v>
      </c>
      <c r="F738" s="656">
        <v>0</v>
      </c>
      <c r="G738" s="656">
        <v>3200</v>
      </c>
      <c r="H738" s="656">
        <v>0</v>
      </c>
      <c r="I738" s="656">
        <f>SUM(J738:L738)</f>
        <v>2533</v>
      </c>
      <c r="J738" s="656">
        <v>0</v>
      </c>
      <c r="K738" s="656">
        <v>2533</v>
      </c>
      <c r="L738" s="729">
        <v>0</v>
      </c>
      <c r="M738" s="956">
        <v>0.97095064590924152</v>
      </c>
      <c r="N738" s="653">
        <v>148.49965800000001</v>
      </c>
      <c r="O738" s="713" t="s">
        <v>5362</v>
      </c>
      <c r="P738" s="462" t="s">
        <v>1588</v>
      </c>
      <c r="Q738" s="858">
        <v>48</v>
      </c>
      <c r="R738" s="858">
        <v>0</v>
      </c>
      <c r="S738" s="858">
        <v>0</v>
      </c>
      <c r="T738" s="858">
        <v>0</v>
      </c>
      <c r="U738" s="496" t="s">
        <v>2448</v>
      </c>
      <c r="V738" s="529" t="s">
        <v>5363</v>
      </c>
      <c r="W738" s="656">
        <v>13600</v>
      </c>
      <c r="X738" s="496" t="s">
        <v>3205</v>
      </c>
      <c r="Y738" s="496" t="s">
        <v>1935</v>
      </c>
      <c r="Z738" s="496" t="s">
        <v>1666</v>
      </c>
      <c r="AA738" s="496" t="s">
        <v>1666</v>
      </c>
      <c r="AB738" s="530" t="s">
        <v>1592</v>
      </c>
    </row>
    <row r="739" spans="1:28" ht="24" customHeight="1">
      <c r="A739" s="599"/>
      <c r="B739" s="528" t="s">
        <v>675</v>
      </c>
      <c r="C739" s="724" t="s">
        <v>5364</v>
      </c>
      <c r="D739" s="523" t="s">
        <v>5365</v>
      </c>
      <c r="E739" s="656">
        <f t="shared" si="56"/>
        <v>150</v>
      </c>
      <c r="F739" s="656">
        <v>0</v>
      </c>
      <c r="G739" s="656">
        <v>0</v>
      </c>
      <c r="H739" s="656">
        <v>150</v>
      </c>
      <c r="I739" s="656">
        <f>SUM(J739:L739)</f>
        <v>0</v>
      </c>
      <c r="J739" s="656">
        <v>0</v>
      </c>
      <c r="K739" s="656">
        <v>0</v>
      </c>
      <c r="L739" s="729">
        <v>0</v>
      </c>
      <c r="M739" s="956">
        <v>0</v>
      </c>
      <c r="N739" s="653">
        <v>0</v>
      </c>
      <c r="O739" s="713" t="s">
        <v>5366</v>
      </c>
      <c r="P739" s="462" t="s">
        <v>1588</v>
      </c>
      <c r="Q739" s="858">
        <v>0</v>
      </c>
      <c r="R739" s="858">
        <v>0</v>
      </c>
      <c r="S739" s="858">
        <v>0</v>
      </c>
      <c r="T739" s="858">
        <v>0</v>
      </c>
      <c r="U739" s="496" t="s">
        <v>2448</v>
      </c>
      <c r="V739" s="529" t="s">
        <v>5367</v>
      </c>
      <c r="W739" s="656">
        <v>597</v>
      </c>
      <c r="X739" s="496" t="s">
        <v>3205</v>
      </c>
      <c r="Y739" s="496" t="s">
        <v>1935</v>
      </c>
      <c r="Z739" s="496" t="s">
        <v>5368</v>
      </c>
      <c r="AA739" s="496"/>
      <c r="AB739" s="530" t="s">
        <v>5369</v>
      </c>
    </row>
    <row r="740" spans="1:28" ht="24" customHeight="1">
      <c r="A740" s="599"/>
      <c r="B740" s="528" t="s">
        <v>675</v>
      </c>
      <c r="C740" s="724" t="s">
        <v>5370</v>
      </c>
      <c r="D740" s="523" t="s">
        <v>5371</v>
      </c>
      <c r="E740" s="656">
        <f t="shared" si="56"/>
        <v>200</v>
      </c>
      <c r="F740" s="656">
        <v>0</v>
      </c>
      <c r="G740" s="656">
        <v>0</v>
      </c>
      <c r="H740" s="656">
        <v>200</v>
      </c>
      <c r="I740" s="656">
        <f>SUM(J740:L740)</f>
        <v>0</v>
      </c>
      <c r="J740" s="656">
        <v>0</v>
      </c>
      <c r="K740" s="656">
        <v>0</v>
      </c>
      <c r="L740" s="729">
        <v>0</v>
      </c>
      <c r="M740" s="956">
        <v>0</v>
      </c>
      <c r="N740" s="653">
        <v>0</v>
      </c>
      <c r="O740" s="713" t="s">
        <v>5372</v>
      </c>
      <c r="P740" s="462" t="s">
        <v>1588</v>
      </c>
      <c r="Q740" s="858">
        <v>0</v>
      </c>
      <c r="R740" s="858">
        <v>0</v>
      </c>
      <c r="S740" s="858">
        <v>0</v>
      </c>
      <c r="T740" s="858">
        <v>0</v>
      </c>
      <c r="U740" s="496" t="s">
        <v>2448</v>
      </c>
      <c r="V740" s="529" t="s">
        <v>5367</v>
      </c>
      <c r="W740" s="656">
        <v>700</v>
      </c>
      <c r="X740" s="496" t="s">
        <v>3205</v>
      </c>
      <c r="Y740" s="496" t="s">
        <v>1935</v>
      </c>
      <c r="Z740" s="496"/>
      <c r="AA740" s="496" t="s">
        <v>1666</v>
      </c>
      <c r="AB740" s="530" t="s">
        <v>1592</v>
      </c>
    </row>
    <row r="741" spans="1:28" ht="24" customHeight="1">
      <c r="A741" s="599"/>
      <c r="B741" s="528" t="s">
        <v>675</v>
      </c>
      <c r="C741" s="724" t="s">
        <v>2143</v>
      </c>
      <c r="D741" s="523" t="s">
        <v>5373</v>
      </c>
      <c r="E741" s="656">
        <f t="shared" si="56"/>
        <v>69</v>
      </c>
      <c r="F741" s="656">
        <v>0</v>
      </c>
      <c r="G741" s="656">
        <v>69</v>
      </c>
      <c r="H741" s="656">
        <v>0</v>
      </c>
      <c r="I741" s="656">
        <f t="shared" ref="I741:I746" si="58">SUM(J741:L741)</f>
        <v>28</v>
      </c>
      <c r="J741" s="656">
        <v>0</v>
      </c>
      <c r="K741" s="656">
        <v>28</v>
      </c>
      <c r="L741" s="729">
        <v>0</v>
      </c>
      <c r="M741" s="956">
        <v>0.40600000000000003</v>
      </c>
      <c r="N741" s="653">
        <v>0.97</v>
      </c>
      <c r="O741" s="713" t="s">
        <v>3298</v>
      </c>
      <c r="P741" s="462" t="s">
        <v>1588</v>
      </c>
      <c r="Q741" s="858">
        <v>0</v>
      </c>
      <c r="R741" s="858">
        <v>0</v>
      </c>
      <c r="S741" s="858">
        <v>0</v>
      </c>
      <c r="T741" s="858">
        <v>0</v>
      </c>
      <c r="U741" s="496" t="s">
        <v>2448</v>
      </c>
      <c r="V741" s="529" t="s">
        <v>5374</v>
      </c>
      <c r="W741" s="656">
        <v>300</v>
      </c>
      <c r="X741" s="496" t="s">
        <v>3205</v>
      </c>
      <c r="Y741" s="496" t="s">
        <v>1935</v>
      </c>
      <c r="Z741" s="496" t="s">
        <v>5375</v>
      </c>
      <c r="AA741" s="496"/>
      <c r="AB741" s="530" t="s">
        <v>1592</v>
      </c>
    </row>
    <row r="742" spans="1:28" ht="24" customHeight="1">
      <c r="A742" s="599"/>
      <c r="B742" s="528" t="s">
        <v>675</v>
      </c>
      <c r="C742" s="724" t="s">
        <v>321</v>
      </c>
      <c r="D742" s="523" t="s">
        <v>5376</v>
      </c>
      <c r="E742" s="656">
        <f t="shared" si="56"/>
        <v>100</v>
      </c>
      <c r="F742" s="656">
        <v>0</v>
      </c>
      <c r="G742" s="656">
        <v>0</v>
      </c>
      <c r="H742" s="656">
        <v>100</v>
      </c>
      <c r="I742" s="656">
        <f t="shared" si="58"/>
        <v>15</v>
      </c>
      <c r="J742" s="656">
        <v>0</v>
      </c>
      <c r="K742" s="656">
        <v>0</v>
      </c>
      <c r="L742" s="729">
        <v>15</v>
      </c>
      <c r="M742" s="956">
        <v>0.15</v>
      </c>
      <c r="N742" s="653">
        <v>0.83</v>
      </c>
      <c r="O742" s="713" t="s">
        <v>5372</v>
      </c>
      <c r="P742" s="462" t="s">
        <v>1588</v>
      </c>
      <c r="Q742" s="858">
        <v>0</v>
      </c>
      <c r="R742" s="858">
        <v>0</v>
      </c>
      <c r="S742" s="858">
        <v>0</v>
      </c>
      <c r="T742" s="858">
        <v>0</v>
      </c>
      <c r="U742" s="496" t="s">
        <v>2448</v>
      </c>
      <c r="V742" s="529" t="s">
        <v>5377</v>
      </c>
      <c r="W742" s="656">
        <v>500</v>
      </c>
      <c r="X742" s="496" t="s">
        <v>3205</v>
      </c>
      <c r="Y742" s="496" t="s">
        <v>1935</v>
      </c>
      <c r="Z742" s="496"/>
      <c r="AA742" s="496"/>
      <c r="AB742" s="530" t="s">
        <v>1592</v>
      </c>
    </row>
    <row r="743" spans="1:28" ht="24" customHeight="1">
      <c r="A743" s="599"/>
      <c r="B743" s="528" t="s">
        <v>675</v>
      </c>
      <c r="C743" s="724" t="s">
        <v>5378</v>
      </c>
      <c r="D743" s="523" t="s">
        <v>5379</v>
      </c>
      <c r="E743" s="656">
        <f t="shared" si="56"/>
        <v>60</v>
      </c>
      <c r="F743" s="656">
        <v>0</v>
      </c>
      <c r="G743" s="656">
        <v>60</v>
      </c>
      <c r="H743" s="656">
        <v>0</v>
      </c>
      <c r="I743" s="656">
        <f t="shared" si="58"/>
        <v>55</v>
      </c>
      <c r="J743" s="656">
        <v>0</v>
      </c>
      <c r="K743" s="656">
        <v>55</v>
      </c>
      <c r="L743" s="729">
        <v>0</v>
      </c>
      <c r="M743" s="956">
        <v>0.91700000000000004</v>
      </c>
      <c r="N743" s="653">
        <v>2.83</v>
      </c>
      <c r="O743" s="713" t="s">
        <v>3298</v>
      </c>
      <c r="P743" s="462" t="s">
        <v>1588</v>
      </c>
      <c r="Q743" s="858">
        <v>0</v>
      </c>
      <c r="R743" s="858">
        <v>0</v>
      </c>
      <c r="S743" s="858">
        <v>0</v>
      </c>
      <c r="T743" s="858">
        <v>0</v>
      </c>
      <c r="U743" s="496" t="s">
        <v>2448</v>
      </c>
      <c r="V743" s="529" t="s">
        <v>5380</v>
      </c>
      <c r="W743" s="656">
        <v>467</v>
      </c>
      <c r="X743" s="496" t="s">
        <v>3205</v>
      </c>
      <c r="Y743" s="496" t="s">
        <v>1935</v>
      </c>
      <c r="Z743" s="496"/>
      <c r="AA743" s="496" t="s">
        <v>1666</v>
      </c>
      <c r="AB743" s="530" t="s">
        <v>1592</v>
      </c>
    </row>
    <row r="744" spans="1:28" ht="24" customHeight="1">
      <c r="A744" s="599"/>
      <c r="B744" s="528" t="s">
        <v>675</v>
      </c>
      <c r="C744" s="724" t="s">
        <v>5381</v>
      </c>
      <c r="D744" s="523" t="s">
        <v>5382</v>
      </c>
      <c r="E744" s="656">
        <f t="shared" si="56"/>
        <v>60</v>
      </c>
      <c r="F744" s="656">
        <v>0</v>
      </c>
      <c r="G744" s="656">
        <v>60</v>
      </c>
      <c r="H744" s="656">
        <v>0</v>
      </c>
      <c r="I744" s="656">
        <f t="shared" si="58"/>
        <v>24</v>
      </c>
      <c r="J744" s="656">
        <v>0</v>
      </c>
      <c r="K744" s="656">
        <v>24</v>
      </c>
      <c r="L744" s="729">
        <v>0</v>
      </c>
      <c r="M744" s="956">
        <v>0.4</v>
      </c>
      <c r="N744" s="653">
        <v>1.41</v>
      </c>
      <c r="O744" s="713" t="s">
        <v>3298</v>
      </c>
      <c r="P744" s="462" t="s">
        <v>1588</v>
      </c>
      <c r="Q744" s="858">
        <v>0</v>
      </c>
      <c r="R744" s="858">
        <v>0</v>
      </c>
      <c r="S744" s="858">
        <v>0</v>
      </c>
      <c r="T744" s="858">
        <v>0</v>
      </c>
      <c r="U744" s="496" t="s">
        <v>2448</v>
      </c>
      <c r="V744" s="529" t="s">
        <v>5383</v>
      </c>
      <c r="W744" s="656">
        <v>400</v>
      </c>
      <c r="X744" s="496" t="s">
        <v>3205</v>
      </c>
      <c r="Y744" s="496" t="s">
        <v>1935</v>
      </c>
      <c r="Z744" s="496" t="s">
        <v>5384</v>
      </c>
      <c r="AA744" s="496" t="s">
        <v>1666</v>
      </c>
      <c r="AB744" s="530" t="s">
        <v>1592</v>
      </c>
    </row>
    <row r="745" spans="1:28" ht="24" customHeight="1">
      <c r="A745" s="599"/>
      <c r="B745" s="528" t="s">
        <v>675</v>
      </c>
      <c r="C745" s="724" t="s">
        <v>5385</v>
      </c>
      <c r="D745" s="523" t="s">
        <v>5386</v>
      </c>
      <c r="E745" s="656">
        <f t="shared" si="56"/>
        <v>200</v>
      </c>
      <c r="F745" s="656">
        <v>0</v>
      </c>
      <c r="G745" s="656">
        <v>0</v>
      </c>
      <c r="H745" s="656">
        <v>200</v>
      </c>
      <c r="I745" s="656">
        <f t="shared" si="58"/>
        <v>34</v>
      </c>
      <c r="J745" s="656">
        <v>0</v>
      </c>
      <c r="K745" s="656">
        <v>0</v>
      </c>
      <c r="L745" s="729">
        <v>34</v>
      </c>
      <c r="M745" s="956">
        <v>0.17</v>
      </c>
      <c r="N745" s="653">
        <v>1.95</v>
      </c>
      <c r="O745" s="713" t="s">
        <v>5372</v>
      </c>
      <c r="P745" s="462" t="s">
        <v>1588</v>
      </c>
      <c r="Q745" s="858">
        <v>0</v>
      </c>
      <c r="R745" s="858">
        <v>0</v>
      </c>
      <c r="S745" s="858">
        <v>0</v>
      </c>
      <c r="T745" s="858">
        <v>0</v>
      </c>
      <c r="U745" s="496" t="s">
        <v>2448</v>
      </c>
      <c r="V745" s="529" t="s">
        <v>5387</v>
      </c>
      <c r="W745" s="656">
        <v>600</v>
      </c>
      <c r="X745" s="496" t="s">
        <v>3205</v>
      </c>
      <c r="Y745" s="496" t="s">
        <v>1935</v>
      </c>
      <c r="Z745" s="496" t="s">
        <v>1648</v>
      </c>
      <c r="AA745" s="496"/>
      <c r="AB745" s="530" t="s">
        <v>5369</v>
      </c>
    </row>
    <row r="746" spans="1:28" ht="24" customHeight="1">
      <c r="A746" s="599"/>
      <c r="B746" s="528" t="s">
        <v>675</v>
      </c>
      <c r="C746" s="724" t="s">
        <v>5388</v>
      </c>
      <c r="D746" s="523" t="s">
        <v>5389</v>
      </c>
      <c r="E746" s="656">
        <f t="shared" si="56"/>
        <v>50</v>
      </c>
      <c r="F746" s="656">
        <v>0</v>
      </c>
      <c r="G746" s="656">
        <v>50</v>
      </c>
      <c r="H746" s="656">
        <v>0</v>
      </c>
      <c r="I746" s="656">
        <f t="shared" si="58"/>
        <v>33</v>
      </c>
      <c r="J746" s="656">
        <v>0</v>
      </c>
      <c r="K746" s="656">
        <v>33</v>
      </c>
      <c r="L746" s="729">
        <v>0</v>
      </c>
      <c r="M746" s="956">
        <v>0.66</v>
      </c>
      <c r="N746" s="653">
        <v>2.04</v>
      </c>
      <c r="O746" s="713" t="s">
        <v>3298</v>
      </c>
      <c r="P746" s="462" t="s">
        <v>1588</v>
      </c>
      <c r="Q746" s="858">
        <v>0</v>
      </c>
      <c r="R746" s="858">
        <v>0</v>
      </c>
      <c r="S746" s="858">
        <v>0</v>
      </c>
      <c r="T746" s="858">
        <v>0</v>
      </c>
      <c r="U746" s="496" t="s">
        <v>2448</v>
      </c>
      <c r="V746" s="529" t="s">
        <v>5390</v>
      </c>
      <c r="W746" s="656">
        <v>400</v>
      </c>
      <c r="X746" s="496" t="s">
        <v>3205</v>
      </c>
      <c r="Y746" s="496" t="s">
        <v>1935</v>
      </c>
      <c r="Z746" s="496" t="s">
        <v>1648</v>
      </c>
      <c r="AA746" s="496"/>
      <c r="AB746" s="530" t="s">
        <v>5369</v>
      </c>
    </row>
    <row r="747" spans="1:28" ht="24" customHeight="1">
      <c r="A747" s="582" t="s">
        <v>1667</v>
      </c>
      <c r="B747" s="460" t="s">
        <v>2201</v>
      </c>
      <c r="C747" s="458" t="s">
        <v>2413</v>
      </c>
      <c r="D747" s="510" t="s">
        <v>5391</v>
      </c>
      <c r="E747" s="498">
        <v>17000</v>
      </c>
      <c r="F747" s="498">
        <v>0</v>
      </c>
      <c r="G747" s="498">
        <v>17000</v>
      </c>
      <c r="H747" s="498">
        <v>0</v>
      </c>
      <c r="I747" s="498">
        <v>13462</v>
      </c>
      <c r="J747" s="498">
        <v>0</v>
      </c>
      <c r="K747" s="498">
        <v>13462</v>
      </c>
      <c r="L747" s="668">
        <v>0</v>
      </c>
      <c r="M747" s="956">
        <v>0.92328767123287681</v>
      </c>
      <c r="N747" s="653">
        <v>453.6694</v>
      </c>
      <c r="O747" s="669" t="s">
        <v>3173</v>
      </c>
      <c r="P747" s="463" t="s">
        <v>1588</v>
      </c>
      <c r="Q747" s="852">
        <v>40</v>
      </c>
      <c r="R747" s="852">
        <v>0</v>
      </c>
      <c r="S747" s="852">
        <v>46</v>
      </c>
      <c r="T747" s="852">
        <v>0</v>
      </c>
      <c r="U747" s="463" t="s">
        <v>7481</v>
      </c>
      <c r="V747" s="466" t="s">
        <v>5392</v>
      </c>
      <c r="W747" s="498">
        <v>38427</v>
      </c>
      <c r="X747" s="463" t="s">
        <v>2199</v>
      </c>
      <c r="Y747" s="463" t="s">
        <v>5393</v>
      </c>
      <c r="Z747" s="463"/>
      <c r="AA747" s="463" t="s">
        <v>1669</v>
      </c>
      <c r="AB747" s="459" t="s">
        <v>1596</v>
      </c>
    </row>
    <row r="748" spans="1:28" ht="24" customHeight="1">
      <c r="A748" s="584"/>
      <c r="B748" s="460" t="s">
        <v>2201</v>
      </c>
      <c r="C748" s="458" t="s">
        <v>5394</v>
      </c>
      <c r="D748" s="510" t="s">
        <v>5395</v>
      </c>
      <c r="E748" s="498">
        <v>5000</v>
      </c>
      <c r="F748" s="498">
        <v>0</v>
      </c>
      <c r="G748" s="498">
        <v>0</v>
      </c>
      <c r="H748" s="498">
        <v>5000</v>
      </c>
      <c r="I748" s="498">
        <v>3863</v>
      </c>
      <c r="J748" s="498">
        <v>0</v>
      </c>
      <c r="K748" s="498">
        <v>0</v>
      </c>
      <c r="L748" s="668">
        <v>3863</v>
      </c>
      <c r="M748" s="956">
        <v>0.98441558441558441</v>
      </c>
      <c r="N748" s="653">
        <v>878.44619999999998</v>
      </c>
      <c r="O748" s="669" t="s">
        <v>5396</v>
      </c>
      <c r="P748" s="463" t="s">
        <v>1588</v>
      </c>
      <c r="Q748" s="852">
        <v>0</v>
      </c>
      <c r="R748" s="852">
        <v>0</v>
      </c>
      <c r="S748" s="852">
        <v>0</v>
      </c>
      <c r="T748" s="852">
        <v>0</v>
      </c>
      <c r="U748" s="463" t="s">
        <v>7482</v>
      </c>
      <c r="V748" s="466" t="s">
        <v>5397</v>
      </c>
      <c r="W748" s="498">
        <v>23000</v>
      </c>
      <c r="X748" s="463" t="s">
        <v>2199</v>
      </c>
      <c r="Y748" s="463" t="s">
        <v>5393</v>
      </c>
      <c r="Z748" s="463"/>
      <c r="AA748" s="463" t="s">
        <v>5398</v>
      </c>
      <c r="AB748" s="459" t="s">
        <v>5399</v>
      </c>
    </row>
    <row r="749" spans="1:28" ht="24" customHeight="1">
      <c r="A749" s="584"/>
      <c r="B749" s="460" t="s">
        <v>675</v>
      </c>
      <c r="C749" s="458" t="s">
        <v>5993</v>
      </c>
      <c r="D749" s="510" t="s">
        <v>5994</v>
      </c>
      <c r="E749" s="498">
        <v>69</v>
      </c>
      <c r="F749" s="498">
        <v>0</v>
      </c>
      <c r="G749" s="498">
        <v>69</v>
      </c>
      <c r="H749" s="498">
        <v>0</v>
      </c>
      <c r="I749" s="498">
        <v>52</v>
      </c>
      <c r="J749" s="498">
        <v>0</v>
      </c>
      <c r="K749" s="498">
        <v>52</v>
      </c>
      <c r="L749" s="668">
        <v>0</v>
      </c>
      <c r="M749" s="956">
        <v>0.75362318840579723</v>
      </c>
      <c r="N749" s="653">
        <v>0</v>
      </c>
      <c r="O749" s="669" t="s">
        <v>5995</v>
      </c>
      <c r="P749" s="463" t="s">
        <v>1588</v>
      </c>
      <c r="Q749" s="852">
        <v>0</v>
      </c>
      <c r="R749" s="852">
        <v>0</v>
      </c>
      <c r="S749" s="852">
        <v>0</v>
      </c>
      <c r="T749" s="852">
        <v>0</v>
      </c>
      <c r="U749" s="463" t="s">
        <v>7483</v>
      </c>
      <c r="V749" s="466">
        <v>1999.12</v>
      </c>
      <c r="W749" s="498"/>
      <c r="X749" s="463" t="s">
        <v>2244</v>
      </c>
      <c r="Y749" s="463"/>
      <c r="Z749" s="463"/>
      <c r="AA749" s="463" t="s">
        <v>5996</v>
      </c>
      <c r="AB749" s="459" t="s">
        <v>3634</v>
      </c>
    </row>
    <row r="750" spans="1:28" ht="24" customHeight="1">
      <c r="A750" s="584"/>
      <c r="B750" s="460" t="s">
        <v>675</v>
      </c>
      <c r="C750" s="458" t="s">
        <v>5997</v>
      </c>
      <c r="D750" s="510" t="s">
        <v>5998</v>
      </c>
      <c r="E750" s="498">
        <v>23</v>
      </c>
      <c r="F750" s="498">
        <v>0</v>
      </c>
      <c r="G750" s="498">
        <v>23</v>
      </c>
      <c r="H750" s="498">
        <v>0</v>
      </c>
      <c r="I750" s="498">
        <v>19.8</v>
      </c>
      <c r="J750" s="498">
        <v>0</v>
      </c>
      <c r="K750" s="498">
        <v>19.8</v>
      </c>
      <c r="L750" s="668">
        <v>0</v>
      </c>
      <c r="M750" s="956">
        <v>0.86086956521739144</v>
      </c>
      <c r="N750" s="653">
        <v>0</v>
      </c>
      <c r="O750" s="669" t="s">
        <v>5995</v>
      </c>
      <c r="P750" s="463" t="s">
        <v>1588</v>
      </c>
      <c r="Q750" s="852">
        <v>0</v>
      </c>
      <c r="R750" s="852">
        <v>0</v>
      </c>
      <c r="S750" s="852">
        <v>0</v>
      </c>
      <c r="T750" s="852">
        <v>0</v>
      </c>
      <c r="U750" s="463" t="s">
        <v>7483</v>
      </c>
      <c r="V750" s="466">
        <v>2001</v>
      </c>
      <c r="W750" s="498"/>
      <c r="X750" s="463" t="s">
        <v>2244</v>
      </c>
      <c r="Y750" s="463"/>
      <c r="Z750" s="463"/>
      <c r="AA750" s="463" t="s">
        <v>5996</v>
      </c>
      <c r="AB750" s="459" t="s">
        <v>3634</v>
      </c>
    </row>
    <row r="751" spans="1:28" ht="24" customHeight="1">
      <c r="A751" s="584"/>
      <c r="B751" s="460" t="s">
        <v>675</v>
      </c>
      <c r="C751" s="458" t="s">
        <v>5999</v>
      </c>
      <c r="D751" s="510" t="s">
        <v>6000</v>
      </c>
      <c r="E751" s="498">
        <v>23</v>
      </c>
      <c r="F751" s="498">
        <v>0</v>
      </c>
      <c r="G751" s="498">
        <v>23</v>
      </c>
      <c r="H751" s="498">
        <v>0</v>
      </c>
      <c r="I751" s="498">
        <v>20.6</v>
      </c>
      <c r="J751" s="498">
        <v>0</v>
      </c>
      <c r="K751" s="498">
        <v>20.6</v>
      </c>
      <c r="L751" s="668">
        <v>0</v>
      </c>
      <c r="M751" s="956">
        <v>0.89565217391304364</v>
      </c>
      <c r="N751" s="653">
        <v>0</v>
      </c>
      <c r="O751" s="669" t="s">
        <v>5995</v>
      </c>
      <c r="P751" s="463" t="s">
        <v>1588</v>
      </c>
      <c r="Q751" s="852">
        <v>0</v>
      </c>
      <c r="R751" s="852">
        <v>0</v>
      </c>
      <c r="S751" s="852">
        <v>0</v>
      </c>
      <c r="T751" s="852">
        <v>0</v>
      </c>
      <c r="U751" s="463" t="s">
        <v>7483</v>
      </c>
      <c r="V751" s="466">
        <v>2001</v>
      </c>
      <c r="W751" s="498"/>
      <c r="X751" s="463" t="s">
        <v>2244</v>
      </c>
      <c r="Y751" s="463"/>
      <c r="Z751" s="463"/>
      <c r="AA751" s="463" t="s">
        <v>5996</v>
      </c>
      <c r="AB751" s="459" t="s">
        <v>3634</v>
      </c>
    </row>
    <row r="752" spans="1:28" ht="24" customHeight="1">
      <c r="A752" s="584"/>
      <c r="B752" s="460" t="s">
        <v>675</v>
      </c>
      <c r="C752" s="458" t="s">
        <v>6001</v>
      </c>
      <c r="D752" s="510" t="s">
        <v>6002</v>
      </c>
      <c r="E752" s="498">
        <v>34</v>
      </c>
      <c r="F752" s="498">
        <v>0</v>
      </c>
      <c r="G752" s="498">
        <v>34</v>
      </c>
      <c r="H752" s="498">
        <v>0</v>
      </c>
      <c r="I752" s="498">
        <v>26.4</v>
      </c>
      <c r="J752" s="498">
        <v>0</v>
      </c>
      <c r="K752" s="498">
        <v>26.4</v>
      </c>
      <c r="L752" s="668">
        <v>0</v>
      </c>
      <c r="M752" s="956">
        <v>0.77647058823529402</v>
      </c>
      <c r="N752" s="653">
        <v>0</v>
      </c>
      <c r="O752" s="669" t="s">
        <v>5995</v>
      </c>
      <c r="P752" s="463" t="s">
        <v>1588</v>
      </c>
      <c r="Q752" s="852">
        <v>0</v>
      </c>
      <c r="R752" s="852">
        <v>0</v>
      </c>
      <c r="S752" s="852">
        <v>0</v>
      </c>
      <c r="T752" s="852">
        <v>0</v>
      </c>
      <c r="U752" s="463" t="s">
        <v>7483</v>
      </c>
      <c r="V752" s="466">
        <v>2001</v>
      </c>
      <c r="W752" s="498"/>
      <c r="X752" s="463" t="s">
        <v>2244</v>
      </c>
      <c r="Y752" s="463"/>
      <c r="Z752" s="463"/>
      <c r="AA752" s="463" t="s">
        <v>5996</v>
      </c>
      <c r="AB752" s="459" t="s">
        <v>3634</v>
      </c>
    </row>
    <row r="753" spans="1:28" ht="24" customHeight="1">
      <c r="A753" s="584"/>
      <c r="B753" s="460" t="s">
        <v>675</v>
      </c>
      <c r="C753" s="458" t="s">
        <v>6003</v>
      </c>
      <c r="D753" s="510" t="s">
        <v>6004</v>
      </c>
      <c r="E753" s="498">
        <v>50</v>
      </c>
      <c r="F753" s="498">
        <v>0</v>
      </c>
      <c r="G753" s="498">
        <v>0</v>
      </c>
      <c r="H753" s="498">
        <v>50</v>
      </c>
      <c r="I753" s="498">
        <v>17</v>
      </c>
      <c r="J753" s="498">
        <v>0</v>
      </c>
      <c r="K753" s="498">
        <v>0</v>
      </c>
      <c r="L753" s="668">
        <v>17</v>
      </c>
      <c r="M753" s="956">
        <v>0.34</v>
      </c>
      <c r="N753" s="653">
        <v>0</v>
      </c>
      <c r="O753" s="669" t="s">
        <v>6005</v>
      </c>
      <c r="P753" s="463" t="s">
        <v>1588</v>
      </c>
      <c r="Q753" s="852">
        <v>0</v>
      </c>
      <c r="R753" s="852">
        <v>0</v>
      </c>
      <c r="S753" s="852">
        <v>0</v>
      </c>
      <c r="T753" s="852">
        <v>0</v>
      </c>
      <c r="U753" s="463" t="s">
        <v>7483</v>
      </c>
      <c r="V753" s="466">
        <v>2005</v>
      </c>
      <c r="W753" s="498"/>
      <c r="X753" s="463" t="s">
        <v>2244</v>
      </c>
      <c r="Y753" s="463" t="s">
        <v>6006</v>
      </c>
      <c r="Z753" s="463"/>
      <c r="AA753" s="463" t="s">
        <v>5996</v>
      </c>
      <c r="AB753" s="459" t="s">
        <v>3634</v>
      </c>
    </row>
    <row r="754" spans="1:28" ht="24" customHeight="1">
      <c r="A754" s="584"/>
      <c r="B754" s="460" t="s">
        <v>675</v>
      </c>
      <c r="C754" s="458" t="s">
        <v>6007</v>
      </c>
      <c r="D754" s="510" t="s">
        <v>6008</v>
      </c>
      <c r="E754" s="498">
        <v>80</v>
      </c>
      <c r="F754" s="498">
        <v>0</v>
      </c>
      <c r="G754" s="498">
        <v>0</v>
      </c>
      <c r="H754" s="498">
        <v>80</v>
      </c>
      <c r="I754" s="498">
        <v>77</v>
      </c>
      <c r="J754" s="498">
        <v>0</v>
      </c>
      <c r="K754" s="498">
        <v>0</v>
      </c>
      <c r="L754" s="668">
        <v>77</v>
      </c>
      <c r="M754" s="956">
        <v>0.96250000000000002</v>
      </c>
      <c r="N754" s="653">
        <v>0</v>
      </c>
      <c r="O754" s="669" t="s">
        <v>6005</v>
      </c>
      <c r="P754" s="463" t="s">
        <v>1588</v>
      </c>
      <c r="Q754" s="852">
        <v>0</v>
      </c>
      <c r="R754" s="852">
        <v>0</v>
      </c>
      <c r="S754" s="852">
        <v>0</v>
      </c>
      <c r="T754" s="852">
        <v>0</v>
      </c>
      <c r="U754" s="463" t="s">
        <v>7483</v>
      </c>
      <c r="V754" s="466">
        <v>2006</v>
      </c>
      <c r="W754" s="498"/>
      <c r="X754" s="463" t="s">
        <v>2244</v>
      </c>
      <c r="Y754" s="463" t="s">
        <v>6006</v>
      </c>
      <c r="Z754" s="463"/>
      <c r="AA754" s="463" t="s">
        <v>5996</v>
      </c>
      <c r="AB754" s="459" t="s">
        <v>3634</v>
      </c>
    </row>
    <row r="755" spans="1:28" ht="24" customHeight="1">
      <c r="A755" s="584"/>
      <c r="B755" s="460" t="s">
        <v>675</v>
      </c>
      <c r="C755" s="458" t="s">
        <v>6009</v>
      </c>
      <c r="D755" s="510" t="s">
        <v>6010</v>
      </c>
      <c r="E755" s="498">
        <v>23</v>
      </c>
      <c r="F755" s="498">
        <v>0</v>
      </c>
      <c r="G755" s="498">
        <v>23</v>
      </c>
      <c r="H755" s="498">
        <v>0</v>
      </c>
      <c r="I755" s="498">
        <v>21</v>
      </c>
      <c r="J755" s="498">
        <v>0</v>
      </c>
      <c r="K755" s="498">
        <v>21</v>
      </c>
      <c r="L755" s="668">
        <v>0</v>
      </c>
      <c r="M755" s="956">
        <v>0.91304347826086951</v>
      </c>
      <c r="N755" s="653">
        <v>0</v>
      </c>
      <c r="O755" s="669" t="s">
        <v>5995</v>
      </c>
      <c r="P755" s="463" t="s">
        <v>1588</v>
      </c>
      <c r="Q755" s="852">
        <v>0</v>
      </c>
      <c r="R755" s="852">
        <v>0</v>
      </c>
      <c r="S755" s="852">
        <v>0</v>
      </c>
      <c r="T755" s="852">
        <v>0</v>
      </c>
      <c r="U755" s="463" t="s">
        <v>7483</v>
      </c>
      <c r="V755" s="466">
        <v>2001</v>
      </c>
      <c r="W755" s="498"/>
      <c r="X755" s="463" t="s">
        <v>2244</v>
      </c>
      <c r="Y755" s="463"/>
      <c r="Z755" s="463"/>
      <c r="AA755" s="463" t="s">
        <v>5996</v>
      </c>
      <c r="AB755" s="459" t="s">
        <v>3634</v>
      </c>
    </row>
    <row r="756" spans="1:28" ht="24" customHeight="1">
      <c r="A756" s="584"/>
      <c r="B756" s="460" t="s">
        <v>675</v>
      </c>
      <c r="C756" s="458" t="s">
        <v>6011</v>
      </c>
      <c r="D756" s="510" t="s">
        <v>6012</v>
      </c>
      <c r="E756" s="498">
        <v>45</v>
      </c>
      <c r="F756" s="498">
        <v>0</v>
      </c>
      <c r="G756" s="498">
        <v>0</v>
      </c>
      <c r="H756" s="498">
        <v>45</v>
      </c>
      <c r="I756" s="498">
        <v>44</v>
      </c>
      <c r="J756" s="498">
        <v>0</v>
      </c>
      <c r="K756" s="498">
        <v>0</v>
      </c>
      <c r="L756" s="668">
        <v>44</v>
      </c>
      <c r="M756" s="956">
        <v>0.97777777777777775</v>
      </c>
      <c r="N756" s="653">
        <v>0</v>
      </c>
      <c r="O756" s="669" t="s">
        <v>6005</v>
      </c>
      <c r="P756" s="463" t="s">
        <v>1588</v>
      </c>
      <c r="Q756" s="852">
        <v>0</v>
      </c>
      <c r="R756" s="852">
        <v>0</v>
      </c>
      <c r="S756" s="852">
        <v>0</v>
      </c>
      <c r="T756" s="852">
        <v>0</v>
      </c>
      <c r="U756" s="463" t="s">
        <v>7483</v>
      </c>
      <c r="V756" s="466">
        <v>2004</v>
      </c>
      <c r="W756" s="498"/>
      <c r="X756" s="463" t="s">
        <v>2244</v>
      </c>
      <c r="Y756" s="463"/>
      <c r="Z756" s="463"/>
      <c r="AA756" s="463" t="s">
        <v>5996</v>
      </c>
      <c r="AB756" s="459" t="s">
        <v>3634</v>
      </c>
    </row>
    <row r="757" spans="1:28" ht="24" customHeight="1">
      <c r="A757" s="584"/>
      <c r="B757" s="460" t="s">
        <v>675</v>
      </c>
      <c r="C757" s="458" t="s">
        <v>6013</v>
      </c>
      <c r="D757" s="510" t="s">
        <v>6014</v>
      </c>
      <c r="E757" s="498">
        <v>34</v>
      </c>
      <c r="F757" s="498">
        <v>0</v>
      </c>
      <c r="G757" s="498">
        <v>34</v>
      </c>
      <c r="H757" s="498">
        <v>0</v>
      </c>
      <c r="I757" s="498">
        <v>29</v>
      </c>
      <c r="J757" s="498">
        <v>0</v>
      </c>
      <c r="K757" s="498">
        <v>29</v>
      </c>
      <c r="L757" s="668">
        <v>0</v>
      </c>
      <c r="M757" s="956">
        <v>0.85294117647058831</v>
      </c>
      <c r="N757" s="653">
        <v>0</v>
      </c>
      <c r="O757" s="669" t="s">
        <v>5995</v>
      </c>
      <c r="P757" s="463" t="s">
        <v>1588</v>
      </c>
      <c r="Q757" s="852">
        <v>0</v>
      </c>
      <c r="R757" s="852">
        <v>0</v>
      </c>
      <c r="S757" s="852">
        <v>0</v>
      </c>
      <c r="T757" s="852">
        <v>0</v>
      </c>
      <c r="U757" s="463" t="s">
        <v>7483</v>
      </c>
      <c r="V757" s="466">
        <v>1999</v>
      </c>
      <c r="W757" s="498"/>
      <c r="X757" s="463" t="s">
        <v>2244</v>
      </c>
      <c r="Y757" s="463"/>
      <c r="Z757" s="463"/>
      <c r="AA757" s="463" t="s">
        <v>6015</v>
      </c>
      <c r="AB757" s="459" t="s">
        <v>3634</v>
      </c>
    </row>
    <row r="758" spans="1:28" ht="24" customHeight="1">
      <c r="A758" s="584"/>
      <c r="B758" s="460" t="s">
        <v>675</v>
      </c>
      <c r="C758" s="458" t="s">
        <v>6016</v>
      </c>
      <c r="D758" s="510" t="s">
        <v>6017</v>
      </c>
      <c r="E758" s="498">
        <v>8</v>
      </c>
      <c r="F758" s="498">
        <v>0</v>
      </c>
      <c r="G758" s="498">
        <v>8</v>
      </c>
      <c r="H758" s="498">
        <v>0</v>
      </c>
      <c r="I758" s="498">
        <v>7.5</v>
      </c>
      <c r="J758" s="498">
        <v>0</v>
      </c>
      <c r="K758" s="498">
        <v>7.5</v>
      </c>
      <c r="L758" s="668">
        <v>0</v>
      </c>
      <c r="M758" s="956">
        <v>0.9375</v>
      </c>
      <c r="N758" s="653">
        <v>0</v>
      </c>
      <c r="O758" s="669" t="s">
        <v>5995</v>
      </c>
      <c r="P758" s="463" t="s">
        <v>1588</v>
      </c>
      <c r="Q758" s="852">
        <v>0</v>
      </c>
      <c r="R758" s="852">
        <v>0</v>
      </c>
      <c r="S758" s="852">
        <v>0</v>
      </c>
      <c r="T758" s="852">
        <v>0</v>
      </c>
      <c r="U758" s="463" t="s">
        <v>7483</v>
      </c>
      <c r="V758" s="466">
        <v>2001</v>
      </c>
      <c r="W758" s="498"/>
      <c r="X758" s="463" t="s">
        <v>2244</v>
      </c>
      <c r="Y758" s="463"/>
      <c r="Z758" s="463"/>
      <c r="AA758" s="463" t="s">
        <v>6015</v>
      </c>
      <c r="AB758" s="459" t="s">
        <v>3634</v>
      </c>
    </row>
    <row r="759" spans="1:28" ht="24" customHeight="1">
      <c r="A759" s="584"/>
      <c r="B759" s="460" t="s">
        <v>675</v>
      </c>
      <c r="C759" s="458" t="s">
        <v>6018</v>
      </c>
      <c r="D759" s="510" t="s">
        <v>6019</v>
      </c>
      <c r="E759" s="498">
        <v>40</v>
      </c>
      <c r="F759" s="498">
        <v>0</v>
      </c>
      <c r="G759" s="498">
        <v>0</v>
      </c>
      <c r="H759" s="498">
        <v>40</v>
      </c>
      <c r="I759" s="498">
        <v>31</v>
      </c>
      <c r="J759" s="498">
        <v>0</v>
      </c>
      <c r="K759" s="498">
        <v>0</v>
      </c>
      <c r="L759" s="668">
        <v>31</v>
      </c>
      <c r="M759" s="956">
        <v>0.77500000000000002</v>
      </c>
      <c r="N759" s="653">
        <v>0</v>
      </c>
      <c r="O759" s="669" t="s">
        <v>6020</v>
      </c>
      <c r="P759" s="463" t="s">
        <v>1588</v>
      </c>
      <c r="Q759" s="852">
        <v>0</v>
      </c>
      <c r="R759" s="852">
        <v>0</v>
      </c>
      <c r="S759" s="852">
        <v>0</v>
      </c>
      <c r="T759" s="852">
        <v>0</v>
      </c>
      <c r="U759" s="463" t="s">
        <v>7483</v>
      </c>
      <c r="V759" s="466">
        <v>2006</v>
      </c>
      <c r="W759" s="498"/>
      <c r="X759" s="463" t="s">
        <v>2244</v>
      </c>
      <c r="Y759" s="463" t="s">
        <v>6006</v>
      </c>
      <c r="Z759" s="463"/>
      <c r="AA759" s="463" t="s">
        <v>6021</v>
      </c>
      <c r="AB759" s="459" t="s">
        <v>3634</v>
      </c>
    </row>
    <row r="760" spans="1:28" ht="24" customHeight="1">
      <c r="A760" s="584"/>
      <c r="B760" s="460" t="s">
        <v>675</v>
      </c>
      <c r="C760" s="458" t="s">
        <v>6022</v>
      </c>
      <c r="D760" s="510" t="s">
        <v>6023</v>
      </c>
      <c r="E760" s="498">
        <v>40</v>
      </c>
      <c r="F760" s="498">
        <v>0</v>
      </c>
      <c r="G760" s="498">
        <v>0</v>
      </c>
      <c r="H760" s="498">
        <v>40</v>
      </c>
      <c r="I760" s="498">
        <v>34</v>
      </c>
      <c r="J760" s="498">
        <v>0</v>
      </c>
      <c r="K760" s="498">
        <v>0</v>
      </c>
      <c r="L760" s="668">
        <v>34</v>
      </c>
      <c r="M760" s="956">
        <v>0.85</v>
      </c>
      <c r="N760" s="653">
        <v>0</v>
      </c>
      <c r="O760" s="669" t="s">
        <v>6024</v>
      </c>
      <c r="P760" s="463" t="s">
        <v>1588</v>
      </c>
      <c r="Q760" s="852">
        <v>0</v>
      </c>
      <c r="R760" s="852">
        <v>0</v>
      </c>
      <c r="S760" s="852">
        <v>0</v>
      </c>
      <c r="T760" s="852">
        <v>0</v>
      </c>
      <c r="U760" s="463" t="s">
        <v>7483</v>
      </c>
      <c r="V760" s="466">
        <v>2006</v>
      </c>
      <c r="W760" s="498"/>
      <c r="X760" s="463" t="s">
        <v>2244</v>
      </c>
      <c r="Y760" s="463" t="s">
        <v>6006</v>
      </c>
      <c r="Z760" s="463"/>
      <c r="AA760" s="463" t="s">
        <v>6021</v>
      </c>
      <c r="AB760" s="459" t="s">
        <v>3634</v>
      </c>
    </row>
    <row r="761" spans="1:28" ht="24" customHeight="1">
      <c r="A761" s="584"/>
      <c r="B761" s="460" t="s">
        <v>675</v>
      </c>
      <c r="C761" s="458" t="s">
        <v>6025</v>
      </c>
      <c r="D761" s="510" t="s">
        <v>6026</v>
      </c>
      <c r="E761" s="498">
        <v>34</v>
      </c>
      <c r="F761" s="498">
        <v>0</v>
      </c>
      <c r="G761" s="498">
        <v>0</v>
      </c>
      <c r="H761" s="498">
        <v>34</v>
      </c>
      <c r="I761" s="498">
        <v>31</v>
      </c>
      <c r="J761" s="498">
        <v>0</v>
      </c>
      <c r="K761" s="498">
        <v>31</v>
      </c>
      <c r="L761" s="668">
        <v>0</v>
      </c>
      <c r="M761" s="956">
        <v>0.91176470588235292</v>
      </c>
      <c r="N761" s="653">
        <v>0</v>
      </c>
      <c r="O761" s="669" t="s">
        <v>5995</v>
      </c>
      <c r="P761" s="463" t="s">
        <v>1588</v>
      </c>
      <c r="Q761" s="852">
        <v>0</v>
      </c>
      <c r="R761" s="852">
        <v>0</v>
      </c>
      <c r="S761" s="852">
        <v>0</v>
      </c>
      <c r="T761" s="852">
        <v>0</v>
      </c>
      <c r="U761" s="463" t="s">
        <v>7483</v>
      </c>
      <c r="V761" s="466">
        <v>2003</v>
      </c>
      <c r="W761" s="498"/>
      <c r="X761" s="463" t="s">
        <v>2244</v>
      </c>
      <c r="Y761" s="463"/>
      <c r="Z761" s="463"/>
      <c r="AA761" s="463" t="s">
        <v>6027</v>
      </c>
      <c r="AB761" s="459" t="s">
        <v>3634</v>
      </c>
    </row>
    <row r="762" spans="1:28" ht="24" customHeight="1">
      <c r="A762" s="584"/>
      <c r="B762" s="460" t="s">
        <v>675</v>
      </c>
      <c r="C762" s="458" t="s">
        <v>6028</v>
      </c>
      <c r="D762" s="510" t="s">
        <v>6029</v>
      </c>
      <c r="E762" s="498">
        <v>45</v>
      </c>
      <c r="F762" s="498">
        <v>0</v>
      </c>
      <c r="G762" s="498">
        <v>45</v>
      </c>
      <c r="H762" s="498">
        <v>0</v>
      </c>
      <c r="I762" s="498">
        <v>41</v>
      </c>
      <c r="J762" s="498">
        <v>0</v>
      </c>
      <c r="K762" s="498">
        <v>0</v>
      </c>
      <c r="L762" s="668">
        <v>41</v>
      </c>
      <c r="M762" s="956">
        <v>0.91111111111111109</v>
      </c>
      <c r="N762" s="653">
        <v>0</v>
      </c>
      <c r="O762" s="669" t="s">
        <v>6030</v>
      </c>
      <c r="P762" s="463" t="s">
        <v>1588</v>
      </c>
      <c r="Q762" s="852">
        <v>0</v>
      </c>
      <c r="R762" s="852">
        <v>0</v>
      </c>
      <c r="S762" s="852">
        <v>0</v>
      </c>
      <c r="T762" s="852">
        <v>0</v>
      </c>
      <c r="U762" s="463" t="s">
        <v>7483</v>
      </c>
      <c r="V762" s="466">
        <v>2001</v>
      </c>
      <c r="W762" s="498"/>
      <c r="X762" s="463" t="s">
        <v>2244</v>
      </c>
      <c r="Y762" s="463"/>
      <c r="Z762" s="463"/>
      <c r="AA762" s="463" t="s">
        <v>6027</v>
      </c>
      <c r="AB762" s="459" t="s">
        <v>3634</v>
      </c>
    </row>
    <row r="763" spans="1:28" ht="24" customHeight="1">
      <c r="A763" s="584"/>
      <c r="B763" s="460" t="s">
        <v>675</v>
      </c>
      <c r="C763" s="458" t="s">
        <v>6031</v>
      </c>
      <c r="D763" s="510" t="s">
        <v>6032</v>
      </c>
      <c r="E763" s="498">
        <v>46</v>
      </c>
      <c r="F763" s="498">
        <v>0</v>
      </c>
      <c r="G763" s="498">
        <v>46</v>
      </c>
      <c r="H763" s="498">
        <v>0</v>
      </c>
      <c r="I763" s="498">
        <v>38</v>
      </c>
      <c r="J763" s="498">
        <v>0</v>
      </c>
      <c r="K763" s="498">
        <v>38</v>
      </c>
      <c r="L763" s="668">
        <v>0</v>
      </c>
      <c r="M763" s="956">
        <v>0.82608695652173902</v>
      </c>
      <c r="N763" s="653">
        <v>0</v>
      </c>
      <c r="O763" s="669" t="s">
        <v>5995</v>
      </c>
      <c r="P763" s="463" t="s">
        <v>1588</v>
      </c>
      <c r="Q763" s="852">
        <v>0</v>
      </c>
      <c r="R763" s="852">
        <v>0</v>
      </c>
      <c r="S763" s="852">
        <v>0</v>
      </c>
      <c r="T763" s="852">
        <v>0</v>
      </c>
      <c r="U763" s="463" t="s">
        <v>7483</v>
      </c>
      <c r="V763" s="466">
        <v>2001</v>
      </c>
      <c r="W763" s="498"/>
      <c r="X763" s="463" t="s">
        <v>2244</v>
      </c>
      <c r="Y763" s="463"/>
      <c r="Z763" s="463"/>
      <c r="AA763" s="463" t="s">
        <v>6027</v>
      </c>
      <c r="AB763" s="459" t="s">
        <v>3634</v>
      </c>
    </row>
    <row r="764" spans="1:28" ht="24" customHeight="1">
      <c r="A764" s="584"/>
      <c r="B764" s="460" t="s">
        <v>675</v>
      </c>
      <c r="C764" s="458" t="s">
        <v>6033</v>
      </c>
      <c r="D764" s="510" t="s">
        <v>6034</v>
      </c>
      <c r="E764" s="498">
        <v>220</v>
      </c>
      <c r="F764" s="498">
        <v>0</v>
      </c>
      <c r="G764" s="498">
        <v>0</v>
      </c>
      <c r="H764" s="498">
        <v>220</v>
      </c>
      <c r="I764" s="498">
        <v>219</v>
      </c>
      <c r="J764" s="498">
        <v>0</v>
      </c>
      <c r="K764" s="498">
        <v>0</v>
      </c>
      <c r="L764" s="668">
        <v>219</v>
      </c>
      <c r="M764" s="956">
        <v>0.99545454545454548</v>
      </c>
      <c r="N764" s="653">
        <v>0</v>
      </c>
      <c r="O764" s="669" t="s">
        <v>6020</v>
      </c>
      <c r="P764" s="463" t="s">
        <v>1588</v>
      </c>
      <c r="Q764" s="852">
        <v>0</v>
      </c>
      <c r="R764" s="852">
        <v>0</v>
      </c>
      <c r="S764" s="852">
        <v>0</v>
      </c>
      <c r="T764" s="852">
        <v>0</v>
      </c>
      <c r="U764" s="463" t="s">
        <v>7483</v>
      </c>
      <c r="V764" s="466">
        <v>2006</v>
      </c>
      <c r="W764" s="498"/>
      <c r="X764" s="463" t="s">
        <v>2244</v>
      </c>
      <c r="Y764" s="463" t="s">
        <v>6006</v>
      </c>
      <c r="Z764" s="463"/>
      <c r="AA764" s="463" t="s">
        <v>6035</v>
      </c>
      <c r="AB764" s="459" t="s">
        <v>3634</v>
      </c>
    </row>
    <row r="765" spans="1:28" ht="24" customHeight="1">
      <c r="A765" s="582" t="s">
        <v>1668</v>
      </c>
      <c r="B765" s="460" t="s">
        <v>2201</v>
      </c>
      <c r="C765" s="458" t="s">
        <v>2414</v>
      </c>
      <c r="D765" s="510" t="s">
        <v>5400</v>
      </c>
      <c r="E765" s="656">
        <f t="shared" ref="E765:E787" si="59">F765+G765+H765</f>
        <v>22000</v>
      </c>
      <c r="F765" s="653">
        <v>0</v>
      </c>
      <c r="G765" s="653">
        <v>22000</v>
      </c>
      <c r="H765" s="653">
        <v>0</v>
      </c>
      <c r="I765" s="653">
        <f>SUM(J765:L765)</f>
        <v>18179</v>
      </c>
      <c r="J765" s="653">
        <v>0</v>
      </c>
      <c r="K765" s="653">
        <v>18179</v>
      </c>
      <c r="L765" s="698">
        <v>0</v>
      </c>
      <c r="M765" s="956">
        <v>0.96458923512747874</v>
      </c>
      <c r="N765" s="653">
        <v>1237.9898999999998</v>
      </c>
      <c r="O765" s="669" t="s">
        <v>1535</v>
      </c>
      <c r="P765" s="463" t="s">
        <v>1588</v>
      </c>
      <c r="Q765" s="852">
        <v>54</v>
      </c>
      <c r="R765" s="852">
        <v>145</v>
      </c>
      <c r="S765" s="852">
        <v>116</v>
      </c>
      <c r="T765" s="852">
        <v>0</v>
      </c>
      <c r="U765" s="463" t="s">
        <v>5401</v>
      </c>
      <c r="V765" s="466" t="s">
        <v>5402</v>
      </c>
      <c r="W765" s="498">
        <v>31594</v>
      </c>
      <c r="X765" s="463" t="s">
        <v>2199</v>
      </c>
      <c r="Y765" s="463"/>
      <c r="Z765" s="463" t="s">
        <v>1648</v>
      </c>
      <c r="AA765" s="463"/>
      <c r="AB765" s="459" t="s">
        <v>1596</v>
      </c>
    </row>
    <row r="766" spans="1:28" ht="24" customHeight="1">
      <c r="A766" s="584"/>
      <c r="B766" s="460" t="s">
        <v>2201</v>
      </c>
      <c r="C766" s="458" t="s">
        <v>4957</v>
      </c>
      <c r="D766" s="510" t="s">
        <v>5403</v>
      </c>
      <c r="E766" s="653">
        <f t="shared" si="59"/>
        <v>3200</v>
      </c>
      <c r="F766" s="653">
        <v>0</v>
      </c>
      <c r="G766" s="653">
        <v>3200</v>
      </c>
      <c r="H766" s="653">
        <v>0</v>
      </c>
      <c r="I766" s="653">
        <f>SUM(J766:L766)</f>
        <v>4157</v>
      </c>
      <c r="J766" s="653">
        <v>0</v>
      </c>
      <c r="K766" s="653">
        <v>4157</v>
      </c>
      <c r="L766" s="698">
        <v>0</v>
      </c>
      <c r="M766" s="956">
        <v>0.97431779411652719</v>
      </c>
      <c r="N766" s="653">
        <v>376.16181889080906</v>
      </c>
      <c r="O766" s="669" t="s">
        <v>5404</v>
      </c>
      <c r="P766" s="463" t="s">
        <v>1588</v>
      </c>
      <c r="Q766" s="852">
        <v>0</v>
      </c>
      <c r="R766" s="852">
        <v>0</v>
      </c>
      <c r="S766" s="852">
        <v>0</v>
      </c>
      <c r="T766" s="852">
        <v>0</v>
      </c>
      <c r="U766" s="463" t="s">
        <v>5405</v>
      </c>
      <c r="V766" s="466" t="s">
        <v>5406</v>
      </c>
      <c r="W766" s="653">
        <v>14850</v>
      </c>
      <c r="X766" s="463" t="s">
        <v>2199</v>
      </c>
      <c r="Y766" s="463"/>
      <c r="Z766" s="463" t="s">
        <v>1882</v>
      </c>
      <c r="AA766" s="463"/>
      <c r="AB766" s="459" t="s">
        <v>1596</v>
      </c>
    </row>
    <row r="767" spans="1:28" ht="24" customHeight="1">
      <c r="A767" s="584"/>
      <c r="B767" s="460" t="s">
        <v>2201</v>
      </c>
      <c r="C767" s="458" t="s">
        <v>5407</v>
      </c>
      <c r="D767" s="510" t="s">
        <v>5408</v>
      </c>
      <c r="E767" s="653">
        <f t="shared" si="59"/>
        <v>2000</v>
      </c>
      <c r="F767" s="653">
        <v>0</v>
      </c>
      <c r="G767" s="653">
        <v>0</v>
      </c>
      <c r="H767" s="653">
        <v>2000</v>
      </c>
      <c r="I767" s="653">
        <f>SUM(J767:L767)</f>
        <v>1253</v>
      </c>
      <c r="J767" s="653">
        <v>0</v>
      </c>
      <c r="K767" s="653">
        <v>0</v>
      </c>
      <c r="L767" s="698">
        <v>1253</v>
      </c>
      <c r="M767" s="956">
        <v>0.81016337380859993</v>
      </c>
      <c r="N767" s="653">
        <v>43.788930394265236</v>
      </c>
      <c r="O767" s="669" t="s">
        <v>5409</v>
      </c>
      <c r="P767" s="463" t="s">
        <v>1588</v>
      </c>
      <c r="Q767" s="852">
        <v>0</v>
      </c>
      <c r="R767" s="852">
        <v>0</v>
      </c>
      <c r="S767" s="852">
        <v>0</v>
      </c>
      <c r="T767" s="852">
        <v>0</v>
      </c>
      <c r="U767" s="463" t="s">
        <v>5410</v>
      </c>
      <c r="V767" s="466" t="s">
        <v>2079</v>
      </c>
      <c r="W767" s="653">
        <v>16421</v>
      </c>
      <c r="X767" s="463" t="s">
        <v>2199</v>
      </c>
      <c r="Y767" s="463" t="s">
        <v>3336</v>
      </c>
      <c r="Z767" s="463" t="s">
        <v>1669</v>
      </c>
      <c r="AA767" s="463"/>
      <c r="AB767" s="459" t="s">
        <v>1596</v>
      </c>
    </row>
    <row r="768" spans="1:28" ht="24" customHeight="1">
      <c r="A768" s="584"/>
      <c r="B768" s="460" t="s">
        <v>675</v>
      </c>
      <c r="C768" s="458" t="s">
        <v>5411</v>
      </c>
      <c r="D768" s="510" t="s">
        <v>5412</v>
      </c>
      <c r="E768" s="653">
        <f t="shared" si="59"/>
        <v>68</v>
      </c>
      <c r="F768" s="653">
        <v>0</v>
      </c>
      <c r="G768" s="653">
        <v>68</v>
      </c>
      <c r="H768" s="653">
        <v>0</v>
      </c>
      <c r="I768" s="653">
        <v>66</v>
      </c>
      <c r="J768" s="653">
        <v>0</v>
      </c>
      <c r="K768" s="653">
        <v>66</v>
      </c>
      <c r="L768" s="698">
        <v>0</v>
      </c>
      <c r="M768" s="956">
        <v>0.97099999999999997</v>
      </c>
      <c r="N768" s="653">
        <v>521</v>
      </c>
      <c r="O768" s="669" t="s">
        <v>5413</v>
      </c>
      <c r="P768" s="463" t="s">
        <v>1588</v>
      </c>
      <c r="Q768" s="852">
        <v>0</v>
      </c>
      <c r="R768" s="852">
        <v>0</v>
      </c>
      <c r="S768" s="852">
        <v>0</v>
      </c>
      <c r="T768" s="852">
        <v>0</v>
      </c>
      <c r="U768" s="463" t="s">
        <v>5401</v>
      </c>
      <c r="V768" s="466" t="s">
        <v>5414</v>
      </c>
      <c r="W768" s="653">
        <v>550</v>
      </c>
      <c r="X768" s="463" t="s">
        <v>2199</v>
      </c>
      <c r="Y768" s="463"/>
      <c r="Z768" s="463" t="s">
        <v>1613</v>
      </c>
      <c r="AA768" s="463"/>
      <c r="AB768" s="459" t="s">
        <v>1596</v>
      </c>
    </row>
    <row r="769" spans="1:28" ht="24" customHeight="1">
      <c r="A769" s="584"/>
      <c r="B769" s="460" t="s">
        <v>675</v>
      </c>
      <c r="C769" s="458" t="s">
        <v>5415</v>
      </c>
      <c r="D769" s="510" t="s">
        <v>5416</v>
      </c>
      <c r="E769" s="653">
        <f t="shared" si="59"/>
        <v>50</v>
      </c>
      <c r="F769" s="653">
        <v>0</v>
      </c>
      <c r="G769" s="653">
        <v>0</v>
      </c>
      <c r="H769" s="653">
        <v>50</v>
      </c>
      <c r="I769" s="653">
        <v>50</v>
      </c>
      <c r="J769" s="653">
        <v>0</v>
      </c>
      <c r="K769" s="653">
        <v>0</v>
      </c>
      <c r="L769" s="698">
        <v>50</v>
      </c>
      <c r="M769" s="956">
        <v>1</v>
      </c>
      <c r="N769" s="653">
        <v>863</v>
      </c>
      <c r="O769" s="669" t="s">
        <v>5417</v>
      </c>
      <c r="P769" s="463" t="s">
        <v>1588</v>
      </c>
      <c r="Q769" s="852">
        <v>0</v>
      </c>
      <c r="R769" s="852">
        <v>0</v>
      </c>
      <c r="S769" s="852">
        <v>0</v>
      </c>
      <c r="T769" s="852">
        <v>0</v>
      </c>
      <c r="U769" s="463" t="s">
        <v>5401</v>
      </c>
      <c r="V769" s="466" t="s">
        <v>5418</v>
      </c>
      <c r="W769" s="653">
        <v>549</v>
      </c>
      <c r="X769" s="463" t="s">
        <v>2199</v>
      </c>
      <c r="Y769" s="463"/>
      <c r="Z769" s="463" t="s">
        <v>1648</v>
      </c>
      <c r="AA769" s="463"/>
      <c r="AB769" s="459" t="s">
        <v>1596</v>
      </c>
    </row>
    <row r="770" spans="1:28" ht="24" customHeight="1">
      <c r="A770" s="584"/>
      <c r="B770" s="460" t="s">
        <v>675</v>
      </c>
      <c r="C770" s="458" t="s">
        <v>5419</v>
      </c>
      <c r="D770" s="510" t="s">
        <v>5420</v>
      </c>
      <c r="E770" s="653">
        <f t="shared" si="59"/>
        <v>39</v>
      </c>
      <c r="F770" s="653">
        <v>0</v>
      </c>
      <c r="G770" s="653">
        <v>39</v>
      </c>
      <c r="H770" s="653">
        <v>0</v>
      </c>
      <c r="I770" s="653">
        <v>39</v>
      </c>
      <c r="J770" s="653">
        <v>0</v>
      </c>
      <c r="K770" s="653">
        <v>39</v>
      </c>
      <c r="L770" s="698">
        <v>0</v>
      </c>
      <c r="M770" s="956">
        <v>1</v>
      </c>
      <c r="N770" s="653" t="s">
        <v>673</v>
      </c>
      <c r="O770" s="669" t="s">
        <v>5413</v>
      </c>
      <c r="P770" s="463" t="s">
        <v>1588</v>
      </c>
      <c r="Q770" s="852">
        <v>0</v>
      </c>
      <c r="R770" s="852">
        <v>0</v>
      </c>
      <c r="S770" s="852">
        <v>0</v>
      </c>
      <c r="T770" s="852">
        <v>0</v>
      </c>
      <c r="U770" s="463" t="s">
        <v>5401</v>
      </c>
      <c r="V770" s="466" t="s">
        <v>5418</v>
      </c>
      <c r="W770" s="653">
        <v>412</v>
      </c>
      <c r="X770" s="463" t="s">
        <v>2199</v>
      </c>
      <c r="Y770" s="463"/>
      <c r="Z770" s="463" t="s">
        <v>1648</v>
      </c>
      <c r="AA770" s="463"/>
      <c r="AB770" s="459" t="s">
        <v>1596</v>
      </c>
    </row>
    <row r="771" spans="1:28" ht="24" customHeight="1">
      <c r="A771" s="584"/>
      <c r="B771" s="460" t="s">
        <v>675</v>
      </c>
      <c r="C771" s="458" t="s">
        <v>5421</v>
      </c>
      <c r="D771" s="510" t="s">
        <v>5422</v>
      </c>
      <c r="E771" s="653">
        <f t="shared" si="59"/>
        <v>50</v>
      </c>
      <c r="F771" s="653">
        <v>0</v>
      </c>
      <c r="G771" s="653">
        <v>50</v>
      </c>
      <c r="H771" s="653">
        <v>0</v>
      </c>
      <c r="I771" s="653">
        <v>50</v>
      </c>
      <c r="J771" s="653">
        <v>0</v>
      </c>
      <c r="K771" s="653">
        <v>50</v>
      </c>
      <c r="L771" s="698">
        <v>0</v>
      </c>
      <c r="M771" s="956">
        <v>1</v>
      </c>
      <c r="N771" s="653" t="s">
        <v>673</v>
      </c>
      <c r="O771" s="669" t="s">
        <v>5413</v>
      </c>
      <c r="P771" s="463" t="s">
        <v>1588</v>
      </c>
      <c r="Q771" s="852">
        <v>0</v>
      </c>
      <c r="R771" s="852">
        <v>0</v>
      </c>
      <c r="S771" s="852">
        <v>0</v>
      </c>
      <c r="T771" s="852">
        <v>0</v>
      </c>
      <c r="U771" s="463" t="s">
        <v>5401</v>
      </c>
      <c r="V771" s="466" t="s">
        <v>5423</v>
      </c>
      <c r="W771" s="653">
        <v>300</v>
      </c>
      <c r="X771" s="463" t="s">
        <v>2199</v>
      </c>
      <c r="Y771" s="463"/>
      <c r="Z771" s="463" t="s">
        <v>5424</v>
      </c>
      <c r="AA771" s="463"/>
      <c r="AB771" s="459" t="s">
        <v>1596</v>
      </c>
    </row>
    <row r="772" spans="1:28" ht="24" customHeight="1">
      <c r="A772" s="582" t="s">
        <v>1670</v>
      </c>
      <c r="B772" s="460" t="s">
        <v>2201</v>
      </c>
      <c r="C772" s="458" t="s">
        <v>2023</v>
      </c>
      <c r="D772" s="510" t="s">
        <v>5425</v>
      </c>
      <c r="E772" s="653">
        <f t="shared" si="59"/>
        <v>9000</v>
      </c>
      <c r="F772" s="653">
        <v>0</v>
      </c>
      <c r="G772" s="653">
        <v>0</v>
      </c>
      <c r="H772" s="653">
        <v>9000</v>
      </c>
      <c r="I772" s="653">
        <v>8055</v>
      </c>
      <c r="J772" s="653">
        <v>0</v>
      </c>
      <c r="K772" s="653">
        <v>0</v>
      </c>
      <c r="L772" s="698">
        <v>8055</v>
      </c>
      <c r="M772" s="956">
        <v>0.97041284104686543</v>
      </c>
      <c r="N772" s="653">
        <v>811.3375601670507</v>
      </c>
      <c r="O772" s="669" t="s">
        <v>5426</v>
      </c>
      <c r="P772" s="463" t="s">
        <v>5427</v>
      </c>
      <c r="Q772" s="852">
        <v>0</v>
      </c>
      <c r="R772" s="852">
        <v>0</v>
      </c>
      <c r="S772" s="852">
        <v>0</v>
      </c>
      <c r="T772" s="852">
        <v>0</v>
      </c>
      <c r="U772" s="463" t="s">
        <v>5428</v>
      </c>
      <c r="V772" s="466" t="s">
        <v>5406</v>
      </c>
      <c r="W772" s="653">
        <v>23000</v>
      </c>
      <c r="X772" s="463" t="s">
        <v>1532</v>
      </c>
      <c r="Y772" s="463" t="s">
        <v>3161</v>
      </c>
      <c r="Z772" s="463" t="s">
        <v>1671</v>
      </c>
      <c r="AA772" s="463"/>
      <c r="AB772" s="459" t="s">
        <v>2294</v>
      </c>
    </row>
    <row r="773" spans="1:28" ht="24" customHeight="1">
      <c r="A773" s="584"/>
      <c r="B773" s="460" t="s">
        <v>2201</v>
      </c>
      <c r="C773" s="458" t="s">
        <v>2415</v>
      </c>
      <c r="D773" s="510" t="s">
        <v>2124</v>
      </c>
      <c r="E773" s="653">
        <f t="shared" si="59"/>
        <v>1600</v>
      </c>
      <c r="F773" s="653">
        <v>0</v>
      </c>
      <c r="G773" s="653">
        <v>0</v>
      </c>
      <c r="H773" s="653">
        <v>1600</v>
      </c>
      <c r="I773" s="653">
        <v>1402</v>
      </c>
      <c r="J773" s="653">
        <v>0</v>
      </c>
      <c r="K773" s="653">
        <v>0</v>
      </c>
      <c r="L773" s="698">
        <v>1402</v>
      </c>
      <c r="M773" s="956">
        <v>0.98245614035087714</v>
      </c>
      <c r="N773" s="653">
        <v>133.47040000000001</v>
      </c>
      <c r="O773" s="669" t="s">
        <v>5429</v>
      </c>
      <c r="P773" s="463" t="s">
        <v>3388</v>
      </c>
      <c r="Q773" s="852">
        <v>1</v>
      </c>
      <c r="R773" s="852">
        <v>0</v>
      </c>
      <c r="S773" s="852">
        <v>0</v>
      </c>
      <c r="T773" s="852">
        <v>0</v>
      </c>
      <c r="U773" s="463" t="s">
        <v>2296</v>
      </c>
      <c r="V773" s="466" t="s">
        <v>5430</v>
      </c>
      <c r="W773" s="667">
        <v>11049</v>
      </c>
      <c r="X773" s="463" t="s">
        <v>1862</v>
      </c>
      <c r="Y773" s="463" t="s">
        <v>5431</v>
      </c>
      <c r="Z773" s="463" t="s">
        <v>5432</v>
      </c>
      <c r="AA773" s="463"/>
      <c r="AB773" s="459" t="s">
        <v>2294</v>
      </c>
    </row>
    <row r="774" spans="1:28" ht="24" customHeight="1">
      <c r="A774" s="584"/>
      <c r="B774" s="460" t="s">
        <v>675</v>
      </c>
      <c r="C774" s="458" t="s">
        <v>5433</v>
      </c>
      <c r="D774" s="510" t="s">
        <v>2124</v>
      </c>
      <c r="E774" s="653">
        <f t="shared" si="59"/>
        <v>120</v>
      </c>
      <c r="F774" s="653">
        <v>0</v>
      </c>
      <c r="G774" s="653">
        <v>70</v>
      </c>
      <c r="H774" s="653">
        <v>50</v>
      </c>
      <c r="I774" s="653">
        <v>110</v>
      </c>
      <c r="J774" s="653">
        <v>0</v>
      </c>
      <c r="K774" s="653">
        <v>60</v>
      </c>
      <c r="L774" s="698">
        <v>50</v>
      </c>
      <c r="M774" s="956">
        <v>0.91700000000000004</v>
      </c>
      <c r="N774" s="653">
        <v>13</v>
      </c>
      <c r="O774" s="669" t="s">
        <v>5033</v>
      </c>
      <c r="P774" s="463" t="s">
        <v>1214</v>
      </c>
      <c r="Q774" s="852">
        <v>0</v>
      </c>
      <c r="R774" s="852">
        <v>0</v>
      </c>
      <c r="S774" s="852">
        <v>0</v>
      </c>
      <c r="T774" s="852">
        <v>0</v>
      </c>
      <c r="U774" s="463" t="s">
        <v>5434</v>
      </c>
      <c r="V774" s="466" t="s">
        <v>5435</v>
      </c>
      <c r="W774" s="653">
        <v>540</v>
      </c>
      <c r="X774" s="463" t="s">
        <v>1862</v>
      </c>
      <c r="Y774" s="463"/>
      <c r="Z774" s="463"/>
      <c r="AA774" s="463"/>
      <c r="AB774" s="459" t="s">
        <v>2294</v>
      </c>
    </row>
    <row r="775" spans="1:28" ht="24" customHeight="1">
      <c r="A775" s="584"/>
      <c r="B775" s="460" t="s">
        <v>675</v>
      </c>
      <c r="C775" s="458" t="s">
        <v>5436</v>
      </c>
      <c r="D775" s="510" t="s">
        <v>5437</v>
      </c>
      <c r="E775" s="653">
        <f t="shared" si="59"/>
        <v>110</v>
      </c>
      <c r="F775" s="653">
        <v>0</v>
      </c>
      <c r="G775" s="653">
        <v>0</v>
      </c>
      <c r="H775" s="653">
        <v>110</v>
      </c>
      <c r="I775" s="653">
        <v>86</v>
      </c>
      <c r="J775" s="653">
        <v>0</v>
      </c>
      <c r="K775" s="653">
        <v>0</v>
      </c>
      <c r="L775" s="698">
        <v>86</v>
      </c>
      <c r="M775" s="956">
        <v>0.78200000000000003</v>
      </c>
      <c r="N775" s="653">
        <v>12</v>
      </c>
      <c r="O775" s="669" t="s">
        <v>5429</v>
      </c>
      <c r="P775" s="463" t="s">
        <v>3718</v>
      </c>
      <c r="Q775" s="852">
        <v>0</v>
      </c>
      <c r="R775" s="852">
        <v>0</v>
      </c>
      <c r="S775" s="852">
        <v>0</v>
      </c>
      <c r="T775" s="852">
        <v>0</v>
      </c>
      <c r="U775" s="463" t="s">
        <v>5434</v>
      </c>
      <c r="V775" s="466" t="s">
        <v>5438</v>
      </c>
      <c r="W775" s="653">
        <v>541</v>
      </c>
      <c r="X775" s="463" t="s">
        <v>1862</v>
      </c>
      <c r="Y775" s="463" t="s">
        <v>3161</v>
      </c>
      <c r="Z775" s="463"/>
      <c r="AA775" s="463"/>
      <c r="AB775" s="459" t="s">
        <v>2294</v>
      </c>
    </row>
    <row r="776" spans="1:28" ht="24" customHeight="1">
      <c r="A776" s="584"/>
      <c r="B776" s="460" t="s">
        <v>675</v>
      </c>
      <c r="C776" s="458" t="s">
        <v>5439</v>
      </c>
      <c r="D776" s="510" t="s">
        <v>5440</v>
      </c>
      <c r="E776" s="653">
        <f t="shared" si="59"/>
        <v>80</v>
      </c>
      <c r="F776" s="653">
        <v>0</v>
      </c>
      <c r="G776" s="653">
        <v>0</v>
      </c>
      <c r="H776" s="653">
        <v>80</v>
      </c>
      <c r="I776" s="653">
        <v>55</v>
      </c>
      <c r="J776" s="653">
        <v>0</v>
      </c>
      <c r="K776" s="653">
        <v>0</v>
      </c>
      <c r="L776" s="698">
        <v>55</v>
      </c>
      <c r="M776" s="956">
        <v>0.68799999999999994</v>
      </c>
      <c r="N776" s="653">
        <v>7</v>
      </c>
      <c r="O776" s="709" t="s">
        <v>5426</v>
      </c>
      <c r="P776" s="132" t="s">
        <v>3274</v>
      </c>
      <c r="Q776" s="857">
        <v>0</v>
      </c>
      <c r="R776" s="857">
        <v>0</v>
      </c>
      <c r="S776" s="852">
        <v>0</v>
      </c>
      <c r="T776" s="852">
        <v>0</v>
      </c>
      <c r="U776" s="463" t="s">
        <v>5434</v>
      </c>
      <c r="V776" s="466" t="s">
        <v>2074</v>
      </c>
      <c r="W776" s="653">
        <v>310</v>
      </c>
      <c r="X776" s="463" t="s">
        <v>1862</v>
      </c>
      <c r="Y776" s="463" t="s">
        <v>3232</v>
      </c>
      <c r="Z776" s="463"/>
      <c r="AA776" s="463"/>
      <c r="AB776" s="459" t="s">
        <v>2294</v>
      </c>
    </row>
    <row r="777" spans="1:28" ht="24" customHeight="1">
      <c r="A777" s="584"/>
      <c r="B777" s="460" t="s">
        <v>675</v>
      </c>
      <c r="C777" s="458" t="s">
        <v>5441</v>
      </c>
      <c r="D777" s="510" t="s">
        <v>5440</v>
      </c>
      <c r="E777" s="653">
        <f t="shared" si="59"/>
        <v>80</v>
      </c>
      <c r="F777" s="653">
        <v>0</v>
      </c>
      <c r="G777" s="653">
        <v>0</v>
      </c>
      <c r="H777" s="653">
        <v>80</v>
      </c>
      <c r="I777" s="653">
        <v>65</v>
      </c>
      <c r="J777" s="653">
        <v>0</v>
      </c>
      <c r="K777" s="653">
        <v>0</v>
      </c>
      <c r="L777" s="698">
        <v>65</v>
      </c>
      <c r="M777" s="956">
        <v>0.81299999999999994</v>
      </c>
      <c r="N777" s="653">
        <v>7</v>
      </c>
      <c r="O777" s="669" t="s">
        <v>5033</v>
      </c>
      <c r="P777" s="463" t="s">
        <v>1214</v>
      </c>
      <c r="Q777" s="852">
        <v>0</v>
      </c>
      <c r="R777" s="852">
        <v>0</v>
      </c>
      <c r="S777" s="852">
        <v>0</v>
      </c>
      <c r="T777" s="852">
        <v>0</v>
      </c>
      <c r="U777" s="463" t="s">
        <v>5434</v>
      </c>
      <c r="V777" s="466" t="s">
        <v>5442</v>
      </c>
      <c r="W777" s="653">
        <v>775</v>
      </c>
      <c r="X777" s="463" t="s">
        <v>1862</v>
      </c>
      <c r="Y777" s="463"/>
      <c r="Z777" s="463"/>
      <c r="AA777" s="463"/>
      <c r="AB777" s="459" t="s">
        <v>2294</v>
      </c>
    </row>
    <row r="778" spans="1:28" ht="24" customHeight="1">
      <c r="A778" s="584"/>
      <c r="B778" s="460" t="s">
        <v>675</v>
      </c>
      <c r="C778" s="458" t="s">
        <v>5443</v>
      </c>
      <c r="D778" s="510" t="s">
        <v>5444</v>
      </c>
      <c r="E778" s="653">
        <f t="shared" si="59"/>
        <v>60</v>
      </c>
      <c r="F778" s="653">
        <v>0</v>
      </c>
      <c r="G778" s="653">
        <v>0</v>
      </c>
      <c r="H778" s="653">
        <v>60</v>
      </c>
      <c r="I778" s="653">
        <v>35</v>
      </c>
      <c r="J778" s="653">
        <v>0</v>
      </c>
      <c r="K778" s="653">
        <v>0</v>
      </c>
      <c r="L778" s="698">
        <v>35</v>
      </c>
      <c r="M778" s="956">
        <v>0.58299999999999996</v>
      </c>
      <c r="N778" s="653">
        <v>5</v>
      </c>
      <c r="O778" s="669" t="s">
        <v>3347</v>
      </c>
      <c r="P778" s="463" t="s">
        <v>5445</v>
      </c>
      <c r="Q778" s="852">
        <v>0</v>
      </c>
      <c r="R778" s="852">
        <v>0</v>
      </c>
      <c r="S778" s="852">
        <v>0</v>
      </c>
      <c r="T778" s="852">
        <v>0</v>
      </c>
      <c r="U778" s="463" t="s">
        <v>5434</v>
      </c>
      <c r="V778" s="466" t="s">
        <v>5446</v>
      </c>
      <c r="W778" s="653">
        <v>615</v>
      </c>
      <c r="X778" s="463" t="s">
        <v>1862</v>
      </c>
      <c r="Y778" s="463" t="s">
        <v>3232</v>
      </c>
      <c r="Z778" s="463"/>
      <c r="AA778" s="463"/>
      <c r="AB778" s="459" t="s">
        <v>2294</v>
      </c>
    </row>
    <row r="779" spans="1:28" ht="24" customHeight="1">
      <c r="A779" s="584"/>
      <c r="B779" s="460" t="s">
        <v>675</v>
      </c>
      <c r="C779" s="458" t="s">
        <v>3750</v>
      </c>
      <c r="D779" s="510" t="s">
        <v>5447</v>
      </c>
      <c r="E779" s="653">
        <f t="shared" si="59"/>
        <v>60</v>
      </c>
      <c r="F779" s="653">
        <v>0</v>
      </c>
      <c r="G779" s="653">
        <v>0</v>
      </c>
      <c r="H779" s="653">
        <v>60</v>
      </c>
      <c r="I779" s="653">
        <v>58</v>
      </c>
      <c r="J779" s="653">
        <v>0</v>
      </c>
      <c r="K779" s="653">
        <v>0</v>
      </c>
      <c r="L779" s="698">
        <v>58</v>
      </c>
      <c r="M779" s="956">
        <v>0.96700000000000008</v>
      </c>
      <c r="N779" s="653">
        <v>8</v>
      </c>
      <c r="O779" s="709" t="s">
        <v>5426</v>
      </c>
      <c r="P779" s="132" t="s">
        <v>3274</v>
      </c>
      <c r="Q779" s="852">
        <v>0</v>
      </c>
      <c r="R779" s="852">
        <v>0</v>
      </c>
      <c r="S779" s="852">
        <v>0</v>
      </c>
      <c r="T779" s="852">
        <v>0</v>
      </c>
      <c r="U779" s="463" t="s">
        <v>5434</v>
      </c>
      <c r="V779" s="466" t="s">
        <v>2074</v>
      </c>
      <c r="W779" s="653">
        <v>260</v>
      </c>
      <c r="X779" s="463" t="s">
        <v>1862</v>
      </c>
      <c r="Y779" s="463" t="s">
        <v>3232</v>
      </c>
      <c r="Z779" s="463"/>
      <c r="AA779" s="463"/>
      <c r="AB779" s="459" t="s">
        <v>2294</v>
      </c>
    </row>
    <row r="780" spans="1:28" ht="24" customHeight="1">
      <c r="A780" s="584"/>
      <c r="B780" s="460" t="s">
        <v>675</v>
      </c>
      <c r="C780" s="458" t="s">
        <v>5448</v>
      </c>
      <c r="D780" s="510" t="s">
        <v>5449</v>
      </c>
      <c r="E780" s="653">
        <f t="shared" si="59"/>
        <v>700</v>
      </c>
      <c r="F780" s="653">
        <v>0</v>
      </c>
      <c r="G780" s="653">
        <v>700</v>
      </c>
      <c r="H780" s="653">
        <v>0</v>
      </c>
      <c r="I780" s="653">
        <v>462</v>
      </c>
      <c r="J780" s="653">
        <v>0</v>
      </c>
      <c r="K780" s="653">
        <v>462</v>
      </c>
      <c r="L780" s="698">
        <v>0</v>
      </c>
      <c r="M780" s="956">
        <v>0.66</v>
      </c>
      <c r="N780" s="653">
        <v>113</v>
      </c>
      <c r="O780" s="669" t="s">
        <v>3546</v>
      </c>
      <c r="P780" s="463" t="s">
        <v>1588</v>
      </c>
      <c r="Q780" s="852">
        <v>0</v>
      </c>
      <c r="R780" s="852">
        <v>0</v>
      </c>
      <c r="S780" s="852">
        <v>0</v>
      </c>
      <c r="T780" s="852">
        <v>0</v>
      </c>
      <c r="U780" s="463" t="s">
        <v>5434</v>
      </c>
      <c r="V780" s="466" t="s">
        <v>5450</v>
      </c>
      <c r="W780" s="653">
        <v>886</v>
      </c>
      <c r="X780" s="463" t="s">
        <v>1862</v>
      </c>
      <c r="Y780" s="463" t="s">
        <v>3232</v>
      </c>
      <c r="Z780" s="463"/>
      <c r="AA780" s="463"/>
      <c r="AB780" s="459" t="s">
        <v>2294</v>
      </c>
    </row>
    <row r="781" spans="1:28" ht="24" customHeight="1">
      <c r="A781" s="584"/>
      <c r="B781" s="460" t="s">
        <v>675</v>
      </c>
      <c r="C781" s="458" t="s">
        <v>5451</v>
      </c>
      <c r="D781" s="510" t="s">
        <v>5452</v>
      </c>
      <c r="E781" s="653">
        <f t="shared" si="59"/>
        <v>68</v>
      </c>
      <c r="F781" s="653">
        <v>0</v>
      </c>
      <c r="G781" s="653">
        <v>68</v>
      </c>
      <c r="H781" s="653">
        <v>0</v>
      </c>
      <c r="I781" s="653">
        <v>61</v>
      </c>
      <c r="J781" s="653">
        <v>0</v>
      </c>
      <c r="K781" s="653">
        <v>61</v>
      </c>
      <c r="L781" s="698">
        <v>0</v>
      </c>
      <c r="M781" s="956">
        <v>0.89700000000000002</v>
      </c>
      <c r="N781" s="653">
        <v>6</v>
      </c>
      <c r="O781" s="669" t="s">
        <v>5453</v>
      </c>
      <c r="P781" s="463" t="s">
        <v>1588</v>
      </c>
      <c r="Q781" s="852">
        <v>0</v>
      </c>
      <c r="R781" s="852">
        <v>0</v>
      </c>
      <c r="S781" s="852">
        <v>0</v>
      </c>
      <c r="T781" s="852">
        <v>0</v>
      </c>
      <c r="U781" s="463" t="s">
        <v>5434</v>
      </c>
      <c r="V781" s="466" t="s">
        <v>5454</v>
      </c>
      <c r="W781" s="653">
        <v>334</v>
      </c>
      <c r="X781" s="463" t="s">
        <v>1862</v>
      </c>
      <c r="Y781" s="463" t="s">
        <v>3232</v>
      </c>
      <c r="Z781" s="463"/>
      <c r="AA781" s="463"/>
      <c r="AB781" s="459" t="s">
        <v>2294</v>
      </c>
    </row>
    <row r="782" spans="1:28" ht="24" customHeight="1">
      <c r="A782" s="584"/>
      <c r="B782" s="460" t="s">
        <v>675</v>
      </c>
      <c r="C782" s="458" t="s">
        <v>5455</v>
      </c>
      <c r="D782" s="510" t="s">
        <v>5456</v>
      </c>
      <c r="E782" s="653">
        <f t="shared" si="59"/>
        <v>60</v>
      </c>
      <c r="F782" s="653">
        <v>0</v>
      </c>
      <c r="G782" s="653">
        <v>0</v>
      </c>
      <c r="H782" s="653">
        <v>60</v>
      </c>
      <c r="I782" s="653">
        <v>41</v>
      </c>
      <c r="J782" s="653">
        <v>0</v>
      </c>
      <c r="K782" s="653">
        <v>0</v>
      </c>
      <c r="L782" s="698">
        <v>41</v>
      </c>
      <c r="M782" s="956">
        <v>0.68299999999999994</v>
      </c>
      <c r="N782" s="653">
        <v>4</v>
      </c>
      <c r="O782" s="669" t="s">
        <v>3347</v>
      </c>
      <c r="P782" s="463" t="s">
        <v>3455</v>
      </c>
      <c r="Q782" s="852">
        <v>0</v>
      </c>
      <c r="R782" s="852">
        <v>0</v>
      </c>
      <c r="S782" s="852">
        <v>0</v>
      </c>
      <c r="T782" s="852">
        <v>0</v>
      </c>
      <c r="U782" s="463" t="s">
        <v>5434</v>
      </c>
      <c r="V782" s="466" t="s">
        <v>3420</v>
      </c>
      <c r="W782" s="653">
        <v>416</v>
      </c>
      <c r="X782" s="463" t="s">
        <v>1862</v>
      </c>
      <c r="Y782" s="463" t="s">
        <v>3232</v>
      </c>
      <c r="Z782" s="463"/>
      <c r="AA782" s="463"/>
      <c r="AB782" s="459" t="s">
        <v>2294</v>
      </c>
    </row>
    <row r="783" spans="1:28" ht="24" customHeight="1">
      <c r="A783" s="584"/>
      <c r="B783" s="460" t="s">
        <v>675</v>
      </c>
      <c r="C783" s="458" t="s">
        <v>5457</v>
      </c>
      <c r="D783" s="510" t="s">
        <v>5458</v>
      </c>
      <c r="E783" s="653">
        <f t="shared" si="59"/>
        <v>80</v>
      </c>
      <c r="F783" s="653">
        <v>0</v>
      </c>
      <c r="G783" s="653">
        <v>0</v>
      </c>
      <c r="H783" s="653">
        <v>80</v>
      </c>
      <c r="I783" s="653">
        <v>51</v>
      </c>
      <c r="J783" s="653">
        <v>0</v>
      </c>
      <c r="K783" s="653">
        <v>0</v>
      </c>
      <c r="L783" s="698">
        <v>51</v>
      </c>
      <c r="M783" s="956">
        <v>0.63800000000000001</v>
      </c>
      <c r="N783" s="653">
        <v>8</v>
      </c>
      <c r="O783" s="669" t="s">
        <v>5033</v>
      </c>
      <c r="P783" s="463" t="s">
        <v>1214</v>
      </c>
      <c r="Q783" s="852">
        <v>0</v>
      </c>
      <c r="R783" s="852">
        <v>0</v>
      </c>
      <c r="S783" s="852">
        <v>0</v>
      </c>
      <c r="T783" s="852">
        <v>0</v>
      </c>
      <c r="U783" s="463" t="s">
        <v>5434</v>
      </c>
      <c r="V783" s="466" t="s">
        <v>5459</v>
      </c>
      <c r="W783" s="653">
        <v>741</v>
      </c>
      <c r="X783" s="463" t="s">
        <v>1862</v>
      </c>
      <c r="Y783" s="463"/>
      <c r="Z783" s="463"/>
      <c r="AA783" s="463"/>
      <c r="AB783" s="459" t="s">
        <v>2294</v>
      </c>
    </row>
    <row r="784" spans="1:28" ht="24" customHeight="1">
      <c r="A784" s="593" t="s">
        <v>1672</v>
      </c>
      <c r="B784" s="460" t="s">
        <v>2201</v>
      </c>
      <c r="C784" s="522" t="s">
        <v>2416</v>
      </c>
      <c r="D784" s="524" t="s">
        <v>5460</v>
      </c>
      <c r="E784" s="653">
        <f t="shared" si="59"/>
        <v>15000</v>
      </c>
      <c r="F784" s="653">
        <v>0</v>
      </c>
      <c r="G784" s="653">
        <v>15000</v>
      </c>
      <c r="H784" s="653">
        <v>0</v>
      </c>
      <c r="I784" s="653">
        <f>SUM(J784:L784)</f>
        <v>14312</v>
      </c>
      <c r="J784" s="653">
        <v>0</v>
      </c>
      <c r="K784" s="653">
        <v>14312</v>
      </c>
      <c r="L784" s="698">
        <v>0</v>
      </c>
      <c r="M784" s="956">
        <v>0.98580121703853951</v>
      </c>
      <c r="N784" s="653">
        <v>1391.1263999999999</v>
      </c>
      <c r="O784" s="699" t="s">
        <v>5461</v>
      </c>
      <c r="P784" s="462" t="s">
        <v>1588</v>
      </c>
      <c r="Q784" s="854">
        <v>83.5</v>
      </c>
      <c r="R784" s="854">
        <v>0</v>
      </c>
      <c r="S784" s="854">
        <v>0</v>
      </c>
      <c r="T784" s="854">
        <v>0</v>
      </c>
      <c r="U784" s="462" t="s">
        <v>2449</v>
      </c>
      <c r="V784" s="462" t="s">
        <v>5462</v>
      </c>
      <c r="W784" s="653">
        <v>39784</v>
      </c>
      <c r="X784" s="462" t="s">
        <v>2199</v>
      </c>
      <c r="Y784" s="462" t="s">
        <v>3161</v>
      </c>
      <c r="Z784" s="462" t="s">
        <v>5463</v>
      </c>
      <c r="AA784" s="462" t="s">
        <v>5464</v>
      </c>
      <c r="AB784" s="467" t="s">
        <v>1596</v>
      </c>
    </row>
    <row r="785" spans="1:28" ht="24" customHeight="1">
      <c r="A785" s="594"/>
      <c r="B785" s="460" t="s">
        <v>2201</v>
      </c>
      <c r="C785" s="522" t="s">
        <v>5465</v>
      </c>
      <c r="D785" s="524" t="s">
        <v>5466</v>
      </c>
      <c r="E785" s="653">
        <f t="shared" si="59"/>
        <v>11400</v>
      </c>
      <c r="F785" s="653">
        <v>0</v>
      </c>
      <c r="G785" s="653">
        <v>11400</v>
      </c>
      <c r="H785" s="653">
        <v>0</v>
      </c>
      <c r="I785" s="653">
        <f>SUM(J785:L785)</f>
        <v>8312</v>
      </c>
      <c r="J785" s="653">
        <v>0</v>
      </c>
      <c r="K785" s="653">
        <v>0</v>
      </c>
      <c r="L785" s="698">
        <v>8312</v>
      </c>
      <c r="M785" s="956">
        <v>0.96800573031695814</v>
      </c>
      <c r="N785" s="653">
        <v>1123.2975333333331</v>
      </c>
      <c r="O785" s="699" t="s">
        <v>5467</v>
      </c>
      <c r="P785" s="462" t="s">
        <v>1588</v>
      </c>
      <c r="Q785" s="854">
        <v>0</v>
      </c>
      <c r="R785" s="854">
        <v>0</v>
      </c>
      <c r="S785" s="854">
        <v>88.4</v>
      </c>
      <c r="T785" s="854">
        <v>0</v>
      </c>
      <c r="U785" s="462" t="s">
        <v>5468</v>
      </c>
      <c r="V785" s="462" t="s">
        <v>5469</v>
      </c>
      <c r="W785" s="653">
        <v>19664</v>
      </c>
      <c r="X785" s="462" t="s">
        <v>2199</v>
      </c>
      <c r="Y785" s="462" t="s">
        <v>3161</v>
      </c>
      <c r="Z785" s="462"/>
      <c r="AA785" s="462"/>
      <c r="AB785" s="467" t="s">
        <v>1596</v>
      </c>
    </row>
    <row r="786" spans="1:28" ht="24" customHeight="1">
      <c r="A786" s="594"/>
      <c r="B786" s="460" t="s">
        <v>2201</v>
      </c>
      <c r="C786" s="522" t="s">
        <v>5470</v>
      </c>
      <c r="D786" s="524" t="s">
        <v>5992</v>
      </c>
      <c r="E786" s="653">
        <f t="shared" si="59"/>
        <v>3500</v>
      </c>
      <c r="F786" s="653">
        <v>0</v>
      </c>
      <c r="G786" s="653">
        <v>3500</v>
      </c>
      <c r="H786" s="653">
        <v>0</v>
      </c>
      <c r="I786" s="653">
        <f>SUM(J786:L786)</f>
        <v>2805</v>
      </c>
      <c r="J786" s="653">
        <v>0</v>
      </c>
      <c r="K786" s="653">
        <v>0</v>
      </c>
      <c r="L786" s="698">
        <v>2805</v>
      </c>
      <c r="M786" s="956">
        <v>0.96109988702379878</v>
      </c>
      <c r="N786" s="653">
        <v>252.77453054675499</v>
      </c>
      <c r="O786" s="730" t="s">
        <v>5471</v>
      </c>
      <c r="P786" s="462" t="s">
        <v>1588</v>
      </c>
      <c r="Q786" s="854">
        <v>0</v>
      </c>
      <c r="R786" s="854">
        <v>0</v>
      </c>
      <c r="S786" s="854">
        <v>0</v>
      </c>
      <c r="T786" s="854">
        <v>0</v>
      </c>
      <c r="U786" s="462" t="s">
        <v>5472</v>
      </c>
      <c r="V786" s="462" t="s">
        <v>2072</v>
      </c>
      <c r="W786" s="653">
        <v>31741</v>
      </c>
      <c r="X786" s="462" t="s">
        <v>2199</v>
      </c>
      <c r="Y786" s="462" t="s">
        <v>3161</v>
      </c>
      <c r="Z786" s="462" t="s">
        <v>5473</v>
      </c>
      <c r="AA786" s="462" t="s">
        <v>2002</v>
      </c>
      <c r="AB786" s="467" t="s">
        <v>1596</v>
      </c>
    </row>
    <row r="787" spans="1:28" ht="24" customHeight="1">
      <c r="A787" s="592"/>
      <c r="B787" s="460" t="s">
        <v>675</v>
      </c>
      <c r="C787" s="458" t="s">
        <v>5474</v>
      </c>
      <c r="D787" s="510" t="s">
        <v>5475</v>
      </c>
      <c r="E787" s="653">
        <f t="shared" si="59"/>
        <v>120</v>
      </c>
      <c r="F787" s="653">
        <v>0</v>
      </c>
      <c r="G787" s="653">
        <v>0</v>
      </c>
      <c r="H787" s="653">
        <v>120</v>
      </c>
      <c r="I787" s="653">
        <f>SUM(J787:L787)</f>
        <v>71</v>
      </c>
      <c r="J787" s="653">
        <v>0</v>
      </c>
      <c r="K787" s="653">
        <v>0</v>
      </c>
      <c r="L787" s="698">
        <v>71</v>
      </c>
      <c r="M787" s="956">
        <v>0.59200000000000008</v>
      </c>
      <c r="N787" s="653">
        <v>6</v>
      </c>
      <c r="O787" s="669" t="s">
        <v>5476</v>
      </c>
      <c r="P787" s="463" t="s">
        <v>1588</v>
      </c>
      <c r="Q787" s="852">
        <v>0</v>
      </c>
      <c r="R787" s="852">
        <v>0</v>
      </c>
      <c r="S787" s="852">
        <v>0</v>
      </c>
      <c r="T787" s="852">
        <v>0</v>
      </c>
      <c r="U787" s="463" t="s">
        <v>5477</v>
      </c>
      <c r="V787" s="463" t="s">
        <v>2072</v>
      </c>
      <c r="W787" s="653">
        <v>410</v>
      </c>
      <c r="X787" s="463" t="s">
        <v>2199</v>
      </c>
      <c r="Y787" s="463" t="s">
        <v>3161</v>
      </c>
      <c r="Z787" s="463"/>
      <c r="AA787" s="463"/>
      <c r="AB787" s="459" t="s">
        <v>1596</v>
      </c>
    </row>
    <row r="788" spans="1:28" ht="24" customHeight="1">
      <c r="A788" s="583" t="s">
        <v>1673</v>
      </c>
      <c r="B788" s="458" t="s">
        <v>6038</v>
      </c>
      <c r="C788" s="458"/>
      <c r="D788" s="510"/>
      <c r="E788" s="498" t="s">
        <v>7331</v>
      </c>
      <c r="F788" s="498">
        <v>0</v>
      </c>
      <c r="G788" s="498" t="s">
        <v>7559</v>
      </c>
      <c r="H788" s="498" t="s">
        <v>7333</v>
      </c>
      <c r="I788" s="498" t="s">
        <v>7334</v>
      </c>
      <c r="J788" s="498" t="s">
        <v>6209</v>
      </c>
      <c r="K788" s="498" t="s">
        <v>7335</v>
      </c>
      <c r="L788" s="668" t="s">
        <v>7336</v>
      </c>
      <c r="M788" s="956"/>
      <c r="N788" s="498" t="s">
        <v>7337</v>
      </c>
      <c r="O788" s="669" t="s">
        <v>1588</v>
      </c>
      <c r="P788" s="463" t="s">
        <v>1588</v>
      </c>
      <c r="Q788" s="852">
        <f>Q789+Q952</f>
        <v>1339.5</v>
      </c>
      <c r="R788" s="852">
        <f>R789+R952</f>
        <v>198.1</v>
      </c>
      <c r="S788" s="852">
        <f>S789+S952</f>
        <v>703.1</v>
      </c>
      <c r="T788" s="852">
        <f>T789+T952</f>
        <v>8369</v>
      </c>
      <c r="U788" s="463" t="s">
        <v>7535</v>
      </c>
      <c r="V788" s="463"/>
      <c r="W788" s="498">
        <f>W789+W952</f>
        <v>825187</v>
      </c>
      <c r="X788" s="463"/>
      <c r="Y788" s="463"/>
      <c r="Z788" s="463"/>
      <c r="AA788" s="463"/>
      <c r="AB788" s="459"/>
    </row>
    <row r="789" spans="1:28" ht="24" customHeight="1">
      <c r="A789" s="582" t="s">
        <v>1674</v>
      </c>
      <c r="B789" s="458" t="s">
        <v>6036</v>
      </c>
      <c r="C789" s="579"/>
      <c r="D789" s="579"/>
      <c r="E789" s="498" t="s">
        <v>6205</v>
      </c>
      <c r="F789" s="498">
        <v>0</v>
      </c>
      <c r="G789" s="498" t="s">
        <v>7560</v>
      </c>
      <c r="H789" s="498" t="s">
        <v>6207</v>
      </c>
      <c r="I789" s="498" t="s">
        <v>6208</v>
      </c>
      <c r="J789" s="498" t="s">
        <v>6209</v>
      </c>
      <c r="K789" s="498" t="s">
        <v>6210</v>
      </c>
      <c r="L789" s="668" t="s">
        <v>6211</v>
      </c>
      <c r="M789" s="956"/>
      <c r="N789" s="498" t="s">
        <v>6212</v>
      </c>
      <c r="O789" s="669" t="s">
        <v>1588</v>
      </c>
      <c r="P789" s="463" t="s">
        <v>1588</v>
      </c>
      <c r="Q789" s="852">
        <f>SUM(Q790:Q951)</f>
        <v>1143</v>
      </c>
      <c r="R789" s="852">
        <f>SUM(R790:R951)</f>
        <v>0</v>
      </c>
      <c r="S789" s="852">
        <f>SUM(S790:S951)</f>
        <v>680.6</v>
      </c>
      <c r="T789" s="852">
        <f>SUM(T790:T951)</f>
        <v>8369</v>
      </c>
      <c r="U789" s="463"/>
      <c r="V789" s="463"/>
      <c r="W789" s="498">
        <f>SUM(W790:W951)</f>
        <v>595170</v>
      </c>
      <c r="X789" s="463"/>
      <c r="Y789" s="463"/>
      <c r="Z789" s="463"/>
      <c r="AA789" s="463"/>
      <c r="AB789" s="459"/>
    </row>
    <row r="790" spans="1:28" ht="24" customHeight="1">
      <c r="A790" s="582" t="s">
        <v>1675</v>
      </c>
      <c r="B790" s="460" t="s">
        <v>2201</v>
      </c>
      <c r="C790" s="458" t="s">
        <v>2417</v>
      </c>
      <c r="D790" s="510" t="s">
        <v>5478</v>
      </c>
      <c r="E790" s="497">
        <f t="shared" ref="E790:E798" si="60">F790+G790+H790</f>
        <v>403000</v>
      </c>
      <c r="F790" s="497">
        <v>0</v>
      </c>
      <c r="G790" s="497">
        <v>0</v>
      </c>
      <c r="H790" s="497">
        <v>403000</v>
      </c>
      <c r="I790" s="497">
        <f t="shared" ref="I790:I810" si="61">J790+K790+L790</f>
        <v>318904</v>
      </c>
      <c r="J790" s="497">
        <v>0</v>
      </c>
      <c r="K790" s="497">
        <v>0</v>
      </c>
      <c r="L790" s="721">
        <v>318904</v>
      </c>
      <c r="M790" s="956">
        <v>0.96837944664031617</v>
      </c>
      <c r="N790" s="653">
        <v>23439.444</v>
      </c>
      <c r="O790" s="731" t="s">
        <v>5479</v>
      </c>
      <c r="P790" s="514" t="s">
        <v>1588</v>
      </c>
      <c r="Q790" s="859">
        <v>609</v>
      </c>
      <c r="R790" s="859">
        <v>0</v>
      </c>
      <c r="S790" s="859">
        <v>200</v>
      </c>
      <c r="T790" s="859">
        <v>0</v>
      </c>
      <c r="U790" s="514" t="s">
        <v>5480</v>
      </c>
      <c r="V790" s="514" t="s">
        <v>5481</v>
      </c>
      <c r="W790" s="498">
        <v>155151</v>
      </c>
      <c r="X790" s="514" t="s">
        <v>2276</v>
      </c>
      <c r="Y790" s="514" t="s">
        <v>5482</v>
      </c>
      <c r="Z790" s="514" t="s">
        <v>1676</v>
      </c>
      <c r="AA790" s="514" t="s">
        <v>1679</v>
      </c>
      <c r="AB790" s="531" t="s">
        <v>1592</v>
      </c>
    </row>
    <row r="791" spans="1:28" ht="24" customHeight="1">
      <c r="A791" s="584"/>
      <c r="B791" s="460" t="s">
        <v>675</v>
      </c>
      <c r="C791" s="458" t="s">
        <v>2441</v>
      </c>
      <c r="D791" s="510" t="s">
        <v>5483</v>
      </c>
      <c r="E791" s="657">
        <f t="shared" si="60"/>
        <v>30</v>
      </c>
      <c r="F791" s="657">
        <v>0</v>
      </c>
      <c r="G791" s="657">
        <v>0</v>
      </c>
      <c r="H791" s="657">
        <v>30</v>
      </c>
      <c r="I791" s="657">
        <f t="shared" si="61"/>
        <v>12</v>
      </c>
      <c r="J791" s="657">
        <v>0</v>
      </c>
      <c r="K791" s="657">
        <v>0</v>
      </c>
      <c r="L791" s="732">
        <v>12</v>
      </c>
      <c r="M791" s="956">
        <v>0</v>
      </c>
      <c r="N791" s="653">
        <v>0</v>
      </c>
      <c r="O791" s="733" t="s">
        <v>5484</v>
      </c>
      <c r="P791" s="532" t="s">
        <v>5485</v>
      </c>
      <c r="Q791" s="860">
        <v>0</v>
      </c>
      <c r="R791" s="860">
        <v>0</v>
      </c>
      <c r="S791" s="860">
        <v>0</v>
      </c>
      <c r="T791" s="860">
        <v>0</v>
      </c>
      <c r="U791" s="532"/>
      <c r="V791" s="533" t="s">
        <v>5486</v>
      </c>
      <c r="W791" s="653"/>
      <c r="X791" s="514" t="s">
        <v>1532</v>
      </c>
      <c r="Y791" s="514"/>
      <c r="Z791" s="514" t="s">
        <v>1676</v>
      </c>
      <c r="AA791" s="514" t="s">
        <v>1679</v>
      </c>
      <c r="AB791" s="531" t="s">
        <v>1592</v>
      </c>
    </row>
    <row r="792" spans="1:28" ht="24" customHeight="1">
      <c r="A792" s="584"/>
      <c r="B792" s="460" t="s">
        <v>675</v>
      </c>
      <c r="C792" s="458" t="s">
        <v>5487</v>
      </c>
      <c r="D792" s="510" t="s">
        <v>5488</v>
      </c>
      <c r="E792" s="657">
        <f t="shared" si="60"/>
        <v>30</v>
      </c>
      <c r="F792" s="657">
        <v>0</v>
      </c>
      <c r="G792" s="657">
        <v>0</v>
      </c>
      <c r="H792" s="657">
        <v>30</v>
      </c>
      <c r="I792" s="657">
        <f t="shared" si="61"/>
        <v>19</v>
      </c>
      <c r="J792" s="657">
        <v>0</v>
      </c>
      <c r="K792" s="657">
        <v>0</v>
      </c>
      <c r="L792" s="732">
        <v>19</v>
      </c>
      <c r="M792" s="957">
        <v>0</v>
      </c>
      <c r="N792" s="653">
        <v>0</v>
      </c>
      <c r="O792" s="733" t="s">
        <v>5484</v>
      </c>
      <c r="P792" s="532" t="s">
        <v>5489</v>
      </c>
      <c r="Q792" s="860">
        <v>0</v>
      </c>
      <c r="R792" s="860">
        <v>0</v>
      </c>
      <c r="S792" s="860">
        <v>0</v>
      </c>
      <c r="T792" s="860">
        <v>0</v>
      </c>
      <c r="U792" s="532"/>
      <c r="V792" s="533" t="s">
        <v>5486</v>
      </c>
      <c r="W792" s="653"/>
      <c r="X792" s="514" t="s">
        <v>1532</v>
      </c>
      <c r="Y792" s="514"/>
      <c r="Z792" s="514" t="s">
        <v>1676</v>
      </c>
      <c r="AA792" s="514" t="s">
        <v>1679</v>
      </c>
      <c r="AB792" s="531" t="s">
        <v>1592</v>
      </c>
    </row>
    <row r="793" spans="1:28" ht="24" customHeight="1">
      <c r="A793" s="584"/>
      <c r="B793" s="460" t="s">
        <v>675</v>
      </c>
      <c r="C793" s="458" t="s">
        <v>5490</v>
      </c>
      <c r="D793" s="510" t="s">
        <v>5491</v>
      </c>
      <c r="E793" s="657">
        <f t="shared" si="60"/>
        <v>45</v>
      </c>
      <c r="F793" s="657">
        <v>0</v>
      </c>
      <c r="G793" s="657">
        <v>0</v>
      </c>
      <c r="H793" s="657">
        <v>45</v>
      </c>
      <c r="I793" s="657">
        <f t="shared" si="61"/>
        <v>43</v>
      </c>
      <c r="J793" s="657">
        <v>0</v>
      </c>
      <c r="K793" s="657">
        <v>0</v>
      </c>
      <c r="L793" s="732">
        <v>43</v>
      </c>
      <c r="M793" s="957">
        <v>0</v>
      </c>
      <c r="N793" s="653">
        <v>0</v>
      </c>
      <c r="O793" s="733" t="s">
        <v>5484</v>
      </c>
      <c r="P793" s="532" t="s">
        <v>5485</v>
      </c>
      <c r="Q793" s="860">
        <v>0</v>
      </c>
      <c r="R793" s="860">
        <v>0</v>
      </c>
      <c r="S793" s="860">
        <v>0</v>
      </c>
      <c r="T793" s="860">
        <v>0</v>
      </c>
      <c r="U793" s="532"/>
      <c r="V793" s="533" t="s">
        <v>5486</v>
      </c>
      <c r="W793" s="653"/>
      <c r="X793" s="514" t="s">
        <v>1532</v>
      </c>
      <c r="Y793" s="514"/>
      <c r="Z793" s="514" t="s">
        <v>1676</v>
      </c>
      <c r="AA793" s="514" t="s">
        <v>1679</v>
      </c>
      <c r="AB793" s="531" t="s">
        <v>1592</v>
      </c>
    </row>
    <row r="794" spans="1:28" ht="24" customHeight="1">
      <c r="A794" s="584"/>
      <c r="B794" s="460" t="s">
        <v>675</v>
      </c>
      <c r="C794" s="458" t="s">
        <v>5492</v>
      </c>
      <c r="D794" s="510" t="s">
        <v>5493</v>
      </c>
      <c r="E794" s="657">
        <f t="shared" si="60"/>
        <v>40</v>
      </c>
      <c r="F794" s="657">
        <v>0</v>
      </c>
      <c r="G794" s="657">
        <v>0</v>
      </c>
      <c r="H794" s="657">
        <v>40</v>
      </c>
      <c r="I794" s="657">
        <f t="shared" si="61"/>
        <v>35</v>
      </c>
      <c r="J794" s="657">
        <v>0</v>
      </c>
      <c r="K794" s="657">
        <v>0</v>
      </c>
      <c r="L794" s="732">
        <v>35</v>
      </c>
      <c r="M794" s="957">
        <v>0</v>
      </c>
      <c r="N794" s="653">
        <v>0</v>
      </c>
      <c r="O794" s="733" t="s">
        <v>5484</v>
      </c>
      <c r="P794" s="532" t="s">
        <v>5485</v>
      </c>
      <c r="Q794" s="860">
        <v>0</v>
      </c>
      <c r="R794" s="860">
        <v>0</v>
      </c>
      <c r="S794" s="860">
        <v>0</v>
      </c>
      <c r="T794" s="860">
        <v>0</v>
      </c>
      <c r="U794" s="532"/>
      <c r="V794" s="533" t="s">
        <v>5494</v>
      </c>
      <c r="W794" s="653"/>
      <c r="X794" s="514" t="s">
        <v>1532</v>
      </c>
      <c r="Y794" s="514"/>
      <c r="Z794" s="514" t="s">
        <v>1676</v>
      </c>
      <c r="AA794" s="514" t="s">
        <v>1679</v>
      </c>
      <c r="AB794" s="531" t="s">
        <v>1592</v>
      </c>
    </row>
    <row r="795" spans="1:28" ht="24" customHeight="1">
      <c r="A795" s="584"/>
      <c r="B795" s="460" t="s">
        <v>675</v>
      </c>
      <c r="C795" s="458" t="s">
        <v>5495</v>
      </c>
      <c r="D795" s="510" t="s">
        <v>5496</v>
      </c>
      <c r="E795" s="657">
        <f t="shared" si="60"/>
        <v>60</v>
      </c>
      <c r="F795" s="657">
        <v>0</v>
      </c>
      <c r="G795" s="657">
        <v>0</v>
      </c>
      <c r="H795" s="657">
        <v>60</v>
      </c>
      <c r="I795" s="657">
        <f t="shared" si="61"/>
        <v>26</v>
      </c>
      <c r="J795" s="657">
        <v>0</v>
      </c>
      <c r="K795" s="657">
        <v>0</v>
      </c>
      <c r="L795" s="732">
        <v>26</v>
      </c>
      <c r="M795" s="957">
        <v>0</v>
      </c>
      <c r="N795" s="653">
        <v>0</v>
      </c>
      <c r="O795" s="733" t="s">
        <v>5484</v>
      </c>
      <c r="P795" s="532" t="s">
        <v>5497</v>
      </c>
      <c r="Q795" s="860">
        <v>0</v>
      </c>
      <c r="R795" s="860">
        <v>0</v>
      </c>
      <c r="S795" s="860">
        <v>0</v>
      </c>
      <c r="T795" s="860">
        <v>0</v>
      </c>
      <c r="U795" s="532"/>
      <c r="V795" s="533" t="s">
        <v>5486</v>
      </c>
      <c r="W795" s="653"/>
      <c r="X795" s="514" t="s">
        <v>1532</v>
      </c>
      <c r="Y795" s="514"/>
      <c r="Z795" s="514" t="s">
        <v>1676</v>
      </c>
      <c r="AA795" s="514" t="s">
        <v>1679</v>
      </c>
      <c r="AB795" s="531" t="s">
        <v>1592</v>
      </c>
    </row>
    <row r="796" spans="1:28" ht="24" customHeight="1">
      <c r="A796" s="584"/>
      <c r="B796" s="460" t="s">
        <v>675</v>
      </c>
      <c r="C796" s="458" t="s">
        <v>5498</v>
      </c>
      <c r="D796" s="510" t="s">
        <v>5499</v>
      </c>
      <c r="E796" s="657">
        <f t="shared" si="60"/>
        <v>40</v>
      </c>
      <c r="F796" s="657">
        <v>0</v>
      </c>
      <c r="G796" s="657">
        <v>0</v>
      </c>
      <c r="H796" s="657">
        <v>40</v>
      </c>
      <c r="I796" s="657">
        <f t="shared" si="61"/>
        <v>82</v>
      </c>
      <c r="J796" s="657">
        <v>0</v>
      </c>
      <c r="K796" s="657">
        <v>0</v>
      </c>
      <c r="L796" s="732">
        <v>82</v>
      </c>
      <c r="M796" s="957">
        <v>0</v>
      </c>
      <c r="N796" s="653">
        <v>0</v>
      </c>
      <c r="O796" s="733" t="s">
        <v>5484</v>
      </c>
      <c r="P796" s="532" t="s">
        <v>5500</v>
      </c>
      <c r="Q796" s="860">
        <v>0</v>
      </c>
      <c r="R796" s="860">
        <v>0</v>
      </c>
      <c r="S796" s="860">
        <v>0</v>
      </c>
      <c r="T796" s="860">
        <v>0</v>
      </c>
      <c r="U796" s="532"/>
      <c r="V796" s="533" t="s">
        <v>5486</v>
      </c>
      <c r="W796" s="653"/>
      <c r="X796" s="514" t="s">
        <v>1532</v>
      </c>
      <c r="Y796" s="514"/>
      <c r="Z796" s="514" t="s">
        <v>1676</v>
      </c>
      <c r="AA796" s="514" t="s">
        <v>1679</v>
      </c>
      <c r="AB796" s="531" t="s">
        <v>1592</v>
      </c>
    </row>
    <row r="797" spans="1:28" ht="24" customHeight="1">
      <c r="A797" s="584"/>
      <c r="B797" s="460" t="s">
        <v>675</v>
      </c>
      <c r="C797" s="458" t="s">
        <v>5501</v>
      </c>
      <c r="D797" s="510" t="s">
        <v>5502</v>
      </c>
      <c r="E797" s="657">
        <f t="shared" si="60"/>
        <v>45</v>
      </c>
      <c r="F797" s="657">
        <v>0</v>
      </c>
      <c r="G797" s="657">
        <v>0</v>
      </c>
      <c r="H797" s="657">
        <v>45</v>
      </c>
      <c r="I797" s="657">
        <f t="shared" si="61"/>
        <v>43</v>
      </c>
      <c r="J797" s="657">
        <v>0</v>
      </c>
      <c r="K797" s="657">
        <v>0</v>
      </c>
      <c r="L797" s="732">
        <v>43</v>
      </c>
      <c r="M797" s="957">
        <v>0</v>
      </c>
      <c r="N797" s="653">
        <v>0</v>
      </c>
      <c r="O797" s="731" t="s">
        <v>5484</v>
      </c>
      <c r="P797" s="514" t="s">
        <v>5497</v>
      </c>
      <c r="Q797" s="859">
        <v>0</v>
      </c>
      <c r="R797" s="859">
        <v>0</v>
      </c>
      <c r="S797" s="859">
        <v>0</v>
      </c>
      <c r="T797" s="859">
        <v>0</v>
      </c>
      <c r="U797" s="514"/>
      <c r="V797" s="534" t="s">
        <v>5494</v>
      </c>
      <c r="W797" s="498"/>
      <c r="X797" s="514" t="s">
        <v>1532</v>
      </c>
      <c r="Y797" s="514"/>
      <c r="Z797" s="514" t="s">
        <v>1676</v>
      </c>
      <c r="AA797" s="514" t="s">
        <v>1679</v>
      </c>
      <c r="AB797" s="531" t="s">
        <v>1592</v>
      </c>
    </row>
    <row r="798" spans="1:28" ht="24" customHeight="1">
      <c r="A798" s="584"/>
      <c r="B798" s="460" t="s">
        <v>675</v>
      </c>
      <c r="C798" s="458" t="s">
        <v>5503</v>
      </c>
      <c r="D798" s="510" t="s">
        <v>5504</v>
      </c>
      <c r="E798" s="657">
        <f t="shared" si="60"/>
        <v>40</v>
      </c>
      <c r="F798" s="657">
        <v>0</v>
      </c>
      <c r="G798" s="657">
        <v>0</v>
      </c>
      <c r="H798" s="657">
        <v>40</v>
      </c>
      <c r="I798" s="657">
        <f t="shared" si="61"/>
        <v>20</v>
      </c>
      <c r="J798" s="657">
        <v>0</v>
      </c>
      <c r="K798" s="657">
        <v>0</v>
      </c>
      <c r="L798" s="732">
        <v>20</v>
      </c>
      <c r="M798" s="957">
        <v>0</v>
      </c>
      <c r="N798" s="653">
        <v>0</v>
      </c>
      <c r="O798" s="731" t="s">
        <v>5484</v>
      </c>
      <c r="P798" s="514" t="s">
        <v>5500</v>
      </c>
      <c r="Q798" s="859">
        <v>0</v>
      </c>
      <c r="R798" s="859">
        <v>0</v>
      </c>
      <c r="S798" s="859">
        <v>0</v>
      </c>
      <c r="T798" s="859">
        <v>0</v>
      </c>
      <c r="U798" s="514"/>
      <c r="V798" s="534" t="s">
        <v>5494</v>
      </c>
      <c r="W798" s="498"/>
      <c r="X798" s="514" t="s">
        <v>1532</v>
      </c>
      <c r="Y798" s="514"/>
      <c r="Z798" s="514" t="s">
        <v>1676</v>
      </c>
      <c r="AA798" s="514" t="s">
        <v>1679</v>
      </c>
      <c r="AB798" s="531" t="s">
        <v>1592</v>
      </c>
    </row>
    <row r="799" spans="1:28" ht="24" customHeight="1">
      <c r="A799" s="582" t="s">
        <v>1677</v>
      </c>
      <c r="B799" s="460" t="s">
        <v>2201</v>
      </c>
      <c r="C799" s="458" t="s">
        <v>2418</v>
      </c>
      <c r="D799" s="510" t="s">
        <v>5505</v>
      </c>
      <c r="E799" s="810">
        <v>200000</v>
      </c>
      <c r="F799" s="657">
        <v>0</v>
      </c>
      <c r="G799" s="657">
        <v>200000</v>
      </c>
      <c r="H799" s="657">
        <v>0</v>
      </c>
      <c r="I799" s="657">
        <f t="shared" si="61"/>
        <v>164247</v>
      </c>
      <c r="J799" s="657">
        <v>0</v>
      </c>
      <c r="K799" s="657">
        <v>164247</v>
      </c>
      <c r="L799" s="732">
        <v>0</v>
      </c>
      <c r="M799" s="956">
        <v>0.93360711841204658</v>
      </c>
      <c r="N799" s="653">
        <v>22403.290800000002</v>
      </c>
      <c r="O799" s="733" t="s">
        <v>2371</v>
      </c>
      <c r="P799" s="514" t="s">
        <v>1588</v>
      </c>
      <c r="Q799" s="859">
        <v>200</v>
      </c>
      <c r="R799" s="859">
        <v>0</v>
      </c>
      <c r="S799" s="859">
        <v>150</v>
      </c>
      <c r="T799" s="859">
        <v>0</v>
      </c>
      <c r="U799" s="514" t="s">
        <v>2299</v>
      </c>
      <c r="V799" s="514">
        <v>2002.5</v>
      </c>
      <c r="W799" s="498">
        <v>172586</v>
      </c>
      <c r="X799" s="514" t="s">
        <v>2276</v>
      </c>
      <c r="Y799" s="514" t="s">
        <v>1533</v>
      </c>
      <c r="Z799" s="514"/>
      <c r="AA799" s="514"/>
      <c r="AB799" s="531" t="s">
        <v>1596</v>
      </c>
    </row>
    <row r="800" spans="1:28" ht="24" customHeight="1">
      <c r="A800" s="584"/>
      <c r="B800" s="460" t="s">
        <v>675</v>
      </c>
      <c r="C800" s="458" t="s">
        <v>5506</v>
      </c>
      <c r="D800" s="510" t="s">
        <v>5507</v>
      </c>
      <c r="E800" s="657">
        <f t="shared" ref="E800:E863" si="62">F800+G800+H800</f>
        <v>92</v>
      </c>
      <c r="F800" s="497">
        <v>0</v>
      </c>
      <c r="G800" s="497">
        <v>92</v>
      </c>
      <c r="H800" s="497">
        <v>0</v>
      </c>
      <c r="I800" s="657">
        <f t="shared" si="61"/>
        <v>60</v>
      </c>
      <c r="J800" s="497">
        <v>0</v>
      </c>
      <c r="K800" s="497">
        <v>60</v>
      </c>
      <c r="L800" s="721">
        <v>0</v>
      </c>
      <c r="M800" s="957">
        <v>0.65200000000000002</v>
      </c>
      <c r="N800" s="653">
        <v>2.2000000000000002</v>
      </c>
      <c r="O800" s="731" t="s">
        <v>5177</v>
      </c>
      <c r="P800" s="514" t="s">
        <v>1588</v>
      </c>
      <c r="Q800" s="859">
        <v>0</v>
      </c>
      <c r="R800" s="859">
        <v>0</v>
      </c>
      <c r="S800" s="859">
        <v>0</v>
      </c>
      <c r="T800" s="859">
        <v>0</v>
      </c>
      <c r="U800" s="514" t="s">
        <v>5508</v>
      </c>
      <c r="V800" s="514" t="s">
        <v>5509</v>
      </c>
      <c r="W800" s="498">
        <v>400</v>
      </c>
      <c r="X800" s="514" t="s">
        <v>1532</v>
      </c>
      <c r="Y800" s="514" t="s">
        <v>1533</v>
      </c>
      <c r="Z800" s="514"/>
      <c r="AA800" s="514"/>
      <c r="AB800" s="531" t="s">
        <v>5510</v>
      </c>
    </row>
    <row r="801" spans="1:28" ht="24" customHeight="1">
      <c r="A801" s="584"/>
      <c r="B801" s="460" t="s">
        <v>675</v>
      </c>
      <c r="C801" s="458" t="s">
        <v>5511</v>
      </c>
      <c r="D801" s="510" t="s">
        <v>5512</v>
      </c>
      <c r="E801" s="657">
        <f t="shared" si="62"/>
        <v>90</v>
      </c>
      <c r="F801" s="497">
        <v>0</v>
      </c>
      <c r="G801" s="497">
        <v>90</v>
      </c>
      <c r="H801" s="497">
        <v>0</v>
      </c>
      <c r="I801" s="657">
        <f t="shared" si="61"/>
        <v>67</v>
      </c>
      <c r="J801" s="497">
        <v>0</v>
      </c>
      <c r="K801" s="497">
        <v>67</v>
      </c>
      <c r="L801" s="721">
        <v>0</v>
      </c>
      <c r="M801" s="956">
        <v>0.74400000000000011</v>
      </c>
      <c r="N801" s="653">
        <v>2.4</v>
      </c>
      <c r="O801" s="731" t="s">
        <v>5513</v>
      </c>
      <c r="P801" s="514" t="s">
        <v>1588</v>
      </c>
      <c r="Q801" s="859">
        <v>0</v>
      </c>
      <c r="R801" s="859">
        <v>0</v>
      </c>
      <c r="S801" s="859">
        <v>0</v>
      </c>
      <c r="T801" s="859">
        <v>0</v>
      </c>
      <c r="U801" s="514" t="s">
        <v>5508</v>
      </c>
      <c r="V801" s="514" t="s">
        <v>5514</v>
      </c>
      <c r="W801" s="498">
        <v>340</v>
      </c>
      <c r="X801" s="514" t="s">
        <v>1532</v>
      </c>
      <c r="Y801" s="514" t="s">
        <v>1533</v>
      </c>
      <c r="Z801" s="514"/>
      <c r="AA801" s="514"/>
      <c r="AB801" s="531" t="s">
        <v>5510</v>
      </c>
    </row>
    <row r="802" spans="1:28" ht="24" customHeight="1">
      <c r="A802" s="584"/>
      <c r="B802" s="460" t="s">
        <v>675</v>
      </c>
      <c r="C802" s="458" t="s">
        <v>5515</v>
      </c>
      <c r="D802" s="510" t="s">
        <v>5516</v>
      </c>
      <c r="E802" s="657">
        <f t="shared" si="62"/>
        <v>100</v>
      </c>
      <c r="F802" s="497">
        <v>0</v>
      </c>
      <c r="G802" s="497">
        <v>100</v>
      </c>
      <c r="H802" s="497">
        <v>0</v>
      </c>
      <c r="I802" s="657">
        <f t="shared" si="61"/>
        <v>0</v>
      </c>
      <c r="J802" s="497">
        <v>0</v>
      </c>
      <c r="K802" s="497">
        <v>0</v>
      </c>
      <c r="L802" s="721">
        <v>0</v>
      </c>
      <c r="M802" s="956"/>
      <c r="N802" s="653">
        <v>0.3</v>
      </c>
      <c r="O802" s="731" t="s">
        <v>5518</v>
      </c>
      <c r="P802" s="514" t="s">
        <v>1588</v>
      </c>
      <c r="Q802" s="859">
        <v>0</v>
      </c>
      <c r="R802" s="859">
        <v>0</v>
      </c>
      <c r="S802" s="859">
        <v>0</v>
      </c>
      <c r="T802" s="859">
        <v>0</v>
      </c>
      <c r="U802" s="514" t="s">
        <v>5508</v>
      </c>
      <c r="V802" s="514" t="s">
        <v>5519</v>
      </c>
      <c r="W802" s="498">
        <v>400</v>
      </c>
      <c r="X802" s="514" t="s">
        <v>1532</v>
      </c>
      <c r="Y802" s="514" t="s">
        <v>1533</v>
      </c>
      <c r="Z802" s="514"/>
      <c r="AA802" s="514"/>
      <c r="AB802" s="531" t="s">
        <v>5510</v>
      </c>
    </row>
    <row r="803" spans="1:28" ht="24" customHeight="1">
      <c r="A803" s="584"/>
      <c r="B803" s="460" t="s">
        <v>675</v>
      </c>
      <c r="C803" s="458" t="s">
        <v>5520</v>
      </c>
      <c r="D803" s="510" t="s">
        <v>5521</v>
      </c>
      <c r="E803" s="657">
        <f t="shared" si="62"/>
        <v>120</v>
      </c>
      <c r="F803" s="497">
        <v>0</v>
      </c>
      <c r="G803" s="497">
        <v>120</v>
      </c>
      <c r="H803" s="497">
        <v>0</v>
      </c>
      <c r="I803" s="657">
        <f t="shared" si="61"/>
        <v>50</v>
      </c>
      <c r="J803" s="497">
        <v>0</v>
      </c>
      <c r="K803" s="497">
        <v>50</v>
      </c>
      <c r="L803" s="721">
        <v>0</v>
      </c>
      <c r="M803" s="956">
        <v>0.41700000000000004</v>
      </c>
      <c r="N803" s="653">
        <v>1.2</v>
      </c>
      <c r="O803" s="731" t="s">
        <v>5177</v>
      </c>
      <c r="P803" s="514" t="s">
        <v>1588</v>
      </c>
      <c r="Q803" s="859">
        <v>0</v>
      </c>
      <c r="R803" s="859">
        <v>0</v>
      </c>
      <c r="S803" s="859">
        <v>0</v>
      </c>
      <c r="T803" s="859">
        <v>0</v>
      </c>
      <c r="U803" s="514" t="s">
        <v>5508</v>
      </c>
      <c r="V803" s="514" t="s">
        <v>5522</v>
      </c>
      <c r="W803" s="498">
        <v>400</v>
      </c>
      <c r="X803" s="514" t="s">
        <v>1532</v>
      </c>
      <c r="Y803" s="514" t="s">
        <v>1533</v>
      </c>
      <c r="Z803" s="514"/>
      <c r="AA803" s="514"/>
      <c r="AB803" s="531" t="s">
        <v>1592</v>
      </c>
    </row>
    <row r="804" spans="1:28" ht="24" customHeight="1">
      <c r="A804" s="584"/>
      <c r="B804" s="460" t="s">
        <v>675</v>
      </c>
      <c r="C804" s="458" t="s">
        <v>5523</v>
      </c>
      <c r="D804" s="510" t="s">
        <v>5524</v>
      </c>
      <c r="E804" s="657">
        <f t="shared" si="62"/>
        <v>48</v>
      </c>
      <c r="F804" s="497">
        <v>0</v>
      </c>
      <c r="G804" s="497">
        <v>48</v>
      </c>
      <c r="H804" s="497">
        <v>0</v>
      </c>
      <c r="I804" s="657">
        <f t="shared" si="61"/>
        <v>40</v>
      </c>
      <c r="J804" s="497">
        <v>0</v>
      </c>
      <c r="K804" s="497">
        <v>40</v>
      </c>
      <c r="L804" s="721">
        <v>0</v>
      </c>
      <c r="M804" s="956">
        <v>0.83299999999999996</v>
      </c>
      <c r="N804" s="653">
        <v>2</v>
      </c>
      <c r="O804" s="731" t="s">
        <v>5177</v>
      </c>
      <c r="P804" s="514" t="s">
        <v>1588</v>
      </c>
      <c r="Q804" s="859">
        <v>0</v>
      </c>
      <c r="R804" s="859">
        <v>0</v>
      </c>
      <c r="S804" s="859">
        <v>0</v>
      </c>
      <c r="T804" s="859">
        <v>0</v>
      </c>
      <c r="U804" s="514" t="s">
        <v>5508</v>
      </c>
      <c r="V804" s="514" t="s">
        <v>5525</v>
      </c>
      <c r="W804" s="498">
        <v>147</v>
      </c>
      <c r="X804" s="514" t="s">
        <v>1532</v>
      </c>
      <c r="Y804" s="514" t="s">
        <v>1533</v>
      </c>
      <c r="Z804" s="514"/>
      <c r="AA804" s="514"/>
      <c r="AB804" s="531" t="s">
        <v>1592</v>
      </c>
    </row>
    <row r="805" spans="1:28" ht="24" customHeight="1">
      <c r="A805" s="584"/>
      <c r="B805" s="460" t="s">
        <v>675</v>
      </c>
      <c r="C805" s="458" t="s">
        <v>5526</v>
      </c>
      <c r="D805" s="510" t="s">
        <v>5527</v>
      </c>
      <c r="E805" s="657">
        <f t="shared" si="62"/>
        <v>150</v>
      </c>
      <c r="F805" s="497">
        <v>0</v>
      </c>
      <c r="G805" s="497">
        <v>150</v>
      </c>
      <c r="H805" s="497">
        <v>0</v>
      </c>
      <c r="I805" s="657">
        <f t="shared" si="61"/>
        <v>100</v>
      </c>
      <c r="J805" s="497">
        <v>0</v>
      </c>
      <c r="K805" s="497">
        <v>100</v>
      </c>
      <c r="L805" s="721">
        <v>0</v>
      </c>
      <c r="M805" s="956">
        <v>0.66700000000000004</v>
      </c>
      <c r="N805" s="653">
        <v>4.4000000000000004</v>
      </c>
      <c r="O805" s="731" t="s">
        <v>5528</v>
      </c>
      <c r="P805" s="514" t="s">
        <v>1588</v>
      </c>
      <c r="Q805" s="859">
        <v>0</v>
      </c>
      <c r="R805" s="859">
        <v>0</v>
      </c>
      <c r="S805" s="859">
        <v>0</v>
      </c>
      <c r="T805" s="859">
        <v>0</v>
      </c>
      <c r="U805" s="514" t="s">
        <v>5508</v>
      </c>
      <c r="V805" s="514" t="s">
        <v>5529</v>
      </c>
      <c r="W805" s="498">
        <v>500</v>
      </c>
      <c r="X805" s="514" t="s">
        <v>1532</v>
      </c>
      <c r="Y805" s="514" t="s">
        <v>1533</v>
      </c>
      <c r="Z805" s="514"/>
      <c r="AA805" s="514"/>
      <c r="AB805" s="531" t="s">
        <v>5510</v>
      </c>
    </row>
    <row r="806" spans="1:28" ht="24" customHeight="1">
      <c r="A806" s="584"/>
      <c r="B806" s="460" t="s">
        <v>675</v>
      </c>
      <c r="C806" s="458" t="s">
        <v>5530</v>
      </c>
      <c r="D806" s="510" t="s">
        <v>5531</v>
      </c>
      <c r="E806" s="657">
        <f t="shared" si="62"/>
        <v>490</v>
      </c>
      <c r="F806" s="497">
        <v>0</v>
      </c>
      <c r="G806" s="497">
        <v>490</v>
      </c>
      <c r="H806" s="497">
        <v>0</v>
      </c>
      <c r="I806" s="657">
        <f t="shared" si="61"/>
        <v>50</v>
      </c>
      <c r="J806" s="497">
        <v>0</v>
      </c>
      <c r="K806" s="497">
        <v>50</v>
      </c>
      <c r="L806" s="721">
        <v>0</v>
      </c>
      <c r="M806" s="956">
        <v>0.10199999999999999</v>
      </c>
      <c r="N806" s="653">
        <v>0.1</v>
      </c>
      <c r="O806" s="731" t="s">
        <v>5177</v>
      </c>
      <c r="P806" s="514" t="s">
        <v>1588</v>
      </c>
      <c r="Q806" s="859">
        <v>0</v>
      </c>
      <c r="R806" s="859">
        <v>0</v>
      </c>
      <c r="S806" s="859">
        <v>0</v>
      </c>
      <c r="T806" s="859">
        <v>0</v>
      </c>
      <c r="U806" s="514" t="s">
        <v>5508</v>
      </c>
      <c r="V806" s="514" t="s">
        <v>5532</v>
      </c>
      <c r="W806" s="498">
        <v>802</v>
      </c>
      <c r="X806" s="514" t="s">
        <v>1532</v>
      </c>
      <c r="Y806" s="514" t="s">
        <v>1533</v>
      </c>
      <c r="Z806" s="514"/>
      <c r="AA806" s="514"/>
      <c r="AB806" s="531" t="s">
        <v>5510</v>
      </c>
    </row>
    <row r="807" spans="1:28" ht="24" customHeight="1">
      <c r="A807" s="584"/>
      <c r="B807" s="460" t="s">
        <v>675</v>
      </c>
      <c r="C807" s="458" t="s">
        <v>5533</v>
      </c>
      <c r="D807" s="510" t="s">
        <v>5534</v>
      </c>
      <c r="E807" s="657">
        <f t="shared" si="62"/>
        <v>58</v>
      </c>
      <c r="F807" s="497">
        <v>0</v>
      </c>
      <c r="G807" s="497">
        <v>0</v>
      </c>
      <c r="H807" s="497">
        <v>58</v>
      </c>
      <c r="I807" s="657">
        <f t="shared" si="61"/>
        <v>22</v>
      </c>
      <c r="J807" s="497">
        <v>0</v>
      </c>
      <c r="K807" s="497">
        <v>0</v>
      </c>
      <c r="L807" s="721">
        <v>22</v>
      </c>
      <c r="M807" s="956"/>
      <c r="N807" s="653" t="s">
        <v>7642</v>
      </c>
      <c r="O807" s="731" t="s">
        <v>5535</v>
      </c>
      <c r="P807" s="514" t="s">
        <v>1588</v>
      </c>
      <c r="Q807" s="859">
        <v>0</v>
      </c>
      <c r="R807" s="859">
        <v>0</v>
      </c>
      <c r="S807" s="859">
        <v>0</v>
      </c>
      <c r="T807" s="859">
        <v>0</v>
      </c>
      <c r="U807" s="514" t="s">
        <v>5508</v>
      </c>
      <c r="V807" s="514" t="s">
        <v>5536</v>
      </c>
      <c r="W807" s="498">
        <v>400</v>
      </c>
      <c r="X807" s="514" t="s">
        <v>1532</v>
      </c>
      <c r="Y807" s="514" t="s">
        <v>3336</v>
      </c>
      <c r="Z807" s="514"/>
      <c r="AA807" s="514"/>
      <c r="AB807" s="531" t="s">
        <v>5510</v>
      </c>
    </row>
    <row r="808" spans="1:28" ht="24" customHeight="1">
      <c r="A808" s="584"/>
      <c r="B808" s="460" t="s">
        <v>675</v>
      </c>
      <c r="C808" s="458" t="s">
        <v>5537</v>
      </c>
      <c r="D808" s="510" t="s">
        <v>5538</v>
      </c>
      <c r="E808" s="497">
        <f t="shared" si="62"/>
        <v>30</v>
      </c>
      <c r="F808" s="497">
        <v>0</v>
      </c>
      <c r="G808" s="497">
        <v>30</v>
      </c>
      <c r="H808" s="497">
        <v>0</v>
      </c>
      <c r="I808" s="497">
        <f t="shared" si="61"/>
        <v>28</v>
      </c>
      <c r="J808" s="497">
        <v>0</v>
      </c>
      <c r="K808" s="497">
        <v>28</v>
      </c>
      <c r="L808" s="721">
        <v>0</v>
      </c>
      <c r="M808" s="956">
        <v>0.93299999999999994</v>
      </c>
      <c r="N808" s="653">
        <v>2.7</v>
      </c>
      <c r="O808" s="731" t="s">
        <v>5539</v>
      </c>
      <c r="P808" s="514" t="s">
        <v>1588</v>
      </c>
      <c r="Q808" s="859">
        <v>0</v>
      </c>
      <c r="R808" s="859">
        <v>0</v>
      </c>
      <c r="S808" s="859">
        <v>0</v>
      </c>
      <c r="T808" s="859">
        <v>0</v>
      </c>
      <c r="U808" s="514" t="s">
        <v>5508</v>
      </c>
      <c r="V808" s="514" t="s">
        <v>5540</v>
      </c>
      <c r="W808" s="498">
        <v>58</v>
      </c>
      <c r="X808" s="514" t="s">
        <v>1532</v>
      </c>
      <c r="Y808" s="514" t="s">
        <v>5541</v>
      </c>
      <c r="Z808" s="514"/>
      <c r="AA808" s="514"/>
      <c r="AB808" s="531" t="s">
        <v>5510</v>
      </c>
    </row>
    <row r="809" spans="1:28" ht="24" customHeight="1">
      <c r="A809" s="584"/>
      <c r="B809" s="460" t="s">
        <v>675</v>
      </c>
      <c r="C809" s="458" t="s">
        <v>5542</v>
      </c>
      <c r="D809" s="510" t="s">
        <v>5543</v>
      </c>
      <c r="E809" s="497">
        <f t="shared" si="62"/>
        <v>30</v>
      </c>
      <c r="F809" s="497">
        <v>0</v>
      </c>
      <c r="G809" s="497">
        <v>0</v>
      </c>
      <c r="H809" s="497">
        <v>30</v>
      </c>
      <c r="I809" s="497">
        <f t="shared" si="61"/>
        <v>28</v>
      </c>
      <c r="J809" s="497">
        <v>0</v>
      </c>
      <c r="K809" s="497">
        <v>0</v>
      </c>
      <c r="L809" s="721">
        <v>28</v>
      </c>
      <c r="M809" s="956">
        <v>0.93299999999999994</v>
      </c>
      <c r="N809" s="653">
        <v>2.1</v>
      </c>
      <c r="O809" s="731" t="s">
        <v>5544</v>
      </c>
      <c r="P809" s="514" t="s">
        <v>1588</v>
      </c>
      <c r="Q809" s="859">
        <v>0</v>
      </c>
      <c r="R809" s="859">
        <v>0</v>
      </c>
      <c r="S809" s="859">
        <v>0</v>
      </c>
      <c r="T809" s="859">
        <v>0</v>
      </c>
      <c r="U809" s="514" t="s">
        <v>5508</v>
      </c>
      <c r="V809" s="514" t="s">
        <v>5545</v>
      </c>
      <c r="W809" s="498">
        <v>116</v>
      </c>
      <c r="X809" s="514" t="s">
        <v>1532</v>
      </c>
      <c r="Y809" s="514" t="s">
        <v>3336</v>
      </c>
      <c r="Z809" s="514"/>
      <c r="AA809" s="514"/>
      <c r="AB809" s="531" t="s">
        <v>5510</v>
      </c>
    </row>
    <row r="810" spans="1:28" ht="24" customHeight="1">
      <c r="A810" s="584"/>
      <c r="B810" s="460" t="s">
        <v>675</v>
      </c>
      <c r="C810" s="458" t="s">
        <v>5546</v>
      </c>
      <c r="D810" s="510" t="s">
        <v>5547</v>
      </c>
      <c r="E810" s="497">
        <f t="shared" si="62"/>
        <v>30</v>
      </c>
      <c r="F810" s="497">
        <v>0</v>
      </c>
      <c r="G810" s="497">
        <v>30</v>
      </c>
      <c r="H810" s="497">
        <v>0</v>
      </c>
      <c r="I810" s="497">
        <f t="shared" si="61"/>
        <v>28</v>
      </c>
      <c r="J810" s="497">
        <v>0</v>
      </c>
      <c r="K810" s="497">
        <v>28</v>
      </c>
      <c r="L810" s="721">
        <v>0</v>
      </c>
      <c r="M810" s="956">
        <v>0.93299999999999994</v>
      </c>
      <c r="N810" s="653">
        <v>2.4</v>
      </c>
      <c r="O810" s="731" t="s">
        <v>5539</v>
      </c>
      <c r="P810" s="514" t="s">
        <v>1588</v>
      </c>
      <c r="Q810" s="859">
        <v>0</v>
      </c>
      <c r="R810" s="859">
        <v>0</v>
      </c>
      <c r="S810" s="859">
        <v>0</v>
      </c>
      <c r="T810" s="859">
        <v>0</v>
      </c>
      <c r="U810" s="514" t="s">
        <v>5508</v>
      </c>
      <c r="V810" s="514" t="s">
        <v>5548</v>
      </c>
      <c r="W810" s="498">
        <v>92</v>
      </c>
      <c r="X810" s="514" t="s">
        <v>1532</v>
      </c>
      <c r="Y810" s="514" t="s">
        <v>1533</v>
      </c>
      <c r="Z810" s="514"/>
      <c r="AA810" s="514"/>
      <c r="AB810" s="531" t="s">
        <v>5510</v>
      </c>
    </row>
    <row r="811" spans="1:28" ht="24" customHeight="1">
      <c r="A811" s="582" t="s">
        <v>1678</v>
      </c>
      <c r="B811" s="460" t="s">
        <v>2201</v>
      </c>
      <c r="C811" s="458" t="s">
        <v>5549</v>
      </c>
      <c r="D811" s="510" t="s">
        <v>5550</v>
      </c>
      <c r="E811" s="497">
        <f t="shared" si="62"/>
        <v>100000</v>
      </c>
      <c r="F811" s="497">
        <v>0</v>
      </c>
      <c r="G811" s="497">
        <v>100000</v>
      </c>
      <c r="H811" s="497">
        <v>0</v>
      </c>
      <c r="I811" s="497">
        <f>J811+K811+L811</f>
        <v>101335</v>
      </c>
      <c r="J811" s="497">
        <v>0</v>
      </c>
      <c r="K811" s="497">
        <v>101335</v>
      </c>
      <c r="L811" s="721">
        <v>0</v>
      </c>
      <c r="M811" s="956">
        <v>0.94403236682400538</v>
      </c>
      <c r="N811" s="653">
        <v>14186.900000000001</v>
      </c>
      <c r="O811" s="734" t="s">
        <v>1535</v>
      </c>
      <c r="P811" s="514" t="s">
        <v>1588</v>
      </c>
      <c r="Q811" s="859">
        <v>151</v>
      </c>
      <c r="R811" s="859">
        <v>0</v>
      </c>
      <c r="S811" s="859">
        <v>53</v>
      </c>
      <c r="T811" s="859">
        <v>1263</v>
      </c>
      <c r="U811" s="514" t="s">
        <v>2300</v>
      </c>
      <c r="V811" s="514" t="s">
        <v>5551</v>
      </c>
      <c r="W811" s="498">
        <v>52428</v>
      </c>
      <c r="X811" s="514" t="s">
        <v>2276</v>
      </c>
      <c r="Y811" s="514" t="s">
        <v>3232</v>
      </c>
      <c r="Z811" s="514" t="s">
        <v>1700</v>
      </c>
      <c r="AA811" s="514" t="s">
        <v>1679</v>
      </c>
      <c r="AB811" s="531" t="s">
        <v>1679</v>
      </c>
    </row>
    <row r="812" spans="1:28" ht="24" customHeight="1">
      <c r="A812" s="584"/>
      <c r="B812" s="460" t="s">
        <v>2201</v>
      </c>
      <c r="C812" s="458" t="s">
        <v>5552</v>
      </c>
      <c r="D812" s="510" t="s">
        <v>5553</v>
      </c>
      <c r="E812" s="497">
        <f t="shared" si="62"/>
        <v>6000</v>
      </c>
      <c r="F812" s="497">
        <v>0</v>
      </c>
      <c r="G812" s="497">
        <v>0</v>
      </c>
      <c r="H812" s="497">
        <v>6000</v>
      </c>
      <c r="I812" s="497">
        <f>J812+K812+L812</f>
        <v>3446</v>
      </c>
      <c r="J812" s="497">
        <v>0</v>
      </c>
      <c r="K812" s="497">
        <v>0</v>
      </c>
      <c r="L812" s="721">
        <v>3446</v>
      </c>
      <c r="M812" s="956">
        <v>0.94196003805899153</v>
      </c>
      <c r="N812" s="653">
        <v>341.154</v>
      </c>
      <c r="O812" s="731" t="s">
        <v>3282</v>
      </c>
      <c r="P812" s="514" t="s">
        <v>1588</v>
      </c>
      <c r="Q812" s="859">
        <v>0</v>
      </c>
      <c r="R812" s="859">
        <v>0</v>
      </c>
      <c r="S812" s="859">
        <v>0</v>
      </c>
      <c r="T812" s="859">
        <v>0</v>
      </c>
      <c r="U812" s="514" t="s">
        <v>5554</v>
      </c>
      <c r="V812" s="514" t="s">
        <v>5555</v>
      </c>
      <c r="W812" s="498">
        <v>28664</v>
      </c>
      <c r="X812" s="514" t="s">
        <v>2276</v>
      </c>
      <c r="Y812" s="514" t="s">
        <v>3336</v>
      </c>
      <c r="Z812" s="514" t="s">
        <v>1681</v>
      </c>
      <c r="AA812" s="514" t="s">
        <v>1592</v>
      </c>
      <c r="AB812" s="531" t="s">
        <v>1592</v>
      </c>
    </row>
    <row r="813" spans="1:28" ht="24" customHeight="1">
      <c r="A813" s="584"/>
      <c r="B813" s="460" t="s">
        <v>675</v>
      </c>
      <c r="C813" s="458" t="s">
        <v>5556</v>
      </c>
      <c r="D813" s="510" t="s">
        <v>5557</v>
      </c>
      <c r="E813" s="497">
        <f t="shared" si="62"/>
        <v>175</v>
      </c>
      <c r="F813" s="497">
        <v>0</v>
      </c>
      <c r="G813" s="497">
        <v>175</v>
      </c>
      <c r="H813" s="497">
        <v>0</v>
      </c>
      <c r="I813" s="497">
        <f t="shared" ref="I813:I876" si="63">J813+K813+L813</f>
        <v>87</v>
      </c>
      <c r="J813" s="497">
        <v>0</v>
      </c>
      <c r="K813" s="497">
        <v>87</v>
      </c>
      <c r="L813" s="721">
        <v>0</v>
      </c>
      <c r="M813" s="956">
        <v>0.87</v>
      </c>
      <c r="N813" s="653">
        <v>373</v>
      </c>
      <c r="O813" s="731" t="s">
        <v>3742</v>
      </c>
      <c r="P813" s="514" t="s">
        <v>1588</v>
      </c>
      <c r="Q813" s="859">
        <v>0</v>
      </c>
      <c r="R813" s="859">
        <v>0</v>
      </c>
      <c r="S813" s="859">
        <v>0</v>
      </c>
      <c r="T813" s="859">
        <v>0</v>
      </c>
      <c r="U813" s="514" t="s">
        <v>5558</v>
      </c>
      <c r="V813" s="532" t="s">
        <v>5559</v>
      </c>
      <c r="W813" s="653">
        <v>545</v>
      </c>
      <c r="X813" s="514" t="s">
        <v>1532</v>
      </c>
      <c r="Y813" s="514" t="s">
        <v>3232</v>
      </c>
      <c r="Z813" s="514" t="s">
        <v>1680</v>
      </c>
      <c r="AA813" s="514" t="s">
        <v>1679</v>
      </c>
      <c r="AB813" s="531" t="s">
        <v>1679</v>
      </c>
    </row>
    <row r="814" spans="1:28" ht="24" customHeight="1">
      <c r="A814" s="584"/>
      <c r="B814" s="460" t="s">
        <v>675</v>
      </c>
      <c r="C814" s="458" t="s">
        <v>5560</v>
      </c>
      <c r="D814" s="510" t="s">
        <v>5561</v>
      </c>
      <c r="E814" s="497">
        <f t="shared" si="62"/>
        <v>60</v>
      </c>
      <c r="F814" s="497">
        <v>0</v>
      </c>
      <c r="G814" s="497">
        <v>60</v>
      </c>
      <c r="H814" s="497">
        <v>0</v>
      </c>
      <c r="I814" s="497">
        <f t="shared" si="63"/>
        <v>23</v>
      </c>
      <c r="J814" s="497">
        <v>0</v>
      </c>
      <c r="K814" s="497">
        <v>23</v>
      </c>
      <c r="L814" s="721">
        <v>0</v>
      </c>
      <c r="M814" s="956">
        <v>0.88</v>
      </c>
      <c r="N814" s="653">
        <v>132</v>
      </c>
      <c r="O814" s="731" t="s">
        <v>5177</v>
      </c>
      <c r="P814" s="514" t="s">
        <v>1588</v>
      </c>
      <c r="Q814" s="859">
        <v>0</v>
      </c>
      <c r="R814" s="859">
        <v>0</v>
      </c>
      <c r="S814" s="859">
        <v>0</v>
      </c>
      <c r="T814" s="859">
        <v>0</v>
      </c>
      <c r="U814" s="514" t="s">
        <v>5558</v>
      </c>
      <c r="V814" s="532" t="s">
        <v>5562</v>
      </c>
      <c r="W814" s="653">
        <v>260</v>
      </c>
      <c r="X814" s="514" t="s">
        <v>1532</v>
      </c>
      <c r="Y814" s="514" t="s">
        <v>3232</v>
      </c>
      <c r="Z814" s="514" t="s">
        <v>1594</v>
      </c>
      <c r="AA814" s="514" t="s">
        <v>1679</v>
      </c>
      <c r="AB814" s="531" t="s">
        <v>1679</v>
      </c>
    </row>
    <row r="815" spans="1:28" ht="24" customHeight="1">
      <c r="A815" s="584"/>
      <c r="B815" s="460" t="s">
        <v>675</v>
      </c>
      <c r="C815" s="458" t="s">
        <v>5563</v>
      </c>
      <c r="D815" s="510" t="s">
        <v>5564</v>
      </c>
      <c r="E815" s="497">
        <f t="shared" si="62"/>
        <v>80</v>
      </c>
      <c r="F815" s="497">
        <v>0</v>
      </c>
      <c r="G815" s="497">
        <v>80</v>
      </c>
      <c r="H815" s="497">
        <v>0</v>
      </c>
      <c r="I815" s="497">
        <f t="shared" si="63"/>
        <v>39</v>
      </c>
      <c r="J815" s="497">
        <v>0</v>
      </c>
      <c r="K815" s="497">
        <v>39</v>
      </c>
      <c r="L815" s="721">
        <v>0</v>
      </c>
      <c r="M815" s="956">
        <v>0.9</v>
      </c>
      <c r="N815" s="653">
        <v>190</v>
      </c>
      <c r="O815" s="731" t="s">
        <v>5177</v>
      </c>
      <c r="P815" s="514" t="s">
        <v>1588</v>
      </c>
      <c r="Q815" s="859">
        <v>0</v>
      </c>
      <c r="R815" s="859">
        <v>0</v>
      </c>
      <c r="S815" s="859">
        <v>0</v>
      </c>
      <c r="T815" s="859">
        <v>0</v>
      </c>
      <c r="U815" s="514" t="s">
        <v>5558</v>
      </c>
      <c r="V815" s="532" t="s">
        <v>5565</v>
      </c>
      <c r="W815" s="653">
        <v>291</v>
      </c>
      <c r="X815" s="514" t="s">
        <v>1532</v>
      </c>
      <c r="Y815" s="514" t="s">
        <v>3232</v>
      </c>
      <c r="Z815" s="514" t="s">
        <v>1683</v>
      </c>
      <c r="AA815" s="514" t="s">
        <v>1679</v>
      </c>
      <c r="AB815" s="531" t="s">
        <v>1679</v>
      </c>
    </row>
    <row r="816" spans="1:28" ht="24" customHeight="1">
      <c r="A816" s="584"/>
      <c r="B816" s="460" t="s">
        <v>675</v>
      </c>
      <c r="C816" s="458" t="s">
        <v>5566</v>
      </c>
      <c r="D816" s="510" t="s">
        <v>5567</v>
      </c>
      <c r="E816" s="497">
        <f t="shared" si="62"/>
        <v>50</v>
      </c>
      <c r="F816" s="497">
        <v>0</v>
      </c>
      <c r="G816" s="497">
        <v>50</v>
      </c>
      <c r="H816" s="497">
        <v>0</v>
      </c>
      <c r="I816" s="497">
        <f t="shared" si="63"/>
        <v>40</v>
      </c>
      <c r="J816" s="497">
        <v>0</v>
      </c>
      <c r="K816" s="497">
        <v>40</v>
      </c>
      <c r="L816" s="721">
        <v>0</v>
      </c>
      <c r="M816" s="956">
        <v>0.92</v>
      </c>
      <c r="N816" s="653">
        <v>311</v>
      </c>
      <c r="O816" s="731" t="s">
        <v>5089</v>
      </c>
      <c r="P816" s="514" t="s">
        <v>1588</v>
      </c>
      <c r="Q816" s="859">
        <v>0</v>
      </c>
      <c r="R816" s="859">
        <v>0</v>
      </c>
      <c r="S816" s="859">
        <v>0</v>
      </c>
      <c r="T816" s="859">
        <v>0</v>
      </c>
      <c r="U816" s="514" t="s">
        <v>5558</v>
      </c>
      <c r="V816" s="532" t="s">
        <v>5568</v>
      </c>
      <c r="W816" s="653">
        <v>184</v>
      </c>
      <c r="X816" s="514" t="s">
        <v>1532</v>
      </c>
      <c r="Y816" s="514" t="s">
        <v>3232</v>
      </c>
      <c r="Z816" s="514" t="s">
        <v>1683</v>
      </c>
      <c r="AA816" s="514" t="s">
        <v>1679</v>
      </c>
      <c r="AB816" s="531" t="s">
        <v>1679</v>
      </c>
    </row>
    <row r="817" spans="1:28" ht="24" customHeight="1">
      <c r="A817" s="584"/>
      <c r="B817" s="460" t="s">
        <v>675</v>
      </c>
      <c r="C817" s="458" t="s">
        <v>5569</v>
      </c>
      <c r="D817" s="510" t="s">
        <v>5570</v>
      </c>
      <c r="E817" s="497">
        <f t="shared" si="62"/>
        <v>35</v>
      </c>
      <c r="F817" s="497">
        <v>0</v>
      </c>
      <c r="G817" s="497">
        <v>35</v>
      </c>
      <c r="H817" s="497">
        <v>0</v>
      </c>
      <c r="I817" s="497">
        <f t="shared" si="63"/>
        <v>28</v>
      </c>
      <c r="J817" s="497">
        <v>0</v>
      </c>
      <c r="K817" s="497">
        <v>28</v>
      </c>
      <c r="L817" s="721">
        <v>0</v>
      </c>
      <c r="M817" s="956">
        <v>0.95</v>
      </c>
      <c r="N817" s="653">
        <v>342</v>
      </c>
      <c r="O817" s="731" t="s">
        <v>5571</v>
      </c>
      <c r="P817" s="514" t="s">
        <v>1588</v>
      </c>
      <c r="Q817" s="859">
        <v>0</v>
      </c>
      <c r="R817" s="859">
        <v>0</v>
      </c>
      <c r="S817" s="859">
        <v>0</v>
      </c>
      <c r="T817" s="859">
        <v>0</v>
      </c>
      <c r="U817" s="514" t="s">
        <v>5558</v>
      </c>
      <c r="V817" s="532" t="s">
        <v>5572</v>
      </c>
      <c r="W817" s="653">
        <v>170</v>
      </c>
      <c r="X817" s="514" t="s">
        <v>1532</v>
      </c>
      <c r="Y817" s="514" t="s">
        <v>3232</v>
      </c>
      <c r="Z817" s="514" t="s">
        <v>1683</v>
      </c>
      <c r="AA817" s="514" t="s">
        <v>1679</v>
      </c>
      <c r="AB817" s="531" t="s">
        <v>1679</v>
      </c>
    </row>
    <row r="818" spans="1:28" ht="24" customHeight="1">
      <c r="A818" s="584"/>
      <c r="B818" s="460" t="s">
        <v>675</v>
      </c>
      <c r="C818" s="458" t="s">
        <v>5573</v>
      </c>
      <c r="D818" s="510" t="s">
        <v>5574</v>
      </c>
      <c r="E818" s="497">
        <f t="shared" si="62"/>
        <v>39</v>
      </c>
      <c r="F818" s="497">
        <v>0</v>
      </c>
      <c r="G818" s="497">
        <v>39</v>
      </c>
      <c r="H818" s="497">
        <v>0</v>
      </c>
      <c r="I818" s="497">
        <f t="shared" si="63"/>
        <v>44</v>
      </c>
      <c r="J818" s="497">
        <v>0</v>
      </c>
      <c r="K818" s="497">
        <v>44</v>
      </c>
      <c r="L818" s="721">
        <v>0</v>
      </c>
      <c r="M818" s="956">
        <v>0.85</v>
      </c>
      <c r="N818" s="653">
        <v>209</v>
      </c>
      <c r="O818" s="731" t="s">
        <v>5089</v>
      </c>
      <c r="P818" s="514" t="s">
        <v>1588</v>
      </c>
      <c r="Q818" s="859">
        <v>0</v>
      </c>
      <c r="R818" s="859">
        <v>0</v>
      </c>
      <c r="S818" s="859">
        <v>0</v>
      </c>
      <c r="T818" s="859">
        <v>0</v>
      </c>
      <c r="U818" s="514" t="s">
        <v>5558</v>
      </c>
      <c r="V818" s="532" t="s">
        <v>5575</v>
      </c>
      <c r="W818" s="653">
        <v>240</v>
      </c>
      <c r="X818" s="514" t="s">
        <v>1532</v>
      </c>
      <c r="Y818" s="514" t="s">
        <v>3232</v>
      </c>
      <c r="Z818" s="514" t="s">
        <v>1683</v>
      </c>
      <c r="AA818" s="514" t="s">
        <v>1679</v>
      </c>
      <c r="AB818" s="531" t="s">
        <v>1679</v>
      </c>
    </row>
    <row r="819" spans="1:28" ht="24" customHeight="1">
      <c r="A819" s="584"/>
      <c r="B819" s="460" t="s">
        <v>675</v>
      </c>
      <c r="C819" s="458" t="s">
        <v>5576</v>
      </c>
      <c r="D819" s="510" t="s">
        <v>5577</v>
      </c>
      <c r="E819" s="497">
        <f t="shared" si="62"/>
        <v>49</v>
      </c>
      <c r="F819" s="497">
        <v>0</v>
      </c>
      <c r="G819" s="497">
        <v>49</v>
      </c>
      <c r="H819" s="497">
        <v>0</v>
      </c>
      <c r="I819" s="497">
        <f t="shared" si="63"/>
        <v>42</v>
      </c>
      <c r="J819" s="497">
        <v>0</v>
      </c>
      <c r="K819" s="497">
        <v>42</v>
      </c>
      <c r="L819" s="721">
        <v>0</v>
      </c>
      <c r="M819" s="956">
        <v>0.9</v>
      </c>
      <c r="N819" s="653">
        <v>234</v>
      </c>
      <c r="O819" s="731" t="s">
        <v>5578</v>
      </c>
      <c r="P819" s="514" t="s">
        <v>1588</v>
      </c>
      <c r="Q819" s="859">
        <v>0</v>
      </c>
      <c r="R819" s="859">
        <v>0</v>
      </c>
      <c r="S819" s="859">
        <v>0</v>
      </c>
      <c r="T819" s="859">
        <v>0</v>
      </c>
      <c r="U819" s="514" t="s">
        <v>5558</v>
      </c>
      <c r="V819" s="532" t="s">
        <v>5579</v>
      </c>
      <c r="W819" s="653">
        <v>223</v>
      </c>
      <c r="X819" s="514" t="s">
        <v>1532</v>
      </c>
      <c r="Y819" s="514" t="s">
        <v>3232</v>
      </c>
      <c r="Z819" s="514" t="s">
        <v>1683</v>
      </c>
      <c r="AA819" s="514" t="s">
        <v>1679</v>
      </c>
      <c r="AB819" s="531" t="s">
        <v>1679</v>
      </c>
    </row>
    <row r="820" spans="1:28" ht="24" customHeight="1">
      <c r="A820" s="584"/>
      <c r="B820" s="460" t="s">
        <v>675</v>
      </c>
      <c r="C820" s="458" t="s">
        <v>5580</v>
      </c>
      <c r="D820" s="510" t="s">
        <v>5581</v>
      </c>
      <c r="E820" s="497">
        <f t="shared" si="62"/>
        <v>49</v>
      </c>
      <c r="F820" s="497">
        <v>0</v>
      </c>
      <c r="G820" s="497">
        <v>49</v>
      </c>
      <c r="H820" s="497">
        <v>0</v>
      </c>
      <c r="I820" s="497">
        <f t="shared" si="63"/>
        <v>33</v>
      </c>
      <c r="J820" s="497">
        <v>0</v>
      </c>
      <c r="K820" s="497">
        <v>33</v>
      </c>
      <c r="L820" s="721">
        <v>0</v>
      </c>
      <c r="M820" s="956">
        <v>0.93</v>
      </c>
      <c r="N820" s="653">
        <v>240</v>
      </c>
      <c r="O820" s="731" t="s">
        <v>5582</v>
      </c>
      <c r="P820" s="514" t="s">
        <v>1588</v>
      </c>
      <c r="Q820" s="859">
        <v>0</v>
      </c>
      <c r="R820" s="859">
        <v>0</v>
      </c>
      <c r="S820" s="859">
        <v>0</v>
      </c>
      <c r="T820" s="859">
        <v>0</v>
      </c>
      <c r="U820" s="514" t="s">
        <v>5558</v>
      </c>
      <c r="V820" s="532" t="s">
        <v>5583</v>
      </c>
      <c r="W820" s="653">
        <v>224</v>
      </c>
      <c r="X820" s="514" t="s">
        <v>1532</v>
      </c>
      <c r="Y820" s="514" t="s">
        <v>3232</v>
      </c>
      <c r="Z820" s="514" t="s">
        <v>1683</v>
      </c>
      <c r="AA820" s="514" t="s">
        <v>1679</v>
      </c>
      <c r="AB820" s="531" t="s">
        <v>1679</v>
      </c>
    </row>
    <row r="821" spans="1:28" ht="24" customHeight="1">
      <c r="A821" s="584"/>
      <c r="B821" s="460" t="s">
        <v>675</v>
      </c>
      <c r="C821" s="458" t="s">
        <v>5584</v>
      </c>
      <c r="D821" s="510" t="s">
        <v>5585</v>
      </c>
      <c r="E821" s="497">
        <f t="shared" si="62"/>
        <v>70</v>
      </c>
      <c r="F821" s="497">
        <v>0</v>
      </c>
      <c r="G821" s="497">
        <v>70</v>
      </c>
      <c r="H821" s="497">
        <v>0</v>
      </c>
      <c r="I821" s="497">
        <f t="shared" si="63"/>
        <v>37</v>
      </c>
      <c r="J821" s="497">
        <v>0</v>
      </c>
      <c r="K821" s="497">
        <v>37</v>
      </c>
      <c r="L821" s="721">
        <v>0</v>
      </c>
      <c r="M821" s="956">
        <v>0.91</v>
      </c>
      <c r="N821" s="653">
        <v>316</v>
      </c>
      <c r="O821" s="731" t="s">
        <v>3517</v>
      </c>
      <c r="P821" s="514" t="s">
        <v>1588</v>
      </c>
      <c r="Q821" s="859">
        <v>0</v>
      </c>
      <c r="R821" s="859">
        <v>0</v>
      </c>
      <c r="S821" s="859">
        <v>0</v>
      </c>
      <c r="T821" s="859">
        <v>0</v>
      </c>
      <c r="U821" s="514" t="s">
        <v>5558</v>
      </c>
      <c r="V821" s="532" t="s">
        <v>5586</v>
      </c>
      <c r="W821" s="653">
        <v>200</v>
      </c>
      <c r="X821" s="514" t="s">
        <v>1532</v>
      </c>
      <c r="Y821" s="514" t="s">
        <v>3232</v>
      </c>
      <c r="Z821" s="514" t="s">
        <v>1683</v>
      </c>
      <c r="AA821" s="514" t="s">
        <v>1679</v>
      </c>
      <c r="AB821" s="531" t="s">
        <v>1679</v>
      </c>
    </row>
    <row r="822" spans="1:28" ht="24" customHeight="1">
      <c r="A822" s="584"/>
      <c r="B822" s="460" t="s">
        <v>675</v>
      </c>
      <c r="C822" s="458" t="s">
        <v>5587</v>
      </c>
      <c r="D822" s="510" t="s">
        <v>5588</v>
      </c>
      <c r="E822" s="497">
        <f t="shared" si="62"/>
        <v>30</v>
      </c>
      <c r="F822" s="497">
        <v>0</v>
      </c>
      <c r="G822" s="497">
        <v>30</v>
      </c>
      <c r="H822" s="497">
        <v>0</v>
      </c>
      <c r="I822" s="497">
        <f t="shared" si="63"/>
        <v>30</v>
      </c>
      <c r="J822" s="497">
        <v>0</v>
      </c>
      <c r="K822" s="497">
        <v>30</v>
      </c>
      <c r="L822" s="721">
        <v>0</v>
      </c>
      <c r="M822" s="956">
        <v>0.88</v>
      </c>
      <c r="N822" s="653">
        <v>123</v>
      </c>
      <c r="O822" s="731" t="s">
        <v>3517</v>
      </c>
      <c r="P822" s="514" t="s">
        <v>1588</v>
      </c>
      <c r="Q822" s="859">
        <v>0</v>
      </c>
      <c r="R822" s="859">
        <v>0</v>
      </c>
      <c r="S822" s="859">
        <v>0</v>
      </c>
      <c r="T822" s="859">
        <v>0</v>
      </c>
      <c r="U822" s="514" t="s">
        <v>5558</v>
      </c>
      <c r="V822" s="532" t="s">
        <v>5589</v>
      </c>
      <c r="W822" s="653">
        <v>184</v>
      </c>
      <c r="X822" s="514" t="s">
        <v>1532</v>
      </c>
      <c r="Y822" s="514" t="s">
        <v>3232</v>
      </c>
      <c r="Z822" s="514" t="s">
        <v>1682</v>
      </c>
      <c r="AA822" s="514" t="s">
        <v>1592</v>
      </c>
      <c r="AB822" s="531" t="s">
        <v>1592</v>
      </c>
    </row>
    <row r="823" spans="1:28" ht="24" customHeight="1">
      <c r="A823" s="584"/>
      <c r="B823" s="460" t="s">
        <v>675</v>
      </c>
      <c r="C823" s="458" t="s">
        <v>3233</v>
      </c>
      <c r="D823" s="510" t="s">
        <v>5590</v>
      </c>
      <c r="E823" s="497">
        <f t="shared" si="62"/>
        <v>42</v>
      </c>
      <c r="F823" s="497">
        <v>0</v>
      </c>
      <c r="G823" s="497">
        <v>42</v>
      </c>
      <c r="H823" s="497">
        <v>0</v>
      </c>
      <c r="I823" s="497">
        <f t="shared" si="63"/>
        <v>40</v>
      </c>
      <c r="J823" s="497">
        <v>0</v>
      </c>
      <c r="K823" s="497">
        <v>40</v>
      </c>
      <c r="L823" s="721">
        <v>0</v>
      </c>
      <c r="M823" s="956">
        <v>0.9</v>
      </c>
      <c r="N823" s="653">
        <v>252</v>
      </c>
      <c r="O823" s="731" t="s">
        <v>5591</v>
      </c>
      <c r="P823" s="514" t="s">
        <v>1588</v>
      </c>
      <c r="Q823" s="859">
        <v>0</v>
      </c>
      <c r="R823" s="859">
        <v>0</v>
      </c>
      <c r="S823" s="859">
        <v>0</v>
      </c>
      <c r="T823" s="859">
        <v>0</v>
      </c>
      <c r="U823" s="514" t="s">
        <v>5558</v>
      </c>
      <c r="V823" s="532" t="s">
        <v>5592</v>
      </c>
      <c r="W823" s="653">
        <v>372</v>
      </c>
      <c r="X823" s="514" t="s">
        <v>1532</v>
      </c>
      <c r="Y823" s="514" t="s">
        <v>1404</v>
      </c>
      <c r="Z823" s="514" t="s">
        <v>1683</v>
      </c>
      <c r="AA823" s="514" t="s">
        <v>1679</v>
      </c>
      <c r="AB823" s="531" t="s">
        <v>1679</v>
      </c>
    </row>
    <row r="824" spans="1:28" ht="24" customHeight="1">
      <c r="A824" s="584"/>
      <c r="B824" s="460" t="s">
        <v>675</v>
      </c>
      <c r="C824" s="458" t="s">
        <v>1700</v>
      </c>
      <c r="D824" s="510" t="s">
        <v>5593</v>
      </c>
      <c r="E824" s="497">
        <f t="shared" si="62"/>
        <v>120</v>
      </c>
      <c r="F824" s="497">
        <v>0</v>
      </c>
      <c r="G824" s="497">
        <v>120</v>
      </c>
      <c r="H824" s="497">
        <v>0</v>
      </c>
      <c r="I824" s="497">
        <f t="shared" si="63"/>
        <v>30</v>
      </c>
      <c r="J824" s="497">
        <v>0</v>
      </c>
      <c r="K824" s="497">
        <v>30</v>
      </c>
      <c r="L824" s="721">
        <v>0</v>
      </c>
      <c r="M824" s="956">
        <v>0.9</v>
      </c>
      <c r="N824" s="653">
        <v>162</v>
      </c>
      <c r="O824" s="731" t="s">
        <v>5578</v>
      </c>
      <c r="P824" s="514" t="s">
        <v>1588</v>
      </c>
      <c r="Q824" s="859">
        <v>0</v>
      </c>
      <c r="R824" s="859">
        <v>0</v>
      </c>
      <c r="S824" s="859">
        <v>0</v>
      </c>
      <c r="T824" s="859">
        <v>0</v>
      </c>
      <c r="U824" s="514" t="s">
        <v>5558</v>
      </c>
      <c r="V824" s="514" t="s">
        <v>5594</v>
      </c>
      <c r="W824" s="498">
        <v>945</v>
      </c>
      <c r="X824" s="514" t="s">
        <v>1532</v>
      </c>
      <c r="Y824" s="514" t="s">
        <v>3232</v>
      </c>
      <c r="Z824" s="514" t="s">
        <v>1683</v>
      </c>
      <c r="AA824" s="514" t="s">
        <v>1679</v>
      </c>
      <c r="AB824" s="531" t="s">
        <v>1679</v>
      </c>
    </row>
    <row r="825" spans="1:28" ht="24" customHeight="1">
      <c r="A825" s="582" t="s">
        <v>1684</v>
      </c>
      <c r="B825" s="460" t="s">
        <v>2201</v>
      </c>
      <c r="C825" s="458" t="s">
        <v>2419</v>
      </c>
      <c r="D825" s="510" t="s">
        <v>5595</v>
      </c>
      <c r="E825" s="497">
        <f t="shared" si="62"/>
        <v>58600</v>
      </c>
      <c r="F825" s="497">
        <v>0</v>
      </c>
      <c r="G825" s="497">
        <v>58600</v>
      </c>
      <c r="H825" s="497">
        <v>0</v>
      </c>
      <c r="I825" s="497">
        <f t="shared" si="63"/>
        <v>49508</v>
      </c>
      <c r="J825" s="497">
        <v>0</v>
      </c>
      <c r="K825" s="497">
        <v>49508</v>
      </c>
      <c r="L825" s="721">
        <v>0</v>
      </c>
      <c r="M825" s="956">
        <v>0.89306358381502893</v>
      </c>
      <c r="N825" s="653">
        <v>1529.7972000000002</v>
      </c>
      <c r="O825" s="731" t="s">
        <v>1535</v>
      </c>
      <c r="P825" s="514" t="s">
        <v>1588</v>
      </c>
      <c r="Q825" s="859">
        <v>170</v>
      </c>
      <c r="R825" s="859">
        <v>0</v>
      </c>
      <c r="S825" s="859">
        <v>146</v>
      </c>
      <c r="T825" s="859">
        <v>7106</v>
      </c>
      <c r="U825" s="514" t="s">
        <v>2301</v>
      </c>
      <c r="V825" s="514" t="s">
        <v>5596</v>
      </c>
      <c r="W825" s="498">
        <v>61636</v>
      </c>
      <c r="X825" s="514" t="s">
        <v>2276</v>
      </c>
      <c r="Y825" s="514" t="s">
        <v>3507</v>
      </c>
      <c r="Z825" s="514" t="s">
        <v>2302</v>
      </c>
      <c r="AA825" s="514" t="s">
        <v>1685</v>
      </c>
      <c r="AB825" s="531" t="s">
        <v>1592</v>
      </c>
    </row>
    <row r="826" spans="1:28" ht="24" customHeight="1">
      <c r="A826" s="584"/>
      <c r="B826" s="460" t="s">
        <v>675</v>
      </c>
      <c r="C826" s="458" t="s">
        <v>5597</v>
      </c>
      <c r="D826" s="510" t="s">
        <v>5598</v>
      </c>
      <c r="E826" s="497">
        <f t="shared" si="62"/>
        <v>161</v>
      </c>
      <c r="F826" s="497">
        <v>0</v>
      </c>
      <c r="G826" s="497">
        <v>161</v>
      </c>
      <c r="H826" s="497">
        <v>0</v>
      </c>
      <c r="I826" s="497">
        <f t="shared" si="63"/>
        <v>0</v>
      </c>
      <c r="J826" s="497">
        <v>0</v>
      </c>
      <c r="K826" s="497">
        <v>0</v>
      </c>
      <c r="L826" s="721">
        <v>0</v>
      </c>
      <c r="M826" s="956">
        <v>0</v>
      </c>
      <c r="N826" s="653">
        <v>0</v>
      </c>
      <c r="O826" s="731" t="s">
        <v>1153</v>
      </c>
      <c r="P826" s="514" t="s">
        <v>1588</v>
      </c>
      <c r="Q826" s="859">
        <v>0</v>
      </c>
      <c r="R826" s="859">
        <v>0</v>
      </c>
      <c r="S826" s="859">
        <v>0</v>
      </c>
      <c r="T826" s="859">
        <v>0</v>
      </c>
      <c r="U826" s="514" t="s">
        <v>5599</v>
      </c>
      <c r="V826" s="514" t="s">
        <v>5600</v>
      </c>
      <c r="W826" s="498">
        <v>400</v>
      </c>
      <c r="X826" s="514" t="s">
        <v>1532</v>
      </c>
      <c r="Y826" s="514" t="s">
        <v>3507</v>
      </c>
      <c r="Z826" s="514" t="s">
        <v>5601</v>
      </c>
      <c r="AA826" s="514" t="s">
        <v>1685</v>
      </c>
      <c r="AB826" s="531" t="s">
        <v>1592</v>
      </c>
    </row>
    <row r="827" spans="1:28" ht="24" customHeight="1">
      <c r="A827" s="584"/>
      <c r="B827" s="460" t="s">
        <v>675</v>
      </c>
      <c r="C827" s="458" t="s">
        <v>5602</v>
      </c>
      <c r="D827" s="510" t="s">
        <v>5603</v>
      </c>
      <c r="E827" s="497">
        <f t="shared" si="62"/>
        <v>115</v>
      </c>
      <c r="F827" s="497">
        <v>0</v>
      </c>
      <c r="G827" s="497">
        <v>115</v>
      </c>
      <c r="H827" s="497">
        <v>0</v>
      </c>
      <c r="I827" s="497">
        <f t="shared" si="63"/>
        <v>0</v>
      </c>
      <c r="J827" s="497">
        <v>0</v>
      </c>
      <c r="K827" s="497">
        <v>0</v>
      </c>
      <c r="L827" s="721">
        <v>0</v>
      </c>
      <c r="M827" s="956">
        <v>0</v>
      </c>
      <c r="N827" s="653">
        <v>0</v>
      </c>
      <c r="O827" s="731" t="s">
        <v>1153</v>
      </c>
      <c r="P827" s="514" t="s">
        <v>1588</v>
      </c>
      <c r="Q827" s="859">
        <v>0</v>
      </c>
      <c r="R827" s="859">
        <v>0</v>
      </c>
      <c r="S827" s="859">
        <v>0</v>
      </c>
      <c r="T827" s="859">
        <v>0</v>
      </c>
      <c r="U827" s="514" t="s">
        <v>5599</v>
      </c>
      <c r="V827" s="514" t="s">
        <v>5604</v>
      </c>
      <c r="W827" s="498">
        <v>400</v>
      </c>
      <c r="X827" s="514" t="s">
        <v>1532</v>
      </c>
      <c r="Y827" s="514" t="s">
        <v>3507</v>
      </c>
      <c r="Z827" s="514" t="s">
        <v>5605</v>
      </c>
      <c r="AA827" s="514" t="s">
        <v>1685</v>
      </c>
      <c r="AB827" s="531" t="s">
        <v>1592</v>
      </c>
    </row>
    <row r="828" spans="1:28" ht="24" customHeight="1">
      <c r="A828" s="584"/>
      <c r="B828" s="460" t="s">
        <v>675</v>
      </c>
      <c r="C828" s="458" t="s">
        <v>5011</v>
      </c>
      <c r="D828" s="510" t="s">
        <v>5606</v>
      </c>
      <c r="E828" s="497">
        <f t="shared" si="62"/>
        <v>80</v>
      </c>
      <c r="F828" s="497">
        <v>0</v>
      </c>
      <c r="G828" s="497">
        <v>80</v>
      </c>
      <c r="H828" s="497">
        <v>0</v>
      </c>
      <c r="I828" s="497">
        <f t="shared" si="63"/>
        <v>0</v>
      </c>
      <c r="J828" s="497">
        <v>0</v>
      </c>
      <c r="K828" s="497">
        <v>0</v>
      </c>
      <c r="L828" s="721">
        <v>0</v>
      </c>
      <c r="M828" s="956">
        <v>0</v>
      </c>
      <c r="N828" s="653">
        <v>0</v>
      </c>
      <c r="O828" s="731" t="s">
        <v>1153</v>
      </c>
      <c r="P828" s="514" t="s">
        <v>1588</v>
      </c>
      <c r="Q828" s="859">
        <v>0</v>
      </c>
      <c r="R828" s="859">
        <v>0</v>
      </c>
      <c r="S828" s="859">
        <v>0</v>
      </c>
      <c r="T828" s="859">
        <v>0</v>
      </c>
      <c r="U828" s="514" t="s">
        <v>5599</v>
      </c>
      <c r="V828" s="514" t="s">
        <v>5607</v>
      </c>
      <c r="W828" s="498">
        <v>400</v>
      </c>
      <c r="X828" s="514" t="s">
        <v>1532</v>
      </c>
      <c r="Y828" s="514" t="s">
        <v>3507</v>
      </c>
      <c r="Z828" s="514" t="s">
        <v>5608</v>
      </c>
      <c r="AA828" s="514" t="s">
        <v>1685</v>
      </c>
      <c r="AB828" s="531" t="s">
        <v>1592</v>
      </c>
    </row>
    <row r="829" spans="1:28" ht="24" customHeight="1">
      <c r="A829" s="584"/>
      <c r="B829" s="460" t="s">
        <v>675</v>
      </c>
      <c r="C829" s="458" t="s">
        <v>5580</v>
      </c>
      <c r="D829" s="510" t="s">
        <v>5609</v>
      </c>
      <c r="E829" s="497">
        <f t="shared" si="62"/>
        <v>80</v>
      </c>
      <c r="F829" s="497">
        <v>0</v>
      </c>
      <c r="G829" s="497">
        <v>80</v>
      </c>
      <c r="H829" s="497">
        <v>0</v>
      </c>
      <c r="I829" s="497">
        <f t="shared" si="63"/>
        <v>52</v>
      </c>
      <c r="J829" s="497">
        <v>0</v>
      </c>
      <c r="K829" s="497">
        <v>52</v>
      </c>
      <c r="L829" s="721">
        <v>0</v>
      </c>
      <c r="M829" s="956">
        <v>0.92200000000000004</v>
      </c>
      <c r="N829" s="653">
        <v>3.2</v>
      </c>
      <c r="O829" s="731" t="s">
        <v>5610</v>
      </c>
      <c r="P829" s="514" t="s">
        <v>1588</v>
      </c>
      <c r="Q829" s="859">
        <v>0</v>
      </c>
      <c r="R829" s="859">
        <v>0</v>
      </c>
      <c r="S829" s="859">
        <v>0</v>
      </c>
      <c r="T829" s="859">
        <v>0</v>
      </c>
      <c r="U829" s="514" t="s">
        <v>5599</v>
      </c>
      <c r="V829" s="514" t="s">
        <v>5611</v>
      </c>
      <c r="W829" s="498">
        <v>488</v>
      </c>
      <c r="X829" s="514" t="s">
        <v>1532</v>
      </c>
      <c r="Y829" s="514" t="s">
        <v>3507</v>
      </c>
      <c r="Z829" s="514" t="s">
        <v>5612</v>
      </c>
      <c r="AA829" s="514" t="s">
        <v>1685</v>
      </c>
      <c r="AB829" s="531" t="s">
        <v>1592</v>
      </c>
    </row>
    <row r="830" spans="1:28" ht="24" customHeight="1">
      <c r="A830" s="584"/>
      <c r="B830" s="460" t="s">
        <v>675</v>
      </c>
      <c r="C830" s="458" t="s">
        <v>5613</v>
      </c>
      <c r="D830" s="510" t="s">
        <v>5613</v>
      </c>
      <c r="E830" s="497">
        <f t="shared" si="62"/>
        <v>50</v>
      </c>
      <c r="F830" s="497">
        <v>0</v>
      </c>
      <c r="G830" s="497">
        <v>50</v>
      </c>
      <c r="H830" s="497">
        <v>0</v>
      </c>
      <c r="I830" s="497">
        <f t="shared" si="63"/>
        <v>21</v>
      </c>
      <c r="J830" s="497">
        <v>0</v>
      </c>
      <c r="K830" s="497">
        <v>21</v>
      </c>
      <c r="L830" s="721">
        <v>0</v>
      </c>
      <c r="M830" s="956">
        <v>0.94099999999999995</v>
      </c>
      <c r="N830" s="653">
        <v>1.5</v>
      </c>
      <c r="O830" s="731" t="s">
        <v>2372</v>
      </c>
      <c r="P830" s="514" t="s">
        <v>1588</v>
      </c>
      <c r="Q830" s="859">
        <v>0</v>
      </c>
      <c r="R830" s="859">
        <v>0</v>
      </c>
      <c r="S830" s="859">
        <v>0</v>
      </c>
      <c r="T830" s="859">
        <v>0</v>
      </c>
      <c r="U830" s="514" t="s">
        <v>5599</v>
      </c>
      <c r="V830" s="514" t="s">
        <v>5614</v>
      </c>
      <c r="W830" s="498">
        <v>180</v>
      </c>
      <c r="X830" s="514" t="s">
        <v>1532</v>
      </c>
      <c r="Y830" s="514" t="s">
        <v>3507</v>
      </c>
      <c r="Z830" s="514" t="s">
        <v>5615</v>
      </c>
      <c r="AA830" s="514"/>
      <c r="AB830" s="531" t="s">
        <v>1686</v>
      </c>
    </row>
    <row r="831" spans="1:28" ht="24" customHeight="1">
      <c r="A831" s="584"/>
      <c r="B831" s="460" t="s">
        <v>675</v>
      </c>
      <c r="C831" s="458" t="s">
        <v>5616</v>
      </c>
      <c r="D831" s="510" t="s">
        <v>5616</v>
      </c>
      <c r="E831" s="497">
        <f t="shared" si="62"/>
        <v>40</v>
      </c>
      <c r="F831" s="497">
        <v>0</v>
      </c>
      <c r="G831" s="497">
        <v>40</v>
      </c>
      <c r="H831" s="497">
        <v>0</v>
      </c>
      <c r="I831" s="497">
        <f t="shared" si="63"/>
        <v>29</v>
      </c>
      <c r="J831" s="497">
        <v>0</v>
      </c>
      <c r="K831" s="497">
        <v>29</v>
      </c>
      <c r="L831" s="721">
        <v>0</v>
      </c>
      <c r="M831" s="956">
        <v>0.96599999999999997</v>
      </c>
      <c r="N831" s="653">
        <v>2.4</v>
      </c>
      <c r="O831" s="731" t="s">
        <v>5617</v>
      </c>
      <c r="P831" s="514" t="s">
        <v>1588</v>
      </c>
      <c r="Q831" s="859">
        <v>0</v>
      </c>
      <c r="R831" s="859">
        <v>0</v>
      </c>
      <c r="S831" s="859">
        <v>0</v>
      </c>
      <c r="T831" s="859">
        <v>0</v>
      </c>
      <c r="U831" s="514" t="s">
        <v>5599</v>
      </c>
      <c r="V831" s="514" t="s">
        <v>5614</v>
      </c>
      <c r="W831" s="498">
        <v>156</v>
      </c>
      <c r="X831" s="514" t="s">
        <v>1532</v>
      </c>
      <c r="Y831" s="514" t="s">
        <v>3507</v>
      </c>
      <c r="Z831" s="514" t="s">
        <v>5615</v>
      </c>
      <c r="AA831" s="514"/>
      <c r="AB831" s="531" t="s">
        <v>1686</v>
      </c>
    </row>
    <row r="832" spans="1:28" ht="24" customHeight="1">
      <c r="A832" s="584"/>
      <c r="B832" s="460" t="s">
        <v>675</v>
      </c>
      <c r="C832" s="458" t="s">
        <v>5618</v>
      </c>
      <c r="D832" s="510" t="s">
        <v>5618</v>
      </c>
      <c r="E832" s="497">
        <f t="shared" si="62"/>
        <v>50</v>
      </c>
      <c r="F832" s="497">
        <v>0</v>
      </c>
      <c r="G832" s="497">
        <v>50</v>
      </c>
      <c r="H832" s="497">
        <v>0</v>
      </c>
      <c r="I832" s="497">
        <f t="shared" si="63"/>
        <v>20</v>
      </c>
      <c r="J832" s="497">
        <v>0</v>
      </c>
      <c r="K832" s="497">
        <v>20</v>
      </c>
      <c r="L832" s="721">
        <v>0</v>
      </c>
      <c r="M832" s="956">
        <v>0.95700000000000007</v>
      </c>
      <c r="N832" s="653">
        <v>1.8</v>
      </c>
      <c r="O832" s="731" t="s">
        <v>5617</v>
      </c>
      <c r="P832" s="514" t="s">
        <v>1588</v>
      </c>
      <c r="Q832" s="859">
        <v>0</v>
      </c>
      <c r="R832" s="859">
        <v>0</v>
      </c>
      <c r="S832" s="859">
        <v>0</v>
      </c>
      <c r="T832" s="859">
        <v>0</v>
      </c>
      <c r="U832" s="514" t="s">
        <v>5599</v>
      </c>
      <c r="V832" s="514" t="s">
        <v>5614</v>
      </c>
      <c r="W832" s="498">
        <v>160</v>
      </c>
      <c r="X832" s="514" t="s">
        <v>1532</v>
      </c>
      <c r="Y832" s="514" t="s">
        <v>3507</v>
      </c>
      <c r="Z832" s="514" t="s">
        <v>5615</v>
      </c>
      <c r="AA832" s="514"/>
      <c r="AB832" s="531" t="s">
        <v>1686</v>
      </c>
    </row>
    <row r="833" spans="1:28" ht="24" customHeight="1">
      <c r="A833" s="584"/>
      <c r="B833" s="460" t="s">
        <v>675</v>
      </c>
      <c r="C833" s="458" t="s">
        <v>5619</v>
      </c>
      <c r="D833" s="510" t="s">
        <v>5620</v>
      </c>
      <c r="E833" s="497">
        <f t="shared" si="62"/>
        <v>50</v>
      </c>
      <c r="F833" s="497">
        <v>0</v>
      </c>
      <c r="G833" s="497">
        <v>50</v>
      </c>
      <c r="H833" s="497">
        <v>0</v>
      </c>
      <c r="I833" s="497">
        <f t="shared" si="63"/>
        <v>19.399999999999999</v>
      </c>
      <c r="J833" s="497">
        <v>0</v>
      </c>
      <c r="K833" s="497">
        <v>19.399999999999999</v>
      </c>
      <c r="L833" s="721">
        <v>0</v>
      </c>
      <c r="M833" s="956">
        <v>0.86599999999999999</v>
      </c>
      <c r="N833" s="653">
        <v>0.5</v>
      </c>
      <c r="O833" s="731" t="s">
        <v>780</v>
      </c>
      <c r="P833" s="514" t="s">
        <v>1588</v>
      </c>
      <c r="Q833" s="859">
        <v>0</v>
      </c>
      <c r="R833" s="859">
        <v>0</v>
      </c>
      <c r="S833" s="859">
        <v>0</v>
      </c>
      <c r="T833" s="859">
        <v>0</v>
      </c>
      <c r="U833" s="514" t="s">
        <v>5599</v>
      </c>
      <c r="V833" s="514" t="s">
        <v>5621</v>
      </c>
      <c r="W833" s="498">
        <v>94</v>
      </c>
      <c r="X833" s="514" t="s">
        <v>1532</v>
      </c>
      <c r="Y833" s="514"/>
      <c r="Z833" s="514" t="s">
        <v>2302</v>
      </c>
      <c r="AA833" s="514" t="s">
        <v>1685</v>
      </c>
      <c r="AB833" s="531" t="s">
        <v>1592</v>
      </c>
    </row>
    <row r="834" spans="1:28" ht="24" customHeight="1">
      <c r="A834" s="584"/>
      <c r="B834" s="460" t="s">
        <v>675</v>
      </c>
      <c r="C834" s="458" t="s">
        <v>5622</v>
      </c>
      <c r="D834" s="510" t="s">
        <v>5623</v>
      </c>
      <c r="E834" s="497">
        <f t="shared" si="62"/>
        <v>30</v>
      </c>
      <c r="F834" s="497">
        <v>0</v>
      </c>
      <c r="G834" s="497">
        <v>30</v>
      </c>
      <c r="H834" s="497">
        <v>0</v>
      </c>
      <c r="I834" s="497">
        <f t="shared" si="63"/>
        <v>17.8</v>
      </c>
      <c r="J834" s="497">
        <v>0</v>
      </c>
      <c r="K834" s="497">
        <v>17.8</v>
      </c>
      <c r="L834" s="721">
        <v>0</v>
      </c>
      <c r="M834" s="956">
        <v>0.85400000000000009</v>
      </c>
      <c r="N834" s="653">
        <v>0.5</v>
      </c>
      <c r="O834" s="731" t="s">
        <v>1075</v>
      </c>
      <c r="P834" s="514" t="s">
        <v>1588</v>
      </c>
      <c r="Q834" s="859">
        <v>0</v>
      </c>
      <c r="R834" s="859">
        <v>0</v>
      </c>
      <c r="S834" s="859">
        <v>0</v>
      </c>
      <c r="T834" s="859">
        <v>0</v>
      </c>
      <c r="U834" s="514" t="s">
        <v>5599</v>
      </c>
      <c r="V834" s="514" t="s">
        <v>5624</v>
      </c>
      <c r="W834" s="498">
        <v>96</v>
      </c>
      <c r="X834" s="514" t="s">
        <v>1532</v>
      </c>
      <c r="Y834" s="514" t="s">
        <v>3507</v>
      </c>
      <c r="Z834" s="514" t="s">
        <v>2302</v>
      </c>
      <c r="AA834" s="514" t="s">
        <v>1685</v>
      </c>
      <c r="AB834" s="531" t="s">
        <v>1592</v>
      </c>
    </row>
    <row r="835" spans="1:28" ht="24" customHeight="1">
      <c r="A835" s="584"/>
      <c r="B835" s="460" t="s">
        <v>675</v>
      </c>
      <c r="C835" s="458" t="s">
        <v>5625</v>
      </c>
      <c r="D835" s="510" t="s">
        <v>5626</v>
      </c>
      <c r="E835" s="497">
        <f t="shared" si="62"/>
        <v>30</v>
      </c>
      <c r="F835" s="497">
        <v>0</v>
      </c>
      <c r="G835" s="497">
        <v>30</v>
      </c>
      <c r="H835" s="497">
        <v>0</v>
      </c>
      <c r="I835" s="497">
        <f t="shared" si="63"/>
        <v>19</v>
      </c>
      <c r="J835" s="497">
        <v>0</v>
      </c>
      <c r="K835" s="497">
        <v>19</v>
      </c>
      <c r="L835" s="721">
        <v>0</v>
      </c>
      <c r="M835" s="956">
        <v>0.96200000000000008</v>
      </c>
      <c r="N835" s="653">
        <v>1.5</v>
      </c>
      <c r="O835" s="731" t="s">
        <v>5627</v>
      </c>
      <c r="P835" s="514" t="s">
        <v>1588</v>
      </c>
      <c r="Q835" s="859">
        <v>0</v>
      </c>
      <c r="R835" s="859">
        <v>0</v>
      </c>
      <c r="S835" s="859">
        <v>0</v>
      </c>
      <c r="T835" s="859">
        <v>0</v>
      </c>
      <c r="U835" s="514" t="s">
        <v>5599</v>
      </c>
      <c r="V835" s="514" t="s">
        <v>5628</v>
      </c>
      <c r="W835" s="498">
        <v>582</v>
      </c>
      <c r="X835" s="514" t="s">
        <v>1532</v>
      </c>
      <c r="Y835" s="514" t="s">
        <v>3336</v>
      </c>
      <c r="Z835" s="514" t="s">
        <v>2302</v>
      </c>
      <c r="AA835" s="514" t="s">
        <v>1685</v>
      </c>
      <c r="AB835" s="531" t="s">
        <v>1592</v>
      </c>
    </row>
    <row r="836" spans="1:28" ht="24" customHeight="1">
      <c r="A836" s="584"/>
      <c r="B836" s="460" t="s">
        <v>675</v>
      </c>
      <c r="C836" s="458" t="s">
        <v>5629</v>
      </c>
      <c r="D836" s="510" t="s">
        <v>5630</v>
      </c>
      <c r="E836" s="497">
        <f t="shared" si="62"/>
        <v>40</v>
      </c>
      <c r="F836" s="497">
        <v>0</v>
      </c>
      <c r="G836" s="497">
        <v>40</v>
      </c>
      <c r="H836" s="497">
        <v>0</v>
      </c>
      <c r="I836" s="497">
        <f t="shared" si="63"/>
        <v>18.2</v>
      </c>
      <c r="J836" s="497">
        <v>0</v>
      </c>
      <c r="K836" s="497">
        <v>18.2</v>
      </c>
      <c r="L836" s="721">
        <v>0</v>
      </c>
      <c r="M836" s="956">
        <v>0.83299999999999996</v>
      </c>
      <c r="N836" s="653">
        <v>0.7</v>
      </c>
      <c r="O836" s="731" t="s">
        <v>5631</v>
      </c>
      <c r="P836" s="514" t="s">
        <v>1588</v>
      </c>
      <c r="Q836" s="859">
        <v>0</v>
      </c>
      <c r="R836" s="859">
        <v>0</v>
      </c>
      <c r="S836" s="859">
        <v>0</v>
      </c>
      <c r="T836" s="859">
        <v>0</v>
      </c>
      <c r="U836" s="514" t="s">
        <v>5599</v>
      </c>
      <c r="V836" s="514" t="s">
        <v>5632</v>
      </c>
      <c r="W836" s="498">
        <v>212</v>
      </c>
      <c r="X836" s="514" t="s">
        <v>1532</v>
      </c>
      <c r="Y836" s="514" t="s">
        <v>3507</v>
      </c>
      <c r="Z836" s="514" t="s">
        <v>2302</v>
      </c>
      <c r="AA836" s="514" t="s">
        <v>1685</v>
      </c>
      <c r="AB836" s="531" t="s">
        <v>1592</v>
      </c>
    </row>
    <row r="837" spans="1:28" ht="24" customHeight="1">
      <c r="A837" s="584"/>
      <c r="B837" s="460" t="s">
        <v>675</v>
      </c>
      <c r="C837" s="458" t="s">
        <v>5633</v>
      </c>
      <c r="D837" s="510" t="s">
        <v>5634</v>
      </c>
      <c r="E837" s="497">
        <f t="shared" si="62"/>
        <v>20</v>
      </c>
      <c r="F837" s="497">
        <v>0</v>
      </c>
      <c r="G837" s="497">
        <v>20</v>
      </c>
      <c r="H837" s="497">
        <v>0</v>
      </c>
      <c r="I837" s="497">
        <f t="shared" si="63"/>
        <v>5.6</v>
      </c>
      <c r="J837" s="497">
        <v>0</v>
      </c>
      <c r="K837" s="497">
        <v>5.6</v>
      </c>
      <c r="L837" s="721">
        <v>0</v>
      </c>
      <c r="M837" s="956">
        <v>0.79500000000000004</v>
      </c>
      <c r="N837" s="653">
        <v>0.2</v>
      </c>
      <c r="O837" s="731" t="s">
        <v>5635</v>
      </c>
      <c r="P837" s="514" t="s">
        <v>1588</v>
      </c>
      <c r="Q837" s="859">
        <v>0</v>
      </c>
      <c r="R837" s="859">
        <v>0</v>
      </c>
      <c r="S837" s="859">
        <v>0</v>
      </c>
      <c r="T837" s="859">
        <v>0</v>
      </c>
      <c r="U837" s="514" t="s">
        <v>5599</v>
      </c>
      <c r="V837" s="514" t="s">
        <v>5636</v>
      </c>
      <c r="W837" s="498">
        <v>98</v>
      </c>
      <c r="X837" s="514" t="s">
        <v>1532</v>
      </c>
      <c r="Y837" s="514" t="s">
        <v>3507</v>
      </c>
      <c r="Z837" s="514" t="s">
        <v>2302</v>
      </c>
      <c r="AA837" s="514" t="s">
        <v>1685</v>
      </c>
      <c r="AB837" s="531" t="s">
        <v>1592</v>
      </c>
    </row>
    <row r="838" spans="1:28" ht="24" customHeight="1">
      <c r="A838" s="584"/>
      <c r="B838" s="460" t="s">
        <v>675</v>
      </c>
      <c r="C838" s="458" t="s">
        <v>5637</v>
      </c>
      <c r="D838" s="510" t="s">
        <v>5634</v>
      </c>
      <c r="E838" s="497">
        <f t="shared" si="62"/>
        <v>40</v>
      </c>
      <c r="F838" s="497">
        <v>0</v>
      </c>
      <c r="G838" s="497">
        <v>40</v>
      </c>
      <c r="H838" s="497">
        <v>0</v>
      </c>
      <c r="I838" s="497">
        <f t="shared" si="63"/>
        <v>15.3</v>
      </c>
      <c r="J838" s="497">
        <v>0</v>
      </c>
      <c r="K838" s="497">
        <v>15.3</v>
      </c>
      <c r="L838" s="721">
        <v>0</v>
      </c>
      <c r="M838" s="956">
        <v>0.80799999999999994</v>
      </c>
      <c r="N838" s="653">
        <v>0.7</v>
      </c>
      <c r="O838" s="731" t="s">
        <v>5635</v>
      </c>
      <c r="P838" s="514" t="s">
        <v>1588</v>
      </c>
      <c r="Q838" s="859">
        <v>0</v>
      </c>
      <c r="R838" s="859">
        <v>0</v>
      </c>
      <c r="S838" s="859">
        <v>0</v>
      </c>
      <c r="T838" s="859">
        <v>0</v>
      </c>
      <c r="U838" s="514" t="s">
        <v>5599</v>
      </c>
      <c r="V838" s="514" t="s">
        <v>5636</v>
      </c>
      <c r="W838" s="498">
        <v>197</v>
      </c>
      <c r="X838" s="514" t="s">
        <v>1532</v>
      </c>
      <c r="Y838" s="514" t="s">
        <v>3507</v>
      </c>
      <c r="Z838" s="514" t="s">
        <v>2302</v>
      </c>
      <c r="AA838" s="514" t="s">
        <v>1685</v>
      </c>
      <c r="AB838" s="531" t="s">
        <v>1592</v>
      </c>
    </row>
    <row r="839" spans="1:28" ht="24" customHeight="1">
      <c r="A839" s="584"/>
      <c r="B839" s="460" t="s">
        <v>675</v>
      </c>
      <c r="C839" s="458" t="s">
        <v>5638</v>
      </c>
      <c r="D839" s="510" t="s">
        <v>5639</v>
      </c>
      <c r="E839" s="497">
        <f t="shared" si="62"/>
        <v>50</v>
      </c>
      <c r="F839" s="497">
        <v>0</v>
      </c>
      <c r="G839" s="497">
        <v>50</v>
      </c>
      <c r="H839" s="497">
        <v>0</v>
      </c>
      <c r="I839" s="497">
        <f t="shared" si="63"/>
        <v>18.3</v>
      </c>
      <c r="J839" s="497">
        <v>0</v>
      </c>
      <c r="K839" s="497">
        <v>18.3</v>
      </c>
      <c r="L839" s="721">
        <v>0</v>
      </c>
      <c r="M839" s="956">
        <v>0.82499999999999996</v>
      </c>
      <c r="N839" s="653">
        <v>0.7</v>
      </c>
      <c r="O839" s="731" t="s">
        <v>5640</v>
      </c>
      <c r="P839" s="514" t="s">
        <v>1588</v>
      </c>
      <c r="Q839" s="859">
        <v>0</v>
      </c>
      <c r="R839" s="859">
        <v>0</v>
      </c>
      <c r="S839" s="859">
        <v>0</v>
      </c>
      <c r="T839" s="859">
        <v>0</v>
      </c>
      <c r="U839" s="514" t="s">
        <v>5599</v>
      </c>
      <c r="V839" s="514" t="s">
        <v>5641</v>
      </c>
      <c r="W839" s="498">
        <v>270</v>
      </c>
      <c r="X839" s="514" t="s">
        <v>1532</v>
      </c>
      <c r="Y839" s="514" t="s">
        <v>3507</v>
      </c>
      <c r="Z839" s="514" t="s">
        <v>2302</v>
      </c>
      <c r="AA839" s="514" t="s">
        <v>1685</v>
      </c>
      <c r="AB839" s="531" t="s">
        <v>1592</v>
      </c>
    </row>
    <row r="840" spans="1:28" ht="24" customHeight="1">
      <c r="A840" s="584"/>
      <c r="B840" s="460" t="s">
        <v>675</v>
      </c>
      <c r="C840" s="458" t="s">
        <v>5642</v>
      </c>
      <c r="D840" s="510" t="s">
        <v>5643</v>
      </c>
      <c r="E840" s="497">
        <f t="shared" si="62"/>
        <v>40</v>
      </c>
      <c r="F840" s="497">
        <v>0</v>
      </c>
      <c r="G840" s="497">
        <v>40</v>
      </c>
      <c r="H840" s="497">
        <v>0</v>
      </c>
      <c r="I840" s="497">
        <f t="shared" si="63"/>
        <v>11.8</v>
      </c>
      <c r="J840" s="497">
        <v>0</v>
      </c>
      <c r="K840" s="497">
        <v>11.8</v>
      </c>
      <c r="L840" s="721">
        <v>0</v>
      </c>
      <c r="M840" s="956">
        <v>0.81</v>
      </c>
      <c r="N840" s="653">
        <v>0.3</v>
      </c>
      <c r="O840" s="731" t="s">
        <v>5644</v>
      </c>
      <c r="P840" s="514" t="s">
        <v>1588</v>
      </c>
      <c r="Q840" s="859">
        <v>0</v>
      </c>
      <c r="R840" s="859">
        <v>0</v>
      </c>
      <c r="S840" s="859">
        <v>0</v>
      </c>
      <c r="T840" s="859">
        <v>0</v>
      </c>
      <c r="U840" s="514" t="s">
        <v>5599</v>
      </c>
      <c r="V840" s="514" t="s">
        <v>5645</v>
      </c>
      <c r="W840" s="498">
        <v>254</v>
      </c>
      <c r="X840" s="514" t="s">
        <v>1532</v>
      </c>
      <c r="Y840" s="514" t="s">
        <v>3336</v>
      </c>
      <c r="Z840" s="514" t="s">
        <v>2302</v>
      </c>
      <c r="AA840" s="514" t="s">
        <v>1685</v>
      </c>
      <c r="AB840" s="531" t="s">
        <v>1592</v>
      </c>
    </row>
    <row r="841" spans="1:28" ht="24" customHeight="1">
      <c r="A841" s="584"/>
      <c r="B841" s="460" t="s">
        <v>675</v>
      </c>
      <c r="C841" s="458" t="s">
        <v>5646</v>
      </c>
      <c r="D841" s="510" t="s">
        <v>5647</v>
      </c>
      <c r="E841" s="497">
        <f t="shared" si="62"/>
        <v>16</v>
      </c>
      <c r="F841" s="497">
        <v>0</v>
      </c>
      <c r="G841" s="497">
        <v>16</v>
      </c>
      <c r="H841" s="497">
        <v>0</v>
      </c>
      <c r="I841" s="497">
        <f t="shared" si="63"/>
        <v>18.8</v>
      </c>
      <c r="J841" s="497">
        <v>0</v>
      </c>
      <c r="K841" s="497">
        <v>18.8</v>
      </c>
      <c r="L841" s="721">
        <v>0</v>
      </c>
      <c r="M841" s="956">
        <v>0.873</v>
      </c>
      <c r="N841" s="653">
        <v>0.7</v>
      </c>
      <c r="O841" s="731" t="s">
        <v>5617</v>
      </c>
      <c r="P841" s="514" t="s">
        <v>1588</v>
      </c>
      <c r="Q841" s="859">
        <v>0</v>
      </c>
      <c r="R841" s="859">
        <v>0</v>
      </c>
      <c r="S841" s="859">
        <v>0</v>
      </c>
      <c r="T841" s="859">
        <v>0</v>
      </c>
      <c r="U841" s="514" t="s">
        <v>5599</v>
      </c>
      <c r="V841" s="514" t="s">
        <v>5648</v>
      </c>
      <c r="W841" s="498">
        <v>16</v>
      </c>
      <c r="X841" s="514" t="s">
        <v>1532</v>
      </c>
      <c r="Y841" s="514" t="s">
        <v>3507</v>
      </c>
      <c r="Z841" s="514" t="s">
        <v>2302</v>
      </c>
      <c r="AA841" s="514" t="s">
        <v>1685</v>
      </c>
      <c r="AB841" s="531" t="s">
        <v>1592</v>
      </c>
    </row>
    <row r="842" spans="1:28" ht="24" customHeight="1">
      <c r="A842" s="584"/>
      <c r="B842" s="460" t="s">
        <v>675</v>
      </c>
      <c r="C842" s="458" t="s">
        <v>5649</v>
      </c>
      <c r="D842" s="510" t="s">
        <v>5650</v>
      </c>
      <c r="E842" s="497">
        <f t="shared" si="62"/>
        <v>26</v>
      </c>
      <c r="F842" s="497">
        <v>0</v>
      </c>
      <c r="G842" s="497">
        <v>26</v>
      </c>
      <c r="H842" s="497">
        <v>0</v>
      </c>
      <c r="I842" s="497">
        <f t="shared" si="63"/>
        <v>15</v>
      </c>
      <c r="J842" s="497">
        <v>0</v>
      </c>
      <c r="K842" s="497">
        <v>15</v>
      </c>
      <c r="L842" s="721">
        <v>0</v>
      </c>
      <c r="M842" s="956">
        <v>0.73599999999999999</v>
      </c>
      <c r="N842" s="653">
        <v>0.3</v>
      </c>
      <c r="O842" s="731" t="s">
        <v>5617</v>
      </c>
      <c r="P842" s="514" t="s">
        <v>1588</v>
      </c>
      <c r="Q842" s="859">
        <v>0</v>
      </c>
      <c r="R842" s="859">
        <v>0</v>
      </c>
      <c r="S842" s="859">
        <v>0</v>
      </c>
      <c r="T842" s="859">
        <v>0</v>
      </c>
      <c r="U842" s="514" t="s">
        <v>5599</v>
      </c>
      <c r="V842" s="514" t="s">
        <v>5651</v>
      </c>
      <c r="W842" s="498"/>
      <c r="X842" s="514" t="s">
        <v>1532</v>
      </c>
      <c r="Y842" s="514" t="s">
        <v>3336</v>
      </c>
      <c r="Z842" s="514" t="s">
        <v>2302</v>
      </c>
      <c r="AA842" s="514" t="s">
        <v>1685</v>
      </c>
      <c r="AB842" s="531" t="s">
        <v>1592</v>
      </c>
    </row>
    <row r="843" spans="1:28" ht="24" customHeight="1">
      <c r="A843" s="584"/>
      <c r="B843" s="460" t="s">
        <v>675</v>
      </c>
      <c r="C843" s="458" t="s">
        <v>5652</v>
      </c>
      <c r="D843" s="510" t="s">
        <v>5653</v>
      </c>
      <c r="E843" s="497">
        <f t="shared" si="62"/>
        <v>30</v>
      </c>
      <c r="F843" s="497">
        <v>0</v>
      </c>
      <c r="G843" s="497">
        <v>30</v>
      </c>
      <c r="H843" s="497">
        <v>0</v>
      </c>
      <c r="I843" s="497">
        <f t="shared" si="63"/>
        <v>7.9</v>
      </c>
      <c r="J843" s="497">
        <v>0</v>
      </c>
      <c r="K843" s="497">
        <v>7.9</v>
      </c>
      <c r="L843" s="721">
        <v>0</v>
      </c>
      <c r="M843" s="956">
        <v>0.86</v>
      </c>
      <c r="N843" s="653">
        <v>0.2</v>
      </c>
      <c r="O843" s="731" t="s">
        <v>5631</v>
      </c>
      <c r="P843" s="514" t="s">
        <v>1588</v>
      </c>
      <c r="Q843" s="859">
        <v>0</v>
      </c>
      <c r="R843" s="859">
        <v>0</v>
      </c>
      <c r="S843" s="859">
        <v>0</v>
      </c>
      <c r="T843" s="859">
        <v>0</v>
      </c>
      <c r="U843" s="514" t="s">
        <v>5599</v>
      </c>
      <c r="V843" s="514" t="s">
        <v>5654</v>
      </c>
      <c r="W843" s="498">
        <v>90</v>
      </c>
      <c r="X843" s="514" t="s">
        <v>1532</v>
      </c>
      <c r="Y843" s="514" t="s">
        <v>3507</v>
      </c>
      <c r="Z843" s="514" t="s">
        <v>2302</v>
      </c>
      <c r="AA843" s="514" t="s">
        <v>1685</v>
      </c>
      <c r="AB843" s="531" t="s">
        <v>1592</v>
      </c>
    </row>
    <row r="844" spans="1:28" ht="24" customHeight="1">
      <c r="A844" s="584"/>
      <c r="B844" s="460" t="s">
        <v>675</v>
      </c>
      <c r="C844" s="458" t="s">
        <v>5655</v>
      </c>
      <c r="D844" s="510" t="s">
        <v>5656</v>
      </c>
      <c r="E844" s="497">
        <f t="shared" si="62"/>
        <v>16</v>
      </c>
      <c r="F844" s="497">
        <v>0</v>
      </c>
      <c r="G844" s="497">
        <v>16</v>
      </c>
      <c r="H844" s="497">
        <v>0</v>
      </c>
      <c r="I844" s="497">
        <f t="shared" si="63"/>
        <v>15.2</v>
      </c>
      <c r="J844" s="497">
        <v>0</v>
      </c>
      <c r="K844" s="497">
        <v>15.2</v>
      </c>
      <c r="L844" s="721">
        <v>0</v>
      </c>
      <c r="M844" s="956">
        <v>0.82599999999999996</v>
      </c>
      <c r="N844" s="653">
        <v>0.6</v>
      </c>
      <c r="O844" s="731" t="s">
        <v>5657</v>
      </c>
      <c r="P844" s="514" t="s">
        <v>1588</v>
      </c>
      <c r="Q844" s="859">
        <v>0</v>
      </c>
      <c r="R844" s="859">
        <v>0</v>
      </c>
      <c r="S844" s="859">
        <v>0</v>
      </c>
      <c r="T844" s="859">
        <v>0</v>
      </c>
      <c r="U844" s="514" t="s">
        <v>5599</v>
      </c>
      <c r="V844" s="514" t="s">
        <v>5651</v>
      </c>
      <c r="W844" s="498">
        <v>50</v>
      </c>
      <c r="X844" s="514" t="s">
        <v>1532</v>
      </c>
      <c r="Y844" s="514" t="s">
        <v>3507</v>
      </c>
      <c r="Z844" s="514" t="s">
        <v>2302</v>
      </c>
      <c r="AA844" s="514" t="s">
        <v>1685</v>
      </c>
      <c r="AB844" s="531" t="s">
        <v>1592</v>
      </c>
    </row>
    <row r="845" spans="1:28" ht="24" customHeight="1">
      <c r="A845" s="584"/>
      <c r="B845" s="460" t="s">
        <v>675</v>
      </c>
      <c r="C845" s="458" t="s">
        <v>5658</v>
      </c>
      <c r="D845" s="510" t="s">
        <v>5659</v>
      </c>
      <c r="E845" s="497">
        <f t="shared" si="62"/>
        <v>30</v>
      </c>
      <c r="F845" s="497">
        <v>0</v>
      </c>
      <c r="G845" s="497">
        <v>30</v>
      </c>
      <c r="H845" s="497">
        <v>0</v>
      </c>
      <c r="I845" s="497">
        <f t="shared" si="63"/>
        <v>14.1</v>
      </c>
      <c r="J845" s="497">
        <v>0</v>
      </c>
      <c r="K845" s="497">
        <v>14.1</v>
      </c>
      <c r="L845" s="721">
        <v>0</v>
      </c>
      <c r="M845" s="956">
        <v>0.71900000000000008</v>
      </c>
      <c r="N845" s="653">
        <v>0.2</v>
      </c>
      <c r="O845" s="731" t="s">
        <v>5660</v>
      </c>
      <c r="P845" s="514" t="s">
        <v>1588</v>
      </c>
      <c r="Q845" s="859">
        <v>0</v>
      </c>
      <c r="R845" s="859">
        <v>0</v>
      </c>
      <c r="S845" s="859">
        <v>0</v>
      </c>
      <c r="T845" s="859">
        <v>0</v>
      </c>
      <c r="U845" s="514" t="s">
        <v>5599</v>
      </c>
      <c r="V845" s="514" t="s">
        <v>5645</v>
      </c>
      <c r="W845" s="498">
        <v>98</v>
      </c>
      <c r="X845" s="514" t="s">
        <v>1532</v>
      </c>
      <c r="Y845" s="514" t="s">
        <v>3336</v>
      </c>
      <c r="Z845" s="514" t="s">
        <v>2302</v>
      </c>
      <c r="AA845" s="514" t="s">
        <v>1685</v>
      </c>
      <c r="AB845" s="531" t="s">
        <v>1592</v>
      </c>
    </row>
    <row r="846" spans="1:28" ht="24" customHeight="1">
      <c r="A846" s="584"/>
      <c r="B846" s="460" t="s">
        <v>675</v>
      </c>
      <c r="C846" s="458" t="s">
        <v>5661</v>
      </c>
      <c r="D846" s="510" t="s">
        <v>5662</v>
      </c>
      <c r="E846" s="497">
        <f t="shared" si="62"/>
        <v>50</v>
      </c>
      <c r="F846" s="497">
        <v>0</v>
      </c>
      <c r="G846" s="497">
        <v>50</v>
      </c>
      <c r="H846" s="497">
        <v>0</v>
      </c>
      <c r="I846" s="497">
        <f t="shared" si="63"/>
        <v>10.5</v>
      </c>
      <c r="J846" s="497">
        <v>0</v>
      </c>
      <c r="K846" s="497">
        <v>10.5</v>
      </c>
      <c r="L846" s="721">
        <v>0</v>
      </c>
      <c r="M846" s="956">
        <v>0.81099999999999994</v>
      </c>
      <c r="N846" s="653">
        <v>0.4</v>
      </c>
      <c r="O846" s="731" t="s">
        <v>5663</v>
      </c>
      <c r="P846" s="514" t="s">
        <v>1588</v>
      </c>
      <c r="Q846" s="859">
        <v>0</v>
      </c>
      <c r="R846" s="859">
        <v>0</v>
      </c>
      <c r="S846" s="859">
        <v>0</v>
      </c>
      <c r="T846" s="859">
        <v>0</v>
      </c>
      <c r="U846" s="514" t="s">
        <v>5599</v>
      </c>
      <c r="V846" s="514" t="s">
        <v>5664</v>
      </c>
      <c r="W846" s="498">
        <v>81</v>
      </c>
      <c r="X846" s="514" t="s">
        <v>1532</v>
      </c>
      <c r="Y846" s="514" t="s">
        <v>3507</v>
      </c>
      <c r="Z846" s="514" t="s">
        <v>2302</v>
      </c>
      <c r="AA846" s="514" t="s">
        <v>1685</v>
      </c>
      <c r="AB846" s="531" t="s">
        <v>1592</v>
      </c>
    </row>
    <row r="847" spans="1:28" ht="24" customHeight="1">
      <c r="A847" s="584"/>
      <c r="B847" s="460" t="s">
        <v>675</v>
      </c>
      <c r="C847" s="458" t="s">
        <v>5665</v>
      </c>
      <c r="D847" s="510" t="s">
        <v>5666</v>
      </c>
      <c r="E847" s="497">
        <f t="shared" si="62"/>
        <v>20</v>
      </c>
      <c r="F847" s="497">
        <v>0</v>
      </c>
      <c r="G847" s="497">
        <v>20</v>
      </c>
      <c r="H847" s="497">
        <v>0</v>
      </c>
      <c r="I847" s="497">
        <f t="shared" si="63"/>
        <v>21</v>
      </c>
      <c r="J847" s="497">
        <v>0</v>
      </c>
      <c r="K847" s="497">
        <v>21</v>
      </c>
      <c r="L847" s="721">
        <v>0</v>
      </c>
      <c r="M847" s="956">
        <v>0.75099999999999989</v>
      </c>
      <c r="N847" s="653">
        <v>0.4</v>
      </c>
      <c r="O847" s="731" t="s">
        <v>5617</v>
      </c>
      <c r="P847" s="514" t="s">
        <v>1588</v>
      </c>
      <c r="Q847" s="859">
        <v>0</v>
      </c>
      <c r="R847" s="859">
        <v>0</v>
      </c>
      <c r="S847" s="859">
        <v>0</v>
      </c>
      <c r="T847" s="859">
        <v>0</v>
      </c>
      <c r="U847" s="514" t="s">
        <v>5599</v>
      </c>
      <c r="V847" s="514" t="s">
        <v>5667</v>
      </c>
      <c r="W847" s="498">
        <v>75</v>
      </c>
      <c r="X847" s="514" t="s">
        <v>1532</v>
      </c>
      <c r="Y847" s="514" t="s">
        <v>3507</v>
      </c>
      <c r="Z847" s="514" t="s">
        <v>2302</v>
      </c>
      <c r="AA847" s="514" t="s">
        <v>1685</v>
      </c>
      <c r="AB847" s="531" t="s">
        <v>1592</v>
      </c>
    </row>
    <row r="848" spans="1:28" ht="24" customHeight="1">
      <c r="A848" s="584"/>
      <c r="B848" s="460" t="s">
        <v>675</v>
      </c>
      <c r="C848" s="458" t="s">
        <v>5668</v>
      </c>
      <c r="D848" s="510" t="s">
        <v>5669</v>
      </c>
      <c r="E848" s="497">
        <f t="shared" si="62"/>
        <v>20</v>
      </c>
      <c r="F848" s="497">
        <v>0</v>
      </c>
      <c r="G848" s="497">
        <v>20</v>
      </c>
      <c r="H848" s="497">
        <v>0</v>
      </c>
      <c r="I848" s="497">
        <f t="shared" si="63"/>
        <v>13.4</v>
      </c>
      <c r="J848" s="497">
        <v>0</v>
      </c>
      <c r="K848" s="497">
        <v>13.4</v>
      </c>
      <c r="L848" s="721">
        <v>0</v>
      </c>
      <c r="M848" s="956">
        <v>0.89599999999999991</v>
      </c>
      <c r="N848" s="653">
        <v>0.4</v>
      </c>
      <c r="O848" s="731" t="s">
        <v>5255</v>
      </c>
      <c r="P848" s="514" t="s">
        <v>1588</v>
      </c>
      <c r="Q848" s="859">
        <v>0</v>
      </c>
      <c r="R848" s="859">
        <v>0</v>
      </c>
      <c r="S848" s="859">
        <v>0</v>
      </c>
      <c r="T848" s="859">
        <v>0</v>
      </c>
      <c r="U848" s="514" t="s">
        <v>5599</v>
      </c>
      <c r="V848" s="514" t="s">
        <v>5670</v>
      </c>
      <c r="W848" s="498">
        <v>140</v>
      </c>
      <c r="X848" s="514" t="s">
        <v>1532</v>
      </c>
      <c r="Y848" s="514" t="s">
        <v>3507</v>
      </c>
      <c r="Z848" s="514" t="s">
        <v>5615</v>
      </c>
      <c r="AA848" s="514"/>
      <c r="AB848" s="531" t="s">
        <v>1686</v>
      </c>
    </row>
    <row r="849" spans="1:28" ht="24" customHeight="1">
      <c r="A849" s="584"/>
      <c r="B849" s="460" t="s">
        <v>675</v>
      </c>
      <c r="C849" s="458" t="s">
        <v>5671</v>
      </c>
      <c r="D849" s="510" t="s">
        <v>5672</v>
      </c>
      <c r="E849" s="497">
        <f t="shared" si="62"/>
        <v>20</v>
      </c>
      <c r="F849" s="497">
        <v>0</v>
      </c>
      <c r="G849" s="497">
        <v>20</v>
      </c>
      <c r="H849" s="497">
        <v>0</v>
      </c>
      <c r="I849" s="497">
        <f t="shared" si="63"/>
        <v>14.8</v>
      </c>
      <c r="J849" s="497">
        <v>0</v>
      </c>
      <c r="K849" s="497">
        <v>14.8</v>
      </c>
      <c r="L849" s="721">
        <v>0</v>
      </c>
      <c r="M849" s="956">
        <v>0.8590000000000001</v>
      </c>
      <c r="N849" s="653">
        <v>0.5</v>
      </c>
      <c r="O849" s="731" t="s">
        <v>5673</v>
      </c>
      <c r="P849" s="514" t="s">
        <v>1588</v>
      </c>
      <c r="Q849" s="859">
        <v>0</v>
      </c>
      <c r="R849" s="859">
        <v>0</v>
      </c>
      <c r="S849" s="859">
        <v>0</v>
      </c>
      <c r="T849" s="859">
        <v>0</v>
      </c>
      <c r="U849" s="514" t="s">
        <v>5599</v>
      </c>
      <c r="V849" s="514" t="s">
        <v>5670</v>
      </c>
      <c r="W849" s="498">
        <v>266</v>
      </c>
      <c r="X849" s="514" t="s">
        <v>1532</v>
      </c>
      <c r="Y849" s="514" t="s">
        <v>3507</v>
      </c>
      <c r="Z849" s="514" t="s">
        <v>5615</v>
      </c>
      <c r="AA849" s="514"/>
      <c r="AB849" s="531" t="s">
        <v>1686</v>
      </c>
    </row>
    <row r="850" spans="1:28" ht="24" customHeight="1">
      <c r="A850" s="584"/>
      <c r="B850" s="460" t="s">
        <v>675</v>
      </c>
      <c r="C850" s="458" t="s">
        <v>5674</v>
      </c>
      <c r="D850" s="510" t="s">
        <v>5675</v>
      </c>
      <c r="E850" s="497">
        <f t="shared" si="62"/>
        <v>20</v>
      </c>
      <c r="F850" s="497">
        <v>0</v>
      </c>
      <c r="G850" s="497">
        <v>20</v>
      </c>
      <c r="H850" s="497">
        <v>0</v>
      </c>
      <c r="I850" s="497">
        <f t="shared" si="63"/>
        <v>11.3</v>
      </c>
      <c r="J850" s="497">
        <v>0</v>
      </c>
      <c r="K850" s="497">
        <v>11.3</v>
      </c>
      <c r="L850" s="721">
        <v>0</v>
      </c>
      <c r="M850" s="956">
        <v>0.88500000000000001</v>
      </c>
      <c r="N850" s="653">
        <v>0.7</v>
      </c>
      <c r="O850" s="731" t="s">
        <v>5635</v>
      </c>
      <c r="P850" s="514" t="s">
        <v>1588</v>
      </c>
      <c r="Q850" s="859">
        <v>0</v>
      </c>
      <c r="R850" s="859">
        <v>0</v>
      </c>
      <c r="S850" s="859">
        <v>0</v>
      </c>
      <c r="T850" s="859">
        <v>0</v>
      </c>
      <c r="U850" s="514" t="s">
        <v>5599</v>
      </c>
      <c r="V850" s="514" t="s">
        <v>5676</v>
      </c>
      <c r="W850" s="498">
        <v>255</v>
      </c>
      <c r="X850" s="514" t="s">
        <v>1532</v>
      </c>
      <c r="Y850" s="514" t="s">
        <v>3507</v>
      </c>
      <c r="Z850" s="514" t="s">
        <v>5615</v>
      </c>
      <c r="AA850" s="514"/>
      <c r="AB850" s="531" t="s">
        <v>1686</v>
      </c>
    </row>
    <row r="851" spans="1:28" ht="24" customHeight="1">
      <c r="A851" s="584"/>
      <c r="B851" s="460" t="s">
        <v>675</v>
      </c>
      <c r="C851" s="458" t="s">
        <v>5677</v>
      </c>
      <c r="D851" s="510" t="s">
        <v>5678</v>
      </c>
      <c r="E851" s="497">
        <f t="shared" si="62"/>
        <v>30</v>
      </c>
      <c r="F851" s="497">
        <v>0</v>
      </c>
      <c r="G851" s="497">
        <v>30</v>
      </c>
      <c r="H851" s="497">
        <v>0</v>
      </c>
      <c r="I851" s="497">
        <f t="shared" si="63"/>
        <v>9.1</v>
      </c>
      <c r="J851" s="497">
        <v>0</v>
      </c>
      <c r="K851" s="497">
        <v>9.1</v>
      </c>
      <c r="L851" s="721">
        <v>0</v>
      </c>
      <c r="M851" s="956">
        <v>0.872</v>
      </c>
      <c r="N851" s="653">
        <v>0.6</v>
      </c>
      <c r="O851" s="731" t="s">
        <v>5679</v>
      </c>
      <c r="P851" s="514" t="s">
        <v>1588</v>
      </c>
      <c r="Q851" s="859">
        <v>0</v>
      </c>
      <c r="R851" s="859">
        <v>0</v>
      </c>
      <c r="S851" s="859">
        <v>0</v>
      </c>
      <c r="T851" s="859">
        <v>0</v>
      </c>
      <c r="U851" s="514" t="s">
        <v>5599</v>
      </c>
      <c r="V851" s="514" t="s">
        <v>5680</v>
      </c>
      <c r="W851" s="498">
        <v>205</v>
      </c>
      <c r="X851" s="514" t="s">
        <v>1532</v>
      </c>
      <c r="Y851" s="514" t="s">
        <v>3507</v>
      </c>
      <c r="Z851" s="514" t="s">
        <v>5615</v>
      </c>
      <c r="AA851" s="514"/>
      <c r="AB851" s="531" t="s">
        <v>1686</v>
      </c>
    </row>
    <row r="852" spans="1:28" ht="24" customHeight="1">
      <c r="A852" s="584"/>
      <c r="B852" s="460" t="s">
        <v>675</v>
      </c>
      <c r="C852" s="458" t="s">
        <v>5681</v>
      </c>
      <c r="D852" s="510" t="s">
        <v>5682</v>
      </c>
      <c r="E852" s="497">
        <f t="shared" si="62"/>
        <v>20</v>
      </c>
      <c r="F852" s="497">
        <v>0</v>
      </c>
      <c r="G852" s="497">
        <v>20</v>
      </c>
      <c r="H852" s="497">
        <v>0</v>
      </c>
      <c r="I852" s="497">
        <f t="shared" si="63"/>
        <v>9</v>
      </c>
      <c r="J852" s="497">
        <v>0</v>
      </c>
      <c r="K852" s="497">
        <v>9</v>
      </c>
      <c r="L852" s="721">
        <v>0</v>
      </c>
      <c r="M852" s="956">
        <v>0.90799999999999992</v>
      </c>
      <c r="N852" s="653">
        <v>0.6</v>
      </c>
      <c r="O852" s="731" t="s">
        <v>3752</v>
      </c>
      <c r="P852" s="514" t="s">
        <v>1588</v>
      </c>
      <c r="Q852" s="859">
        <v>0</v>
      </c>
      <c r="R852" s="859">
        <v>0</v>
      </c>
      <c r="S852" s="859">
        <v>0</v>
      </c>
      <c r="T852" s="859">
        <v>0</v>
      </c>
      <c r="U852" s="514" t="s">
        <v>5599</v>
      </c>
      <c r="V852" s="514" t="s">
        <v>5670</v>
      </c>
      <c r="W852" s="498">
        <v>140</v>
      </c>
      <c r="X852" s="514" t="s">
        <v>1532</v>
      </c>
      <c r="Y852" s="514" t="s">
        <v>3507</v>
      </c>
      <c r="Z852" s="514" t="s">
        <v>5615</v>
      </c>
      <c r="AA852" s="514"/>
      <c r="AB852" s="531" t="s">
        <v>1686</v>
      </c>
    </row>
    <row r="853" spans="1:28" ht="24" customHeight="1">
      <c r="A853" s="584"/>
      <c r="B853" s="460" t="s">
        <v>675</v>
      </c>
      <c r="C853" s="458" t="s">
        <v>5683</v>
      </c>
      <c r="D853" s="510" t="s">
        <v>5684</v>
      </c>
      <c r="E853" s="497">
        <f t="shared" si="62"/>
        <v>30</v>
      </c>
      <c r="F853" s="497">
        <v>0</v>
      </c>
      <c r="G853" s="497">
        <v>30</v>
      </c>
      <c r="H853" s="497">
        <v>0</v>
      </c>
      <c r="I853" s="497">
        <f t="shared" si="63"/>
        <v>9.4</v>
      </c>
      <c r="J853" s="497">
        <v>0</v>
      </c>
      <c r="K853" s="497">
        <v>9.4</v>
      </c>
      <c r="L853" s="721">
        <v>0</v>
      </c>
      <c r="M853" s="956">
        <v>0.90500000000000003</v>
      </c>
      <c r="N853" s="653">
        <v>0.3</v>
      </c>
      <c r="O853" s="731" t="s">
        <v>5685</v>
      </c>
      <c r="P853" s="514" t="s">
        <v>1588</v>
      </c>
      <c r="Q853" s="859">
        <v>0</v>
      </c>
      <c r="R853" s="859">
        <v>0</v>
      </c>
      <c r="S853" s="859">
        <v>0</v>
      </c>
      <c r="T853" s="859">
        <v>0</v>
      </c>
      <c r="U853" s="514" t="s">
        <v>5599</v>
      </c>
      <c r="V853" s="514" t="s">
        <v>5670</v>
      </c>
      <c r="W853" s="498">
        <v>12</v>
      </c>
      <c r="X853" s="514" t="s">
        <v>1532</v>
      </c>
      <c r="Y853" s="514" t="s">
        <v>3507</v>
      </c>
      <c r="Z853" s="514" t="s">
        <v>2302</v>
      </c>
      <c r="AA853" s="514" t="s">
        <v>1685</v>
      </c>
      <c r="AB853" s="531" t="s">
        <v>1592</v>
      </c>
    </row>
    <row r="854" spans="1:28" ht="24" customHeight="1">
      <c r="A854" s="584"/>
      <c r="B854" s="460" t="s">
        <v>675</v>
      </c>
      <c r="C854" s="458" t="s">
        <v>5686</v>
      </c>
      <c r="D854" s="510" t="s">
        <v>5687</v>
      </c>
      <c r="E854" s="497">
        <f t="shared" si="62"/>
        <v>20</v>
      </c>
      <c r="F854" s="497">
        <v>0</v>
      </c>
      <c r="G854" s="497">
        <v>20</v>
      </c>
      <c r="H854" s="497">
        <v>0</v>
      </c>
      <c r="I854" s="497">
        <f t="shared" si="63"/>
        <v>7.1</v>
      </c>
      <c r="J854" s="497">
        <v>0</v>
      </c>
      <c r="K854" s="497">
        <v>7.1</v>
      </c>
      <c r="L854" s="721">
        <v>0</v>
      </c>
      <c r="M854" s="956">
        <v>0.89599999999999991</v>
      </c>
      <c r="N854" s="653">
        <v>0.2</v>
      </c>
      <c r="O854" s="731" t="s">
        <v>5685</v>
      </c>
      <c r="P854" s="514" t="s">
        <v>1588</v>
      </c>
      <c r="Q854" s="859">
        <v>0</v>
      </c>
      <c r="R854" s="859">
        <v>0</v>
      </c>
      <c r="S854" s="859">
        <v>0</v>
      </c>
      <c r="T854" s="859">
        <v>0</v>
      </c>
      <c r="U854" s="514" t="s">
        <v>5599</v>
      </c>
      <c r="V854" s="514" t="s">
        <v>5651</v>
      </c>
      <c r="W854" s="498">
        <v>70</v>
      </c>
      <c r="X854" s="514" t="s">
        <v>1532</v>
      </c>
      <c r="Y854" s="514" t="s">
        <v>3336</v>
      </c>
      <c r="Z854" s="514" t="s">
        <v>2302</v>
      </c>
      <c r="AA854" s="514" t="s">
        <v>1685</v>
      </c>
      <c r="AB854" s="531" t="s">
        <v>1592</v>
      </c>
    </row>
    <row r="855" spans="1:28" ht="24" customHeight="1">
      <c r="A855" s="584"/>
      <c r="B855" s="460" t="s">
        <v>675</v>
      </c>
      <c r="C855" s="458" t="s">
        <v>5688</v>
      </c>
      <c r="D855" s="510" t="s">
        <v>5689</v>
      </c>
      <c r="E855" s="497">
        <f t="shared" si="62"/>
        <v>40</v>
      </c>
      <c r="F855" s="497">
        <v>0</v>
      </c>
      <c r="G855" s="497">
        <v>40</v>
      </c>
      <c r="H855" s="497">
        <v>0</v>
      </c>
      <c r="I855" s="497">
        <f t="shared" si="63"/>
        <v>12.2</v>
      </c>
      <c r="J855" s="497">
        <v>0</v>
      </c>
      <c r="K855" s="497">
        <v>12.2</v>
      </c>
      <c r="L855" s="721">
        <v>0</v>
      </c>
      <c r="M855" s="956">
        <v>0.88099999999999989</v>
      </c>
      <c r="N855" s="653">
        <v>0.8</v>
      </c>
      <c r="O855" s="731" t="s">
        <v>5690</v>
      </c>
      <c r="P855" s="514" t="s">
        <v>1588</v>
      </c>
      <c r="Q855" s="859">
        <v>0</v>
      </c>
      <c r="R855" s="859">
        <v>0</v>
      </c>
      <c r="S855" s="859">
        <v>0</v>
      </c>
      <c r="T855" s="859">
        <v>0</v>
      </c>
      <c r="U855" s="514" t="s">
        <v>5599</v>
      </c>
      <c r="V855" s="514" t="s">
        <v>5691</v>
      </c>
      <c r="W855" s="498">
        <v>219</v>
      </c>
      <c r="X855" s="514" t="s">
        <v>1532</v>
      </c>
      <c r="Y855" s="514" t="s">
        <v>3507</v>
      </c>
      <c r="Z855" s="514" t="s">
        <v>2302</v>
      </c>
      <c r="AA855" s="514" t="s">
        <v>1685</v>
      </c>
      <c r="AB855" s="531" t="s">
        <v>1592</v>
      </c>
    </row>
    <row r="856" spans="1:28" ht="24" customHeight="1">
      <c r="A856" s="584"/>
      <c r="B856" s="460" t="s">
        <v>675</v>
      </c>
      <c r="C856" s="458" t="s">
        <v>5692</v>
      </c>
      <c r="D856" s="510" t="s">
        <v>5693</v>
      </c>
      <c r="E856" s="497">
        <f t="shared" si="62"/>
        <v>30</v>
      </c>
      <c r="F856" s="497">
        <v>0</v>
      </c>
      <c r="G856" s="497">
        <v>30</v>
      </c>
      <c r="H856" s="497">
        <v>0</v>
      </c>
      <c r="I856" s="497">
        <f t="shared" si="63"/>
        <v>21.3</v>
      </c>
      <c r="J856" s="497">
        <v>0</v>
      </c>
      <c r="K856" s="497">
        <v>21.3</v>
      </c>
      <c r="L856" s="721">
        <v>0</v>
      </c>
      <c r="M856" s="956">
        <v>0.79700000000000004</v>
      </c>
      <c r="N856" s="653">
        <v>0.4</v>
      </c>
      <c r="O856" s="731" t="s">
        <v>5694</v>
      </c>
      <c r="P856" s="514" t="s">
        <v>1588</v>
      </c>
      <c r="Q856" s="859">
        <v>0</v>
      </c>
      <c r="R856" s="859">
        <v>0</v>
      </c>
      <c r="S856" s="859">
        <v>0</v>
      </c>
      <c r="T856" s="859">
        <v>0</v>
      </c>
      <c r="U856" s="514" t="s">
        <v>5599</v>
      </c>
      <c r="V856" s="514" t="s">
        <v>5695</v>
      </c>
      <c r="W856" s="498">
        <v>310</v>
      </c>
      <c r="X856" s="514" t="s">
        <v>1532</v>
      </c>
      <c r="Y856" s="514" t="s">
        <v>3507</v>
      </c>
      <c r="Z856" s="514" t="s">
        <v>2302</v>
      </c>
      <c r="AA856" s="514" t="s">
        <v>1685</v>
      </c>
      <c r="AB856" s="531" t="s">
        <v>1592</v>
      </c>
    </row>
    <row r="857" spans="1:28" ht="24" customHeight="1">
      <c r="A857" s="584"/>
      <c r="B857" s="460" t="s">
        <v>675</v>
      </c>
      <c r="C857" s="458" t="s">
        <v>5696</v>
      </c>
      <c r="D857" s="510" t="s">
        <v>5697</v>
      </c>
      <c r="E857" s="497">
        <f t="shared" si="62"/>
        <v>40</v>
      </c>
      <c r="F857" s="497">
        <v>0</v>
      </c>
      <c r="G857" s="497">
        <v>40</v>
      </c>
      <c r="H857" s="497">
        <v>0</v>
      </c>
      <c r="I857" s="497">
        <f t="shared" si="63"/>
        <v>30.6</v>
      </c>
      <c r="J857" s="497">
        <v>0</v>
      </c>
      <c r="K857" s="497">
        <v>30.6</v>
      </c>
      <c r="L857" s="721">
        <v>0</v>
      </c>
      <c r="M857" s="956">
        <v>0.93900000000000006</v>
      </c>
      <c r="N857" s="653">
        <v>1.3</v>
      </c>
      <c r="O857" s="731" t="s">
        <v>5698</v>
      </c>
      <c r="P857" s="514" t="s">
        <v>1588</v>
      </c>
      <c r="Q857" s="859">
        <v>0</v>
      </c>
      <c r="R857" s="859">
        <v>0</v>
      </c>
      <c r="S857" s="859">
        <v>0</v>
      </c>
      <c r="T857" s="859">
        <v>0</v>
      </c>
      <c r="U857" s="514" t="s">
        <v>5599</v>
      </c>
      <c r="V857" s="514" t="s">
        <v>5699</v>
      </c>
      <c r="W857" s="498">
        <v>240</v>
      </c>
      <c r="X857" s="514" t="s">
        <v>1532</v>
      </c>
      <c r="Y857" s="514" t="s">
        <v>3336</v>
      </c>
      <c r="Z857" s="514" t="s">
        <v>2302</v>
      </c>
      <c r="AA857" s="514" t="s">
        <v>1685</v>
      </c>
      <c r="AB857" s="531" t="s">
        <v>1592</v>
      </c>
    </row>
    <row r="858" spans="1:28" ht="24" customHeight="1">
      <c r="A858" s="582" t="s">
        <v>1687</v>
      </c>
      <c r="B858" s="460" t="s">
        <v>2201</v>
      </c>
      <c r="C858" s="458" t="s">
        <v>2420</v>
      </c>
      <c r="D858" s="510" t="s">
        <v>5700</v>
      </c>
      <c r="E858" s="497">
        <f t="shared" si="62"/>
        <v>50000</v>
      </c>
      <c r="F858" s="497">
        <v>0</v>
      </c>
      <c r="G858" s="497">
        <v>50000</v>
      </c>
      <c r="H858" s="497">
        <v>0</v>
      </c>
      <c r="I858" s="497">
        <f t="shared" si="63"/>
        <v>34193</v>
      </c>
      <c r="J858" s="497">
        <v>0</v>
      </c>
      <c r="K858" s="497">
        <v>34193</v>
      </c>
      <c r="L858" s="721">
        <v>0</v>
      </c>
      <c r="M858" s="956">
        <v>0.9367977528089888</v>
      </c>
      <c r="N858" s="653">
        <v>2280.6731</v>
      </c>
      <c r="O858" s="735" t="s">
        <v>1535</v>
      </c>
      <c r="P858" s="535" t="s">
        <v>1588</v>
      </c>
      <c r="Q858" s="859">
        <v>13</v>
      </c>
      <c r="R858" s="859">
        <v>0</v>
      </c>
      <c r="S858" s="859">
        <v>111.6</v>
      </c>
      <c r="T858" s="859">
        <v>0</v>
      </c>
      <c r="U858" s="535" t="s">
        <v>2304</v>
      </c>
      <c r="V858" s="535" t="s">
        <v>5701</v>
      </c>
      <c r="W858" s="498">
        <v>21408</v>
      </c>
      <c r="X858" s="535" t="s">
        <v>1532</v>
      </c>
      <c r="Y858" s="535" t="s">
        <v>5702</v>
      </c>
      <c r="Z858" s="535" t="s">
        <v>1688</v>
      </c>
      <c r="AA858" s="535" t="s">
        <v>1686</v>
      </c>
      <c r="AB858" s="536" t="s">
        <v>5703</v>
      </c>
    </row>
    <row r="859" spans="1:28" ht="24" customHeight="1">
      <c r="A859" s="584"/>
      <c r="B859" s="460" t="s">
        <v>2201</v>
      </c>
      <c r="C859" s="458" t="s">
        <v>538</v>
      </c>
      <c r="D859" s="510" t="s">
        <v>5704</v>
      </c>
      <c r="E859" s="497">
        <f t="shared" si="62"/>
        <v>800</v>
      </c>
      <c r="F859" s="497">
        <v>0</v>
      </c>
      <c r="G859" s="497">
        <v>800</v>
      </c>
      <c r="H859" s="497">
        <v>0</v>
      </c>
      <c r="I859" s="497">
        <f t="shared" si="63"/>
        <v>758</v>
      </c>
      <c r="J859" s="497">
        <v>0</v>
      </c>
      <c r="K859" s="497">
        <v>758</v>
      </c>
      <c r="L859" s="721">
        <v>0</v>
      </c>
      <c r="M859" s="956">
        <v>0.90750816104461374</v>
      </c>
      <c r="N859" s="653">
        <v>63.217199999999998</v>
      </c>
      <c r="O859" s="735" t="s">
        <v>3282</v>
      </c>
      <c r="P859" s="535" t="s">
        <v>1588</v>
      </c>
      <c r="Q859" s="859">
        <v>0</v>
      </c>
      <c r="R859" s="859">
        <v>0</v>
      </c>
      <c r="S859" s="859">
        <v>0</v>
      </c>
      <c r="T859" s="859">
        <v>0</v>
      </c>
      <c r="U859" s="535" t="s">
        <v>5705</v>
      </c>
      <c r="V859" s="535" t="s">
        <v>5706</v>
      </c>
      <c r="W859" s="498">
        <v>8147</v>
      </c>
      <c r="X859" s="535" t="s">
        <v>1862</v>
      </c>
      <c r="Y859" s="535" t="s">
        <v>3399</v>
      </c>
      <c r="Z859" s="535" t="s">
        <v>1689</v>
      </c>
      <c r="AA859" s="535" t="s">
        <v>1589</v>
      </c>
      <c r="AB859" s="536" t="s">
        <v>1589</v>
      </c>
    </row>
    <row r="860" spans="1:28" ht="24" customHeight="1">
      <c r="A860" s="584"/>
      <c r="B860" s="460" t="s">
        <v>2201</v>
      </c>
      <c r="C860" s="458" t="s">
        <v>539</v>
      </c>
      <c r="D860" s="510" t="s">
        <v>5707</v>
      </c>
      <c r="E860" s="497">
        <f t="shared" si="62"/>
        <v>1000</v>
      </c>
      <c r="F860" s="497">
        <v>0</v>
      </c>
      <c r="G860" s="497">
        <v>1000</v>
      </c>
      <c r="H860" s="497">
        <v>0</v>
      </c>
      <c r="I860" s="497">
        <f t="shared" si="63"/>
        <v>740</v>
      </c>
      <c r="J860" s="497">
        <v>0</v>
      </c>
      <c r="K860" s="497">
        <v>740</v>
      </c>
      <c r="L860" s="721">
        <v>0</v>
      </c>
      <c r="M860" s="956">
        <v>0.95773195876288664</v>
      </c>
      <c r="N860" s="653">
        <v>68.745999999999995</v>
      </c>
      <c r="O860" s="735" t="s">
        <v>1862</v>
      </c>
      <c r="P860" s="535" t="s">
        <v>1588</v>
      </c>
      <c r="Q860" s="859">
        <v>0</v>
      </c>
      <c r="R860" s="859">
        <v>0</v>
      </c>
      <c r="S860" s="859">
        <v>0</v>
      </c>
      <c r="T860" s="859">
        <v>0</v>
      </c>
      <c r="U860" s="535" t="s">
        <v>5705</v>
      </c>
      <c r="V860" s="535" t="s">
        <v>5706</v>
      </c>
      <c r="W860" s="498">
        <v>11353</v>
      </c>
      <c r="X860" s="535" t="s">
        <v>1862</v>
      </c>
      <c r="Y860" s="535" t="s">
        <v>1862</v>
      </c>
      <c r="Z860" s="535" t="s">
        <v>1689</v>
      </c>
      <c r="AA860" s="535" t="s">
        <v>1589</v>
      </c>
      <c r="AB860" s="536" t="s">
        <v>1589</v>
      </c>
    </row>
    <row r="861" spans="1:28" ht="24" customHeight="1">
      <c r="A861" s="584"/>
      <c r="B861" s="460" t="s">
        <v>675</v>
      </c>
      <c r="C861" s="458" t="s">
        <v>5708</v>
      </c>
      <c r="D861" s="510" t="s">
        <v>5709</v>
      </c>
      <c r="E861" s="657">
        <f t="shared" si="62"/>
        <v>81</v>
      </c>
      <c r="F861" s="497">
        <v>0</v>
      </c>
      <c r="G861" s="657">
        <v>81</v>
      </c>
      <c r="H861" s="497">
        <v>0</v>
      </c>
      <c r="I861" s="497">
        <f t="shared" si="63"/>
        <v>68</v>
      </c>
      <c r="J861" s="497">
        <v>0</v>
      </c>
      <c r="K861" s="497">
        <v>68</v>
      </c>
      <c r="L861" s="721">
        <v>0</v>
      </c>
      <c r="M861" s="956">
        <v>0.84</v>
      </c>
      <c r="N861" s="653">
        <v>243.29424</v>
      </c>
      <c r="O861" s="735" t="s">
        <v>5089</v>
      </c>
      <c r="P861" s="535" t="s">
        <v>1588</v>
      </c>
      <c r="Q861" s="859">
        <v>0</v>
      </c>
      <c r="R861" s="859">
        <v>0</v>
      </c>
      <c r="S861" s="859">
        <v>0</v>
      </c>
      <c r="T861" s="859">
        <v>0</v>
      </c>
      <c r="U861" s="535" t="s">
        <v>5710</v>
      </c>
      <c r="V861" s="535" t="s">
        <v>5711</v>
      </c>
      <c r="W861" s="498">
        <v>158</v>
      </c>
      <c r="X861" s="535" t="s">
        <v>1532</v>
      </c>
      <c r="Y861" s="535" t="s">
        <v>1935</v>
      </c>
      <c r="Z861" s="535" t="s">
        <v>1689</v>
      </c>
      <c r="AA861" s="535" t="s">
        <v>1589</v>
      </c>
      <c r="AB861" s="536" t="s">
        <v>1589</v>
      </c>
    </row>
    <row r="862" spans="1:28" ht="24" customHeight="1">
      <c r="A862" s="584"/>
      <c r="B862" s="460" t="s">
        <v>675</v>
      </c>
      <c r="C862" s="458" t="s">
        <v>2045</v>
      </c>
      <c r="D862" s="510" t="s">
        <v>5712</v>
      </c>
      <c r="E862" s="657">
        <f t="shared" si="62"/>
        <v>80</v>
      </c>
      <c r="F862" s="497">
        <v>0</v>
      </c>
      <c r="G862" s="657">
        <v>80</v>
      </c>
      <c r="H862" s="497">
        <v>0</v>
      </c>
      <c r="I862" s="497">
        <f t="shared" si="63"/>
        <v>68</v>
      </c>
      <c r="J862" s="497">
        <v>0</v>
      </c>
      <c r="K862" s="497">
        <v>68</v>
      </c>
      <c r="L862" s="721">
        <v>0</v>
      </c>
      <c r="M862" s="957">
        <v>0.85</v>
      </c>
      <c r="N862" s="653">
        <v>246.19060000000002</v>
      </c>
      <c r="O862" s="735" t="s">
        <v>5713</v>
      </c>
      <c r="P862" s="535" t="s">
        <v>1588</v>
      </c>
      <c r="Q862" s="859">
        <v>0</v>
      </c>
      <c r="R862" s="859">
        <v>0</v>
      </c>
      <c r="S862" s="859">
        <v>0</v>
      </c>
      <c r="T862" s="859">
        <v>0</v>
      </c>
      <c r="U862" s="535" t="s">
        <v>5710</v>
      </c>
      <c r="V862" s="535" t="s">
        <v>5714</v>
      </c>
      <c r="W862" s="498">
        <v>276</v>
      </c>
      <c r="X862" s="535" t="s">
        <v>1862</v>
      </c>
      <c r="Y862" s="535" t="s">
        <v>1862</v>
      </c>
      <c r="Z862" s="535" t="s">
        <v>1689</v>
      </c>
      <c r="AA862" s="535" t="s">
        <v>1589</v>
      </c>
      <c r="AB862" s="536" t="s">
        <v>1589</v>
      </c>
    </row>
    <row r="863" spans="1:28" ht="24" customHeight="1">
      <c r="A863" s="584"/>
      <c r="B863" s="460" t="s">
        <v>675</v>
      </c>
      <c r="C863" s="458" t="s">
        <v>5715</v>
      </c>
      <c r="D863" s="510" t="s">
        <v>5716</v>
      </c>
      <c r="E863" s="657">
        <f t="shared" si="62"/>
        <v>30</v>
      </c>
      <c r="F863" s="497">
        <v>0</v>
      </c>
      <c r="G863" s="657">
        <v>30</v>
      </c>
      <c r="H863" s="497">
        <v>0</v>
      </c>
      <c r="I863" s="497">
        <f t="shared" si="63"/>
        <v>25</v>
      </c>
      <c r="J863" s="497">
        <v>0</v>
      </c>
      <c r="K863" s="497">
        <v>25</v>
      </c>
      <c r="L863" s="721">
        <v>0</v>
      </c>
      <c r="M863" s="957">
        <v>0.83333333333333348</v>
      </c>
      <c r="N863" s="653">
        <v>241.36333333333337</v>
      </c>
      <c r="O863" s="735" t="s">
        <v>5713</v>
      </c>
      <c r="P863" s="535" t="s">
        <v>1588</v>
      </c>
      <c r="Q863" s="859">
        <v>0</v>
      </c>
      <c r="R863" s="859">
        <v>0</v>
      </c>
      <c r="S863" s="859">
        <v>0</v>
      </c>
      <c r="T863" s="859">
        <v>0</v>
      </c>
      <c r="U863" s="535" t="s">
        <v>5705</v>
      </c>
      <c r="V863" s="535" t="s">
        <v>5717</v>
      </c>
      <c r="W863" s="498">
        <v>170</v>
      </c>
      <c r="X863" s="535" t="s">
        <v>1862</v>
      </c>
      <c r="Y863" s="535" t="s">
        <v>1862</v>
      </c>
      <c r="Z863" s="535" t="s">
        <v>1689</v>
      </c>
      <c r="AA863" s="535" t="s">
        <v>1589</v>
      </c>
      <c r="AB863" s="536" t="s">
        <v>1589</v>
      </c>
    </row>
    <row r="864" spans="1:28" ht="24" customHeight="1">
      <c r="A864" s="584"/>
      <c r="B864" s="460" t="s">
        <v>675</v>
      </c>
      <c r="C864" s="458" t="s">
        <v>5718</v>
      </c>
      <c r="D864" s="510" t="s">
        <v>5719</v>
      </c>
      <c r="E864" s="657">
        <f t="shared" ref="E864:E927" si="64">F864+G864+H864</f>
        <v>60</v>
      </c>
      <c r="F864" s="497">
        <v>0</v>
      </c>
      <c r="G864" s="657">
        <v>60</v>
      </c>
      <c r="H864" s="497">
        <v>0</v>
      </c>
      <c r="I864" s="497">
        <f t="shared" si="63"/>
        <v>50</v>
      </c>
      <c r="J864" s="497">
        <v>0</v>
      </c>
      <c r="K864" s="497">
        <v>50</v>
      </c>
      <c r="L864" s="721">
        <v>0</v>
      </c>
      <c r="M864" s="957">
        <v>0.83333333333333348</v>
      </c>
      <c r="N864" s="653">
        <v>241.36333333333337</v>
      </c>
      <c r="O864" s="735" t="s">
        <v>5720</v>
      </c>
      <c r="P864" s="535" t="s">
        <v>1588</v>
      </c>
      <c r="Q864" s="859">
        <v>0</v>
      </c>
      <c r="R864" s="859">
        <v>0</v>
      </c>
      <c r="S864" s="859">
        <v>0</v>
      </c>
      <c r="T864" s="859">
        <v>0</v>
      </c>
      <c r="U864" s="535" t="s">
        <v>5705</v>
      </c>
      <c r="V864" s="535" t="s">
        <v>5721</v>
      </c>
      <c r="W864" s="498">
        <v>270</v>
      </c>
      <c r="X864" s="535" t="s">
        <v>1862</v>
      </c>
      <c r="Y864" s="535" t="s">
        <v>1862</v>
      </c>
      <c r="Z864" s="535" t="s">
        <v>1689</v>
      </c>
      <c r="AA864" s="535" t="s">
        <v>1589</v>
      </c>
      <c r="AB864" s="536" t="s">
        <v>1589</v>
      </c>
    </row>
    <row r="865" spans="1:28" ht="24" customHeight="1">
      <c r="A865" s="584"/>
      <c r="B865" s="460" t="s">
        <v>675</v>
      </c>
      <c r="C865" s="458" t="s">
        <v>5722</v>
      </c>
      <c r="D865" s="510" t="s">
        <v>5723</v>
      </c>
      <c r="E865" s="657">
        <f t="shared" si="64"/>
        <v>90</v>
      </c>
      <c r="F865" s="497">
        <v>0</v>
      </c>
      <c r="G865" s="657">
        <v>90</v>
      </c>
      <c r="H865" s="497">
        <v>0</v>
      </c>
      <c r="I865" s="497">
        <f t="shared" si="63"/>
        <v>88</v>
      </c>
      <c r="J865" s="497">
        <v>0</v>
      </c>
      <c r="K865" s="497">
        <v>88</v>
      </c>
      <c r="L865" s="721">
        <v>0</v>
      </c>
      <c r="M865" s="957">
        <v>0.97777777777777775</v>
      </c>
      <c r="N865" s="653">
        <v>283.19964444444446</v>
      </c>
      <c r="O865" s="735" t="s">
        <v>5720</v>
      </c>
      <c r="P865" s="535" t="s">
        <v>1588</v>
      </c>
      <c r="Q865" s="859">
        <v>0</v>
      </c>
      <c r="R865" s="859">
        <v>0</v>
      </c>
      <c r="S865" s="859">
        <v>0</v>
      </c>
      <c r="T865" s="859">
        <v>0</v>
      </c>
      <c r="U865" s="535" t="s">
        <v>5705</v>
      </c>
      <c r="V865" s="535" t="s">
        <v>5724</v>
      </c>
      <c r="W865" s="498">
        <v>322</v>
      </c>
      <c r="X865" s="535" t="s">
        <v>1862</v>
      </c>
      <c r="Y865" s="535" t="s">
        <v>1862</v>
      </c>
      <c r="Z865" s="535" t="s">
        <v>1689</v>
      </c>
      <c r="AA865" s="535" t="s">
        <v>1589</v>
      </c>
      <c r="AB865" s="536" t="s">
        <v>1589</v>
      </c>
    </row>
    <row r="866" spans="1:28" ht="24" customHeight="1">
      <c r="A866" s="584"/>
      <c r="B866" s="460" t="s">
        <v>675</v>
      </c>
      <c r="C866" s="458" t="s">
        <v>5725</v>
      </c>
      <c r="D866" s="510" t="s">
        <v>5726</v>
      </c>
      <c r="E866" s="657">
        <f t="shared" si="64"/>
        <v>80</v>
      </c>
      <c r="F866" s="497">
        <v>0</v>
      </c>
      <c r="G866" s="657">
        <v>0</v>
      </c>
      <c r="H866" s="497">
        <v>80</v>
      </c>
      <c r="I866" s="497">
        <f t="shared" si="63"/>
        <v>80</v>
      </c>
      <c r="J866" s="497">
        <v>0</v>
      </c>
      <c r="K866" s="497">
        <v>0</v>
      </c>
      <c r="L866" s="721">
        <v>80</v>
      </c>
      <c r="M866" s="957">
        <v>1</v>
      </c>
      <c r="N866" s="653">
        <v>289.63600000000002</v>
      </c>
      <c r="O866" s="735" t="s">
        <v>5727</v>
      </c>
      <c r="P866" s="535" t="s">
        <v>1588</v>
      </c>
      <c r="Q866" s="859">
        <v>0</v>
      </c>
      <c r="R866" s="859">
        <v>0</v>
      </c>
      <c r="S866" s="859">
        <v>0</v>
      </c>
      <c r="T866" s="859">
        <v>0</v>
      </c>
      <c r="U866" s="535" t="s">
        <v>5705</v>
      </c>
      <c r="V866" s="535" t="s">
        <v>5724</v>
      </c>
      <c r="W866" s="498">
        <v>258</v>
      </c>
      <c r="X866" s="535" t="s">
        <v>1862</v>
      </c>
      <c r="Y866" s="535" t="s">
        <v>1862</v>
      </c>
      <c r="Z866" s="535" t="s">
        <v>1689</v>
      </c>
      <c r="AA866" s="535" t="s">
        <v>1589</v>
      </c>
      <c r="AB866" s="536" t="s">
        <v>1589</v>
      </c>
    </row>
    <row r="867" spans="1:28" ht="24" customHeight="1">
      <c r="A867" s="584"/>
      <c r="B867" s="460" t="s">
        <v>675</v>
      </c>
      <c r="C867" s="458" t="s">
        <v>5728</v>
      </c>
      <c r="D867" s="510" t="s">
        <v>5729</v>
      </c>
      <c r="E867" s="657">
        <f t="shared" si="64"/>
        <v>58</v>
      </c>
      <c r="F867" s="497">
        <v>0</v>
      </c>
      <c r="G867" s="657">
        <v>58</v>
      </c>
      <c r="H867" s="497">
        <v>0</v>
      </c>
      <c r="I867" s="497">
        <f t="shared" si="63"/>
        <v>42</v>
      </c>
      <c r="J867" s="497">
        <v>0</v>
      </c>
      <c r="K867" s="497">
        <v>42</v>
      </c>
      <c r="L867" s="721">
        <v>0</v>
      </c>
      <c r="M867" s="957">
        <v>0.72413793103448265</v>
      </c>
      <c r="N867" s="653">
        <v>209.73641379310342</v>
      </c>
      <c r="O867" s="735" t="s">
        <v>5089</v>
      </c>
      <c r="P867" s="535" t="s">
        <v>1588</v>
      </c>
      <c r="Q867" s="859">
        <v>0</v>
      </c>
      <c r="R867" s="859">
        <v>0</v>
      </c>
      <c r="S867" s="859">
        <v>0</v>
      </c>
      <c r="T867" s="859">
        <v>0</v>
      </c>
      <c r="U867" s="535" t="s">
        <v>5705</v>
      </c>
      <c r="V867" s="535" t="s">
        <v>5730</v>
      </c>
      <c r="W867" s="498">
        <v>172</v>
      </c>
      <c r="X867" s="535" t="s">
        <v>1862</v>
      </c>
      <c r="Y867" s="535" t="s">
        <v>1862</v>
      </c>
      <c r="Z867" s="535" t="s">
        <v>5731</v>
      </c>
      <c r="AA867" s="535" t="s">
        <v>1686</v>
      </c>
      <c r="AB867" s="536" t="s">
        <v>5703</v>
      </c>
    </row>
    <row r="868" spans="1:28" ht="24" customHeight="1">
      <c r="A868" s="584"/>
      <c r="B868" s="460" t="s">
        <v>675</v>
      </c>
      <c r="C868" s="458" t="s">
        <v>5732</v>
      </c>
      <c r="D868" s="510" t="s">
        <v>5733</v>
      </c>
      <c r="E868" s="657">
        <f t="shared" si="64"/>
        <v>80</v>
      </c>
      <c r="F868" s="497">
        <v>0</v>
      </c>
      <c r="G868" s="657">
        <v>80</v>
      </c>
      <c r="H868" s="497">
        <v>0</v>
      </c>
      <c r="I868" s="497">
        <f t="shared" si="63"/>
        <v>67</v>
      </c>
      <c r="J868" s="497">
        <v>0</v>
      </c>
      <c r="K868" s="497">
        <v>67</v>
      </c>
      <c r="L868" s="721">
        <v>0</v>
      </c>
      <c r="M868" s="957">
        <v>0.83750000000000002</v>
      </c>
      <c r="N868" s="653">
        <v>242.57015000000001</v>
      </c>
      <c r="O868" s="735" t="s">
        <v>5720</v>
      </c>
      <c r="P868" s="535" t="s">
        <v>1588</v>
      </c>
      <c r="Q868" s="859">
        <v>0</v>
      </c>
      <c r="R868" s="859">
        <v>0</v>
      </c>
      <c r="S868" s="859">
        <v>0</v>
      </c>
      <c r="T868" s="859">
        <v>0</v>
      </c>
      <c r="U868" s="535" t="s">
        <v>5705</v>
      </c>
      <c r="V868" s="535" t="s">
        <v>5724</v>
      </c>
      <c r="W868" s="498">
        <v>304</v>
      </c>
      <c r="X868" s="535" t="s">
        <v>1862</v>
      </c>
      <c r="Y868" s="535" t="s">
        <v>1862</v>
      </c>
      <c r="Z868" s="535" t="s">
        <v>5731</v>
      </c>
      <c r="AA868" s="535" t="s">
        <v>1686</v>
      </c>
      <c r="AB868" s="536" t="s">
        <v>5703</v>
      </c>
    </row>
    <row r="869" spans="1:28" ht="24" customHeight="1">
      <c r="A869" s="584"/>
      <c r="B869" s="460" t="s">
        <v>675</v>
      </c>
      <c r="C869" s="458" t="s">
        <v>2395</v>
      </c>
      <c r="D869" s="510" t="s">
        <v>5734</v>
      </c>
      <c r="E869" s="657">
        <f t="shared" si="64"/>
        <v>90</v>
      </c>
      <c r="F869" s="497">
        <v>0</v>
      </c>
      <c r="G869" s="657">
        <v>90</v>
      </c>
      <c r="H869" s="497">
        <v>0</v>
      </c>
      <c r="I869" s="497">
        <f t="shared" si="63"/>
        <v>79</v>
      </c>
      <c r="J869" s="497">
        <v>0</v>
      </c>
      <c r="K869" s="497">
        <v>79</v>
      </c>
      <c r="L869" s="721">
        <v>0</v>
      </c>
      <c r="M869" s="957">
        <v>0.87777777777777777</v>
      </c>
      <c r="N869" s="653">
        <v>254.23604444444445</v>
      </c>
      <c r="O869" s="735" t="s">
        <v>5720</v>
      </c>
      <c r="P869" s="535" t="s">
        <v>1588</v>
      </c>
      <c r="Q869" s="859">
        <v>0</v>
      </c>
      <c r="R869" s="859">
        <v>0</v>
      </c>
      <c r="S869" s="859">
        <v>0</v>
      </c>
      <c r="T869" s="859">
        <v>0</v>
      </c>
      <c r="U869" s="535" t="s">
        <v>5705</v>
      </c>
      <c r="V869" s="535" t="s">
        <v>5724</v>
      </c>
      <c r="W869" s="498">
        <v>314</v>
      </c>
      <c r="X869" s="535" t="s">
        <v>1862</v>
      </c>
      <c r="Y869" s="535" t="s">
        <v>1862</v>
      </c>
      <c r="Z869" s="535" t="s">
        <v>1688</v>
      </c>
      <c r="AA869" s="535" t="s">
        <v>1686</v>
      </c>
      <c r="AB869" s="536" t="s">
        <v>5703</v>
      </c>
    </row>
    <row r="870" spans="1:28" ht="24" customHeight="1">
      <c r="A870" s="584"/>
      <c r="B870" s="460" t="s">
        <v>675</v>
      </c>
      <c r="C870" s="458" t="s">
        <v>5735</v>
      </c>
      <c r="D870" s="510" t="s">
        <v>5736</v>
      </c>
      <c r="E870" s="657">
        <f t="shared" si="64"/>
        <v>74</v>
      </c>
      <c r="F870" s="497">
        <v>0</v>
      </c>
      <c r="G870" s="657">
        <v>0</v>
      </c>
      <c r="H870" s="497">
        <v>74</v>
      </c>
      <c r="I870" s="497">
        <f t="shared" si="63"/>
        <v>70</v>
      </c>
      <c r="J870" s="497">
        <v>0</v>
      </c>
      <c r="K870" s="497">
        <v>0</v>
      </c>
      <c r="L870" s="721">
        <v>70</v>
      </c>
      <c r="M870" s="957">
        <v>0.94594594594594594</v>
      </c>
      <c r="N870" s="653">
        <v>273.98</v>
      </c>
      <c r="O870" s="735" t="s">
        <v>5737</v>
      </c>
      <c r="P870" s="535" t="s">
        <v>1588</v>
      </c>
      <c r="Q870" s="859">
        <v>0</v>
      </c>
      <c r="R870" s="859">
        <v>0</v>
      </c>
      <c r="S870" s="859">
        <v>0</v>
      </c>
      <c r="T870" s="859">
        <v>0</v>
      </c>
      <c r="U870" s="535" t="s">
        <v>5705</v>
      </c>
      <c r="V870" s="535" t="s">
        <v>5738</v>
      </c>
      <c r="W870" s="498">
        <v>311</v>
      </c>
      <c r="X870" s="535" t="s">
        <v>1862</v>
      </c>
      <c r="Y870" s="535" t="s">
        <v>3399</v>
      </c>
      <c r="Z870" s="535" t="s">
        <v>1688</v>
      </c>
      <c r="AA870" s="535" t="s">
        <v>1686</v>
      </c>
      <c r="AB870" s="536" t="s">
        <v>5703</v>
      </c>
    </row>
    <row r="871" spans="1:28" ht="24" customHeight="1">
      <c r="A871" s="584"/>
      <c r="B871" s="460" t="s">
        <v>675</v>
      </c>
      <c r="C871" s="458" t="s">
        <v>5739</v>
      </c>
      <c r="D871" s="510" t="s">
        <v>5740</v>
      </c>
      <c r="E871" s="657">
        <f t="shared" si="64"/>
        <v>50</v>
      </c>
      <c r="F871" s="497">
        <v>0</v>
      </c>
      <c r="G871" s="657">
        <v>0</v>
      </c>
      <c r="H871" s="497">
        <v>50</v>
      </c>
      <c r="I871" s="497">
        <f t="shared" si="63"/>
        <v>45</v>
      </c>
      <c r="J871" s="497">
        <v>0</v>
      </c>
      <c r="K871" s="497">
        <v>0</v>
      </c>
      <c r="L871" s="721">
        <v>45</v>
      </c>
      <c r="M871" s="957">
        <v>0.9</v>
      </c>
      <c r="N871" s="653">
        <v>260.67239999999998</v>
      </c>
      <c r="O871" s="735" t="s">
        <v>5720</v>
      </c>
      <c r="P871" s="535" t="s">
        <v>1588</v>
      </c>
      <c r="Q871" s="859">
        <v>0</v>
      </c>
      <c r="R871" s="859">
        <v>0</v>
      </c>
      <c r="S871" s="859">
        <v>0</v>
      </c>
      <c r="T871" s="859">
        <v>0</v>
      </c>
      <c r="U871" s="535" t="s">
        <v>5705</v>
      </c>
      <c r="V871" s="535" t="s">
        <v>5741</v>
      </c>
      <c r="W871" s="498">
        <v>400</v>
      </c>
      <c r="X871" s="535" t="s">
        <v>1862</v>
      </c>
      <c r="Y871" s="535" t="s">
        <v>3399</v>
      </c>
      <c r="Z871" s="535" t="s">
        <v>1688</v>
      </c>
      <c r="AA871" s="535" t="s">
        <v>1686</v>
      </c>
      <c r="AB871" s="536" t="s">
        <v>5703</v>
      </c>
    </row>
    <row r="872" spans="1:28" ht="24" customHeight="1">
      <c r="A872" s="584"/>
      <c r="B872" s="460" t="s">
        <v>675</v>
      </c>
      <c r="C872" s="458" t="s">
        <v>5742</v>
      </c>
      <c r="D872" s="510" t="s">
        <v>5743</v>
      </c>
      <c r="E872" s="657">
        <f t="shared" si="64"/>
        <v>58</v>
      </c>
      <c r="F872" s="497">
        <v>0</v>
      </c>
      <c r="G872" s="657">
        <v>58</v>
      </c>
      <c r="H872" s="497">
        <v>0</v>
      </c>
      <c r="I872" s="497">
        <f t="shared" si="63"/>
        <v>42</v>
      </c>
      <c r="J872" s="497">
        <v>0</v>
      </c>
      <c r="K872" s="497">
        <v>42</v>
      </c>
      <c r="L872" s="721">
        <v>0</v>
      </c>
      <c r="M872" s="957">
        <v>0.72413793103448265</v>
      </c>
      <c r="N872" s="653">
        <v>209.73641379310342</v>
      </c>
      <c r="O872" s="735" t="s">
        <v>5089</v>
      </c>
      <c r="P872" s="535" t="s">
        <v>1588</v>
      </c>
      <c r="Q872" s="859">
        <v>0</v>
      </c>
      <c r="R872" s="859">
        <v>0</v>
      </c>
      <c r="S872" s="859">
        <v>0</v>
      </c>
      <c r="T872" s="859">
        <v>0</v>
      </c>
      <c r="U872" s="535" t="s">
        <v>5705</v>
      </c>
      <c r="V872" s="535" t="s">
        <v>5744</v>
      </c>
      <c r="W872" s="498">
        <v>199</v>
      </c>
      <c r="X872" s="535" t="s">
        <v>1862</v>
      </c>
      <c r="Y872" s="535" t="s">
        <v>1935</v>
      </c>
      <c r="Z872" s="535" t="s">
        <v>1689</v>
      </c>
      <c r="AA872" s="535" t="s">
        <v>1589</v>
      </c>
      <c r="AB872" s="536" t="s">
        <v>1589</v>
      </c>
    </row>
    <row r="873" spans="1:28" ht="24" customHeight="1">
      <c r="A873" s="584"/>
      <c r="B873" s="460" t="s">
        <v>675</v>
      </c>
      <c r="C873" s="458" t="s">
        <v>5745</v>
      </c>
      <c r="D873" s="510" t="s">
        <v>5746</v>
      </c>
      <c r="E873" s="657">
        <f t="shared" si="64"/>
        <v>500</v>
      </c>
      <c r="F873" s="497">
        <v>0</v>
      </c>
      <c r="G873" s="657">
        <v>500</v>
      </c>
      <c r="H873" s="497">
        <v>0</v>
      </c>
      <c r="I873" s="497">
        <f t="shared" si="63"/>
        <v>430</v>
      </c>
      <c r="J873" s="497">
        <v>0</v>
      </c>
      <c r="K873" s="497">
        <v>430</v>
      </c>
      <c r="L873" s="721">
        <v>0</v>
      </c>
      <c r="M873" s="957">
        <v>0.86</v>
      </c>
      <c r="N873" s="653">
        <v>249.08696</v>
      </c>
      <c r="O873" s="735" t="s">
        <v>5747</v>
      </c>
      <c r="P873" s="535" t="s">
        <v>1588</v>
      </c>
      <c r="Q873" s="859">
        <v>0</v>
      </c>
      <c r="R873" s="859">
        <v>0</v>
      </c>
      <c r="S873" s="859">
        <v>0</v>
      </c>
      <c r="T873" s="859">
        <v>0</v>
      </c>
      <c r="U873" s="535" t="s">
        <v>5705</v>
      </c>
      <c r="V873" s="535" t="s">
        <v>5748</v>
      </c>
      <c r="W873" s="498">
        <v>800</v>
      </c>
      <c r="X873" s="535" t="s">
        <v>1862</v>
      </c>
      <c r="Y873" s="535" t="s">
        <v>3463</v>
      </c>
      <c r="Z873" s="535" t="s">
        <v>1689</v>
      </c>
      <c r="AA873" s="535" t="s">
        <v>1589</v>
      </c>
      <c r="AB873" s="536" t="s">
        <v>1589</v>
      </c>
    </row>
    <row r="874" spans="1:28" ht="24" customHeight="1">
      <c r="A874" s="584"/>
      <c r="B874" s="460" t="s">
        <v>675</v>
      </c>
      <c r="C874" s="458" t="s">
        <v>5749</v>
      </c>
      <c r="D874" s="510" t="s">
        <v>5750</v>
      </c>
      <c r="E874" s="657">
        <f t="shared" si="64"/>
        <v>340</v>
      </c>
      <c r="F874" s="497">
        <v>0</v>
      </c>
      <c r="G874" s="657">
        <v>340</v>
      </c>
      <c r="H874" s="497">
        <v>0</v>
      </c>
      <c r="I874" s="497">
        <f t="shared" si="63"/>
        <v>340</v>
      </c>
      <c r="J874" s="497">
        <v>0</v>
      </c>
      <c r="K874" s="497">
        <v>340</v>
      </c>
      <c r="L874" s="721">
        <v>0</v>
      </c>
      <c r="M874" s="957">
        <v>1</v>
      </c>
      <c r="N874" s="653">
        <v>289.63600000000002</v>
      </c>
      <c r="O874" s="735" t="s">
        <v>5089</v>
      </c>
      <c r="P874" s="535" t="s">
        <v>1588</v>
      </c>
      <c r="Q874" s="859">
        <v>0</v>
      </c>
      <c r="R874" s="859">
        <v>0</v>
      </c>
      <c r="S874" s="859">
        <v>0</v>
      </c>
      <c r="T874" s="859">
        <v>0</v>
      </c>
      <c r="U874" s="535" t="s">
        <v>5705</v>
      </c>
      <c r="V874" s="535" t="s">
        <v>5751</v>
      </c>
      <c r="W874" s="498">
        <v>890</v>
      </c>
      <c r="X874" s="535" t="s">
        <v>1862</v>
      </c>
      <c r="Y874" s="535" t="s">
        <v>1935</v>
      </c>
      <c r="Z874" s="535" t="s">
        <v>1689</v>
      </c>
      <c r="AA874" s="535" t="s">
        <v>1589</v>
      </c>
      <c r="AB874" s="536" t="s">
        <v>1589</v>
      </c>
    </row>
    <row r="875" spans="1:28" ht="24" customHeight="1">
      <c r="A875" s="584"/>
      <c r="B875" s="460" t="s">
        <v>675</v>
      </c>
      <c r="C875" s="458" t="s">
        <v>5752</v>
      </c>
      <c r="D875" s="510" t="s">
        <v>5753</v>
      </c>
      <c r="E875" s="657">
        <f t="shared" si="64"/>
        <v>200</v>
      </c>
      <c r="F875" s="497">
        <v>0</v>
      </c>
      <c r="G875" s="657">
        <v>200</v>
      </c>
      <c r="H875" s="497">
        <v>0</v>
      </c>
      <c r="I875" s="497">
        <f t="shared" si="63"/>
        <v>186</v>
      </c>
      <c r="J875" s="497">
        <v>0</v>
      </c>
      <c r="K875" s="497">
        <v>186</v>
      </c>
      <c r="L875" s="721">
        <v>0</v>
      </c>
      <c r="M875" s="957">
        <v>0.93</v>
      </c>
      <c r="N875" s="653">
        <v>269.36148000000003</v>
      </c>
      <c r="O875" s="735" t="s">
        <v>5754</v>
      </c>
      <c r="P875" s="535" t="s">
        <v>1588</v>
      </c>
      <c r="Q875" s="859">
        <v>0</v>
      </c>
      <c r="R875" s="859">
        <v>0</v>
      </c>
      <c r="S875" s="859">
        <v>0</v>
      </c>
      <c r="T875" s="859">
        <v>0</v>
      </c>
      <c r="U875" s="535" t="s">
        <v>5705</v>
      </c>
      <c r="V875" s="535" t="s">
        <v>5755</v>
      </c>
      <c r="W875" s="498">
        <v>456</v>
      </c>
      <c r="X875" s="535" t="s">
        <v>1862</v>
      </c>
      <c r="Y875" s="535" t="s">
        <v>5756</v>
      </c>
      <c r="Z875" s="535" t="s">
        <v>1689</v>
      </c>
      <c r="AA875" s="535" t="s">
        <v>1589</v>
      </c>
      <c r="AB875" s="536" t="s">
        <v>1589</v>
      </c>
    </row>
    <row r="876" spans="1:28" ht="24" customHeight="1">
      <c r="A876" s="584"/>
      <c r="B876" s="460" t="s">
        <v>675</v>
      </c>
      <c r="C876" s="458" t="s">
        <v>5757</v>
      </c>
      <c r="D876" s="510" t="s">
        <v>5758</v>
      </c>
      <c r="E876" s="657">
        <f t="shared" si="64"/>
        <v>200</v>
      </c>
      <c r="F876" s="497">
        <v>0</v>
      </c>
      <c r="G876" s="657">
        <v>200</v>
      </c>
      <c r="H876" s="497">
        <v>0</v>
      </c>
      <c r="I876" s="497">
        <f t="shared" si="63"/>
        <v>189</v>
      </c>
      <c r="J876" s="497">
        <v>0</v>
      </c>
      <c r="K876" s="497">
        <v>189</v>
      </c>
      <c r="L876" s="721">
        <v>0</v>
      </c>
      <c r="M876" s="957">
        <v>0.94499999999999995</v>
      </c>
      <c r="N876" s="653">
        <v>273.70601999999997</v>
      </c>
      <c r="O876" s="735" t="s">
        <v>5754</v>
      </c>
      <c r="P876" s="535" t="s">
        <v>1588</v>
      </c>
      <c r="Q876" s="859">
        <v>0</v>
      </c>
      <c r="R876" s="859">
        <v>0</v>
      </c>
      <c r="S876" s="859">
        <v>0</v>
      </c>
      <c r="T876" s="859">
        <v>0</v>
      </c>
      <c r="U876" s="535" t="s">
        <v>5705</v>
      </c>
      <c r="V876" s="535" t="s">
        <v>5759</v>
      </c>
      <c r="W876" s="498">
        <v>520</v>
      </c>
      <c r="X876" s="535" t="s">
        <v>1862</v>
      </c>
      <c r="Y876" s="535" t="s">
        <v>5756</v>
      </c>
      <c r="Z876" s="535" t="s">
        <v>1689</v>
      </c>
      <c r="AA876" s="535" t="s">
        <v>1589</v>
      </c>
      <c r="AB876" s="536" t="s">
        <v>1589</v>
      </c>
    </row>
    <row r="877" spans="1:28" ht="24" customHeight="1">
      <c r="A877" s="584"/>
      <c r="B877" s="460" t="s">
        <v>675</v>
      </c>
      <c r="C877" s="458" t="s">
        <v>5760</v>
      </c>
      <c r="D877" s="510" t="s">
        <v>5761</v>
      </c>
      <c r="E877" s="657">
        <f t="shared" si="64"/>
        <v>25</v>
      </c>
      <c r="F877" s="497">
        <v>0</v>
      </c>
      <c r="G877" s="657">
        <v>0</v>
      </c>
      <c r="H877" s="497">
        <v>25</v>
      </c>
      <c r="I877" s="497">
        <f t="shared" ref="I877:I940" si="65">J877+K877+L877</f>
        <v>22</v>
      </c>
      <c r="J877" s="497">
        <v>0</v>
      </c>
      <c r="K877" s="497">
        <v>0</v>
      </c>
      <c r="L877" s="721">
        <v>22</v>
      </c>
      <c r="M877" s="957">
        <v>0.88</v>
      </c>
      <c r="N877" s="653">
        <v>254.87968000000001</v>
      </c>
      <c r="O877" s="735" t="s">
        <v>5720</v>
      </c>
      <c r="P877" s="535" t="s">
        <v>1588</v>
      </c>
      <c r="Q877" s="859">
        <v>0</v>
      </c>
      <c r="R877" s="859">
        <v>0</v>
      </c>
      <c r="S877" s="859">
        <v>0</v>
      </c>
      <c r="T877" s="859">
        <v>0</v>
      </c>
      <c r="U877" s="535" t="s">
        <v>5705</v>
      </c>
      <c r="V877" s="535" t="s">
        <v>5762</v>
      </c>
      <c r="W877" s="498">
        <v>178</v>
      </c>
      <c r="X877" s="535" t="s">
        <v>1862</v>
      </c>
      <c r="Y877" s="535" t="s">
        <v>3399</v>
      </c>
      <c r="Z877" s="535" t="s">
        <v>1688</v>
      </c>
      <c r="AA877" s="535" t="s">
        <v>1686</v>
      </c>
      <c r="AB877" s="536" t="s">
        <v>5703</v>
      </c>
    </row>
    <row r="878" spans="1:28" ht="24" customHeight="1">
      <c r="A878" s="584"/>
      <c r="B878" s="460" t="s">
        <v>675</v>
      </c>
      <c r="C878" s="458" t="s">
        <v>5763</v>
      </c>
      <c r="D878" s="510" t="s">
        <v>5764</v>
      </c>
      <c r="E878" s="657">
        <f t="shared" si="64"/>
        <v>25</v>
      </c>
      <c r="F878" s="497">
        <v>0</v>
      </c>
      <c r="G878" s="657">
        <v>25</v>
      </c>
      <c r="H878" s="497">
        <v>0</v>
      </c>
      <c r="I878" s="497">
        <f t="shared" si="65"/>
        <v>22</v>
      </c>
      <c r="J878" s="497">
        <v>0</v>
      </c>
      <c r="K878" s="497">
        <v>22</v>
      </c>
      <c r="L878" s="721">
        <v>0</v>
      </c>
      <c r="M878" s="957">
        <v>0.88</v>
      </c>
      <c r="N878" s="653">
        <v>254.87968000000001</v>
      </c>
      <c r="O878" s="735" t="s">
        <v>5765</v>
      </c>
      <c r="P878" s="535" t="s">
        <v>1588</v>
      </c>
      <c r="Q878" s="859">
        <v>0</v>
      </c>
      <c r="R878" s="859">
        <v>0</v>
      </c>
      <c r="S878" s="859">
        <v>0</v>
      </c>
      <c r="T878" s="859">
        <v>0</v>
      </c>
      <c r="U878" s="535" t="s">
        <v>5705</v>
      </c>
      <c r="V878" s="535" t="s">
        <v>5766</v>
      </c>
      <c r="W878" s="498">
        <v>157</v>
      </c>
      <c r="X878" s="535" t="s">
        <v>1862</v>
      </c>
      <c r="Y878" s="535" t="s">
        <v>3399</v>
      </c>
      <c r="Z878" s="535" t="s">
        <v>1689</v>
      </c>
      <c r="AA878" s="535" t="s">
        <v>1589</v>
      </c>
      <c r="AB878" s="536" t="s">
        <v>1589</v>
      </c>
    </row>
    <row r="879" spans="1:28" ht="24" customHeight="1">
      <c r="A879" s="584"/>
      <c r="B879" s="460" t="s">
        <v>675</v>
      </c>
      <c r="C879" s="458" t="s">
        <v>5767</v>
      </c>
      <c r="D879" s="510" t="s">
        <v>5768</v>
      </c>
      <c r="E879" s="657">
        <f t="shared" si="64"/>
        <v>30</v>
      </c>
      <c r="F879" s="497">
        <v>0</v>
      </c>
      <c r="G879" s="657">
        <v>0</v>
      </c>
      <c r="H879" s="497">
        <v>30</v>
      </c>
      <c r="I879" s="497">
        <f t="shared" si="65"/>
        <v>29</v>
      </c>
      <c r="J879" s="497">
        <v>0</v>
      </c>
      <c r="K879" s="497">
        <v>0</v>
      </c>
      <c r="L879" s="721">
        <v>29</v>
      </c>
      <c r="M879" s="957">
        <v>0.96666666666666667</v>
      </c>
      <c r="N879" s="653">
        <v>279.98146666666668</v>
      </c>
      <c r="O879" s="735" t="s">
        <v>5769</v>
      </c>
      <c r="P879" s="535" t="s">
        <v>1588</v>
      </c>
      <c r="Q879" s="859">
        <v>0</v>
      </c>
      <c r="R879" s="859">
        <v>0</v>
      </c>
      <c r="S879" s="859">
        <v>0</v>
      </c>
      <c r="T879" s="859">
        <v>0</v>
      </c>
      <c r="U879" s="535" t="s">
        <v>5705</v>
      </c>
      <c r="V879" s="535" t="s">
        <v>5770</v>
      </c>
      <c r="W879" s="498">
        <v>134</v>
      </c>
      <c r="X879" s="535" t="s">
        <v>1862</v>
      </c>
      <c r="Y879" s="535" t="s">
        <v>5771</v>
      </c>
      <c r="Z879" s="535" t="s">
        <v>1688</v>
      </c>
      <c r="AA879" s="535" t="s">
        <v>1686</v>
      </c>
      <c r="AB879" s="536" t="s">
        <v>5703</v>
      </c>
    </row>
    <row r="880" spans="1:28" ht="24" customHeight="1">
      <c r="A880" s="584"/>
      <c r="B880" s="460" t="s">
        <v>675</v>
      </c>
      <c r="C880" s="458" t="s">
        <v>5772</v>
      </c>
      <c r="D880" s="510" t="s">
        <v>5773</v>
      </c>
      <c r="E880" s="657">
        <f t="shared" si="64"/>
        <v>30</v>
      </c>
      <c r="F880" s="497">
        <v>0</v>
      </c>
      <c r="G880" s="657">
        <v>30</v>
      </c>
      <c r="H880" s="497">
        <v>0</v>
      </c>
      <c r="I880" s="497">
        <f t="shared" si="65"/>
        <v>25</v>
      </c>
      <c r="J880" s="497">
        <v>0</v>
      </c>
      <c r="K880" s="497">
        <v>25</v>
      </c>
      <c r="L880" s="721">
        <v>0</v>
      </c>
      <c r="M880" s="957">
        <v>0.83333333333333348</v>
      </c>
      <c r="N880" s="653">
        <v>241.36333333333337</v>
      </c>
      <c r="O880" s="735" t="s">
        <v>5720</v>
      </c>
      <c r="P880" s="535" t="s">
        <v>1588</v>
      </c>
      <c r="Q880" s="859">
        <v>0</v>
      </c>
      <c r="R880" s="859">
        <v>0</v>
      </c>
      <c r="S880" s="859">
        <v>0</v>
      </c>
      <c r="T880" s="859">
        <v>0</v>
      </c>
      <c r="U880" s="535" t="s">
        <v>5705</v>
      </c>
      <c r="V880" s="535" t="s">
        <v>5774</v>
      </c>
      <c r="W880" s="498">
        <v>213</v>
      </c>
      <c r="X880" s="535" t="s">
        <v>1862</v>
      </c>
      <c r="Y880" s="535" t="s">
        <v>1935</v>
      </c>
      <c r="Z880" s="535" t="s">
        <v>5731</v>
      </c>
      <c r="AA880" s="535" t="s">
        <v>1686</v>
      </c>
      <c r="AB880" s="536" t="s">
        <v>5703</v>
      </c>
    </row>
    <row r="881" spans="1:28" ht="24" customHeight="1">
      <c r="A881" s="584"/>
      <c r="B881" s="460" t="s">
        <v>675</v>
      </c>
      <c r="C881" s="458" t="s">
        <v>5775</v>
      </c>
      <c r="D881" s="510" t="s">
        <v>5776</v>
      </c>
      <c r="E881" s="657">
        <f t="shared" si="64"/>
        <v>25</v>
      </c>
      <c r="F881" s="497">
        <v>0</v>
      </c>
      <c r="G881" s="657">
        <v>25</v>
      </c>
      <c r="H881" s="497">
        <v>0</v>
      </c>
      <c r="I881" s="497">
        <f t="shared" si="65"/>
        <v>23</v>
      </c>
      <c r="J881" s="497">
        <v>0</v>
      </c>
      <c r="K881" s="497">
        <v>23</v>
      </c>
      <c r="L881" s="721">
        <v>0</v>
      </c>
      <c r="M881" s="957">
        <v>0.92</v>
      </c>
      <c r="N881" s="653">
        <v>266.46512000000001</v>
      </c>
      <c r="O881" s="735" t="s">
        <v>5777</v>
      </c>
      <c r="P881" s="535" t="s">
        <v>1588</v>
      </c>
      <c r="Q881" s="859">
        <v>0</v>
      </c>
      <c r="R881" s="859">
        <v>0</v>
      </c>
      <c r="S881" s="859">
        <v>0</v>
      </c>
      <c r="T881" s="859">
        <v>0</v>
      </c>
      <c r="U881" s="535" t="s">
        <v>5705</v>
      </c>
      <c r="V881" s="535" t="s">
        <v>5331</v>
      </c>
      <c r="W881" s="498">
        <v>125</v>
      </c>
      <c r="X881" s="535" t="s">
        <v>1862</v>
      </c>
      <c r="Y881" s="535" t="s">
        <v>1862</v>
      </c>
      <c r="Z881" s="535" t="s">
        <v>5731</v>
      </c>
      <c r="AA881" s="535" t="s">
        <v>1686</v>
      </c>
      <c r="AB881" s="536" t="s">
        <v>5703</v>
      </c>
    </row>
    <row r="882" spans="1:28" ht="24" customHeight="1">
      <c r="A882" s="584"/>
      <c r="B882" s="460" t="s">
        <v>675</v>
      </c>
      <c r="C882" s="458" t="s">
        <v>5778</v>
      </c>
      <c r="D882" s="510" t="s">
        <v>5779</v>
      </c>
      <c r="E882" s="657">
        <f t="shared" si="64"/>
        <v>25</v>
      </c>
      <c r="F882" s="497">
        <v>0</v>
      </c>
      <c r="G882" s="657">
        <v>0</v>
      </c>
      <c r="H882" s="497">
        <v>25</v>
      </c>
      <c r="I882" s="497">
        <f t="shared" si="65"/>
        <v>22</v>
      </c>
      <c r="J882" s="497">
        <v>0</v>
      </c>
      <c r="K882" s="497">
        <v>0</v>
      </c>
      <c r="L882" s="721">
        <v>22</v>
      </c>
      <c r="M882" s="957">
        <v>0.88</v>
      </c>
      <c r="N882" s="653">
        <v>254.87968000000001</v>
      </c>
      <c r="O882" s="735" t="s">
        <v>5720</v>
      </c>
      <c r="P882" s="535" t="s">
        <v>1588</v>
      </c>
      <c r="Q882" s="859">
        <v>0</v>
      </c>
      <c r="R882" s="859">
        <v>0</v>
      </c>
      <c r="S882" s="859">
        <v>0</v>
      </c>
      <c r="T882" s="859">
        <v>0</v>
      </c>
      <c r="U882" s="535" t="s">
        <v>5705</v>
      </c>
      <c r="V882" s="535" t="s">
        <v>5780</v>
      </c>
      <c r="W882" s="498">
        <v>201</v>
      </c>
      <c r="X882" s="535" t="s">
        <v>1862</v>
      </c>
      <c r="Y882" s="535" t="s">
        <v>3399</v>
      </c>
      <c r="Z882" s="535" t="s">
        <v>5731</v>
      </c>
      <c r="AA882" s="535" t="s">
        <v>1686</v>
      </c>
      <c r="AB882" s="536" t="s">
        <v>5703</v>
      </c>
    </row>
    <row r="883" spans="1:28" ht="24" customHeight="1">
      <c r="A883" s="584"/>
      <c r="B883" s="460" t="s">
        <v>675</v>
      </c>
      <c r="C883" s="458" t="s">
        <v>5781</v>
      </c>
      <c r="D883" s="510" t="s">
        <v>5782</v>
      </c>
      <c r="E883" s="657">
        <f t="shared" si="64"/>
        <v>20</v>
      </c>
      <c r="F883" s="497">
        <v>0</v>
      </c>
      <c r="G883" s="657">
        <v>0</v>
      </c>
      <c r="H883" s="497">
        <v>20</v>
      </c>
      <c r="I883" s="497">
        <f t="shared" si="65"/>
        <v>18</v>
      </c>
      <c r="J883" s="497">
        <v>0</v>
      </c>
      <c r="K883" s="497">
        <v>0</v>
      </c>
      <c r="L883" s="721">
        <v>18</v>
      </c>
      <c r="M883" s="957">
        <v>0.9</v>
      </c>
      <c r="N883" s="653">
        <v>260.67239999999998</v>
      </c>
      <c r="O883" s="735" t="s">
        <v>5783</v>
      </c>
      <c r="P883" s="535" t="s">
        <v>1588</v>
      </c>
      <c r="Q883" s="859">
        <v>0</v>
      </c>
      <c r="R883" s="859">
        <v>0</v>
      </c>
      <c r="S883" s="859">
        <v>0</v>
      </c>
      <c r="T883" s="859">
        <v>0</v>
      </c>
      <c r="U883" s="535" t="s">
        <v>5705</v>
      </c>
      <c r="V883" s="535" t="s">
        <v>5784</v>
      </c>
      <c r="W883" s="498">
        <v>217</v>
      </c>
      <c r="X883" s="535" t="s">
        <v>1862</v>
      </c>
      <c r="Y883" s="535" t="s">
        <v>3399</v>
      </c>
      <c r="Z883" s="535" t="s">
        <v>1688</v>
      </c>
      <c r="AA883" s="535" t="s">
        <v>1686</v>
      </c>
      <c r="AB883" s="536" t="s">
        <v>5703</v>
      </c>
    </row>
    <row r="884" spans="1:28" ht="24" customHeight="1">
      <c r="A884" s="584"/>
      <c r="B884" s="460" t="s">
        <v>675</v>
      </c>
      <c r="C884" s="458" t="s">
        <v>5785</v>
      </c>
      <c r="D884" s="510" t="s">
        <v>5786</v>
      </c>
      <c r="E884" s="657">
        <f t="shared" si="64"/>
        <v>30</v>
      </c>
      <c r="F884" s="497">
        <v>0</v>
      </c>
      <c r="G884" s="657">
        <v>30</v>
      </c>
      <c r="H884" s="497">
        <v>0</v>
      </c>
      <c r="I884" s="497">
        <f t="shared" si="65"/>
        <v>28</v>
      </c>
      <c r="J884" s="497">
        <v>0</v>
      </c>
      <c r="K884" s="497">
        <v>28</v>
      </c>
      <c r="L884" s="721">
        <v>0</v>
      </c>
      <c r="M884" s="957">
        <v>0.93333333333333324</v>
      </c>
      <c r="N884" s="653">
        <v>270.32693333333327</v>
      </c>
      <c r="O884" s="735" t="s">
        <v>5787</v>
      </c>
      <c r="P884" s="535" t="s">
        <v>1588</v>
      </c>
      <c r="Q884" s="859">
        <v>0</v>
      </c>
      <c r="R884" s="859">
        <v>0</v>
      </c>
      <c r="S884" s="859">
        <v>0</v>
      </c>
      <c r="T884" s="859">
        <v>0</v>
      </c>
      <c r="U884" s="535" t="s">
        <v>5705</v>
      </c>
      <c r="V884" s="535" t="s">
        <v>3299</v>
      </c>
      <c r="W884" s="498">
        <v>97</v>
      </c>
      <c r="X884" s="535" t="s">
        <v>1862</v>
      </c>
      <c r="Y884" s="535" t="s">
        <v>1935</v>
      </c>
      <c r="Z884" s="535" t="s">
        <v>1689</v>
      </c>
      <c r="AA884" s="535" t="s">
        <v>1589</v>
      </c>
      <c r="AB884" s="536" t="s">
        <v>1589</v>
      </c>
    </row>
    <row r="885" spans="1:28" ht="24" customHeight="1">
      <c r="A885" s="584"/>
      <c r="B885" s="460" t="s">
        <v>675</v>
      </c>
      <c r="C885" s="458" t="s">
        <v>5788</v>
      </c>
      <c r="D885" s="510" t="s">
        <v>5789</v>
      </c>
      <c r="E885" s="657">
        <f t="shared" si="64"/>
        <v>25</v>
      </c>
      <c r="F885" s="497">
        <v>0</v>
      </c>
      <c r="G885" s="657">
        <v>25</v>
      </c>
      <c r="H885" s="497">
        <v>0</v>
      </c>
      <c r="I885" s="497">
        <f t="shared" si="65"/>
        <v>24</v>
      </c>
      <c r="J885" s="497">
        <v>0</v>
      </c>
      <c r="K885" s="497">
        <v>24</v>
      </c>
      <c r="L885" s="721">
        <v>0</v>
      </c>
      <c r="M885" s="957">
        <v>0.96</v>
      </c>
      <c r="N885" s="653">
        <v>278.05056000000002</v>
      </c>
      <c r="O885" s="735" t="s">
        <v>5787</v>
      </c>
      <c r="P885" s="535" t="s">
        <v>1588</v>
      </c>
      <c r="Q885" s="859">
        <v>0</v>
      </c>
      <c r="R885" s="859">
        <v>0</v>
      </c>
      <c r="S885" s="859">
        <v>0</v>
      </c>
      <c r="T885" s="859">
        <v>0</v>
      </c>
      <c r="U885" s="535" t="s">
        <v>5705</v>
      </c>
      <c r="V885" s="535" t="s">
        <v>5790</v>
      </c>
      <c r="W885" s="498">
        <v>81</v>
      </c>
      <c r="X885" s="535" t="s">
        <v>1862</v>
      </c>
      <c r="Y885" s="535" t="s">
        <v>1862</v>
      </c>
      <c r="Z885" s="535" t="s">
        <v>1689</v>
      </c>
      <c r="AA885" s="535" t="s">
        <v>1589</v>
      </c>
      <c r="AB885" s="536" t="s">
        <v>1589</v>
      </c>
    </row>
    <row r="886" spans="1:28" ht="24" customHeight="1">
      <c r="A886" s="584"/>
      <c r="B886" s="460" t="s">
        <v>675</v>
      </c>
      <c r="C886" s="458" t="s">
        <v>5791</v>
      </c>
      <c r="D886" s="510" t="s">
        <v>5792</v>
      </c>
      <c r="E886" s="657">
        <f t="shared" si="64"/>
        <v>30</v>
      </c>
      <c r="F886" s="497">
        <v>0</v>
      </c>
      <c r="G886" s="657">
        <v>30</v>
      </c>
      <c r="H886" s="497">
        <v>0</v>
      </c>
      <c r="I886" s="497">
        <f t="shared" si="65"/>
        <v>28</v>
      </c>
      <c r="J886" s="497">
        <v>0</v>
      </c>
      <c r="K886" s="497">
        <v>28</v>
      </c>
      <c r="L886" s="721">
        <v>0</v>
      </c>
      <c r="M886" s="957">
        <v>0.93333333333333324</v>
      </c>
      <c r="N886" s="653">
        <v>270.32693333333327</v>
      </c>
      <c r="O886" s="735" t="s">
        <v>5787</v>
      </c>
      <c r="P886" s="535" t="s">
        <v>1588</v>
      </c>
      <c r="Q886" s="859">
        <v>0</v>
      </c>
      <c r="R886" s="859">
        <v>0</v>
      </c>
      <c r="S886" s="859">
        <v>0</v>
      </c>
      <c r="T886" s="859">
        <v>0</v>
      </c>
      <c r="U886" s="535" t="s">
        <v>5705</v>
      </c>
      <c r="V886" s="535" t="s">
        <v>3299</v>
      </c>
      <c r="W886" s="498">
        <v>83</v>
      </c>
      <c r="X886" s="535" t="s">
        <v>1862</v>
      </c>
      <c r="Y886" s="535" t="s">
        <v>1862</v>
      </c>
      <c r="Z886" s="535" t="s">
        <v>1689</v>
      </c>
      <c r="AA886" s="535" t="s">
        <v>1589</v>
      </c>
      <c r="AB886" s="536" t="s">
        <v>1589</v>
      </c>
    </row>
    <row r="887" spans="1:28" ht="24" customHeight="1">
      <c r="A887" s="584"/>
      <c r="B887" s="460" t="s">
        <v>675</v>
      </c>
      <c r="C887" s="458" t="s">
        <v>5793</v>
      </c>
      <c r="D887" s="510" t="s">
        <v>5794</v>
      </c>
      <c r="E887" s="657">
        <f t="shared" si="64"/>
        <v>20</v>
      </c>
      <c r="F887" s="497">
        <v>0</v>
      </c>
      <c r="G887" s="657">
        <v>20</v>
      </c>
      <c r="H887" s="497">
        <v>0</v>
      </c>
      <c r="I887" s="497">
        <f t="shared" si="65"/>
        <v>17</v>
      </c>
      <c r="J887" s="497">
        <v>0</v>
      </c>
      <c r="K887" s="497">
        <v>17</v>
      </c>
      <c r="L887" s="721">
        <v>0</v>
      </c>
      <c r="M887" s="957">
        <v>0.85</v>
      </c>
      <c r="N887" s="653">
        <v>246.19060000000002</v>
      </c>
      <c r="O887" s="735" t="s">
        <v>5089</v>
      </c>
      <c r="P887" s="535" t="s">
        <v>1588</v>
      </c>
      <c r="Q887" s="859">
        <v>0</v>
      </c>
      <c r="R887" s="859">
        <v>0</v>
      </c>
      <c r="S887" s="859">
        <v>0</v>
      </c>
      <c r="T887" s="859">
        <v>0</v>
      </c>
      <c r="U887" s="535" t="s">
        <v>5705</v>
      </c>
      <c r="V887" s="535" t="s">
        <v>3580</v>
      </c>
      <c r="W887" s="498">
        <v>81</v>
      </c>
      <c r="X887" s="535" t="s">
        <v>1862</v>
      </c>
      <c r="Y887" s="535" t="s">
        <v>1862</v>
      </c>
      <c r="Z887" s="535" t="s">
        <v>1689</v>
      </c>
      <c r="AA887" s="535" t="s">
        <v>1589</v>
      </c>
      <c r="AB887" s="536" t="s">
        <v>1589</v>
      </c>
    </row>
    <row r="888" spans="1:28" ht="24" customHeight="1">
      <c r="A888" s="584"/>
      <c r="B888" s="460" t="s">
        <v>675</v>
      </c>
      <c r="C888" s="458" t="s">
        <v>5795</v>
      </c>
      <c r="D888" s="510" t="s">
        <v>5796</v>
      </c>
      <c r="E888" s="657">
        <f t="shared" si="64"/>
        <v>33</v>
      </c>
      <c r="F888" s="497">
        <v>0</v>
      </c>
      <c r="G888" s="657">
        <v>33</v>
      </c>
      <c r="H888" s="497">
        <v>0</v>
      </c>
      <c r="I888" s="497">
        <f t="shared" si="65"/>
        <v>30</v>
      </c>
      <c r="J888" s="497">
        <v>0</v>
      </c>
      <c r="K888" s="497">
        <v>30</v>
      </c>
      <c r="L888" s="721">
        <v>0</v>
      </c>
      <c r="M888" s="957">
        <v>0.90909090909090906</v>
      </c>
      <c r="N888" s="653">
        <v>263.30545454545455</v>
      </c>
      <c r="O888" s="735" t="s">
        <v>5797</v>
      </c>
      <c r="P888" s="535" t="s">
        <v>1588</v>
      </c>
      <c r="Q888" s="859">
        <v>0</v>
      </c>
      <c r="R888" s="859">
        <v>0</v>
      </c>
      <c r="S888" s="859">
        <v>0</v>
      </c>
      <c r="T888" s="859">
        <v>0</v>
      </c>
      <c r="U888" s="535" t="s">
        <v>5705</v>
      </c>
      <c r="V888" s="535" t="s">
        <v>5744</v>
      </c>
      <c r="W888" s="498">
        <v>158</v>
      </c>
      <c r="X888" s="535" t="s">
        <v>1862</v>
      </c>
      <c r="Y888" s="535" t="s">
        <v>1862</v>
      </c>
      <c r="Z888" s="535" t="s">
        <v>1689</v>
      </c>
      <c r="AA888" s="535" t="s">
        <v>1589</v>
      </c>
      <c r="AB888" s="536" t="s">
        <v>1589</v>
      </c>
    </row>
    <row r="889" spans="1:28" ht="24" customHeight="1">
      <c r="A889" s="584"/>
      <c r="B889" s="460" t="s">
        <v>675</v>
      </c>
      <c r="C889" s="458" t="s">
        <v>5798</v>
      </c>
      <c r="D889" s="510" t="s">
        <v>5799</v>
      </c>
      <c r="E889" s="657">
        <f t="shared" si="64"/>
        <v>47</v>
      </c>
      <c r="F889" s="497">
        <v>0</v>
      </c>
      <c r="G889" s="657">
        <v>47</v>
      </c>
      <c r="H889" s="497">
        <v>0</v>
      </c>
      <c r="I889" s="497">
        <f t="shared" si="65"/>
        <v>45</v>
      </c>
      <c r="J889" s="497">
        <v>0</v>
      </c>
      <c r="K889" s="497">
        <v>45</v>
      </c>
      <c r="L889" s="721">
        <v>0</v>
      </c>
      <c r="M889" s="957">
        <v>0.95744680851063835</v>
      </c>
      <c r="N889" s="653">
        <v>277.31106382978726</v>
      </c>
      <c r="O889" s="735" t="s">
        <v>5797</v>
      </c>
      <c r="P889" s="535" t="s">
        <v>1588</v>
      </c>
      <c r="Q889" s="859">
        <v>0</v>
      </c>
      <c r="R889" s="859">
        <v>0</v>
      </c>
      <c r="S889" s="859">
        <v>0</v>
      </c>
      <c r="T889" s="859">
        <v>0</v>
      </c>
      <c r="U889" s="535" t="s">
        <v>5705</v>
      </c>
      <c r="V889" s="535" t="s">
        <v>5744</v>
      </c>
      <c r="W889" s="498">
        <v>192</v>
      </c>
      <c r="X889" s="535" t="s">
        <v>1862</v>
      </c>
      <c r="Y889" s="535" t="s">
        <v>1862</v>
      </c>
      <c r="Z889" s="535" t="s">
        <v>1689</v>
      </c>
      <c r="AA889" s="535" t="s">
        <v>1589</v>
      </c>
      <c r="AB889" s="536" t="s">
        <v>1589</v>
      </c>
    </row>
    <row r="890" spans="1:28" ht="24" customHeight="1">
      <c r="A890" s="584"/>
      <c r="B890" s="460" t="s">
        <v>675</v>
      </c>
      <c r="C890" s="458" t="s">
        <v>5800</v>
      </c>
      <c r="D890" s="510" t="s">
        <v>5801</v>
      </c>
      <c r="E890" s="657">
        <f t="shared" si="64"/>
        <v>40</v>
      </c>
      <c r="F890" s="497">
        <v>0</v>
      </c>
      <c r="G890" s="657">
        <v>40</v>
      </c>
      <c r="H890" s="497">
        <v>0</v>
      </c>
      <c r="I890" s="497">
        <f t="shared" si="65"/>
        <v>33</v>
      </c>
      <c r="J890" s="497">
        <v>0</v>
      </c>
      <c r="K890" s="497">
        <v>33</v>
      </c>
      <c r="L890" s="721">
        <v>0</v>
      </c>
      <c r="M890" s="957">
        <v>0.82499999999999996</v>
      </c>
      <c r="N890" s="653">
        <v>238.94969999999998</v>
      </c>
      <c r="O890" s="735" t="s">
        <v>5720</v>
      </c>
      <c r="P890" s="535" t="s">
        <v>1588</v>
      </c>
      <c r="Q890" s="859">
        <v>0</v>
      </c>
      <c r="R890" s="859">
        <v>0</v>
      </c>
      <c r="S890" s="859">
        <v>0</v>
      </c>
      <c r="T890" s="859">
        <v>0</v>
      </c>
      <c r="U890" s="535" t="s">
        <v>5705</v>
      </c>
      <c r="V890" s="535" t="s">
        <v>5802</v>
      </c>
      <c r="W890" s="498">
        <v>194</v>
      </c>
      <c r="X890" s="535" t="s">
        <v>1862</v>
      </c>
      <c r="Y890" s="535" t="s">
        <v>1862</v>
      </c>
      <c r="Z890" s="535" t="s">
        <v>1688</v>
      </c>
      <c r="AA890" s="535" t="s">
        <v>1686</v>
      </c>
      <c r="AB890" s="536" t="s">
        <v>5703</v>
      </c>
    </row>
    <row r="891" spans="1:28" ht="24" customHeight="1">
      <c r="A891" s="584"/>
      <c r="B891" s="460" t="s">
        <v>675</v>
      </c>
      <c r="C891" s="458" t="s">
        <v>5803</v>
      </c>
      <c r="D891" s="510" t="s">
        <v>2480</v>
      </c>
      <c r="E891" s="657">
        <f t="shared" si="64"/>
        <v>40</v>
      </c>
      <c r="F891" s="497">
        <v>0</v>
      </c>
      <c r="G891" s="657">
        <v>40</v>
      </c>
      <c r="H891" s="497">
        <v>0</v>
      </c>
      <c r="I891" s="497">
        <f t="shared" si="65"/>
        <v>21</v>
      </c>
      <c r="J891" s="497">
        <v>0</v>
      </c>
      <c r="K891" s="497">
        <v>21</v>
      </c>
      <c r="L891" s="721">
        <v>0</v>
      </c>
      <c r="M891" s="957">
        <v>0.52500000000000002</v>
      </c>
      <c r="N891" s="653">
        <v>152.05889999999999</v>
      </c>
      <c r="O891" s="735" t="s">
        <v>5720</v>
      </c>
      <c r="P891" s="535" t="s">
        <v>1588</v>
      </c>
      <c r="Q891" s="859">
        <v>0</v>
      </c>
      <c r="R891" s="859">
        <v>0</v>
      </c>
      <c r="S891" s="859">
        <v>0</v>
      </c>
      <c r="T891" s="859">
        <v>0</v>
      </c>
      <c r="U891" s="535" t="s">
        <v>5705</v>
      </c>
      <c r="V891" s="535" t="s">
        <v>2481</v>
      </c>
      <c r="W891" s="498">
        <v>310</v>
      </c>
      <c r="X891" s="535" t="s">
        <v>1862</v>
      </c>
      <c r="Y891" s="535" t="s">
        <v>1862</v>
      </c>
      <c r="Z891" s="535" t="s">
        <v>5731</v>
      </c>
      <c r="AA891" s="535" t="s">
        <v>1686</v>
      </c>
      <c r="AB891" s="536" t="s">
        <v>5703</v>
      </c>
    </row>
    <row r="892" spans="1:28" ht="24" customHeight="1">
      <c r="A892" s="584"/>
      <c r="B892" s="460" t="s">
        <v>675</v>
      </c>
      <c r="C892" s="458" t="s">
        <v>2482</v>
      </c>
      <c r="D892" s="510" t="s">
        <v>2483</v>
      </c>
      <c r="E892" s="657">
        <f t="shared" si="64"/>
        <v>20</v>
      </c>
      <c r="F892" s="497">
        <v>0</v>
      </c>
      <c r="G892" s="657">
        <v>20</v>
      </c>
      <c r="H892" s="497">
        <v>0</v>
      </c>
      <c r="I892" s="497">
        <f t="shared" si="65"/>
        <v>14</v>
      </c>
      <c r="J892" s="497">
        <v>0</v>
      </c>
      <c r="K892" s="497">
        <v>14</v>
      </c>
      <c r="L892" s="721">
        <v>0</v>
      </c>
      <c r="M892" s="957">
        <v>0.7</v>
      </c>
      <c r="N892" s="653">
        <v>202.74519999999998</v>
      </c>
      <c r="O892" s="735" t="s">
        <v>5765</v>
      </c>
      <c r="P892" s="535" t="s">
        <v>1588</v>
      </c>
      <c r="Q892" s="859">
        <v>0</v>
      </c>
      <c r="R892" s="859">
        <v>0</v>
      </c>
      <c r="S892" s="859">
        <v>0</v>
      </c>
      <c r="T892" s="859">
        <v>0</v>
      </c>
      <c r="U892" s="535" t="s">
        <v>5705</v>
      </c>
      <c r="V892" s="535" t="s">
        <v>2484</v>
      </c>
      <c r="W892" s="498">
        <v>142</v>
      </c>
      <c r="X892" s="535" t="s">
        <v>1862</v>
      </c>
      <c r="Y892" s="535" t="s">
        <v>1862</v>
      </c>
      <c r="Z892" s="535" t="s">
        <v>1689</v>
      </c>
      <c r="AA892" s="535" t="s">
        <v>1589</v>
      </c>
      <c r="AB892" s="536" t="s">
        <v>1589</v>
      </c>
    </row>
    <row r="893" spans="1:28" ht="24" customHeight="1">
      <c r="A893" s="584"/>
      <c r="B893" s="460" t="s">
        <v>675</v>
      </c>
      <c r="C893" s="458" t="s">
        <v>2485</v>
      </c>
      <c r="D893" s="510" t="s">
        <v>2486</v>
      </c>
      <c r="E893" s="657">
        <f t="shared" si="64"/>
        <v>20</v>
      </c>
      <c r="F893" s="497">
        <v>0</v>
      </c>
      <c r="G893" s="657">
        <v>20</v>
      </c>
      <c r="H893" s="497">
        <v>0</v>
      </c>
      <c r="I893" s="497">
        <f t="shared" si="65"/>
        <v>13</v>
      </c>
      <c r="J893" s="497">
        <v>0</v>
      </c>
      <c r="K893" s="497">
        <v>13</v>
      </c>
      <c r="L893" s="721">
        <v>0</v>
      </c>
      <c r="M893" s="957">
        <v>0.65</v>
      </c>
      <c r="N893" s="653">
        <v>188.26339999999999</v>
      </c>
      <c r="O893" s="735" t="s">
        <v>5720</v>
      </c>
      <c r="P893" s="535" t="s">
        <v>1588</v>
      </c>
      <c r="Q893" s="859">
        <v>0</v>
      </c>
      <c r="R893" s="859">
        <v>0</v>
      </c>
      <c r="S893" s="859">
        <v>0</v>
      </c>
      <c r="T893" s="859">
        <v>0</v>
      </c>
      <c r="U893" s="535" t="s">
        <v>5705</v>
      </c>
      <c r="V893" s="535" t="s">
        <v>2487</v>
      </c>
      <c r="W893" s="498">
        <v>240</v>
      </c>
      <c r="X893" s="535" t="s">
        <v>1862</v>
      </c>
      <c r="Y893" s="535" t="s">
        <v>1862</v>
      </c>
      <c r="Z893" s="535" t="s">
        <v>1689</v>
      </c>
      <c r="AA893" s="535" t="s">
        <v>1589</v>
      </c>
      <c r="AB893" s="536" t="s">
        <v>1589</v>
      </c>
    </row>
    <row r="894" spans="1:28" ht="24" customHeight="1">
      <c r="A894" s="584"/>
      <c r="B894" s="460" t="s">
        <v>675</v>
      </c>
      <c r="C894" s="458" t="s">
        <v>2488</v>
      </c>
      <c r="D894" s="510" t="s">
        <v>2489</v>
      </c>
      <c r="E894" s="657">
        <f t="shared" si="64"/>
        <v>40</v>
      </c>
      <c r="F894" s="497">
        <v>0</v>
      </c>
      <c r="G894" s="657">
        <v>40</v>
      </c>
      <c r="H894" s="497">
        <v>0</v>
      </c>
      <c r="I894" s="497">
        <f t="shared" si="65"/>
        <v>35</v>
      </c>
      <c r="J894" s="497">
        <v>0</v>
      </c>
      <c r="K894" s="497">
        <v>35</v>
      </c>
      <c r="L894" s="721">
        <v>0</v>
      </c>
      <c r="M894" s="957">
        <v>0.875</v>
      </c>
      <c r="N894" s="653">
        <v>253.4315</v>
      </c>
      <c r="O894" s="735" t="s">
        <v>5765</v>
      </c>
      <c r="P894" s="535" t="s">
        <v>1588</v>
      </c>
      <c r="Q894" s="859">
        <v>0</v>
      </c>
      <c r="R894" s="859">
        <v>0</v>
      </c>
      <c r="S894" s="859">
        <v>0</v>
      </c>
      <c r="T894" s="859">
        <v>0</v>
      </c>
      <c r="U894" s="535" t="s">
        <v>5705</v>
      </c>
      <c r="V894" s="535" t="s">
        <v>5766</v>
      </c>
      <c r="W894" s="498">
        <v>578</v>
      </c>
      <c r="X894" s="535" t="s">
        <v>1862</v>
      </c>
      <c r="Y894" s="535" t="s">
        <v>3399</v>
      </c>
      <c r="Z894" s="535" t="s">
        <v>1688</v>
      </c>
      <c r="AA894" s="535" t="s">
        <v>1686</v>
      </c>
      <c r="AB894" s="536" t="s">
        <v>5703</v>
      </c>
    </row>
    <row r="895" spans="1:28" ht="24" customHeight="1">
      <c r="A895" s="584"/>
      <c r="B895" s="460" t="s">
        <v>675</v>
      </c>
      <c r="C895" s="458" t="s">
        <v>5677</v>
      </c>
      <c r="D895" s="510" t="s">
        <v>2490</v>
      </c>
      <c r="E895" s="497">
        <f t="shared" si="64"/>
        <v>30</v>
      </c>
      <c r="F895" s="497">
        <v>0</v>
      </c>
      <c r="G895" s="497">
        <v>0</v>
      </c>
      <c r="H895" s="497">
        <v>30</v>
      </c>
      <c r="I895" s="497">
        <f t="shared" si="65"/>
        <v>25</v>
      </c>
      <c r="J895" s="497">
        <v>0</v>
      </c>
      <c r="K895" s="497">
        <v>0</v>
      </c>
      <c r="L895" s="721">
        <v>25</v>
      </c>
      <c r="M895" s="957">
        <v>0.83333333333333348</v>
      </c>
      <c r="N895" s="653">
        <v>241.36333333333337</v>
      </c>
      <c r="O895" s="735" t="s">
        <v>5769</v>
      </c>
      <c r="P895" s="535" t="s">
        <v>1588</v>
      </c>
      <c r="Q895" s="859">
        <v>0</v>
      </c>
      <c r="R895" s="859">
        <v>0</v>
      </c>
      <c r="S895" s="859">
        <v>0</v>
      </c>
      <c r="T895" s="859">
        <v>0</v>
      </c>
      <c r="U895" s="535" t="s">
        <v>5705</v>
      </c>
      <c r="V895" s="535" t="s">
        <v>5770</v>
      </c>
      <c r="W895" s="498">
        <v>537</v>
      </c>
      <c r="X895" s="535" t="s">
        <v>1862</v>
      </c>
      <c r="Y895" s="535" t="s">
        <v>5771</v>
      </c>
      <c r="Z895" s="535" t="s">
        <v>1688</v>
      </c>
      <c r="AA895" s="535" t="s">
        <v>1686</v>
      </c>
      <c r="AB895" s="536" t="s">
        <v>5703</v>
      </c>
    </row>
    <row r="896" spans="1:28" ht="24" customHeight="1">
      <c r="A896" s="584"/>
      <c r="B896" s="460" t="s">
        <v>675</v>
      </c>
      <c r="C896" s="458" t="s">
        <v>2491</v>
      </c>
      <c r="D896" s="510" t="s">
        <v>2492</v>
      </c>
      <c r="E896" s="497">
        <f t="shared" si="64"/>
        <v>30</v>
      </c>
      <c r="F896" s="497">
        <v>0</v>
      </c>
      <c r="G896" s="497">
        <v>0</v>
      </c>
      <c r="H896" s="497">
        <v>30</v>
      </c>
      <c r="I896" s="497">
        <f t="shared" si="65"/>
        <v>25</v>
      </c>
      <c r="J896" s="497">
        <v>0</v>
      </c>
      <c r="K896" s="497">
        <v>0</v>
      </c>
      <c r="L896" s="721">
        <v>25</v>
      </c>
      <c r="M896" s="957">
        <v>0.83333333333333348</v>
      </c>
      <c r="N896" s="653">
        <v>241.36333333333337</v>
      </c>
      <c r="O896" s="735" t="s">
        <v>5769</v>
      </c>
      <c r="P896" s="535" t="s">
        <v>1588</v>
      </c>
      <c r="Q896" s="859">
        <v>0</v>
      </c>
      <c r="R896" s="859">
        <v>0</v>
      </c>
      <c r="S896" s="859">
        <v>0</v>
      </c>
      <c r="T896" s="859">
        <v>0</v>
      </c>
      <c r="U896" s="535" t="s">
        <v>5705</v>
      </c>
      <c r="V896" s="535" t="s">
        <v>5770</v>
      </c>
      <c r="W896" s="498">
        <v>500</v>
      </c>
      <c r="X896" s="535" t="s">
        <v>1862</v>
      </c>
      <c r="Y896" s="535" t="s">
        <v>5771</v>
      </c>
      <c r="Z896" s="535" t="s">
        <v>1688</v>
      </c>
      <c r="AA896" s="535" t="s">
        <v>1686</v>
      </c>
      <c r="AB896" s="536" t="s">
        <v>5703</v>
      </c>
    </row>
    <row r="897" spans="1:28" ht="24" customHeight="1">
      <c r="A897" s="584"/>
      <c r="B897" s="460" t="s">
        <v>675</v>
      </c>
      <c r="C897" s="458" t="s">
        <v>2493</v>
      </c>
      <c r="D897" s="510" t="s">
        <v>2494</v>
      </c>
      <c r="E897" s="497">
        <f t="shared" si="64"/>
        <v>130</v>
      </c>
      <c r="F897" s="497">
        <v>0</v>
      </c>
      <c r="G897" s="497">
        <v>0</v>
      </c>
      <c r="H897" s="497">
        <v>130</v>
      </c>
      <c r="I897" s="497">
        <f t="shared" si="65"/>
        <v>130</v>
      </c>
      <c r="J897" s="497">
        <v>0</v>
      </c>
      <c r="K897" s="497">
        <v>0</v>
      </c>
      <c r="L897" s="721">
        <v>130</v>
      </c>
      <c r="M897" s="957">
        <v>1</v>
      </c>
      <c r="N897" s="653">
        <v>289.63600000000002</v>
      </c>
      <c r="O897" s="735" t="s">
        <v>2495</v>
      </c>
      <c r="P897" s="535" t="s">
        <v>1588</v>
      </c>
      <c r="Q897" s="859">
        <v>0</v>
      </c>
      <c r="R897" s="859">
        <v>0</v>
      </c>
      <c r="S897" s="859">
        <v>0</v>
      </c>
      <c r="T897" s="859">
        <v>0</v>
      </c>
      <c r="U897" s="535" t="s">
        <v>5705</v>
      </c>
      <c r="V897" s="535" t="s">
        <v>2496</v>
      </c>
      <c r="W897" s="498">
        <v>496</v>
      </c>
      <c r="X897" s="535" t="s">
        <v>1862</v>
      </c>
      <c r="Y897" s="535" t="s">
        <v>5756</v>
      </c>
      <c r="Z897" s="535" t="s">
        <v>1689</v>
      </c>
      <c r="AA897" s="535" t="s">
        <v>1589</v>
      </c>
      <c r="AB897" s="536" t="s">
        <v>1589</v>
      </c>
    </row>
    <row r="898" spans="1:28" ht="24" customHeight="1">
      <c r="A898" s="582" t="s">
        <v>1691</v>
      </c>
      <c r="B898" s="460" t="s">
        <v>2201</v>
      </c>
      <c r="C898" s="458" t="s">
        <v>2421</v>
      </c>
      <c r="D898" s="510" t="s">
        <v>2497</v>
      </c>
      <c r="E898" s="497">
        <f t="shared" si="64"/>
        <v>20000</v>
      </c>
      <c r="F898" s="497">
        <v>0</v>
      </c>
      <c r="G898" s="497">
        <v>20000</v>
      </c>
      <c r="H898" s="497">
        <v>0</v>
      </c>
      <c r="I898" s="497">
        <f t="shared" si="65"/>
        <v>12743</v>
      </c>
      <c r="J898" s="497">
        <v>201</v>
      </c>
      <c r="K898" s="497">
        <v>12542</v>
      </c>
      <c r="L898" s="721">
        <v>0</v>
      </c>
      <c r="M898" s="956">
        <v>0.87556357078449054</v>
      </c>
      <c r="N898" s="653">
        <v>1237.3453000000002</v>
      </c>
      <c r="O898" s="731" t="s">
        <v>1535</v>
      </c>
      <c r="P898" s="514" t="s">
        <v>1588</v>
      </c>
      <c r="Q898" s="859">
        <v>0</v>
      </c>
      <c r="R898" s="859">
        <v>0</v>
      </c>
      <c r="S898" s="859">
        <v>20</v>
      </c>
      <c r="T898" s="859">
        <v>0</v>
      </c>
      <c r="U898" s="514" t="s">
        <v>2498</v>
      </c>
      <c r="V898" s="514">
        <v>99.1</v>
      </c>
      <c r="W898" s="498">
        <v>48785</v>
      </c>
      <c r="X898" s="514" t="s">
        <v>2276</v>
      </c>
      <c r="Y898" s="514" t="s">
        <v>1533</v>
      </c>
      <c r="Z898" s="514" t="s">
        <v>1911</v>
      </c>
      <c r="AA898" s="514" t="s">
        <v>1685</v>
      </c>
      <c r="AB898" s="531" t="s">
        <v>1596</v>
      </c>
    </row>
    <row r="899" spans="1:28" ht="24" customHeight="1">
      <c r="A899" s="584"/>
      <c r="B899" s="460" t="s">
        <v>675</v>
      </c>
      <c r="C899" s="458" t="s">
        <v>2499</v>
      </c>
      <c r="D899" s="510" t="s">
        <v>2500</v>
      </c>
      <c r="E899" s="497">
        <f t="shared" si="64"/>
        <v>55</v>
      </c>
      <c r="F899" s="497">
        <v>0</v>
      </c>
      <c r="G899" s="497">
        <v>55</v>
      </c>
      <c r="H899" s="497">
        <v>0</v>
      </c>
      <c r="I899" s="497">
        <f t="shared" si="65"/>
        <v>27</v>
      </c>
      <c r="J899" s="497">
        <v>0</v>
      </c>
      <c r="K899" s="497">
        <v>27</v>
      </c>
      <c r="L899" s="721">
        <v>0</v>
      </c>
      <c r="M899" s="957">
        <v>0.93</v>
      </c>
      <c r="N899" s="653">
        <v>0</v>
      </c>
      <c r="O899" s="731" t="s">
        <v>2501</v>
      </c>
      <c r="P899" s="514" t="s">
        <v>1588</v>
      </c>
      <c r="Q899" s="859">
        <v>0</v>
      </c>
      <c r="R899" s="859">
        <v>0</v>
      </c>
      <c r="S899" s="859">
        <v>0</v>
      </c>
      <c r="T899" s="859">
        <v>0</v>
      </c>
      <c r="U899" s="514" t="s">
        <v>2502</v>
      </c>
      <c r="V899" s="514">
        <v>0.12</v>
      </c>
      <c r="W899" s="498">
        <v>334</v>
      </c>
      <c r="X899" s="514" t="s">
        <v>1532</v>
      </c>
      <c r="Y899" s="514" t="s">
        <v>1533</v>
      </c>
      <c r="Z899" s="514" t="s">
        <v>1911</v>
      </c>
      <c r="AA899" s="514" t="s">
        <v>1685</v>
      </c>
      <c r="AB899" s="531" t="s">
        <v>1596</v>
      </c>
    </row>
    <row r="900" spans="1:28" ht="24" customHeight="1">
      <c r="A900" s="584"/>
      <c r="B900" s="460" t="s">
        <v>675</v>
      </c>
      <c r="C900" s="458" t="s">
        <v>2503</v>
      </c>
      <c r="D900" s="510" t="s">
        <v>2504</v>
      </c>
      <c r="E900" s="497">
        <f t="shared" si="64"/>
        <v>50</v>
      </c>
      <c r="F900" s="497">
        <v>0</v>
      </c>
      <c r="G900" s="497">
        <v>50</v>
      </c>
      <c r="H900" s="497">
        <v>0</v>
      </c>
      <c r="I900" s="497">
        <f t="shared" si="65"/>
        <v>25</v>
      </c>
      <c r="J900" s="497">
        <v>0</v>
      </c>
      <c r="K900" s="497">
        <v>25</v>
      </c>
      <c r="L900" s="721">
        <v>0</v>
      </c>
      <c r="M900" s="956">
        <v>0.93</v>
      </c>
      <c r="N900" s="653">
        <v>0</v>
      </c>
      <c r="O900" s="731" t="s">
        <v>2505</v>
      </c>
      <c r="P900" s="514" t="s">
        <v>1588</v>
      </c>
      <c r="Q900" s="859">
        <v>0</v>
      </c>
      <c r="R900" s="859">
        <v>0</v>
      </c>
      <c r="S900" s="859">
        <v>0</v>
      </c>
      <c r="T900" s="859">
        <v>0</v>
      </c>
      <c r="U900" s="514" t="s">
        <v>2502</v>
      </c>
      <c r="V900" s="514">
        <v>99.02</v>
      </c>
      <c r="W900" s="498">
        <v>146</v>
      </c>
      <c r="X900" s="514" t="s">
        <v>1532</v>
      </c>
      <c r="Y900" s="514" t="s">
        <v>1533</v>
      </c>
      <c r="Z900" s="514"/>
      <c r="AA900" s="514" t="s">
        <v>1679</v>
      </c>
      <c r="AB900" s="531" t="s">
        <v>1596</v>
      </c>
    </row>
    <row r="901" spans="1:28" ht="24" customHeight="1">
      <c r="A901" s="584"/>
      <c r="B901" s="460" t="s">
        <v>675</v>
      </c>
      <c r="C901" s="458" t="s">
        <v>2506</v>
      </c>
      <c r="D901" s="510" t="s">
        <v>2507</v>
      </c>
      <c r="E901" s="497">
        <f t="shared" si="64"/>
        <v>81</v>
      </c>
      <c r="F901" s="497">
        <v>0</v>
      </c>
      <c r="G901" s="497">
        <v>81</v>
      </c>
      <c r="H901" s="497">
        <v>0</v>
      </c>
      <c r="I901" s="497">
        <f t="shared" si="65"/>
        <v>40</v>
      </c>
      <c r="J901" s="497">
        <v>0</v>
      </c>
      <c r="K901" s="497">
        <v>40</v>
      </c>
      <c r="L901" s="721">
        <v>0</v>
      </c>
      <c r="M901" s="956">
        <v>0.93</v>
      </c>
      <c r="N901" s="653">
        <v>0</v>
      </c>
      <c r="O901" s="731" t="s">
        <v>5089</v>
      </c>
      <c r="P901" s="514" t="s">
        <v>1588</v>
      </c>
      <c r="Q901" s="859">
        <v>0</v>
      </c>
      <c r="R901" s="859">
        <v>0</v>
      </c>
      <c r="S901" s="859">
        <v>0</v>
      </c>
      <c r="T901" s="859">
        <v>0</v>
      </c>
      <c r="U901" s="514" t="s">
        <v>2502</v>
      </c>
      <c r="V901" s="514">
        <v>98.1</v>
      </c>
      <c r="W901" s="498">
        <v>289</v>
      </c>
      <c r="X901" s="514" t="s">
        <v>1532</v>
      </c>
      <c r="Y901" s="514" t="s">
        <v>1533</v>
      </c>
      <c r="Z901" s="514"/>
      <c r="AA901" s="514" t="s">
        <v>1679</v>
      </c>
      <c r="AB901" s="531" t="s">
        <v>1596</v>
      </c>
    </row>
    <row r="902" spans="1:28" ht="24" customHeight="1">
      <c r="A902" s="584"/>
      <c r="B902" s="460" t="s">
        <v>675</v>
      </c>
      <c r="C902" s="458" t="s">
        <v>2508</v>
      </c>
      <c r="D902" s="510" t="s">
        <v>2509</v>
      </c>
      <c r="E902" s="497">
        <f t="shared" si="64"/>
        <v>60</v>
      </c>
      <c r="F902" s="497">
        <v>0</v>
      </c>
      <c r="G902" s="497">
        <v>60</v>
      </c>
      <c r="H902" s="497">
        <v>0</v>
      </c>
      <c r="I902" s="497">
        <f t="shared" si="65"/>
        <v>30</v>
      </c>
      <c r="J902" s="497">
        <v>0</v>
      </c>
      <c r="K902" s="497">
        <v>30</v>
      </c>
      <c r="L902" s="721">
        <v>0</v>
      </c>
      <c r="M902" s="956">
        <v>0.93</v>
      </c>
      <c r="N902" s="653">
        <v>0</v>
      </c>
      <c r="O902" s="731" t="s">
        <v>2505</v>
      </c>
      <c r="P902" s="514" t="s">
        <v>1588</v>
      </c>
      <c r="Q902" s="859">
        <v>0</v>
      </c>
      <c r="R902" s="859">
        <v>0</v>
      </c>
      <c r="S902" s="859">
        <v>0</v>
      </c>
      <c r="T902" s="859">
        <v>0</v>
      </c>
      <c r="U902" s="514" t="s">
        <v>2502</v>
      </c>
      <c r="V902" s="514">
        <v>98.04</v>
      </c>
      <c r="W902" s="498">
        <v>231</v>
      </c>
      <c r="X902" s="514" t="s">
        <v>1532</v>
      </c>
      <c r="Y902" s="514" t="s">
        <v>1533</v>
      </c>
      <c r="Z902" s="514"/>
      <c r="AA902" s="514" t="s">
        <v>1679</v>
      </c>
      <c r="AB902" s="531" t="s">
        <v>1596</v>
      </c>
    </row>
    <row r="903" spans="1:28" ht="24" customHeight="1">
      <c r="A903" s="584"/>
      <c r="B903" s="460" t="s">
        <v>675</v>
      </c>
      <c r="C903" s="458" t="s">
        <v>2510</v>
      </c>
      <c r="D903" s="510" t="s">
        <v>2511</v>
      </c>
      <c r="E903" s="497">
        <f t="shared" si="64"/>
        <v>50</v>
      </c>
      <c r="F903" s="497">
        <v>0</v>
      </c>
      <c r="G903" s="497">
        <v>50</v>
      </c>
      <c r="H903" s="497">
        <v>0</v>
      </c>
      <c r="I903" s="497">
        <f t="shared" si="65"/>
        <v>25</v>
      </c>
      <c r="J903" s="497">
        <v>0</v>
      </c>
      <c r="K903" s="497">
        <v>25</v>
      </c>
      <c r="L903" s="721">
        <v>0</v>
      </c>
      <c r="M903" s="956">
        <v>0.93</v>
      </c>
      <c r="N903" s="653">
        <v>0</v>
      </c>
      <c r="O903" s="731" t="s">
        <v>2505</v>
      </c>
      <c r="P903" s="514" t="s">
        <v>1588</v>
      </c>
      <c r="Q903" s="859">
        <v>0</v>
      </c>
      <c r="R903" s="859">
        <v>0</v>
      </c>
      <c r="S903" s="859">
        <v>0</v>
      </c>
      <c r="T903" s="859">
        <v>0</v>
      </c>
      <c r="U903" s="514" t="s">
        <v>2502</v>
      </c>
      <c r="V903" s="514">
        <v>99.01</v>
      </c>
      <c r="W903" s="498">
        <v>277</v>
      </c>
      <c r="X903" s="514" t="s">
        <v>1532</v>
      </c>
      <c r="Y903" s="514" t="s">
        <v>1533</v>
      </c>
      <c r="Z903" s="514" t="s">
        <v>2512</v>
      </c>
      <c r="AA903" s="514" t="s">
        <v>2513</v>
      </c>
      <c r="AB903" s="531" t="s">
        <v>1596</v>
      </c>
    </row>
    <row r="904" spans="1:28" ht="24" customHeight="1">
      <c r="A904" s="584"/>
      <c r="B904" s="460" t="s">
        <v>675</v>
      </c>
      <c r="C904" s="458" t="s">
        <v>2514</v>
      </c>
      <c r="D904" s="510" t="s">
        <v>2515</v>
      </c>
      <c r="E904" s="497">
        <f t="shared" si="64"/>
        <v>60</v>
      </c>
      <c r="F904" s="497">
        <v>0</v>
      </c>
      <c r="G904" s="497">
        <v>60</v>
      </c>
      <c r="H904" s="497">
        <v>0</v>
      </c>
      <c r="I904" s="497">
        <f t="shared" si="65"/>
        <v>30</v>
      </c>
      <c r="J904" s="497">
        <v>0</v>
      </c>
      <c r="K904" s="497">
        <v>30</v>
      </c>
      <c r="L904" s="721">
        <v>0</v>
      </c>
      <c r="M904" s="956">
        <v>0.93</v>
      </c>
      <c r="N904" s="653">
        <v>0</v>
      </c>
      <c r="O904" s="731" t="s">
        <v>2505</v>
      </c>
      <c r="P904" s="514" t="s">
        <v>1588</v>
      </c>
      <c r="Q904" s="859">
        <v>0</v>
      </c>
      <c r="R904" s="859">
        <v>0</v>
      </c>
      <c r="S904" s="859">
        <v>0</v>
      </c>
      <c r="T904" s="859">
        <v>0</v>
      </c>
      <c r="U904" s="514" t="s">
        <v>2502</v>
      </c>
      <c r="V904" s="514">
        <v>99.11</v>
      </c>
      <c r="W904" s="498">
        <v>165</v>
      </c>
      <c r="X904" s="514" t="s">
        <v>1532</v>
      </c>
      <c r="Y904" s="514" t="s">
        <v>1533</v>
      </c>
      <c r="Z904" s="514" t="s">
        <v>2512</v>
      </c>
      <c r="AA904" s="514" t="s">
        <v>1679</v>
      </c>
      <c r="AB904" s="531" t="s">
        <v>1596</v>
      </c>
    </row>
    <row r="905" spans="1:28" ht="24" customHeight="1">
      <c r="A905" s="584"/>
      <c r="B905" s="460" t="s">
        <v>675</v>
      </c>
      <c r="C905" s="458" t="s">
        <v>2516</v>
      </c>
      <c r="D905" s="510" t="s">
        <v>2517</v>
      </c>
      <c r="E905" s="497">
        <f t="shared" si="64"/>
        <v>58</v>
      </c>
      <c r="F905" s="497">
        <v>0</v>
      </c>
      <c r="G905" s="497">
        <v>58</v>
      </c>
      <c r="H905" s="497">
        <v>0</v>
      </c>
      <c r="I905" s="497">
        <f t="shared" si="65"/>
        <v>29</v>
      </c>
      <c r="J905" s="497">
        <v>0</v>
      </c>
      <c r="K905" s="497">
        <v>29</v>
      </c>
      <c r="L905" s="721">
        <v>0</v>
      </c>
      <c r="M905" s="956">
        <v>0.93</v>
      </c>
      <c r="N905" s="653">
        <v>0</v>
      </c>
      <c r="O905" s="731" t="s">
        <v>5089</v>
      </c>
      <c r="P905" s="514" t="s">
        <v>1588</v>
      </c>
      <c r="Q905" s="859">
        <v>0</v>
      </c>
      <c r="R905" s="859">
        <v>0</v>
      </c>
      <c r="S905" s="859">
        <v>0</v>
      </c>
      <c r="T905" s="859">
        <v>0</v>
      </c>
      <c r="U905" s="514" t="s">
        <v>2502</v>
      </c>
      <c r="V905" s="514">
        <v>99.02</v>
      </c>
      <c r="W905" s="498">
        <v>128</v>
      </c>
      <c r="X905" s="514" t="s">
        <v>1532</v>
      </c>
      <c r="Y905" s="514" t="s">
        <v>1533</v>
      </c>
      <c r="Z905" s="514"/>
      <c r="AA905" s="514" t="s">
        <v>1679</v>
      </c>
      <c r="AB905" s="531" t="s">
        <v>1596</v>
      </c>
    </row>
    <row r="906" spans="1:28" ht="24" customHeight="1">
      <c r="A906" s="584"/>
      <c r="B906" s="460" t="s">
        <v>675</v>
      </c>
      <c r="C906" s="458" t="s">
        <v>2518</v>
      </c>
      <c r="D906" s="510" t="s">
        <v>2519</v>
      </c>
      <c r="E906" s="497">
        <f t="shared" si="64"/>
        <v>50</v>
      </c>
      <c r="F906" s="497">
        <v>0</v>
      </c>
      <c r="G906" s="497">
        <v>50</v>
      </c>
      <c r="H906" s="497">
        <v>0</v>
      </c>
      <c r="I906" s="497">
        <f t="shared" si="65"/>
        <v>25</v>
      </c>
      <c r="J906" s="497">
        <v>0</v>
      </c>
      <c r="K906" s="497">
        <v>25</v>
      </c>
      <c r="L906" s="721">
        <v>0</v>
      </c>
      <c r="M906" s="956">
        <v>0.93</v>
      </c>
      <c r="N906" s="653">
        <v>0</v>
      </c>
      <c r="O906" s="731" t="s">
        <v>2505</v>
      </c>
      <c r="P906" s="514" t="s">
        <v>1588</v>
      </c>
      <c r="Q906" s="859">
        <v>0</v>
      </c>
      <c r="R906" s="859">
        <v>0</v>
      </c>
      <c r="S906" s="859">
        <v>0</v>
      </c>
      <c r="T906" s="859">
        <v>0</v>
      </c>
      <c r="U906" s="514" t="s">
        <v>2502</v>
      </c>
      <c r="V906" s="514">
        <v>1.1200000000000001</v>
      </c>
      <c r="W906" s="498">
        <v>281</v>
      </c>
      <c r="X906" s="514" t="s">
        <v>1532</v>
      </c>
      <c r="Y906" s="514" t="s">
        <v>1533</v>
      </c>
      <c r="Z906" s="514" t="s">
        <v>2520</v>
      </c>
      <c r="AA906" s="514" t="s">
        <v>1685</v>
      </c>
      <c r="AB906" s="531" t="s">
        <v>1596</v>
      </c>
    </row>
    <row r="907" spans="1:28" ht="24" customHeight="1">
      <c r="A907" s="584"/>
      <c r="B907" s="460" t="s">
        <v>675</v>
      </c>
      <c r="C907" s="458" t="s">
        <v>2521</v>
      </c>
      <c r="D907" s="510" t="s">
        <v>2522</v>
      </c>
      <c r="E907" s="497">
        <f t="shared" si="64"/>
        <v>175</v>
      </c>
      <c r="F907" s="497">
        <v>0</v>
      </c>
      <c r="G907" s="497">
        <v>175</v>
      </c>
      <c r="H907" s="497">
        <v>0</v>
      </c>
      <c r="I907" s="497">
        <f t="shared" si="65"/>
        <v>109</v>
      </c>
      <c r="J907" s="497">
        <v>0</v>
      </c>
      <c r="K907" s="497">
        <v>109</v>
      </c>
      <c r="L907" s="721">
        <v>0</v>
      </c>
      <c r="M907" s="956">
        <v>0.93</v>
      </c>
      <c r="N907" s="653">
        <v>5.3819999999999997</v>
      </c>
      <c r="O907" s="731" t="s">
        <v>2523</v>
      </c>
      <c r="P907" s="514" t="s">
        <v>1588</v>
      </c>
      <c r="Q907" s="859">
        <v>0</v>
      </c>
      <c r="R907" s="859">
        <v>0</v>
      </c>
      <c r="S907" s="859">
        <v>0</v>
      </c>
      <c r="T907" s="859">
        <v>0</v>
      </c>
      <c r="U907" s="514" t="s">
        <v>2502</v>
      </c>
      <c r="V907" s="514">
        <v>97.09</v>
      </c>
      <c r="W907" s="498"/>
      <c r="X907" s="514" t="s">
        <v>1532</v>
      </c>
      <c r="Y907" s="514" t="s">
        <v>1533</v>
      </c>
      <c r="Z907" s="514"/>
      <c r="AA907" s="514" t="s">
        <v>1679</v>
      </c>
      <c r="AB907" s="531" t="s">
        <v>1596</v>
      </c>
    </row>
    <row r="908" spans="1:28" ht="24" customHeight="1">
      <c r="A908" s="584"/>
      <c r="B908" s="460" t="s">
        <v>675</v>
      </c>
      <c r="C908" s="458" t="s">
        <v>2524</v>
      </c>
      <c r="D908" s="510" t="s">
        <v>2525</v>
      </c>
      <c r="E908" s="497">
        <f t="shared" si="64"/>
        <v>23</v>
      </c>
      <c r="F908" s="497">
        <v>0</v>
      </c>
      <c r="G908" s="497">
        <v>23</v>
      </c>
      <c r="H908" s="497">
        <v>0</v>
      </c>
      <c r="I908" s="497">
        <f t="shared" si="65"/>
        <v>12</v>
      </c>
      <c r="J908" s="497">
        <v>0</v>
      </c>
      <c r="K908" s="497">
        <v>12</v>
      </c>
      <c r="L908" s="721">
        <v>0</v>
      </c>
      <c r="M908" s="956">
        <v>0.93</v>
      </c>
      <c r="N908" s="653">
        <v>0</v>
      </c>
      <c r="O908" s="731" t="s">
        <v>2526</v>
      </c>
      <c r="P908" s="514" t="s">
        <v>1588</v>
      </c>
      <c r="Q908" s="859">
        <v>0</v>
      </c>
      <c r="R908" s="859">
        <v>0</v>
      </c>
      <c r="S908" s="859">
        <v>0</v>
      </c>
      <c r="T908" s="859">
        <v>0</v>
      </c>
      <c r="U908" s="514" t="s">
        <v>2502</v>
      </c>
      <c r="V908" s="537" t="s">
        <v>2527</v>
      </c>
      <c r="W908" s="498">
        <v>182</v>
      </c>
      <c r="X908" s="514" t="s">
        <v>1532</v>
      </c>
      <c r="Y908" s="514" t="s">
        <v>1533</v>
      </c>
      <c r="Z908" s="514"/>
      <c r="AA908" s="514" t="s">
        <v>1679</v>
      </c>
      <c r="AB908" s="531" t="s">
        <v>1596</v>
      </c>
    </row>
    <row r="909" spans="1:28" ht="24" customHeight="1">
      <c r="A909" s="584"/>
      <c r="B909" s="460" t="s">
        <v>675</v>
      </c>
      <c r="C909" s="458" t="s">
        <v>2528</v>
      </c>
      <c r="D909" s="705" t="s">
        <v>2529</v>
      </c>
      <c r="E909" s="666">
        <f t="shared" si="64"/>
        <v>23</v>
      </c>
      <c r="F909" s="497">
        <v>0</v>
      </c>
      <c r="G909" s="666">
        <v>23</v>
      </c>
      <c r="H909" s="497">
        <v>0</v>
      </c>
      <c r="I909" s="497">
        <f t="shared" si="65"/>
        <v>12</v>
      </c>
      <c r="J909" s="497">
        <v>0</v>
      </c>
      <c r="K909" s="497">
        <v>12</v>
      </c>
      <c r="L909" s="721">
        <v>0</v>
      </c>
      <c r="M909" s="956">
        <v>0.93</v>
      </c>
      <c r="N909" s="653">
        <v>0</v>
      </c>
      <c r="O909" s="736" t="s">
        <v>2526</v>
      </c>
      <c r="P909" s="514" t="s">
        <v>1588</v>
      </c>
      <c r="Q909" s="859">
        <v>0</v>
      </c>
      <c r="R909" s="859">
        <v>0</v>
      </c>
      <c r="S909" s="859">
        <v>0</v>
      </c>
      <c r="T909" s="859">
        <v>0</v>
      </c>
      <c r="U909" s="514" t="s">
        <v>2502</v>
      </c>
      <c r="V909" s="537" t="s">
        <v>2527</v>
      </c>
      <c r="W909" s="498">
        <v>91</v>
      </c>
      <c r="X909" s="514" t="s">
        <v>1532</v>
      </c>
      <c r="Y909" s="514" t="s">
        <v>1533</v>
      </c>
      <c r="Z909" s="514"/>
      <c r="AA909" s="514" t="s">
        <v>1679</v>
      </c>
      <c r="AB909" s="531" t="s">
        <v>1596</v>
      </c>
    </row>
    <row r="910" spans="1:28" ht="24" customHeight="1">
      <c r="A910" s="584"/>
      <c r="B910" s="460" t="s">
        <v>675</v>
      </c>
      <c r="C910" s="500" t="s">
        <v>2530</v>
      </c>
      <c r="D910" s="705" t="s">
        <v>2531</v>
      </c>
      <c r="E910" s="666">
        <f t="shared" si="64"/>
        <v>39</v>
      </c>
      <c r="F910" s="497">
        <v>0</v>
      </c>
      <c r="G910" s="666">
        <v>39</v>
      </c>
      <c r="H910" s="497">
        <v>0</v>
      </c>
      <c r="I910" s="497">
        <f t="shared" si="65"/>
        <v>19</v>
      </c>
      <c r="J910" s="497">
        <v>0</v>
      </c>
      <c r="K910" s="497">
        <v>19</v>
      </c>
      <c r="L910" s="721">
        <v>0</v>
      </c>
      <c r="M910" s="956">
        <v>0.93</v>
      </c>
      <c r="N910" s="653">
        <v>0</v>
      </c>
      <c r="O910" s="736" t="s">
        <v>2526</v>
      </c>
      <c r="P910" s="514" t="s">
        <v>1588</v>
      </c>
      <c r="Q910" s="859">
        <v>0</v>
      </c>
      <c r="R910" s="859">
        <v>0</v>
      </c>
      <c r="S910" s="859">
        <v>0</v>
      </c>
      <c r="T910" s="859">
        <v>0</v>
      </c>
      <c r="U910" s="514" t="s">
        <v>2502</v>
      </c>
      <c r="V910" s="537" t="s">
        <v>2532</v>
      </c>
      <c r="W910" s="498">
        <v>114</v>
      </c>
      <c r="X910" s="514" t="s">
        <v>1532</v>
      </c>
      <c r="Y910" s="514" t="s">
        <v>1533</v>
      </c>
      <c r="Z910" s="514"/>
      <c r="AA910" s="514" t="s">
        <v>1679</v>
      </c>
      <c r="AB910" s="531" t="s">
        <v>1596</v>
      </c>
    </row>
    <row r="911" spans="1:28" ht="24" customHeight="1">
      <c r="A911" s="584"/>
      <c r="B911" s="460" t="s">
        <v>675</v>
      </c>
      <c r="C911" s="500" t="s">
        <v>2533</v>
      </c>
      <c r="D911" s="705" t="s">
        <v>2534</v>
      </c>
      <c r="E911" s="666">
        <f t="shared" si="64"/>
        <v>40</v>
      </c>
      <c r="F911" s="497">
        <v>0</v>
      </c>
      <c r="G911" s="666">
        <v>40</v>
      </c>
      <c r="H911" s="497">
        <v>0</v>
      </c>
      <c r="I911" s="497">
        <f t="shared" si="65"/>
        <v>20</v>
      </c>
      <c r="J911" s="497">
        <v>0</v>
      </c>
      <c r="K911" s="497">
        <v>20</v>
      </c>
      <c r="L911" s="721">
        <v>0</v>
      </c>
      <c r="M911" s="956">
        <v>0.93</v>
      </c>
      <c r="N911" s="653">
        <v>0</v>
      </c>
      <c r="O911" s="736" t="s">
        <v>2535</v>
      </c>
      <c r="P911" s="514" t="s">
        <v>1588</v>
      </c>
      <c r="Q911" s="859">
        <v>0</v>
      </c>
      <c r="R911" s="859">
        <v>0</v>
      </c>
      <c r="S911" s="859">
        <v>0</v>
      </c>
      <c r="T911" s="859">
        <v>0</v>
      </c>
      <c r="U911" s="514" t="s">
        <v>2502</v>
      </c>
      <c r="V911" s="538" t="s">
        <v>2536</v>
      </c>
      <c r="W911" s="498">
        <v>525</v>
      </c>
      <c r="X911" s="514" t="s">
        <v>1532</v>
      </c>
      <c r="Y911" s="514" t="s">
        <v>1533</v>
      </c>
      <c r="Z911" s="514"/>
      <c r="AA911" s="514" t="s">
        <v>1679</v>
      </c>
      <c r="AB911" s="531" t="s">
        <v>1596</v>
      </c>
    </row>
    <row r="912" spans="1:28" ht="24" customHeight="1">
      <c r="A912" s="584"/>
      <c r="B912" s="460" t="s">
        <v>675</v>
      </c>
      <c r="C912" s="500" t="s">
        <v>2537</v>
      </c>
      <c r="D912" s="705" t="s">
        <v>2538</v>
      </c>
      <c r="E912" s="666">
        <f t="shared" si="64"/>
        <v>20</v>
      </c>
      <c r="F912" s="497">
        <v>0</v>
      </c>
      <c r="G912" s="666">
        <v>20</v>
      </c>
      <c r="H912" s="497">
        <v>0</v>
      </c>
      <c r="I912" s="497">
        <f t="shared" si="65"/>
        <v>10</v>
      </c>
      <c r="J912" s="497">
        <v>0</v>
      </c>
      <c r="K912" s="497">
        <v>10</v>
      </c>
      <c r="L912" s="721">
        <v>0</v>
      </c>
      <c r="M912" s="956">
        <v>0.93</v>
      </c>
      <c r="N912" s="653">
        <v>0</v>
      </c>
      <c r="O912" s="736" t="s">
        <v>2539</v>
      </c>
      <c r="P912" s="514" t="s">
        <v>1588</v>
      </c>
      <c r="Q912" s="859">
        <v>0</v>
      </c>
      <c r="R912" s="859">
        <v>0</v>
      </c>
      <c r="S912" s="859">
        <v>0</v>
      </c>
      <c r="T912" s="859">
        <v>0</v>
      </c>
      <c r="U912" s="514" t="s">
        <v>2502</v>
      </c>
      <c r="V912" s="538" t="s">
        <v>2540</v>
      </c>
      <c r="W912" s="498">
        <v>140</v>
      </c>
      <c r="X912" s="514" t="s">
        <v>1532</v>
      </c>
      <c r="Y912" s="514" t="s">
        <v>1533</v>
      </c>
      <c r="Z912" s="514"/>
      <c r="AA912" s="514" t="s">
        <v>1685</v>
      </c>
      <c r="AB912" s="531" t="s">
        <v>1596</v>
      </c>
    </row>
    <row r="913" spans="1:28" ht="24" customHeight="1">
      <c r="A913" s="584"/>
      <c r="B913" s="460" t="s">
        <v>675</v>
      </c>
      <c r="C913" s="500" t="s">
        <v>2541</v>
      </c>
      <c r="D913" s="705" t="s">
        <v>2542</v>
      </c>
      <c r="E913" s="666">
        <f t="shared" si="64"/>
        <v>15</v>
      </c>
      <c r="F913" s="497">
        <v>0</v>
      </c>
      <c r="G913" s="666">
        <v>15</v>
      </c>
      <c r="H913" s="497">
        <v>0</v>
      </c>
      <c r="I913" s="497">
        <f t="shared" si="65"/>
        <v>8</v>
      </c>
      <c r="J913" s="497">
        <v>0</v>
      </c>
      <c r="K913" s="497">
        <v>8</v>
      </c>
      <c r="L913" s="721">
        <v>0</v>
      </c>
      <c r="M913" s="956">
        <v>0.93</v>
      </c>
      <c r="N913" s="653">
        <v>0</v>
      </c>
      <c r="O913" s="736" t="s">
        <v>1030</v>
      </c>
      <c r="P913" s="514" t="s">
        <v>1588</v>
      </c>
      <c r="Q913" s="859">
        <v>0</v>
      </c>
      <c r="R913" s="859">
        <v>0</v>
      </c>
      <c r="S913" s="859">
        <v>0</v>
      </c>
      <c r="T913" s="859">
        <v>0</v>
      </c>
      <c r="U913" s="514" t="s">
        <v>2502</v>
      </c>
      <c r="V913" s="537" t="s">
        <v>2543</v>
      </c>
      <c r="W913" s="498">
        <v>140</v>
      </c>
      <c r="X913" s="514" t="s">
        <v>1532</v>
      </c>
      <c r="Y913" s="514" t="s">
        <v>1533</v>
      </c>
      <c r="Z913" s="514"/>
      <c r="AA913" s="514" t="s">
        <v>1685</v>
      </c>
      <c r="AB913" s="531" t="s">
        <v>1596</v>
      </c>
    </row>
    <row r="914" spans="1:28" ht="24" customHeight="1">
      <c r="A914" s="584"/>
      <c r="B914" s="460" t="s">
        <v>675</v>
      </c>
      <c r="C914" s="500" t="s">
        <v>2544</v>
      </c>
      <c r="D914" s="705" t="s">
        <v>2545</v>
      </c>
      <c r="E914" s="666">
        <f t="shared" si="64"/>
        <v>23</v>
      </c>
      <c r="F914" s="497">
        <v>0</v>
      </c>
      <c r="G914" s="666">
        <v>23</v>
      </c>
      <c r="H914" s="497">
        <v>0</v>
      </c>
      <c r="I914" s="497">
        <f t="shared" si="65"/>
        <v>12</v>
      </c>
      <c r="J914" s="497">
        <v>0</v>
      </c>
      <c r="K914" s="497">
        <v>12</v>
      </c>
      <c r="L914" s="721">
        <v>0</v>
      </c>
      <c r="M914" s="956">
        <v>0.93</v>
      </c>
      <c r="N914" s="653">
        <v>0</v>
      </c>
      <c r="O914" s="736" t="s">
        <v>2526</v>
      </c>
      <c r="P914" s="514" t="s">
        <v>1588</v>
      </c>
      <c r="Q914" s="859">
        <v>0</v>
      </c>
      <c r="R914" s="859">
        <v>0</v>
      </c>
      <c r="S914" s="859">
        <v>0</v>
      </c>
      <c r="T914" s="859">
        <v>0</v>
      </c>
      <c r="U914" s="514" t="s">
        <v>2502</v>
      </c>
      <c r="V914" s="537" t="s">
        <v>2546</v>
      </c>
      <c r="W914" s="498">
        <v>112</v>
      </c>
      <c r="X914" s="514" t="s">
        <v>1532</v>
      </c>
      <c r="Y914" s="514" t="s">
        <v>1533</v>
      </c>
      <c r="Z914" s="514" t="s">
        <v>2512</v>
      </c>
      <c r="AA914" s="514" t="s">
        <v>1685</v>
      </c>
      <c r="AB914" s="531" t="s">
        <v>1596</v>
      </c>
    </row>
    <row r="915" spans="1:28" ht="24" customHeight="1">
      <c r="A915" s="584"/>
      <c r="B915" s="460" t="s">
        <v>675</v>
      </c>
      <c r="C915" s="500" t="s">
        <v>2547</v>
      </c>
      <c r="D915" s="705" t="s">
        <v>2548</v>
      </c>
      <c r="E915" s="666">
        <f t="shared" si="64"/>
        <v>23</v>
      </c>
      <c r="F915" s="497">
        <v>0</v>
      </c>
      <c r="G915" s="666">
        <v>23</v>
      </c>
      <c r="H915" s="497">
        <v>0</v>
      </c>
      <c r="I915" s="497">
        <f t="shared" si="65"/>
        <v>11</v>
      </c>
      <c r="J915" s="497">
        <v>0</v>
      </c>
      <c r="K915" s="497">
        <v>11</v>
      </c>
      <c r="L915" s="721">
        <v>0</v>
      </c>
      <c r="M915" s="956">
        <v>0.93</v>
      </c>
      <c r="N915" s="653">
        <v>0</v>
      </c>
      <c r="O915" s="736" t="s">
        <v>2526</v>
      </c>
      <c r="P915" s="514" t="s">
        <v>1588</v>
      </c>
      <c r="Q915" s="859">
        <v>0</v>
      </c>
      <c r="R915" s="859">
        <v>0</v>
      </c>
      <c r="S915" s="859">
        <v>0</v>
      </c>
      <c r="T915" s="859">
        <v>0</v>
      </c>
      <c r="U915" s="514" t="s">
        <v>2502</v>
      </c>
      <c r="V915" s="537" t="s">
        <v>2546</v>
      </c>
      <c r="W915" s="498">
        <v>112</v>
      </c>
      <c r="X915" s="514" t="s">
        <v>1532</v>
      </c>
      <c r="Y915" s="514" t="s">
        <v>1533</v>
      </c>
      <c r="Z915" s="514" t="s">
        <v>2512</v>
      </c>
      <c r="AA915" s="514" t="s">
        <v>1685</v>
      </c>
      <c r="AB915" s="531" t="s">
        <v>1596</v>
      </c>
    </row>
    <row r="916" spans="1:28" ht="24" customHeight="1">
      <c r="A916" s="584"/>
      <c r="B916" s="460" t="s">
        <v>675</v>
      </c>
      <c r="C916" s="500" t="s">
        <v>2549</v>
      </c>
      <c r="D916" s="705" t="s">
        <v>2550</v>
      </c>
      <c r="E916" s="666">
        <f t="shared" si="64"/>
        <v>34</v>
      </c>
      <c r="F916" s="497">
        <v>0</v>
      </c>
      <c r="G916" s="666">
        <v>34</v>
      </c>
      <c r="H916" s="497">
        <v>0</v>
      </c>
      <c r="I916" s="497">
        <f t="shared" si="65"/>
        <v>17</v>
      </c>
      <c r="J916" s="497">
        <v>0</v>
      </c>
      <c r="K916" s="497">
        <v>17</v>
      </c>
      <c r="L916" s="721">
        <v>0</v>
      </c>
      <c r="M916" s="956">
        <v>0.93</v>
      </c>
      <c r="N916" s="653">
        <v>0</v>
      </c>
      <c r="O916" s="736" t="s">
        <v>5177</v>
      </c>
      <c r="P916" s="514" t="s">
        <v>1588</v>
      </c>
      <c r="Q916" s="859">
        <v>0</v>
      </c>
      <c r="R916" s="859">
        <v>0</v>
      </c>
      <c r="S916" s="859">
        <v>0</v>
      </c>
      <c r="T916" s="859">
        <v>0</v>
      </c>
      <c r="U916" s="514" t="s">
        <v>2502</v>
      </c>
      <c r="V916" s="537" t="s">
        <v>2331</v>
      </c>
      <c r="W916" s="498">
        <v>84</v>
      </c>
      <c r="X916" s="514" t="s">
        <v>1532</v>
      </c>
      <c r="Y916" s="514" t="s">
        <v>1533</v>
      </c>
      <c r="Z916" s="514" t="s">
        <v>2512</v>
      </c>
      <c r="AA916" s="514" t="s">
        <v>1685</v>
      </c>
      <c r="AB916" s="531" t="s">
        <v>1596</v>
      </c>
    </row>
    <row r="917" spans="1:28" ht="24" customHeight="1">
      <c r="A917" s="584"/>
      <c r="B917" s="460" t="s">
        <v>675</v>
      </c>
      <c r="C917" s="500" t="s">
        <v>2551</v>
      </c>
      <c r="D917" s="705" t="s">
        <v>2552</v>
      </c>
      <c r="E917" s="666">
        <f t="shared" si="64"/>
        <v>40</v>
      </c>
      <c r="F917" s="497">
        <v>0</v>
      </c>
      <c r="G917" s="666">
        <v>40</v>
      </c>
      <c r="H917" s="497">
        <v>0</v>
      </c>
      <c r="I917" s="497">
        <f t="shared" si="65"/>
        <v>20</v>
      </c>
      <c r="J917" s="497">
        <v>0</v>
      </c>
      <c r="K917" s="497">
        <v>20</v>
      </c>
      <c r="L917" s="721">
        <v>0</v>
      </c>
      <c r="M917" s="956">
        <v>0.93</v>
      </c>
      <c r="N917" s="653">
        <v>0</v>
      </c>
      <c r="O917" s="736" t="s">
        <v>2553</v>
      </c>
      <c r="P917" s="514" t="s">
        <v>1588</v>
      </c>
      <c r="Q917" s="859">
        <v>0</v>
      </c>
      <c r="R917" s="859">
        <v>0</v>
      </c>
      <c r="S917" s="859">
        <v>0</v>
      </c>
      <c r="T917" s="859">
        <v>0</v>
      </c>
      <c r="U917" s="514" t="s">
        <v>2502</v>
      </c>
      <c r="V917" s="537" t="s">
        <v>2554</v>
      </c>
      <c r="W917" s="498">
        <v>228</v>
      </c>
      <c r="X917" s="514" t="s">
        <v>1532</v>
      </c>
      <c r="Y917" s="514" t="s">
        <v>1533</v>
      </c>
      <c r="Z917" s="514" t="s">
        <v>2512</v>
      </c>
      <c r="AA917" s="514" t="s">
        <v>1685</v>
      </c>
      <c r="AB917" s="531" t="s">
        <v>1596</v>
      </c>
    </row>
    <row r="918" spans="1:28" ht="24" customHeight="1">
      <c r="A918" s="584"/>
      <c r="B918" s="460" t="s">
        <v>675</v>
      </c>
      <c r="C918" s="500" t="s">
        <v>2555</v>
      </c>
      <c r="D918" s="705" t="s">
        <v>2556</v>
      </c>
      <c r="E918" s="666">
        <f t="shared" si="64"/>
        <v>48</v>
      </c>
      <c r="F918" s="497">
        <v>0</v>
      </c>
      <c r="G918" s="666">
        <v>48</v>
      </c>
      <c r="H918" s="497">
        <v>0</v>
      </c>
      <c r="I918" s="497">
        <f t="shared" si="65"/>
        <v>24</v>
      </c>
      <c r="J918" s="497">
        <v>0</v>
      </c>
      <c r="K918" s="497">
        <v>24</v>
      </c>
      <c r="L918" s="721">
        <v>0</v>
      </c>
      <c r="M918" s="956">
        <v>0.93</v>
      </c>
      <c r="N918" s="653">
        <v>0</v>
      </c>
      <c r="O918" s="736" t="s">
        <v>5698</v>
      </c>
      <c r="P918" s="514" t="s">
        <v>1588</v>
      </c>
      <c r="Q918" s="859">
        <v>0</v>
      </c>
      <c r="R918" s="859">
        <v>0</v>
      </c>
      <c r="S918" s="859">
        <v>0</v>
      </c>
      <c r="T918" s="859">
        <v>0</v>
      </c>
      <c r="U918" s="514" t="s">
        <v>2502</v>
      </c>
      <c r="V918" s="538" t="s">
        <v>2557</v>
      </c>
      <c r="W918" s="498">
        <v>444</v>
      </c>
      <c r="X918" s="514" t="s">
        <v>1532</v>
      </c>
      <c r="Y918" s="514" t="s">
        <v>1533</v>
      </c>
      <c r="Z918" s="514"/>
      <c r="AA918" s="514" t="s">
        <v>1679</v>
      </c>
      <c r="AB918" s="531" t="s">
        <v>1596</v>
      </c>
    </row>
    <row r="919" spans="1:28" ht="24" customHeight="1">
      <c r="A919" s="584"/>
      <c r="B919" s="460" t="s">
        <v>675</v>
      </c>
      <c r="C919" s="500" t="s">
        <v>2558</v>
      </c>
      <c r="D919" s="705" t="s">
        <v>2559</v>
      </c>
      <c r="E919" s="666">
        <f t="shared" si="64"/>
        <v>25</v>
      </c>
      <c r="F919" s="497">
        <v>0</v>
      </c>
      <c r="G919" s="666">
        <v>25</v>
      </c>
      <c r="H919" s="497">
        <v>0</v>
      </c>
      <c r="I919" s="497">
        <f t="shared" si="65"/>
        <v>13</v>
      </c>
      <c r="J919" s="497">
        <v>0</v>
      </c>
      <c r="K919" s="497">
        <v>13</v>
      </c>
      <c r="L919" s="721">
        <v>0</v>
      </c>
      <c r="M919" s="956">
        <v>0.93</v>
      </c>
      <c r="N919" s="653">
        <v>0</v>
      </c>
      <c r="O919" s="736" t="s">
        <v>2560</v>
      </c>
      <c r="P919" s="514" t="s">
        <v>1588</v>
      </c>
      <c r="Q919" s="859">
        <v>0</v>
      </c>
      <c r="R919" s="859">
        <v>0</v>
      </c>
      <c r="S919" s="859">
        <v>0</v>
      </c>
      <c r="T919" s="859">
        <v>0</v>
      </c>
      <c r="U919" s="514" t="s">
        <v>2502</v>
      </c>
      <c r="V919" s="537" t="s">
        <v>2561</v>
      </c>
      <c r="W919" s="498">
        <v>140</v>
      </c>
      <c r="X919" s="514" t="s">
        <v>1532</v>
      </c>
      <c r="Y919" s="514" t="s">
        <v>1533</v>
      </c>
      <c r="Z919" s="514"/>
      <c r="AA919" s="514" t="s">
        <v>1685</v>
      </c>
      <c r="AB919" s="531" t="s">
        <v>1596</v>
      </c>
    </row>
    <row r="920" spans="1:28" ht="24" customHeight="1">
      <c r="A920" s="584"/>
      <c r="B920" s="460" t="s">
        <v>675</v>
      </c>
      <c r="C920" s="500" t="s">
        <v>2562</v>
      </c>
      <c r="D920" s="705" t="s">
        <v>2563</v>
      </c>
      <c r="E920" s="666">
        <f t="shared" si="64"/>
        <v>25</v>
      </c>
      <c r="F920" s="497">
        <v>0</v>
      </c>
      <c r="G920" s="666">
        <v>25</v>
      </c>
      <c r="H920" s="497">
        <v>0</v>
      </c>
      <c r="I920" s="497">
        <f t="shared" si="65"/>
        <v>13</v>
      </c>
      <c r="J920" s="497">
        <v>0</v>
      </c>
      <c r="K920" s="497">
        <v>13</v>
      </c>
      <c r="L920" s="721">
        <v>0</v>
      </c>
      <c r="M920" s="956">
        <v>0.93</v>
      </c>
      <c r="N920" s="653">
        <v>0</v>
      </c>
      <c r="O920" s="736" t="s">
        <v>2564</v>
      </c>
      <c r="P920" s="514" t="s">
        <v>1588</v>
      </c>
      <c r="Q920" s="859">
        <v>0</v>
      </c>
      <c r="R920" s="859">
        <v>0</v>
      </c>
      <c r="S920" s="859">
        <v>0</v>
      </c>
      <c r="T920" s="859">
        <v>0</v>
      </c>
      <c r="U920" s="514" t="s">
        <v>2502</v>
      </c>
      <c r="V920" s="537" t="s">
        <v>2565</v>
      </c>
      <c r="W920" s="498">
        <v>69</v>
      </c>
      <c r="X920" s="514" t="s">
        <v>1532</v>
      </c>
      <c r="Y920" s="514" t="s">
        <v>1533</v>
      </c>
      <c r="Z920" s="514" t="s">
        <v>1911</v>
      </c>
      <c r="AA920" s="514" t="s">
        <v>1685</v>
      </c>
      <c r="AB920" s="531" t="s">
        <v>1596</v>
      </c>
    </row>
    <row r="921" spans="1:28" ht="24" customHeight="1">
      <c r="A921" s="584"/>
      <c r="B921" s="460" t="s">
        <v>675</v>
      </c>
      <c r="C921" s="500" t="s">
        <v>2566</v>
      </c>
      <c r="D921" s="705" t="s">
        <v>2567</v>
      </c>
      <c r="E921" s="666">
        <f t="shared" si="64"/>
        <v>40</v>
      </c>
      <c r="F921" s="497">
        <v>0</v>
      </c>
      <c r="G921" s="666">
        <v>40</v>
      </c>
      <c r="H921" s="497">
        <v>0</v>
      </c>
      <c r="I921" s="497">
        <f t="shared" si="65"/>
        <v>20</v>
      </c>
      <c r="J921" s="497">
        <v>0</v>
      </c>
      <c r="K921" s="497">
        <v>20</v>
      </c>
      <c r="L921" s="721">
        <v>0</v>
      </c>
      <c r="M921" s="956">
        <v>0.93</v>
      </c>
      <c r="N921" s="653">
        <v>0</v>
      </c>
      <c r="O921" s="736" t="s">
        <v>2535</v>
      </c>
      <c r="P921" s="514" t="s">
        <v>1588</v>
      </c>
      <c r="Q921" s="859">
        <v>0</v>
      </c>
      <c r="R921" s="859">
        <v>0</v>
      </c>
      <c r="S921" s="859">
        <v>0</v>
      </c>
      <c r="T921" s="859">
        <v>0</v>
      </c>
      <c r="U921" s="514" t="s">
        <v>2502</v>
      </c>
      <c r="V921" s="538" t="s">
        <v>2568</v>
      </c>
      <c r="W921" s="498">
        <v>182</v>
      </c>
      <c r="X921" s="514" t="s">
        <v>1532</v>
      </c>
      <c r="Y921" s="514" t="s">
        <v>1533</v>
      </c>
      <c r="Z921" s="514"/>
      <c r="AA921" s="514" t="s">
        <v>1679</v>
      </c>
      <c r="AB921" s="531" t="s">
        <v>1596</v>
      </c>
    </row>
    <row r="922" spans="1:28" ht="24" customHeight="1">
      <c r="A922" s="584"/>
      <c r="B922" s="460" t="s">
        <v>675</v>
      </c>
      <c r="C922" s="500" t="s">
        <v>2569</v>
      </c>
      <c r="D922" s="705" t="s">
        <v>2570</v>
      </c>
      <c r="E922" s="666">
        <f t="shared" si="64"/>
        <v>12</v>
      </c>
      <c r="F922" s="497">
        <v>0</v>
      </c>
      <c r="G922" s="666">
        <v>12</v>
      </c>
      <c r="H922" s="497">
        <v>0</v>
      </c>
      <c r="I922" s="497">
        <f t="shared" si="65"/>
        <v>7</v>
      </c>
      <c r="J922" s="497">
        <v>0</v>
      </c>
      <c r="K922" s="497">
        <v>7</v>
      </c>
      <c r="L922" s="721">
        <v>0</v>
      </c>
      <c r="M922" s="956">
        <v>0.93</v>
      </c>
      <c r="N922" s="653">
        <v>0</v>
      </c>
      <c r="O922" s="736" t="s">
        <v>2526</v>
      </c>
      <c r="P922" s="514" t="s">
        <v>1588</v>
      </c>
      <c r="Q922" s="859">
        <v>0</v>
      </c>
      <c r="R922" s="859">
        <v>0</v>
      </c>
      <c r="S922" s="859">
        <v>0</v>
      </c>
      <c r="T922" s="859">
        <v>0</v>
      </c>
      <c r="U922" s="514" t="s">
        <v>2502</v>
      </c>
      <c r="V922" s="537" t="s">
        <v>2571</v>
      </c>
      <c r="W922" s="498">
        <v>28</v>
      </c>
      <c r="X922" s="514" t="s">
        <v>1532</v>
      </c>
      <c r="Y922" s="514" t="s">
        <v>1533</v>
      </c>
      <c r="Z922" s="514"/>
      <c r="AA922" s="514" t="s">
        <v>1679</v>
      </c>
      <c r="AB922" s="531" t="s">
        <v>1596</v>
      </c>
    </row>
    <row r="923" spans="1:28" ht="24" customHeight="1">
      <c r="A923" s="584"/>
      <c r="B923" s="460" t="s">
        <v>675</v>
      </c>
      <c r="C923" s="500" t="s">
        <v>2572</v>
      </c>
      <c r="D923" s="705" t="s">
        <v>2573</v>
      </c>
      <c r="E923" s="666">
        <f t="shared" si="64"/>
        <v>35</v>
      </c>
      <c r="F923" s="497">
        <v>0</v>
      </c>
      <c r="G923" s="666">
        <v>35</v>
      </c>
      <c r="H923" s="497">
        <v>0</v>
      </c>
      <c r="I923" s="497">
        <f t="shared" si="65"/>
        <v>17</v>
      </c>
      <c r="J923" s="497">
        <v>0</v>
      </c>
      <c r="K923" s="497">
        <v>17</v>
      </c>
      <c r="L923" s="721">
        <v>0</v>
      </c>
      <c r="M923" s="956">
        <v>0.93</v>
      </c>
      <c r="N923" s="653">
        <v>0</v>
      </c>
      <c r="O923" s="736" t="s">
        <v>2574</v>
      </c>
      <c r="P923" s="514" t="s">
        <v>1588</v>
      </c>
      <c r="Q923" s="859">
        <v>0</v>
      </c>
      <c r="R923" s="859">
        <v>0</v>
      </c>
      <c r="S923" s="859">
        <v>0</v>
      </c>
      <c r="T923" s="859">
        <v>0</v>
      </c>
      <c r="U923" s="514" t="s">
        <v>2502</v>
      </c>
      <c r="V923" s="538" t="s">
        <v>2575</v>
      </c>
      <c r="W923" s="498">
        <v>140</v>
      </c>
      <c r="X923" s="514" t="s">
        <v>1532</v>
      </c>
      <c r="Y923" s="514" t="s">
        <v>1533</v>
      </c>
      <c r="Z923" s="514"/>
      <c r="AA923" s="514" t="s">
        <v>1679</v>
      </c>
      <c r="AB923" s="531" t="s">
        <v>1596</v>
      </c>
    </row>
    <row r="924" spans="1:28" ht="24" customHeight="1">
      <c r="A924" s="584"/>
      <c r="B924" s="460" t="s">
        <v>675</v>
      </c>
      <c r="C924" s="500" t="s">
        <v>2576</v>
      </c>
      <c r="D924" s="705" t="s">
        <v>2577</v>
      </c>
      <c r="E924" s="666">
        <f t="shared" si="64"/>
        <v>22</v>
      </c>
      <c r="F924" s="497">
        <v>0</v>
      </c>
      <c r="G924" s="666">
        <v>22</v>
      </c>
      <c r="H924" s="497">
        <v>0</v>
      </c>
      <c r="I924" s="497">
        <f t="shared" si="65"/>
        <v>11</v>
      </c>
      <c r="J924" s="497">
        <v>0</v>
      </c>
      <c r="K924" s="497">
        <v>11</v>
      </c>
      <c r="L924" s="721">
        <v>0</v>
      </c>
      <c r="M924" s="956">
        <v>0.93</v>
      </c>
      <c r="N924" s="653">
        <v>0</v>
      </c>
      <c r="O924" s="736" t="s">
        <v>5737</v>
      </c>
      <c r="P924" s="514" t="s">
        <v>1588</v>
      </c>
      <c r="Q924" s="859">
        <v>0</v>
      </c>
      <c r="R924" s="859">
        <v>0</v>
      </c>
      <c r="S924" s="859">
        <v>0</v>
      </c>
      <c r="T924" s="859">
        <v>0</v>
      </c>
      <c r="U924" s="514" t="s">
        <v>2502</v>
      </c>
      <c r="V924" s="537" t="s">
        <v>2578</v>
      </c>
      <c r="W924" s="498">
        <v>80</v>
      </c>
      <c r="X924" s="514" t="s">
        <v>1532</v>
      </c>
      <c r="Y924" s="514" t="s">
        <v>1533</v>
      </c>
      <c r="Z924" s="514"/>
      <c r="AA924" s="514" t="s">
        <v>1679</v>
      </c>
      <c r="AB924" s="531" t="s">
        <v>1596</v>
      </c>
    </row>
    <row r="925" spans="1:28" ht="24" customHeight="1">
      <c r="A925" s="584"/>
      <c r="B925" s="460" t="s">
        <v>675</v>
      </c>
      <c r="C925" s="500" t="s">
        <v>2579</v>
      </c>
      <c r="D925" s="705" t="s">
        <v>2580</v>
      </c>
      <c r="E925" s="666">
        <f t="shared" si="64"/>
        <v>30</v>
      </c>
      <c r="F925" s="497">
        <v>0</v>
      </c>
      <c r="G925" s="666">
        <v>30</v>
      </c>
      <c r="H925" s="497">
        <v>0</v>
      </c>
      <c r="I925" s="497">
        <f t="shared" si="65"/>
        <v>15</v>
      </c>
      <c r="J925" s="497">
        <v>0</v>
      </c>
      <c r="K925" s="497">
        <v>15</v>
      </c>
      <c r="L925" s="721">
        <v>0</v>
      </c>
      <c r="M925" s="956">
        <v>0.93</v>
      </c>
      <c r="N925" s="653">
        <v>0</v>
      </c>
      <c r="O925" s="736" t="s">
        <v>2581</v>
      </c>
      <c r="P925" s="514" t="s">
        <v>1588</v>
      </c>
      <c r="Q925" s="859">
        <v>0</v>
      </c>
      <c r="R925" s="859">
        <v>0</v>
      </c>
      <c r="S925" s="859">
        <v>0</v>
      </c>
      <c r="T925" s="859">
        <v>0</v>
      </c>
      <c r="U925" s="514" t="s">
        <v>2502</v>
      </c>
      <c r="V925" s="538" t="s">
        <v>2582</v>
      </c>
      <c r="W925" s="498">
        <v>512</v>
      </c>
      <c r="X925" s="514" t="s">
        <v>1532</v>
      </c>
      <c r="Y925" s="514" t="s">
        <v>1533</v>
      </c>
      <c r="Z925" s="514"/>
      <c r="AA925" s="514" t="s">
        <v>1685</v>
      </c>
      <c r="AB925" s="531" t="s">
        <v>1596</v>
      </c>
    </row>
    <row r="926" spans="1:28" ht="24" customHeight="1">
      <c r="A926" s="584"/>
      <c r="B926" s="460" t="s">
        <v>675</v>
      </c>
      <c r="C926" s="500" t="s">
        <v>2583</v>
      </c>
      <c r="D926" s="705" t="s">
        <v>2584</v>
      </c>
      <c r="E926" s="666">
        <f t="shared" si="64"/>
        <v>40</v>
      </c>
      <c r="F926" s="497">
        <v>0</v>
      </c>
      <c r="G926" s="666">
        <v>40</v>
      </c>
      <c r="H926" s="497">
        <v>0</v>
      </c>
      <c r="I926" s="497">
        <f t="shared" si="65"/>
        <v>20</v>
      </c>
      <c r="J926" s="497">
        <v>0</v>
      </c>
      <c r="K926" s="497">
        <v>20</v>
      </c>
      <c r="L926" s="721">
        <v>0</v>
      </c>
      <c r="M926" s="956">
        <v>0.93</v>
      </c>
      <c r="N926" s="653">
        <v>0</v>
      </c>
      <c r="O926" s="736" t="s">
        <v>2585</v>
      </c>
      <c r="P926" s="514" t="s">
        <v>1588</v>
      </c>
      <c r="Q926" s="859">
        <v>0</v>
      </c>
      <c r="R926" s="859">
        <v>0</v>
      </c>
      <c r="S926" s="859">
        <v>0</v>
      </c>
      <c r="T926" s="859">
        <v>0</v>
      </c>
      <c r="U926" s="514" t="s">
        <v>2502</v>
      </c>
      <c r="V926" s="537" t="s">
        <v>2110</v>
      </c>
      <c r="W926" s="498">
        <v>219</v>
      </c>
      <c r="X926" s="514" t="s">
        <v>1532</v>
      </c>
      <c r="Y926" s="514" t="s">
        <v>1533</v>
      </c>
      <c r="Z926" s="514"/>
      <c r="AA926" s="514" t="s">
        <v>1679</v>
      </c>
      <c r="AB926" s="531" t="s">
        <v>1596</v>
      </c>
    </row>
    <row r="927" spans="1:28" ht="24" customHeight="1">
      <c r="A927" s="584"/>
      <c r="B927" s="460" t="s">
        <v>675</v>
      </c>
      <c r="C927" s="500" t="s">
        <v>2586</v>
      </c>
      <c r="D927" s="705" t="s">
        <v>2587</v>
      </c>
      <c r="E927" s="666">
        <f t="shared" si="64"/>
        <v>35</v>
      </c>
      <c r="F927" s="497">
        <v>0</v>
      </c>
      <c r="G927" s="666">
        <v>35</v>
      </c>
      <c r="H927" s="497">
        <v>0</v>
      </c>
      <c r="I927" s="497">
        <f t="shared" si="65"/>
        <v>17</v>
      </c>
      <c r="J927" s="497">
        <v>0</v>
      </c>
      <c r="K927" s="497">
        <v>17</v>
      </c>
      <c r="L927" s="721">
        <v>0</v>
      </c>
      <c r="M927" s="956">
        <v>0.93</v>
      </c>
      <c r="N927" s="653">
        <v>0</v>
      </c>
      <c r="O927" s="736" t="s">
        <v>2535</v>
      </c>
      <c r="P927" s="514" t="s">
        <v>1588</v>
      </c>
      <c r="Q927" s="859">
        <v>0</v>
      </c>
      <c r="R927" s="859">
        <v>0</v>
      </c>
      <c r="S927" s="859">
        <v>0</v>
      </c>
      <c r="T927" s="859">
        <v>0</v>
      </c>
      <c r="U927" s="514" t="s">
        <v>2502</v>
      </c>
      <c r="V927" s="538" t="s">
        <v>2588</v>
      </c>
      <c r="W927" s="498">
        <v>495</v>
      </c>
      <c r="X927" s="514" t="s">
        <v>1532</v>
      </c>
      <c r="Y927" s="514" t="s">
        <v>1533</v>
      </c>
      <c r="Z927" s="514"/>
      <c r="AA927" s="514" t="s">
        <v>1679</v>
      </c>
      <c r="AB927" s="531" t="s">
        <v>1596</v>
      </c>
    </row>
    <row r="928" spans="1:28" ht="24" customHeight="1">
      <c r="A928" s="584"/>
      <c r="B928" s="460" t="s">
        <v>675</v>
      </c>
      <c r="C928" s="500" t="s">
        <v>2589</v>
      </c>
      <c r="D928" s="705" t="s">
        <v>2590</v>
      </c>
      <c r="E928" s="666">
        <f t="shared" ref="E928:E951" si="66">F928+G928+H928</f>
        <v>30</v>
      </c>
      <c r="F928" s="497">
        <v>0</v>
      </c>
      <c r="G928" s="666">
        <v>30</v>
      </c>
      <c r="H928" s="497">
        <v>0</v>
      </c>
      <c r="I928" s="497">
        <f t="shared" si="65"/>
        <v>15</v>
      </c>
      <c r="J928" s="497">
        <v>0</v>
      </c>
      <c r="K928" s="497">
        <v>15</v>
      </c>
      <c r="L928" s="721">
        <v>0</v>
      </c>
      <c r="M928" s="956">
        <v>0.93</v>
      </c>
      <c r="N928" s="653">
        <v>0</v>
      </c>
      <c r="O928" s="736" t="s">
        <v>2591</v>
      </c>
      <c r="P928" s="514" t="s">
        <v>1588</v>
      </c>
      <c r="Q928" s="859">
        <v>0</v>
      </c>
      <c r="R928" s="859">
        <v>0</v>
      </c>
      <c r="S928" s="859">
        <v>0</v>
      </c>
      <c r="T928" s="859">
        <v>0</v>
      </c>
      <c r="U928" s="514" t="s">
        <v>2502</v>
      </c>
      <c r="V928" s="538" t="s">
        <v>2588</v>
      </c>
      <c r="W928" s="498">
        <v>132</v>
      </c>
      <c r="X928" s="514" t="s">
        <v>1532</v>
      </c>
      <c r="Y928" s="514" t="s">
        <v>1533</v>
      </c>
      <c r="Z928" s="514" t="s">
        <v>1911</v>
      </c>
      <c r="AA928" s="514" t="s">
        <v>1685</v>
      </c>
      <c r="AB928" s="531" t="s">
        <v>1596</v>
      </c>
    </row>
    <row r="929" spans="1:28" ht="24" customHeight="1">
      <c r="A929" s="584"/>
      <c r="B929" s="460" t="s">
        <v>675</v>
      </c>
      <c r="C929" s="500" t="s">
        <v>2592</v>
      </c>
      <c r="D929" s="705" t="s">
        <v>2593</v>
      </c>
      <c r="E929" s="666">
        <f t="shared" si="66"/>
        <v>25</v>
      </c>
      <c r="F929" s="497">
        <v>0</v>
      </c>
      <c r="G929" s="666">
        <v>25</v>
      </c>
      <c r="H929" s="497">
        <v>0</v>
      </c>
      <c r="I929" s="497">
        <f t="shared" si="65"/>
        <v>13</v>
      </c>
      <c r="J929" s="497">
        <v>0</v>
      </c>
      <c r="K929" s="497">
        <v>13</v>
      </c>
      <c r="L929" s="721">
        <v>0</v>
      </c>
      <c r="M929" s="956">
        <v>0.93</v>
      </c>
      <c r="N929" s="653">
        <v>0</v>
      </c>
      <c r="O929" s="736" t="s">
        <v>2594</v>
      </c>
      <c r="P929" s="514" t="s">
        <v>1588</v>
      </c>
      <c r="Q929" s="859">
        <v>0</v>
      </c>
      <c r="R929" s="859">
        <v>0</v>
      </c>
      <c r="S929" s="859">
        <v>0</v>
      </c>
      <c r="T929" s="859">
        <v>0</v>
      </c>
      <c r="U929" s="514" t="s">
        <v>2502</v>
      </c>
      <c r="V929" s="537" t="s">
        <v>2595</v>
      </c>
      <c r="W929" s="498">
        <v>90</v>
      </c>
      <c r="X929" s="514" t="s">
        <v>1532</v>
      </c>
      <c r="Y929" s="514" t="s">
        <v>1533</v>
      </c>
      <c r="Z929" s="514"/>
      <c r="AA929" s="514" t="s">
        <v>1679</v>
      </c>
      <c r="AB929" s="531" t="s">
        <v>1596</v>
      </c>
    </row>
    <row r="930" spans="1:28" ht="24" customHeight="1">
      <c r="A930" s="584"/>
      <c r="B930" s="460" t="s">
        <v>675</v>
      </c>
      <c r="C930" s="500" t="s">
        <v>2596</v>
      </c>
      <c r="D930" s="705" t="s">
        <v>2597</v>
      </c>
      <c r="E930" s="666">
        <f t="shared" si="66"/>
        <v>45</v>
      </c>
      <c r="F930" s="497">
        <v>0</v>
      </c>
      <c r="G930" s="666">
        <v>45</v>
      </c>
      <c r="H930" s="497">
        <v>0</v>
      </c>
      <c r="I930" s="497">
        <f t="shared" si="65"/>
        <v>23</v>
      </c>
      <c r="J930" s="497">
        <v>0</v>
      </c>
      <c r="K930" s="497">
        <v>23</v>
      </c>
      <c r="L930" s="721">
        <v>0</v>
      </c>
      <c r="M930" s="956">
        <v>0.93</v>
      </c>
      <c r="N930" s="653">
        <v>0</v>
      </c>
      <c r="O930" s="736" t="s">
        <v>2598</v>
      </c>
      <c r="P930" s="514" t="s">
        <v>1588</v>
      </c>
      <c r="Q930" s="859">
        <v>0</v>
      </c>
      <c r="R930" s="859">
        <v>0</v>
      </c>
      <c r="S930" s="859">
        <v>0</v>
      </c>
      <c r="T930" s="859">
        <v>0</v>
      </c>
      <c r="U930" s="514" t="s">
        <v>2502</v>
      </c>
      <c r="V930" s="537">
        <v>38896</v>
      </c>
      <c r="W930" s="498">
        <v>478</v>
      </c>
      <c r="X930" s="514" t="s">
        <v>1532</v>
      </c>
      <c r="Y930" s="514" t="s">
        <v>1533</v>
      </c>
      <c r="Z930" s="514"/>
      <c r="AA930" s="514" t="s">
        <v>1679</v>
      </c>
      <c r="AB930" s="531" t="s">
        <v>1596</v>
      </c>
    </row>
    <row r="931" spans="1:28" ht="24" customHeight="1">
      <c r="A931" s="584"/>
      <c r="B931" s="460" t="s">
        <v>675</v>
      </c>
      <c r="C931" s="500" t="s">
        <v>2599</v>
      </c>
      <c r="D931" s="705" t="s">
        <v>2600</v>
      </c>
      <c r="E931" s="666">
        <f t="shared" si="66"/>
        <v>35</v>
      </c>
      <c r="F931" s="497">
        <v>0</v>
      </c>
      <c r="G931" s="666">
        <v>35</v>
      </c>
      <c r="H931" s="497">
        <v>0</v>
      </c>
      <c r="I931" s="497">
        <f t="shared" si="65"/>
        <v>18</v>
      </c>
      <c r="J931" s="497">
        <v>0</v>
      </c>
      <c r="K931" s="497">
        <v>18</v>
      </c>
      <c r="L931" s="721">
        <v>0</v>
      </c>
      <c r="M931" s="956">
        <v>0.93</v>
      </c>
      <c r="N931" s="653">
        <v>0</v>
      </c>
      <c r="O931" s="736" t="s">
        <v>2601</v>
      </c>
      <c r="P931" s="514" t="s">
        <v>1588</v>
      </c>
      <c r="Q931" s="859">
        <v>0</v>
      </c>
      <c r="R931" s="859">
        <v>0</v>
      </c>
      <c r="S931" s="859">
        <v>0</v>
      </c>
      <c r="T931" s="859">
        <v>0</v>
      </c>
      <c r="U931" s="514" t="s">
        <v>2502</v>
      </c>
      <c r="V931" s="537" t="s">
        <v>2602</v>
      </c>
      <c r="W931" s="498">
        <v>109</v>
      </c>
      <c r="X931" s="514" t="s">
        <v>1532</v>
      </c>
      <c r="Y931" s="514" t="s">
        <v>1533</v>
      </c>
      <c r="Z931" s="514" t="s">
        <v>2512</v>
      </c>
      <c r="AA931" s="514" t="s">
        <v>1685</v>
      </c>
      <c r="AB931" s="531" t="s">
        <v>1596</v>
      </c>
    </row>
    <row r="932" spans="1:28" ht="24" customHeight="1">
      <c r="A932" s="584"/>
      <c r="B932" s="460" t="s">
        <v>675</v>
      </c>
      <c r="C932" s="500" t="s">
        <v>2603</v>
      </c>
      <c r="D932" s="705" t="s">
        <v>2604</v>
      </c>
      <c r="E932" s="666">
        <f t="shared" si="66"/>
        <v>80</v>
      </c>
      <c r="F932" s="497">
        <v>0</v>
      </c>
      <c r="G932" s="666">
        <v>80</v>
      </c>
      <c r="H932" s="497">
        <v>0</v>
      </c>
      <c r="I932" s="497">
        <f t="shared" si="65"/>
        <v>40</v>
      </c>
      <c r="J932" s="497">
        <v>0</v>
      </c>
      <c r="K932" s="497">
        <v>40</v>
      </c>
      <c r="L932" s="721">
        <v>0</v>
      </c>
      <c r="M932" s="956">
        <v>0.93</v>
      </c>
      <c r="N932" s="653">
        <v>0</v>
      </c>
      <c r="O932" s="736" t="s">
        <v>1270</v>
      </c>
      <c r="P932" s="514" t="s">
        <v>1588</v>
      </c>
      <c r="Q932" s="859">
        <v>0</v>
      </c>
      <c r="R932" s="859">
        <v>0</v>
      </c>
      <c r="S932" s="859">
        <v>0</v>
      </c>
      <c r="T932" s="859">
        <v>0</v>
      </c>
      <c r="U932" s="514" t="s">
        <v>2502</v>
      </c>
      <c r="V932" s="537" t="s">
        <v>2605</v>
      </c>
      <c r="W932" s="498">
        <v>295</v>
      </c>
      <c r="X932" s="514" t="s">
        <v>1532</v>
      </c>
      <c r="Y932" s="514" t="s">
        <v>1533</v>
      </c>
      <c r="Z932" s="514" t="s">
        <v>2512</v>
      </c>
      <c r="AA932" s="514" t="s">
        <v>1685</v>
      </c>
      <c r="AB932" s="531" t="s">
        <v>1596</v>
      </c>
    </row>
    <row r="933" spans="1:28" ht="24" customHeight="1">
      <c r="A933" s="584"/>
      <c r="B933" s="460" t="s">
        <v>675</v>
      </c>
      <c r="C933" s="500" t="s">
        <v>2606</v>
      </c>
      <c r="D933" s="705" t="s">
        <v>2607</v>
      </c>
      <c r="E933" s="666">
        <f t="shared" si="66"/>
        <v>40</v>
      </c>
      <c r="F933" s="497">
        <v>0</v>
      </c>
      <c r="G933" s="666">
        <v>40</v>
      </c>
      <c r="H933" s="497">
        <v>0</v>
      </c>
      <c r="I933" s="497">
        <f t="shared" si="65"/>
        <v>20</v>
      </c>
      <c r="J933" s="497">
        <v>0</v>
      </c>
      <c r="K933" s="497">
        <v>20</v>
      </c>
      <c r="L933" s="721">
        <v>0</v>
      </c>
      <c r="M933" s="956">
        <v>0.93</v>
      </c>
      <c r="N933" s="653">
        <v>0</v>
      </c>
      <c r="O933" s="736" t="s">
        <v>5089</v>
      </c>
      <c r="P933" s="514" t="s">
        <v>1588</v>
      </c>
      <c r="Q933" s="859">
        <v>0</v>
      </c>
      <c r="R933" s="859">
        <v>0</v>
      </c>
      <c r="S933" s="859">
        <v>0</v>
      </c>
      <c r="T933" s="859">
        <v>0</v>
      </c>
      <c r="U933" s="514" t="s">
        <v>2502</v>
      </c>
      <c r="V933" s="537" t="s">
        <v>2608</v>
      </c>
      <c r="W933" s="498">
        <v>212</v>
      </c>
      <c r="X933" s="514" t="s">
        <v>1532</v>
      </c>
      <c r="Y933" s="514" t="s">
        <v>1533</v>
      </c>
      <c r="Z933" s="514" t="s">
        <v>2512</v>
      </c>
      <c r="AA933" s="514" t="s">
        <v>1685</v>
      </c>
      <c r="AB933" s="531" t="s">
        <v>1596</v>
      </c>
    </row>
    <row r="934" spans="1:28" ht="24" customHeight="1">
      <c r="A934" s="584"/>
      <c r="B934" s="460" t="s">
        <v>675</v>
      </c>
      <c r="C934" s="500" t="s">
        <v>2609</v>
      </c>
      <c r="D934" s="705" t="s">
        <v>2610</v>
      </c>
      <c r="E934" s="666">
        <f t="shared" si="66"/>
        <v>30</v>
      </c>
      <c r="F934" s="497">
        <v>0</v>
      </c>
      <c r="G934" s="666">
        <v>30</v>
      </c>
      <c r="H934" s="497">
        <v>0</v>
      </c>
      <c r="I934" s="497">
        <f t="shared" si="65"/>
        <v>15</v>
      </c>
      <c r="J934" s="497">
        <v>0</v>
      </c>
      <c r="K934" s="497">
        <v>15</v>
      </c>
      <c r="L934" s="721">
        <v>0</v>
      </c>
      <c r="M934" s="956">
        <v>0.93</v>
      </c>
      <c r="N934" s="653">
        <v>0</v>
      </c>
      <c r="O934" s="736" t="s">
        <v>5698</v>
      </c>
      <c r="P934" s="514" t="s">
        <v>1588</v>
      </c>
      <c r="Q934" s="859">
        <v>0</v>
      </c>
      <c r="R934" s="859">
        <v>0</v>
      </c>
      <c r="S934" s="859">
        <v>0</v>
      </c>
      <c r="T934" s="859">
        <v>0</v>
      </c>
      <c r="U934" s="514" t="s">
        <v>2502</v>
      </c>
      <c r="V934" s="537" t="s">
        <v>2611</v>
      </c>
      <c r="W934" s="498">
        <v>324</v>
      </c>
      <c r="X934" s="514" t="s">
        <v>1532</v>
      </c>
      <c r="Y934" s="514" t="s">
        <v>1533</v>
      </c>
      <c r="Z934" s="514"/>
      <c r="AA934" s="514" t="s">
        <v>1679</v>
      </c>
      <c r="AB934" s="531" t="s">
        <v>1596</v>
      </c>
    </row>
    <row r="935" spans="1:28" ht="24" customHeight="1">
      <c r="A935" s="584"/>
      <c r="B935" s="460" t="s">
        <v>675</v>
      </c>
      <c r="C935" s="500" t="s">
        <v>2612</v>
      </c>
      <c r="D935" s="705" t="s">
        <v>2613</v>
      </c>
      <c r="E935" s="666">
        <f t="shared" si="66"/>
        <v>20</v>
      </c>
      <c r="F935" s="497">
        <v>0</v>
      </c>
      <c r="G935" s="666">
        <v>20</v>
      </c>
      <c r="H935" s="497">
        <v>0</v>
      </c>
      <c r="I935" s="497">
        <f t="shared" si="65"/>
        <v>10</v>
      </c>
      <c r="J935" s="497">
        <v>0</v>
      </c>
      <c r="K935" s="497">
        <v>10</v>
      </c>
      <c r="L935" s="721">
        <v>0</v>
      </c>
      <c r="M935" s="956">
        <v>0.93</v>
      </c>
      <c r="N935" s="653">
        <v>0</v>
      </c>
      <c r="O935" s="736" t="s">
        <v>2614</v>
      </c>
      <c r="P935" s="514" t="s">
        <v>1588</v>
      </c>
      <c r="Q935" s="859">
        <v>0</v>
      </c>
      <c r="R935" s="859">
        <v>0</v>
      </c>
      <c r="S935" s="859">
        <v>0</v>
      </c>
      <c r="T935" s="859">
        <v>0</v>
      </c>
      <c r="U935" s="514" t="s">
        <v>2502</v>
      </c>
      <c r="V935" s="537" t="s">
        <v>2615</v>
      </c>
      <c r="W935" s="498">
        <v>72</v>
      </c>
      <c r="X935" s="514" t="s">
        <v>1532</v>
      </c>
      <c r="Y935" s="514" t="s">
        <v>1533</v>
      </c>
      <c r="Z935" s="514" t="s">
        <v>2512</v>
      </c>
      <c r="AA935" s="514" t="s">
        <v>1685</v>
      </c>
      <c r="AB935" s="531" t="s">
        <v>1596</v>
      </c>
    </row>
    <row r="936" spans="1:28" ht="24" customHeight="1">
      <c r="A936" s="584"/>
      <c r="B936" s="460" t="s">
        <v>675</v>
      </c>
      <c r="C936" s="500" t="s">
        <v>2616</v>
      </c>
      <c r="D936" s="705" t="s">
        <v>2617</v>
      </c>
      <c r="E936" s="666">
        <f t="shared" si="66"/>
        <v>51</v>
      </c>
      <c r="F936" s="497">
        <v>0</v>
      </c>
      <c r="G936" s="666">
        <v>51</v>
      </c>
      <c r="H936" s="497">
        <v>0</v>
      </c>
      <c r="I936" s="497">
        <f t="shared" si="65"/>
        <v>26</v>
      </c>
      <c r="J936" s="497">
        <v>0</v>
      </c>
      <c r="K936" s="497">
        <v>26</v>
      </c>
      <c r="L936" s="721">
        <v>0</v>
      </c>
      <c r="M936" s="956">
        <v>0.93</v>
      </c>
      <c r="N936" s="653">
        <v>0</v>
      </c>
      <c r="O936" s="736" t="s">
        <v>938</v>
      </c>
      <c r="P936" s="514" t="s">
        <v>1588</v>
      </c>
      <c r="Q936" s="859">
        <v>0</v>
      </c>
      <c r="R936" s="859">
        <v>0</v>
      </c>
      <c r="S936" s="859">
        <v>0</v>
      </c>
      <c r="T936" s="859">
        <v>0</v>
      </c>
      <c r="U936" s="514" t="s">
        <v>2502</v>
      </c>
      <c r="V936" s="537" t="s">
        <v>2618</v>
      </c>
      <c r="W936" s="498">
        <v>140</v>
      </c>
      <c r="X936" s="514" t="s">
        <v>1532</v>
      </c>
      <c r="Y936" s="514" t="s">
        <v>1533</v>
      </c>
      <c r="Z936" s="514" t="s">
        <v>2512</v>
      </c>
      <c r="AA936" s="514" t="s">
        <v>1685</v>
      </c>
      <c r="AB936" s="531" t="s">
        <v>1596</v>
      </c>
    </row>
    <row r="937" spans="1:28" ht="24" customHeight="1">
      <c r="A937" s="584"/>
      <c r="B937" s="460" t="s">
        <v>675</v>
      </c>
      <c r="C937" s="500" t="s">
        <v>2619</v>
      </c>
      <c r="D937" s="705" t="s">
        <v>2620</v>
      </c>
      <c r="E937" s="666">
        <f t="shared" si="66"/>
        <v>45</v>
      </c>
      <c r="F937" s="497">
        <v>0</v>
      </c>
      <c r="G937" s="666">
        <v>45</v>
      </c>
      <c r="H937" s="497">
        <v>0</v>
      </c>
      <c r="I937" s="497">
        <f t="shared" si="65"/>
        <v>23</v>
      </c>
      <c r="J937" s="497">
        <v>0</v>
      </c>
      <c r="K937" s="497">
        <v>23</v>
      </c>
      <c r="L937" s="721">
        <v>0</v>
      </c>
      <c r="M937" s="956">
        <v>0.93</v>
      </c>
      <c r="N937" s="653">
        <v>0</v>
      </c>
      <c r="O937" s="736" t="s">
        <v>938</v>
      </c>
      <c r="P937" s="514" t="s">
        <v>1588</v>
      </c>
      <c r="Q937" s="859">
        <v>0</v>
      </c>
      <c r="R937" s="859">
        <v>0</v>
      </c>
      <c r="S937" s="859">
        <v>0</v>
      </c>
      <c r="T937" s="859">
        <v>0</v>
      </c>
      <c r="U937" s="514" t="s">
        <v>2502</v>
      </c>
      <c r="V937" s="537" t="s">
        <v>2618</v>
      </c>
      <c r="W937" s="498">
        <v>204</v>
      </c>
      <c r="X937" s="514" t="s">
        <v>1532</v>
      </c>
      <c r="Y937" s="514" t="s">
        <v>1533</v>
      </c>
      <c r="Z937" s="514" t="s">
        <v>2512</v>
      </c>
      <c r="AA937" s="514" t="s">
        <v>1685</v>
      </c>
      <c r="AB937" s="531" t="s">
        <v>1596</v>
      </c>
    </row>
    <row r="938" spans="1:28" ht="24" customHeight="1">
      <c r="A938" s="584"/>
      <c r="B938" s="460" t="s">
        <v>675</v>
      </c>
      <c r="C938" s="500" t="s">
        <v>2621</v>
      </c>
      <c r="D938" s="705" t="s">
        <v>2622</v>
      </c>
      <c r="E938" s="666">
        <f t="shared" si="66"/>
        <v>40</v>
      </c>
      <c r="F938" s="497">
        <v>0</v>
      </c>
      <c r="G938" s="666">
        <v>40</v>
      </c>
      <c r="H938" s="497">
        <v>0</v>
      </c>
      <c r="I938" s="497">
        <f t="shared" si="65"/>
        <v>20</v>
      </c>
      <c r="J938" s="497">
        <v>0</v>
      </c>
      <c r="K938" s="497">
        <v>20</v>
      </c>
      <c r="L938" s="721">
        <v>0</v>
      </c>
      <c r="M938" s="956">
        <v>0.93</v>
      </c>
      <c r="N938" s="653">
        <v>0</v>
      </c>
      <c r="O938" s="736" t="s">
        <v>5737</v>
      </c>
      <c r="P938" s="514" t="s">
        <v>1588</v>
      </c>
      <c r="Q938" s="859">
        <v>0</v>
      </c>
      <c r="R938" s="859">
        <v>0</v>
      </c>
      <c r="S938" s="859">
        <v>0</v>
      </c>
      <c r="T938" s="859">
        <v>0</v>
      </c>
      <c r="U938" s="514" t="s">
        <v>2502</v>
      </c>
      <c r="V938" s="537" t="s">
        <v>2605</v>
      </c>
      <c r="W938" s="498">
        <v>98</v>
      </c>
      <c r="X938" s="514" t="s">
        <v>1532</v>
      </c>
      <c r="Y938" s="514" t="s">
        <v>1533</v>
      </c>
      <c r="Z938" s="514" t="s">
        <v>2512</v>
      </c>
      <c r="AA938" s="514" t="s">
        <v>1685</v>
      </c>
      <c r="AB938" s="531" t="s">
        <v>1596</v>
      </c>
    </row>
    <row r="939" spans="1:28" ht="24" customHeight="1">
      <c r="A939" s="584"/>
      <c r="B939" s="460" t="s">
        <v>675</v>
      </c>
      <c r="C939" s="500" t="s">
        <v>2623</v>
      </c>
      <c r="D939" s="705" t="s">
        <v>2624</v>
      </c>
      <c r="E939" s="666">
        <f t="shared" si="66"/>
        <v>40</v>
      </c>
      <c r="F939" s="497">
        <v>0</v>
      </c>
      <c r="G939" s="666">
        <v>40</v>
      </c>
      <c r="H939" s="497">
        <v>0</v>
      </c>
      <c r="I939" s="497">
        <f t="shared" si="65"/>
        <v>20</v>
      </c>
      <c r="J939" s="497">
        <v>0</v>
      </c>
      <c r="K939" s="497">
        <v>20</v>
      </c>
      <c r="L939" s="721">
        <v>0</v>
      </c>
      <c r="M939" s="956">
        <v>0.93</v>
      </c>
      <c r="N939" s="653">
        <v>0</v>
      </c>
      <c r="O939" s="736" t="s">
        <v>5089</v>
      </c>
      <c r="P939" s="514" t="s">
        <v>1588</v>
      </c>
      <c r="Q939" s="859">
        <v>0</v>
      </c>
      <c r="R939" s="859">
        <v>0</v>
      </c>
      <c r="S939" s="859">
        <v>0</v>
      </c>
      <c r="T939" s="859">
        <v>0</v>
      </c>
      <c r="U939" s="514" t="s">
        <v>2502</v>
      </c>
      <c r="V939" s="537" t="s">
        <v>5204</v>
      </c>
      <c r="W939" s="498">
        <v>132</v>
      </c>
      <c r="X939" s="514" t="s">
        <v>1532</v>
      </c>
      <c r="Y939" s="514" t="s">
        <v>1533</v>
      </c>
      <c r="Z939" s="514" t="s">
        <v>2512</v>
      </c>
      <c r="AA939" s="514" t="s">
        <v>1685</v>
      </c>
      <c r="AB939" s="531" t="s">
        <v>1596</v>
      </c>
    </row>
    <row r="940" spans="1:28" ht="24" customHeight="1">
      <c r="A940" s="584"/>
      <c r="B940" s="460" t="s">
        <v>675</v>
      </c>
      <c r="C940" s="500" t="s">
        <v>2625</v>
      </c>
      <c r="D940" s="705" t="s">
        <v>2626</v>
      </c>
      <c r="E940" s="666">
        <f t="shared" si="66"/>
        <v>25</v>
      </c>
      <c r="F940" s="497">
        <v>0</v>
      </c>
      <c r="G940" s="666">
        <v>25</v>
      </c>
      <c r="H940" s="497">
        <v>0</v>
      </c>
      <c r="I940" s="497">
        <f t="shared" si="65"/>
        <v>12</v>
      </c>
      <c r="J940" s="497">
        <v>0</v>
      </c>
      <c r="K940" s="497">
        <v>12</v>
      </c>
      <c r="L940" s="721">
        <v>0</v>
      </c>
      <c r="M940" s="956">
        <v>0.93</v>
      </c>
      <c r="N940" s="653">
        <v>0</v>
      </c>
      <c r="O940" s="736" t="s">
        <v>2627</v>
      </c>
      <c r="P940" s="514" t="s">
        <v>1588</v>
      </c>
      <c r="Q940" s="859">
        <v>0</v>
      </c>
      <c r="R940" s="859">
        <v>0</v>
      </c>
      <c r="S940" s="859">
        <v>0</v>
      </c>
      <c r="T940" s="859">
        <v>0</v>
      </c>
      <c r="U940" s="514" t="s">
        <v>2502</v>
      </c>
      <c r="V940" s="537" t="s">
        <v>2628</v>
      </c>
      <c r="W940" s="498">
        <v>176</v>
      </c>
      <c r="X940" s="514" t="s">
        <v>1532</v>
      </c>
      <c r="Y940" s="514" t="s">
        <v>1533</v>
      </c>
      <c r="Z940" s="514" t="s">
        <v>2512</v>
      </c>
      <c r="AA940" s="514" t="s">
        <v>1685</v>
      </c>
      <c r="AB940" s="531" t="s">
        <v>1596</v>
      </c>
    </row>
    <row r="941" spans="1:28" ht="24" customHeight="1">
      <c r="A941" s="584"/>
      <c r="B941" s="460" t="s">
        <v>675</v>
      </c>
      <c r="C941" s="500" t="s">
        <v>2629</v>
      </c>
      <c r="D941" s="705" t="s">
        <v>2630</v>
      </c>
      <c r="E941" s="666">
        <f t="shared" si="66"/>
        <v>25</v>
      </c>
      <c r="F941" s="497">
        <v>0</v>
      </c>
      <c r="G941" s="666">
        <v>25</v>
      </c>
      <c r="H941" s="497">
        <v>0</v>
      </c>
      <c r="I941" s="497">
        <f t="shared" ref="I941:I951" si="67">J941+K941+L941</f>
        <v>13</v>
      </c>
      <c r="J941" s="497">
        <v>0</v>
      </c>
      <c r="K941" s="497">
        <v>13</v>
      </c>
      <c r="L941" s="721">
        <v>0</v>
      </c>
      <c r="M941" s="956">
        <v>0.93</v>
      </c>
      <c r="N941" s="653">
        <v>0</v>
      </c>
      <c r="O941" s="736" t="s">
        <v>2631</v>
      </c>
      <c r="P941" s="514" t="s">
        <v>1588</v>
      </c>
      <c r="Q941" s="859">
        <v>0</v>
      </c>
      <c r="R941" s="859">
        <v>0</v>
      </c>
      <c r="S941" s="859">
        <v>0</v>
      </c>
      <c r="T941" s="859">
        <v>0</v>
      </c>
      <c r="U941" s="514" t="s">
        <v>2502</v>
      </c>
      <c r="V941" s="537" t="s">
        <v>3619</v>
      </c>
      <c r="W941" s="498">
        <v>132</v>
      </c>
      <c r="X941" s="514" t="s">
        <v>1532</v>
      </c>
      <c r="Y941" s="514" t="s">
        <v>1533</v>
      </c>
      <c r="Z941" s="514" t="s">
        <v>2512</v>
      </c>
      <c r="AA941" s="514" t="s">
        <v>1685</v>
      </c>
      <c r="AB941" s="531" t="s">
        <v>1596</v>
      </c>
    </row>
    <row r="942" spans="1:28" ht="24" customHeight="1">
      <c r="A942" s="584"/>
      <c r="B942" s="460" t="s">
        <v>675</v>
      </c>
      <c r="C942" s="500" t="s">
        <v>2632</v>
      </c>
      <c r="D942" s="705" t="s">
        <v>2633</v>
      </c>
      <c r="E942" s="666">
        <f t="shared" si="66"/>
        <v>46</v>
      </c>
      <c r="F942" s="497">
        <v>0</v>
      </c>
      <c r="G942" s="666">
        <v>46</v>
      </c>
      <c r="H942" s="497">
        <v>0</v>
      </c>
      <c r="I942" s="497">
        <f t="shared" si="67"/>
        <v>23</v>
      </c>
      <c r="J942" s="497">
        <v>0</v>
      </c>
      <c r="K942" s="497">
        <v>23</v>
      </c>
      <c r="L942" s="721">
        <v>0</v>
      </c>
      <c r="M942" s="956">
        <v>0.93</v>
      </c>
      <c r="N942" s="653">
        <v>0</v>
      </c>
      <c r="O942" s="736" t="s">
        <v>2526</v>
      </c>
      <c r="P942" s="514" t="s">
        <v>1588</v>
      </c>
      <c r="Q942" s="859">
        <v>0</v>
      </c>
      <c r="R942" s="859">
        <v>0</v>
      </c>
      <c r="S942" s="859">
        <v>0</v>
      </c>
      <c r="T942" s="859">
        <v>0</v>
      </c>
      <c r="U942" s="514" t="s">
        <v>2502</v>
      </c>
      <c r="V942" s="537" t="s">
        <v>2634</v>
      </c>
      <c r="W942" s="498">
        <v>128</v>
      </c>
      <c r="X942" s="514" t="s">
        <v>1532</v>
      </c>
      <c r="Y942" s="514" t="s">
        <v>1533</v>
      </c>
      <c r="Z942" s="514" t="s">
        <v>2520</v>
      </c>
      <c r="AA942" s="514" t="s">
        <v>1685</v>
      </c>
      <c r="AB942" s="531" t="s">
        <v>1596</v>
      </c>
    </row>
    <row r="943" spans="1:28" ht="24" customHeight="1">
      <c r="A943" s="584"/>
      <c r="B943" s="460" t="s">
        <v>675</v>
      </c>
      <c r="C943" s="500" t="s">
        <v>2635</v>
      </c>
      <c r="D943" s="705" t="s">
        <v>2636</v>
      </c>
      <c r="E943" s="666">
        <f t="shared" si="66"/>
        <v>30</v>
      </c>
      <c r="F943" s="497">
        <v>0</v>
      </c>
      <c r="G943" s="666">
        <v>30</v>
      </c>
      <c r="H943" s="497">
        <v>0</v>
      </c>
      <c r="I943" s="497">
        <f t="shared" si="67"/>
        <v>15</v>
      </c>
      <c r="J943" s="497">
        <v>0</v>
      </c>
      <c r="K943" s="497">
        <v>15</v>
      </c>
      <c r="L943" s="721">
        <v>0</v>
      </c>
      <c r="M943" s="956">
        <v>0.93</v>
      </c>
      <c r="N943" s="653">
        <v>0</v>
      </c>
      <c r="O943" s="736" t="s">
        <v>2535</v>
      </c>
      <c r="P943" s="514" t="s">
        <v>1588</v>
      </c>
      <c r="Q943" s="859">
        <v>0</v>
      </c>
      <c r="R943" s="859">
        <v>0</v>
      </c>
      <c r="S943" s="859">
        <v>0</v>
      </c>
      <c r="T943" s="859">
        <v>0</v>
      </c>
      <c r="U943" s="514" t="s">
        <v>2502</v>
      </c>
      <c r="V943" s="537" t="s">
        <v>3843</v>
      </c>
      <c r="W943" s="498">
        <v>178</v>
      </c>
      <c r="X943" s="514" t="s">
        <v>1532</v>
      </c>
      <c r="Y943" s="514" t="s">
        <v>1533</v>
      </c>
      <c r="Z943" s="514" t="s">
        <v>2520</v>
      </c>
      <c r="AA943" s="514" t="s">
        <v>1685</v>
      </c>
      <c r="AB943" s="531" t="s">
        <v>1596</v>
      </c>
    </row>
    <row r="944" spans="1:28" ht="24" customHeight="1">
      <c r="A944" s="584"/>
      <c r="B944" s="460" t="s">
        <v>675</v>
      </c>
      <c r="C944" s="500" t="s">
        <v>2637</v>
      </c>
      <c r="D944" s="705" t="s">
        <v>2638</v>
      </c>
      <c r="E944" s="666">
        <f t="shared" si="66"/>
        <v>25</v>
      </c>
      <c r="F944" s="497">
        <v>0</v>
      </c>
      <c r="G944" s="666">
        <v>25</v>
      </c>
      <c r="H944" s="497">
        <v>0</v>
      </c>
      <c r="I944" s="497">
        <f t="shared" si="67"/>
        <v>12</v>
      </c>
      <c r="J944" s="497">
        <v>0</v>
      </c>
      <c r="K944" s="497">
        <v>12</v>
      </c>
      <c r="L944" s="721">
        <v>0</v>
      </c>
      <c r="M944" s="956">
        <v>0.93</v>
      </c>
      <c r="N944" s="653">
        <v>0</v>
      </c>
      <c r="O944" s="736" t="s">
        <v>2639</v>
      </c>
      <c r="P944" s="514" t="s">
        <v>1588</v>
      </c>
      <c r="Q944" s="859">
        <v>0</v>
      </c>
      <c r="R944" s="859">
        <v>0</v>
      </c>
      <c r="S944" s="859">
        <v>0</v>
      </c>
      <c r="T944" s="859">
        <v>0</v>
      </c>
      <c r="U944" s="514" t="s">
        <v>2502</v>
      </c>
      <c r="V944" s="537" t="s">
        <v>2640</v>
      </c>
      <c r="W944" s="498">
        <v>194</v>
      </c>
      <c r="X944" s="514" t="s">
        <v>1532</v>
      </c>
      <c r="Y944" s="514" t="s">
        <v>1533</v>
      </c>
      <c r="Z944" s="514" t="s">
        <v>2520</v>
      </c>
      <c r="AA944" s="514" t="s">
        <v>1685</v>
      </c>
      <c r="AB944" s="531" t="s">
        <v>1596</v>
      </c>
    </row>
    <row r="945" spans="1:28" ht="24" customHeight="1">
      <c r="A945" s="584"/>
      <c r="B945" s="460" t="s">
        <v>675</v>
      </c>
      <c r="C945" s="500" t="s">
        <v>2641</v>
      </c>
      <c r="D945" s="705" t="s">
        <v>2642</v>
      </c>
      <c r="E945" s="666">
        <f t="shared" si="66"/>
        <v>25</v>
      </c>
      <c r="F945" s="497">
        <v>0</v>
      </c>
      <c r="G945" s="666">
        <v>25</v>
      </c>
      <c r="H945" s="497">
        <v>0</v>
      </c>
      <c r="I945" s="497">
        <f t="shared" si="67"/>
        <v>12</v>
      </c>
      <c r="J945" s="497">
        <v>0</v>
      </c>
      <c r="K945" s="497">
        <v>12</v>
      </c>
      <c r="L945" s="721">
        <v>0</v>
      </c>
      <c r="M945" s="956">
        <v>0.93</v>
      </c>
      <c r="N945" s="653">
        <v>0</v>
      </c>
      <c r="O945" s="736" t="s">
        <v>2639</v>
      </c>
      <c r="P945" s="514" t="s">
        <v>1588</v>
      </c>
      <c r="Q945" s="859">
        <v>0</v>
      </c>
      <c r="R945" s="859">
        <v>0</v>
      </c>
      <c r="S945" s="859">
        <v>0</v>
      </c>
      <c r="T945" s="859">
        <v>0</v>
      </c>
      <c r="U945" s="514" t="s">
        <v>2502</v>
      </c>
      <c r="V945" s="537" t="s">
        <v>2640</v>
      </c>
      <c r="W945" s="498">
        <v>194</v>
      </c>
      <c r="X945" s="514" t="s">
        <v>1532</v>
      </c>
      <c r="Y945" s="514" t="s">
        <v>1533</v>
      </c>
      <c r="Z945" s="514" t="s">
        <v>2520</v>
      </c>
      <c r="AA945" s="514" t="s">
        <v>1685</v>
      </c>
      <c r="AB945" s="531" t="s">
        <v>1596</v>
      </c>
    </row>
    <row r="946" spans="1:28" ht="24" customHeight="1">
      <c r="A946" s="584"/>
      <c r="B946" s="460" t="s">
        <v>675</v>
      </c>
      <c r="C946" s="500" t="s">
        <v>2643</v>
      </c>
      <c r="D946" s="705" t="s">
        <v>2644</v>
      </c>
      <c r="E946" s="666">
        <f t="shared" si="66"/>
        <v>46</v>
      </c>
      <c r="F946" s="497">
        <v>0</v>
      </c>
      <c r="G946" s="666">
        <v>46</v>
      </c>
      <c r="H946" s="497">
        <v>0</v>
      </c>
      <c r="I946" s="497">
        <f t="shared" si="67"/>
        <v>23</v>
      </c>
      <c r="J946" s="497">
        <v>0</v>
      </c>
      <c r="K946" s="497">
        <v>23</v>
      </c>
      <c r="L946" s="721">
        <v>0</v>
      </c>
      <c r="M946" s="956">
        <v>0.93</v>
      </c>
      <c r="N946" s="653">
        <v>0</v>
      </c>
      <c r="O946" s="736" t="s">
        <v>2526</v>
      </c>
      <c r="P946" s="514" t="s">
        <v>1588</v>
      </c>
      <c r="Q946" s="859">
        <v>0</v>
      </c>
      <c r="R946" s="859">
        <v>0</v>
      </c>
      <c r="S946" s="859">
        <v>0</v>
      </c>
      <c r="T946" s="859">
        <v>0</v>
      </c>
      <c r="U946" s="514" t="s">
        <v>2502</v>
      </c>
      <c r="V946" s="538" t="s">
        <v>2331</v>
      </c>
      <c r="W946" s="498">
        <v>140</v>
      </c>
      <c r="X946" s="514" t="s">
        <v>1532</v>
      </c>
      <c r="Y946" s="514" t="s">
        <v>1533</v>
      </c>
      <c r="Z946" s="514" t="s">
        <v>2520</v>
      </c>
      <c r="AA946" s="514" t="s">
        <v>1685</v>
      </c>
      <c r="AB946" s="531" t="s">
        <v>1596</v>
      </c>
    </row>
    <row r="947" spans="1:28" ht="24" customHeight="1">
      <c r="A947" s="584"/>
      <c r="B947" s="460" t="s">
        <v>675</v>
      </c>
      <c r="C947" s="500" t="s">
        <v>2645</v>
      </c>
      <c r="D947" s="705" t="s">
        <v>2646</v>
      </c>
      <c r="E947" s="666">
        <f t="shared" si="66"/>
        <v>40</v>
      </c>
      <c r="F947" s="497">
        <v>0</v>
      </c>
      <c r="G947" s="666">
        <v>40</v>
      </c>
      <c r="H947" s="497">
        <v>0</v>
      </c>
      <c r="I947" s="497">
        <f t="shared" si="67"/>
        <v>20</v>
      </c>
      <c r="J947" s="497">
        <v>0</v>
      </c>
      <c r="K947" s="497">
        <v>20</v>
      </c>
      <c r="L947" s="721">
        <v>0</v>
      </c>
      <c r="M947" s="956">
        <v>0.93</v>
      </c>
      <c r="N947" s="653">
        <v>0</v>
      </c>
      <c r="O947" s="736" t="s">
        <v>5737</v>
      </c>
      <c r="P947" s="514" t="s">
        <v>1588</v>
      </c>
      <c r="Q947" s="859">
        <v>0</v>
      </c>
      <c r="R947" s="859">
        <v>0</v>
      </c>
      <c r="S947" s="859">
        <v>0</v>
      </c>
      <c r="T947" s="859">
        <v>0</v>
      </c>
      <c r="U947" s="514" t="s">
        <v>2502</v>
      </c>
      <c r="V947" s="537" t="s">
        <v>2647</v>
      </c>
      <c r="W947" s="498">
        <v>198</v>
      </c>
      <c r="X947" s="514" t="s">
        <v>1532</v>
      </c>
      <c r="Y947" s="514" t="s">
        <v>1533</v>
      </c>
      <c r="Z947" s="514" t="s">
        <v>2512</v>
      </c>
      <c r="AA947" s="514" t="s">
        <v>1685</v>
      </c>
      <c r="AB947" s="531" t="s">
        <v>1596</v>
      </c>
    </row>
    <row r="948" spans="1:28" ht="24" customHeight="1">
      <c r="A948" s="584"/>
      <c r="B948" s="460" t="s">
        <v>675</v>
      </c>
      <c r="C948" s="500" t="s">
        <v>2648</v>
      </c>
      <c r="D948" s="705" t="s">
        <v>2649</v>
      </c>
      <c r="E948" s="666">
        <f t="shared" si="66"/>
        <v>30</v>
      </c>
      <c r="F948" s="497">
        <v>0</v>
      </c>
      <c r="G948" s="666">
        <v>30</v>
      </c>
      <c r="H948" s="497">
        <v>0</v>
      </c>
      <c r="I948" s="497">
        <f t="shared" si="67"/>
        <v>15</v>
      </c>
      <c r="J948" s="497">
        <v>0</v>
      </c>
      <c r="K948" s="497">
        <v>15</v>
      </c>
      <c r="L948" s="721">
        <v>0</v>
      </c>
      <c r="M948" s="956">
        <v>0.93</v>
      </c>
      <c r="N948" s="653">
        <v>0</v>
      </c>
      <c r="O948" s="736" t="s">
        <v>2564</v>
      </c>
      <c r="P948" s="514" t="s">
        <v>1588</v>
      </c>
      <c r="Q948" s="859">
        <v>0</v>
      </c>
      <c r="R948" s="859">
        <v>0</v>
      </c>
      <c r="S948" s="859">
        <v>0</v>
      </c>
      <c r="T948" s="859">
        <v>0</v>
      </c>
      <c r="U948" s="514" t="s">
        <v>2502</v>
      </c>
      <c r="V948" s="537" t="s">
        <v>2650</v>
      </c>
      <c r="W948" s="498">
        <v>414</v>
      </c>
      <c r="X948" s="514" t="s">
        <v>1532</v>
      </c>
      <c r="Y948" s="514" t="s">
        <v>1533</v>
      </c>
      <c r="Z948" s="514" t="s">
        <v>2520</v>
      </c>
      <c r="AA948" s="514" t="s">
        <v>1685</v>
      </c>
      <c r="AB948" s="531" t="s">
        <v>1596</v>
      </c>
    </row>
    <row r="949" spans="1:28" ht="24" customHeight="1">
      <c r="A949" s="584"/>
      <c r="B949" s="460" t="s">
        <v>675</v>
      </c>
      <c r="C949" s="500" t="s">
        <v>2651</v>
      </c>
      <c r="D949" s="705" t="s">
        <v>2652</v>
      </c>
      <c r="E949" s="666">
        <f t="shared" si="66"/>
        <v>39</v>
      </c>
      <c r="F949" s="497">
        <v>0</v>
      </c>
      <c r="G949" s="666">
        <v>39</v>
      </c>
      <c r="H949" s="497">
        <v>0</v>
      </c>
      <c r="I949" s="497">
        <f t="shared" si="67"/>
        <v>20</v>
      </c>
      <c r="J949" s="497">
        <v>0</v>
      </c>
      <c r="K949" s="497">
        <v>20</v>
      </c>
      <c r="L949" s="721">
        <v>0</v>
      </c>
      <c r="M949" s="956">
        <v>0.93</v>
      </c>
      <c r="N949" s="653">
        <v>0</v>
      </c>
      <c r="O949" s="736" t="s">
        <v>2526</v>
      </c>
      <c r="P949" s="514" t="s">
        <v>1588</v>
      </c>
      <c r="Q949" s="859">
        <v>0</v>
      </c>
      <c r="R949" s="859">
        <v>0</v>
      </c>
      <c r="S949" s="859">
        <v>0</v>
      </c>
      <c r="T949" s="859">
        <v>0</v>
      </c>
      <c r="U949" s="514" t="s">
        <v>2502</v>
      </c>
      <c r="V949" s="537" t="s">
        <v>2653</v>
      </c>
      <c r="W949" s="498">
        <v>104</v>
      </c>
      <c r="X949" s="514" t="s">
        <v>1532</v>
      </c>
      <c r="Y949" s="514" t="s">
        <v>1533</v>
      </c>
      <c r="Z949" s="514" t="s">
        <v>1911</v>
      </c>
      <c r="AA949" s="514" t="s">
        <v>1685</v>
      </c>
      <c r="AB949" s="531" t="s">
        <v>1596</v>
      </c>
    </row>
    <row r="950" spans="1:28" ht="24" customHeight="1">
      <c r="A950" s="584"/>
      <c r="B950" s="460" t="s">
        <v>675</v>
      </c>
      <c r="C950" s="500" t="s">
        <v>2654</v>
      </c>
      <c r="D950" s="705" t="s">
        <v>2655</v>
      </c>
      <c r="E950" s="666">
        <f t="shared" si="66"/>
        <v>40</v>
      </c>
      <c r="F950" s="497">
        <v>0</v>
      </c>
      <c r="G950" s="666">
        <v>40</v>
      </c>
      <c r="H950" s="497">
        <v>0</v>
      </c>
      <c r="I950" s="497">
        <f t="shared" si="67"/>
        <v>20</v>
      </c>
      <c r="J950" s="497">
        <v>0</v>
      </c>
      <c r="K950" s="497">
        <v>20</v>
      </c>
      <c r="L950" s="721">
        <v>0</v>
      </c>
      <c r="M950" s="956">
        <v>0.93</v>
      </c>
      <c r="N950" s="653">
        <v>0</v>
      </c>
      <c r="O950" s="736" t="s">
        <v>2656</v>
      </c>
      <c r="P950" s="514" t="s">
        <v>1588</v>
      </c>
      <c r="Q950" s="859">
        <v>0</v>
      </c>
      <c r="R950" s="859">
        <v>0</v>
      </c>
      <c r="S950" s="859">
        <v>0</v>
      </c>
      <c r="T950" s="859">
        <v>0</v>
      </c>
      <c r="U950" s="514" t="s">
        <v>2502</v>
      </c>
      <c r="V950" s="537" t="s">
        <v>2657</v>
      </c>
      <c r="W950" s="498">
        <v>282</v>
      </c>
      <c r="X950" s="514" t="s">
        <v>1532</v>
      </c>
      <c r="Y950" s="514" t="s">
        <v>1533</v>
      </c>
      <c r="Z950" s="514" t="s">
        <v>2512</v>
      </c>
      <c r="AA950" s="514" t="s">
        <v>1685</v>
      </c>
      <c r="AB950" s="531" t="s">
        <v>1596</v>
      </c>
    </row>
    <row r="951" spans="1:28" ht="24" customHeight="1">
      <c r="A951" s="583"/>
      <c r="B951" s="460" t="s">
        <v>675</v>
      </c>
      <c r="C951" s="500" t="s">
        <v>2658</v>
      </c>
      <c r="D951" s="705" t="s">
        <v>2659</v>
      </c>
      <c r="E951" s="666">
        <f t="shared" si="66"/>
        <v>30</v>
      </c>
      <c r="F951" s="497">
        <v>0</v>
      </c>
      <c r="G951" s="666">
        <v>30</v>
      </c>
      <c r="H951" s="497">
        <v>0</v>
      </c>
      <c r="I951" s="497">
        <f t="shared" si="67"/>
        <v>15</v>
      </c>
      <c r="J951" s="497">
        <v>0</v>
      </c>
      <c r="K951" s="497">
        <v>15</v>
      </c>
      <c r="L951" s="721">
        <v>0</v>
      </c>
      <c r="M951" s="956">
        <v>0.93</v>
      </c>
      <c r="N951" s="653">
        <v>0</v>
      </c>
      <c r="O951" s="736" t="s">
        <v>2660</v>
      </c>
      <c r="P951" s="514" t="s">
        <v>1588</v>
      </c>
      <c r="Q951" s="859">
        <v>0</v>
      </c>
      <c r="R951" s="859">
        <v>0</v>
      </c>
      <c r="S951" s="859">
        <v>0</v>
      </c>
      <c r="T951" s="859">
        <v>0</v>
      </c>
      <c r="U951" s="514" t="s">
        <v>2502</v>
      </c>
      <c r="V951" s="537" t="s">
        <v>2661</v>
      </c>
      <c r="W951" s="498">
        <v>217</v>
      </c>
      <c r="X951" s="514" t="s">
        <v>1532</v>
      </c>
      <c r="Y951" s="514" t="s">
        <v>1533</v>
      </c>
      <c r="Z951" s="514" t="s">
        <v>1911</v>
      </c>
      <c r="AA951" s="514" t="s">
        <v>1685</v>
      </c>
      <c r="AB951" s="531" t="s">
        <v>1596</v>
      </c>
    </row>
    <row r="952" spans="1:28" ht="24" customHeight="1">
      <c r="A952" s="584" t="s">
        <v>1616</v>
      </c>
      <c r="B952" s="458" t="s">
        <v>6037</v>
      </c>
      <c r="C952" s="579"/>
      <c r="D952" s="579"/>
      <c r="E952" s="498" t="s">
        <v>6216</v>
      </c>
      <c r="F952" s="498">
        <v>0</v>
      </c>
      <c r="G952" s="498" t="s">
        <v>7561</v>
      </c>
      <c r="H952" s="498" t="s">
        <v>6218</v>
      </c>
      <c r="I952" s="498" t="s">
        <v>6219</v>
      </c>
      <c r="J952" s="498">
        <v>0</v>
      </c>
      <c r="K952" s="498" t="s">
        <v>6220</v>
      </c>
      <c r="L952" s="668" t="s">
        <v>6221</v>
      </c>
      <c r="M952" s="956"/>
      <c r="N952" s="498" t="s">
        <v>6222</v>
      </c>
      <c r="O952" s="669">
        <v>0</v>
      </c>
      <c r="P952" s="463" t="s">
        <v>1588</v>
      </c>
      <c r="Q952" s="852">
        <f>SUM(Q953:Q1109)</f>
        <v>196.5</v>
      </c>
      <c r="R952" s="852">
        <f>SUM(R953:R1109)</f>
        <v>198.1</v>
      </c>
      <c r="S952" s="852">
        <f>SUM(S953:S1109)</f>
        <v>22.5</v>
      </c>
      <c r="T952" s="852">
        <f>SUM(T953:T1109)</f>
        <v>0</v>
      </c>
      <c r="U952" s="463"/>
      <c r="V952" s="463"/>
      <c r="W952" s="498">
        <f>SUM(W953:W1109)</f>
        <v>230017</v>
      </c>
      <c r="X952" s="463"/>
      <c r="Y952" s="463"/>
      <c r="Z952" s="463"/>
      <c r="AA952" s="463"/>
      <c r="AB952" s="459"/>
    </row>
    <row r="953" spans="1:28" ht="24" customHeight="1">
      <c r="A953" s="582" t="s">
        <v>1692</v>
      </c>
      <c r="B953" s="460" t="s">
        <v>2201</v>
      </c>
      <c r="C953" s="458" t="s">
        <v>2422</v>
      </c>
      <c r="D953" s="510" t="s">
        <v>2662</v>
      </c>
      <c r="E953" s="497">
        <v>32000</v>
      </c>
      <c r="F953" s="497">
        <v>0</v>
      </c>
      <c r="G953" s="497">
        <v>32000</v>
      </c>
      <c r="H953" s="497">
        <v>0</v>
      </c>
      <c r="I953" s="497">
        <f t="shared" ref="I953:I1005" si="68">J953+K953+L953</f>
        <v>15642</v>
      </c>
      <c r="J953" s="497">
        <v>0</v>
      </c>
      <c r="K953" s="497">
        <v>15642</v>
      </c>
      <c r="L953" s="721">
        <v>0</v>
      </c>
      <c r="M953" s="956">
        <v>0.92344497607655507</v>
      </c>
      <c r="N953" s="653">
        <v>1509.453</v>
      </c>
      <c r="O953" s="731" t="s">
        <v>1535</v>
      </c>
      <c r="P953" s="514" t="s">
        <v>1588</v>
      </c>
      <c r="Q953" s="859">
        <v>46.5</v>
      </c>
      <c r="R953" s="859">
        <v>78.099999999999994</v>
      </c>
      <c r="S953" s="859">
        <v>6.8</v>
      </c>
      <c r="T953" s="859">
        <v>0</v>
      </c>
      <c r="U953" s="514" t="s">
        <v>2663</v>
      </c>
      <c r="V953" s="534" t="s">
        <v>2664</v>
      </c>
      <c r="W953" s="498">
        <v>37902</v>
      </c>
      <c r="X953" s="514" t="s">
        <v>2276</v>
      </c>
      <c r="Y953" s="514" t="s">
        <v>1533</v>
      </c>
      <c r="Z953" s="514"/>
      <c r="AA953" s="514" t="s">
        <v>1592</v>
      </c>
      <c r="AB953" s="531" t="s">
        <v>1592</v>
      </c>
    </row>
    <row r="954" spans="1:28" ht="24" customHeight="1">
      <c r="A954" s="584"/>
      <c r="B954" s="460" t="s">
        <v>675</v>
      </c>
      <c r="C954" s="458" t="s">
        <v>2665</v>
      </c>
      <c r="D954" s="510" t="s">
        <v>2666</v>
      </c>
      <c r="E954" s="497">
        <v>130</v>
      </c>
      <c r="F954" s="497">
        <v>0</v>
      </c>
      <c r="G954" s="497">
        <v>130</v>
      </c>
      <c r="H954" s="497">
        <v>0</v>
      </c>
      <c r="I954" s="497">
        <f t="shared" si="68"/>
        <v>38.4</v>
      </c>
      <c r="J954" s="497">
        <v>0</v>
      </c>
      <c r="K954" s="497">
        <v>38.4</v>
      </c>
      <c r="L954" s="721">
        <v>0</v>
      </c>
      <c r="M954" s="956">
        <v>0.8</v>
      </c>
      <c r="N954" s="653">
        <v>1.594368</v>
      </c>
      <c r="O954" s="731" t="s">
        <v>5635</v>
      </c>
      <c r="P954" s="514" t="s">
        <v>1588</v>
      </c>
      <c r="Q954" s="859">
        <v>0</v>
      </c>
      <c r="R954" s="859">
        <v>0</v>
      </c>
      <c r="S954" s="859">
        <v>0</v>
      </c>
      <c r="T954" s="859">
        <v>0</v>
      </c>
      <c r="U954" s="514"/>
      <c r="V954" s="514" t="s">
        <v>2667</v>
      </c>
      <c r="W954" s="498">
        <v>371</v>
      </c>
      <c r="X954" s="514" t="s">
        <v>2276</v>
      </c>
      <c r="Y954" s="514" t="s">
        <v>1533</v>
      </c>
      <c r="Z954" s="514"/>
      <c r="AA954" s="514" t="s">
        <v>1679</v>
      </c>
      <c r="AB954" s="531" t="s">
        <v>1679</v>
      </c>
    </row>
    <row r="955" spans="1:28" ht="24" customHeight="1">
      <c r="A955" s="584"/>
      <c r="B955" s="460" t="s">
        <v>675</v>
      </c>
      <c r="C955" s="458" t="s">
        <v>2668</v>
      </c>
      <c r="D955" s="510" t="s">
        <v>2669</v>
      </c>
      <c r="E955" s="497">
        <v>50</v>
      </c>
      <c r="F955" s="497">
        <v>0</v>
      </c>
      <c r="G955" s="497">
        <v>50</v>
      </c>
      <c r="H955" s="497">
        <v>0</v>
      </c>
      <c r="I955" s="497">
        <f t="shared" si="68"/>
        <v>36.869999999999997</v>
      </c>
      <c r="J955" s="497">
        <v>0</v>
      </c>
      <c r="K955" s="497">
        <v>36.869999999999997</v>
      </c>
      <c r="L955" s="721">
        <v>0</v>
      </c>
      <c r="M955" s="956">
        <v>0.89</v>
      </c>
      <c r="N955" s="653">
        <v>2.4774796499999998</v>
      </c>
      <c r="O955" s="731" t="s">
        <v>2670</v>
      </c>
      <c r="P955" s="514" t="s">
        <v>1588</v>
      </c>
      <c r="Q955" s="859">
        <v>0</v>
      </c>
      <c r="R955" s="859">
        <v>0</v>
      </c>
      <c r="S955" s="859">
        <v>0</v>
      </c>
      <c r="T955" s="859">
        <v>0</v>
      </c>
      <c r="U955" s="514"/>
      <c r="V955" s="514" t="s">
        <v>2671</v>
      </c>
      <c r="W955" s="498">
        <v>185</v>
      </c>
      <c r="X955" s="514" t="s">
        <v>2276</v>
      </c>
      <c r="Y955" s="514" t="s">
        <v>1533</v>
      </c>
      <c r="Z955" s="514"/>
      <c r="AA955" s="514" t="s">
        <v>1679</v>
      </c>
      <c r="AB955" s="531" t="s">
        <v>1679</v>
      </c>
    </row>
    <row r="956" spans="1:28" ht="24" customHeight="1">
      <c r="A956" s="584"/>
      <c r="B956" s="460" t="s">
        <v>675</v>
      </c>
      <c r="C956" s="458" t="s">
        <v>907</v>
      </c>
      <c r="D956" s="510" t="s">
        <v>2672</v>
      </c>
      <c r="E956" s="497">
        <v>175</v>
      </c>
      <c r="F956" s="497">
        <v>0</v>
      </c>
      <c r="G956" s="497">
        <v>175</v>
      </c>
      <c r="H956" s="497">
        <v>0</v>
      </c>
      <c r="I956" s="497">
        <f t="shared" si="68"/>
        <v>74.5</v>
      </c>
      <c r="J956" s="497">
        <v>0</v>
      </c>
      <c r="K956" s="497">
        <v>74.5</v>
      </c>
      <c r="L956" s="721">
        <v>0</v>
      </c>
      <c r="M956" s="956">
        <v>0.77</v>
      </c>
      <c r="N956" s="653">
        <v>2.1524041</v>
      </c>
      <c r="O956" s="731" t="s">
        <v>5635</v>
      </c>
      <c r="P956" s="514" t="s">
        <v>1588</v>
      </c>
      <c r="Q956" s="859">
        <v>0</v>
      </c>
      <c r="R956" s="859">
        <v>0</v>
      </c>
      <c r="S956" s="859">
        <v>0</v>
      </c>
      <c r="T956" s="859">
        <v>0</v>
      </c>
      <c r="U956" s="514"/>
      <c r="V956" s="514" t="s">
        <v>5331</v>
      </c>
      <c r="W956" s="498">
        <v>384</v>
      </c>
      <c r="X956" s="514" t="s">
        <v>2276</v>
      </c>
      <c r="Y956" s="514" t="s">
        <v>1533</v>
      </c>
      <c r="Z956" s="514"/>
      <c r="AA956" s="514" t="s">
        <v>1679</v>
      </c>
      <c r="AB956" s="531" t="s">
        <v>1679</v>
      </c>
    </row>
    <row r="957" spans="1:28" ht="24" customHeight="1">
      <c r="A957" s="584"/>
      <c r="B957" s="460" t="s">
        <v>675</v>
      </c>
      <c r="C957" s="458" t="s">
        <v>2673</v>
      </c>
      <c r="D957" s="510" t="s">
        <v>2674</v>
      </c>
      <c r="E957" s="497">
        <v>100</v>
      </c>
      <c r="F957" s="497">
        <v>0</v>
      </c>
      <c r="G957" s="497">
        <v>0</v>
      </c>
      <c r="H957" s="497">
        <v>100</v>
      </c>
      <c r="I957" s="497">
        <f t="shared" si="68"/>
        <v>63.1</v>
      </c>
      <c r="J957" s="497">
        <v>0</v>
      </c>
      <c r="K957" s="497">
        <v>0</v>
      </c>
      <c r="L957" s="721">
        <v>63.1</v>
      </c>
      <c r="M957" s="956">
        <v>0.88</v>
      </c>
      <c r="N957" s="653">
        <v>5.5792000000000002</v>
      </c>
      <c r="O957" s="731" t="s">
        <v>2675</v>
      </c>
      <c r="P957" s="514" t="s">
        <v>1588</v>
      </c>
      <c r="Q957" s="859">
        <v>0</v>
      </c>
      <c r="R957" s="859">
        <v>0</v>
      </c>
      <c r="S957" s="859">
        <v>0</v>
      </c>
      <c r="T957" s="859">
        <v>0</v>
      </c>
      <c r="U957" s="514"/>
      <c r="V957" s="514" t="s">
        <v>2676</v>
      </c>
      <c r="W957" s="498">
        <v>585</v>
      </c>
      <c r="X957" s="514" t="s">
        <v>2276</v>
      </c>
      <c r="Y957" s="514" t="s">
        <v>3336</v>
      </c>
      <c r="Z957" s="514"/>
      <c r="AA957" s="514" t="s">
        <v>1679</v>
      </c>
      <c r="AB957" s="531" t="s">
        <v>1679</v>
      </c>
    </row>
    <row r="958" spans="1:28" ht="24" customHeight="1">
      <c r="A958" s="584"/>
      <c r="B958" s="460" t="s">
        <v>675</v>
      </c>
      <c r="C958" s="458" t="s">
        <v>2677</v>
      </c>
      <c r="D958" s="510" t="s">
        <v>2678</v>
      </c>
      <c r="E958" s="497">
        <v>60</v>
      </c>
      <c r="F958" s="497">
        <v>0</v>
      </c>
      <c r="G958" s="497">
        <v>0</v>
      </c>
      <c r="H958" s="497">
        <v>60</v>
      </c>
      <c r="I958" s="497">
        <f t="shared" si="68"/>
        <v>62.1</v>
      </c>
      <c r="J958" s="497">
        <v>0</v>
      </c>
      <c r="K958" s="497">
        <v>0</v>
      </c>
      <c r="L958" s="721">
        <v>62.1</v>
      </c>
      <c r="M958" s="956">
        <v>0.87</v>
      </c>
      <c r="N958" s="653">
        <v>3.6435599999999999</v>
      </c>
      <c r="O958" s="731" t="s">
        <v>5635</v>
      </c>
      <c r="P958" s="514" t="s">
        <v>1588</v>
      </c>
      <c r="Q958" s="859">
        <v>0</v>
      </c>
      <c r="R958" s="859">
        <v>0</v>
      </c>
      <c r="S958" s="859">
        <v>0</v>
      </c>
      <c r="T958" s="859">
        <v>0</v>
      </c>
      <c r="U958" s="514"/>
      <c r="V958" s="514" t="s">
        <v>2679</v>
      </c>
      <c r="W958" s="498">
        <v>182</v>
      </c>
      <c r="X958" s="514" t="s">
        <v>2276</v>
      </c>
      <c r="Y958" s="514" t="s">
        <v>1533</v>
      </c>
      <c r="Z958" s="514"/>
      <c r="AA958" s="514" t="s">
        <v>1679</v>
      </c>
      <c r="AB958" s="531" t="s">
        <v>1679</v>
      </c>
    </row>
    <row r="959" spans="1:28" ht="24" customHeight="1">
      <c r="A959" s="584"/>
      <c r="B959" s="460" t="s">
        <v>675</v>
      </c>
      <c r="C959" s="458" t="s">
        <v>2680</v>
      </c>
      <c r="D959" s="510" t="s">
        <v>2681</v>
      </c>
      <c r="E959" s="497">
        <v>90</v>
      </c>
      <c r="F959" s="497">
        <v>0</v>
      </c>
      <c r="G959" s="497">
        <v>90</v>
      </c>
      <c r="H959" s="497">
        <v>0</v>
      </c>
      <c r="I959" s="497">
        <f t="shared" si="68"/>
        <v>62.91</v>
      </c>
      <c r="J959" s="497">
        <v>0</v>
      </c>
      <c r="K959" s="497">
        <v>62.91</v>
      </c>
      <c r="L959" s="721">
        <v>0</v>
      </c>
      <c r="M959" s="956">
        <v>0.85</v>
      </c>
      <c r="N959" s="653">
        <v>3.0105580499999998</v>
      </c>
      <c r="O959" s="731" t="s">
        <v>5635</v>
      </c>
      <c r="P959" s="514" t="s">
        <v>1588</v>
      </c>
      <c r="Q959" s="859">
        <v>0</v>
      </c>
      <c r="R959" s="859">
        <v>0</v>
      </c>
      <c r="S959" s="859">
        <v>0</v>
      </c>
      <c r="T959" s="859">
        <v>0</v>
      </c>
      <c r="U959" s="514"/>
      <c r="V959" s="514" t="s">
        <v>2682</v>
      </c>
      <c r="W959" s="498">
        <v>318</v>
      </c>
      <c r="X959" s="514" t="s">
        <v>2276</v>
      </c>
      <c r="Y959" s="514" t="s">
        <v>1533</v>
      </c>
      <c r="Z959" s="514"/>
      <c r="AA959" s="514" t="s">
        <v>1679</v>
      </c>
      <c r="AB959" s="531" t="s">
        <v>1679</v>
      </c>
    </row>
    <row r="960" spans="1:28" ht="24" customHeight="1">
      <c r="A960" s="584"/>
      <c r="B960" s="460" t="s">
        <v>675</v>
      </c>
      <c r="C960" s="458" t="s">
        <v>2683</v>
      </c>
      <c r="D960" s="510" t="s">
        <v>2684</v>
      </c>
      <c r="E960" s="497">
        <v>40</v>
      </c>
      <c r="F960" s="497">
        <v>0</v>
      </c>
      <c r="G960" s="497">
        <v>40</v>
      </c>
      <c r="H960" s="497">
        <v>0</v>
      </c>
      <c r="I960" s="497">
        <f t="shared" si="68"/>
        <v>13.67</v>
      </c>
      <c r="J960" s="497">
        <v>0</v>
      </c>
      <c r="K960" s="497">
        <v>13.67</v>
      </c>
      <c r="L960" s="721">
        <v>0</v>
      </c>
      <c r="M960" s="956">
        <v>0.79</v>
      </c>
      <c r="N960" s="653">
        <v>0.58100233999999995</v>
      </c>
      <c r="O960" s="731" t="s">
        <v>5694</v>
      </c>
      <c r="P960" s="514" t="s">
        <v>1588</v>
      </c>
      <c r="Q960" s="859">
        <v>0</v>
      </c>
      <c r="R960" s="859">
        <v>0</v>
      </c>
      <c r="S960" s="859">
        <v>0</v>
      </c>
      <c r="T960" s="859">
        <v>0</v>
      </c>
      <c r="U960" s="514"/>
      <c r="V960" s="514" t="s">
        <v>2093</v>
      </c>
      <c r="W960" s="498">
        <v>98</v>
      </c>
      <c r="X960" s="514" t="s">
        <v>2276</v>
      </c>
      <c r="Y960" s="514" t="s">
        <v>1533</v>
      </c>
      <c r="Z960" s="514"/>
      <c r="AA960" s="514" t="s">
        <v>1679</v>
      </c>
      <c r="AB960" s="531" t="s">
        <v>1679</v>
      </c>
    </row>
    <row r="961" spans="1:28" ht="24" customHeight="1">
      <c r="A961" s="584"/>
      <c r="B961" s="460" t="s">
        <v>675</v>
      </c>
      <c r="C961" s="458" t="s">
        <v>1263</v>
      </c>
      <c r="D961" s="510" t="s">
        <v>2685</v>
      </c>
      <c r="E961" s="497">
        <v>15</v>
      </c>
      <c r="F961" s="497">
        <v>0</v>
      </c>
      <c r="G961" s="497">
        <v>15</v>
      </c>
      <c r="H961" s="497">
        <v>0</v>
      </c>
      <c r="I961" s="497">
        <f t="shared" si="68"/>
        <v>0</v>
      </c>
      <c r="J961" s="497">
        <v>0</v>
      </c>
      <c r="K961" s="497">
        <v>0</v>
      </c>
      <c r="L961" s="721">
        <v>0</v>
      </c>
      <c r="M961" s="956">
        <v>0</v>
      </c>
      <c r="N961" s="653">
        <v>0</v>
      </c>
      <c r="O961" s="731" t="s">
        <v>5640</v>
      </c>
      <c r="P961" s="514" t="s">
        <v>1588</v>
      </c>
      <c r="Q961" s="859">
        <v>0</v>
      </c>
      <c r="R961" s="859">
        <v>0</v>
      </c>
      <c r="S961" s="859">
        <v>0</v>
      </c>
      <c r="T961" s="859">
        <v>0</v>
      </c>
      <c r="U961" s="514"/>
      <c r="V961" s="514" t="s">
        <v>2686</v>
      </c>
      <c r="W961" s="498">
        <v>59</v>
      </c>
      <c r="X961" s="514" t="s">
        <v>2276</v>
      </c>
      <c r="Y961" s="514" t="s">
        <v>1533</v>
      </c>
      <c r="Z961" s="514"/>
      <c r="AA961" s="514" t="s">
        <v>1679</v>
      </c>
      <c r="AB961" s="531" t="s">
        <v>1679</v>
      </c>
    </row>
    <row r="962" spans="1:28" ht="24" customHeight="1">
      <c r="A962" s="584"/>
      <c r="B962" s="460" t="s">
        <v>675</v>
      </c>
      <c r="C962" s="458" t="s">
        <v>2687</v>
      </c>
      <c r="D962" s="510" t="s">
        <v>2688</v>
      </c>
      <c r="E962" s="497">
        <v>40</v>
      </c>
      <c r="F962" s="497">
        <v>0</v>
      </c>
      <c r="G962" s="497">
        <v>40</v>
      </c>
      <c r="H962" s="497">
        <v>0</v>
      </c>
      <c r="I962" s="497">
        <f t="shared" si="68"/>
        <v>31.1</v>
      </c>
      <c r="J962" s="497">
        <v>0</v>
      </c>
      <c r="K962" s="497">
        <v>31.1</v>
      </c>
      <c r="L962" s="721">
        <v>0</v>
      </c>
      <c r="M962" s="956">
        <v>0.86</v>
      </c>
      <c r="N962" s="653">
        <v>1.5485933999999999</v>
      </c>
      <c r="O962" s="731" t="s">
        <v>2526</v>
      </c>
      <c r="P962" s="514" t="s">
        <v>1588</v>
      </c>
      <c r="Q962" s="859">
        <v>0</v>
      </c>
      <c r="R962" s="859">
        <v>0</v>
      </c>
      <c r="S962" s="859">
        <v>0</v>
      </c>
      <c r="T962" s="859">
        <v>0</v>
      </c>
      <c r="U962" s="514"/>
      <c r="V962" s="514" t="s">
        <v>2689</v>
      </c>
      <c r="W962" s="498">
        <v>193</v>
      </c>
      <c r="X962" s="514" t="s">
        <v>2276</v>
      </c>
      <c r="Y962" s="514" t="s">
        <v>1533</v>
      </c>
      <c r="Z962" s="514"/>
      <c r="AA962" s="514" t="s">
        <v>1679</v>
      </c>
      <c r="AB962" s="531" t="s">
        <v>1679</v>
      </c>
    </row>
    <row r="963" spans="1:28" ht="24" customHeight="1">
      <c r="A963" s="584"/>
      <c r="B963" s="460" t="s">
        <v>675</v>
      </c>
      <c r="C963" s="458" t="s">
        <v>2690</v>
      </c>
      <c r="D963" s="510" t="s">
        <v>2691</v>
      </c>
      <c r="E963" s="497">
        <v>45</v>
      </c>
      <c r="F963" s="497">
        <v>0</v>
      </c>
      <c r="G963" s="497">
        <v>45</v>
      </c>
      <c r="H963" s="497">
        <v>0</v>
      </c>
      <c r="I963" s="497">
        <f t="shared" si="68"/>
        <v>0</v>
      </c>
      <c r="J963" s="497">
        <v>0</v>
      </c>
      <c r="K963" s="497">
        <v>0</v>
      </c>
      <c r="L963" s="721">
        <v>0</v>
      </c>
      <c r="M963" s="956">
        <v>0</v>
      </c>
      <c r="N963" s="653">
        <v>0</v>
      </c>
      <c r="O963" s="731" t="s">
        <v>2526</v>
      </c>
      <c r="P963" s="514" t="s">
        <v>1588</v>
      </c>
      <c r="Q963" s="859">
        <v>0</v>
      </c>
      <c r="R963" s="859">
        <v>0</v>
      </c>
      <c r="S963" s="859">
        <v>0</v>
      </c>
      <c r="T963" s="859">
        <v>0</v>
      </c>
      <c r="U963" s="514"/>
      <c r="V963" s="514" t="s">
        <v>2692</v>
      </c>
      <c r="W963" s="498">
        <v>97</v>
      </c>
      <c r="X963" s="514" t="s">
        <v>2276</v>
      </c>
      <c r="Y963" s="514" t="s">
        <v>1533</v>
      </c>
      <c r="Z963" s="514"/>
      <c r="AA963" s="514" t="s">
        <v>1679</v>
      </c>
      <c r="AB963" s="531" t="s">
        <v>1679</v>
      </c>
    </row>
    <row r="964" spans="1:28" ht="24" customHeight="1">
      <c r="A964" s="584"/>
      <c r="B964" s="460" t="s">
        <v>675</v>
      </c>
      <c r="C964" s="458" t="s">
        <v>2693</v>
      </c>
      <c r="D964" s="510" t="s">
        <v>2694</v>
      </c>
      <c r="E964" s="497">
        <v>12</v>
      </c>
      <c r="F964" s="497">
        <v>0</v>
      </c>
      <c r="G964" s="497">
        <v>12</v>
      </c>
      <c r="H964" s="497">
        <v>0</v>
      </c>
      <c r="I964" s="497">
        <f t="shared" si="68"/>
        <v>0</v>
      </c>
      <c r="J964" s="497">
        <v>0</v>
      </c>
      <c r="K964" s="497">
        <v>0</v>
      </c>
      <c r="L964" s="721">
        <v>0</v>
      </c>
      <c r="M964" s="956">
        <v>0</v>
      </c>
      <c r="N964" s="653">
        <v>0</v>
      </c>
      <c r="O964" s="731" t="s">
        <v>2695</v>
      </c>
      <c r="P964" s="514" t="s">
        <v>1588</v>
      </c>
      <c r="Q964" s="859">
        <v>0</v>
      </c>
      <c r="R964" s="859">
        <v>0</v>
      </c>
      <c r="S964" s="859">
        <v>0</v>
      </c>
      <c r="T964" s="859">
        <v>0</v>
      </c>
      <c r="U964" s="514"/>
      <c r="V964" s="514" t="s">
        <v>2696</v>
      </c>
      <c r="W964" s="498">
        <v>38</v>
      </c>
      <c r="X964" s="514" t="s">
        <v>2276</v>
      </c>
      <c r="Y964" s="514" t="s">
        <v>1533</v>
      </c>
      <c r="Z964" s="514"/>
      <c r="AA964" s="514" t="s">
        <v>1679</v>
      </c>
      <c r="AB964" s="531" t="s">
        <v>1679</v>
      </c>
    </row>
    <row r="965" spans="1:28" ht="24" customHeight="1">
      <c r="A965" s="584"/>
      <c r="B965" s="460" t="s">
        <v>675</v>
      </c>
      <c r="C965" s="458" t="s">
        <v>2697</v>
      </c>
      <c r="D965" s="510" t="s">
        <v>2698</v>
      </c>
      <c r="E965" s="497">
        <v>22</v>
      </c>
      <c r="F965" s="497">
        <v>0</v>
      </c>
      <c r="G965" s="497">
        <v>22</v>
      </c>
      <c r="H965" s="497">
        <v>0</v>
      </c>
      <c r="I965" s="497">
        <f t="shared" si="68"/>
        <v>0</v>
      </c>
      <c r="J965" s="497">
        <v>0</v>
      </c>
      <c r="K965" s="497">
        <v>0</v>
      </c>
      <c r="L965" s="721">
        <v>0</v>
      </c>
      <c r="M965" s="956">
        <v>0</v>
      </c>
      <c r="N965" s="653">
        <v>0</v>
      </c>
      <c r="O965" s="731" t="s">
        <v>2526</v>
      </c>
      <c r="P965" s="514" t="s">
        <v>1588</v>
      </c>
      <c r="Q965" s="859">
        <v>0</v>
      </c>
      <c r="R965" s="859">
        <v>0</v>
      </c>
      <c r="S965" s="859">
        <v>0</v>
      </c>
      <c r="T965" s="859">
        <v>0</v>
      </c>
      <c r="U965" s="514"/>
      <c r="V965" s="514" t="s">
        <v>2362</v>
      </c>
      <c r="W965" s="498">
        <v>39</v>
      </c>
      <c r="X965" s="514" t="s">
        <v>2276</v>
      </c>
      <c r="Y965" s="514" t="s">
        <v>1533</v>
      </c>
      <c r="Z965" s="514"/>
      <c r="AA965" s="514" t="s">
        <v>1679</v>
      </c>
      <c r="AB965" s="531" t="s">
        <v>1679</v>
      </c>
    </row>
    <row r="966" spans="1:28" ht="24" customHeight="1">
      <c r="A966" s="584"/>
      <c r="B966" s="460" t="s">
        <v>675</v>
      </c>
      <c r="C966" s="458" t="s">
        <v>2699</v>
      </c>
      <c r="D966" s="510" t="s">
        <v>2700</v>
      </c>
      <c r="E966" s="497">
        <v>45</v>
      </c>
      <c r="F966" s="497">
        <v>0</v>
      </c>
      <c r="G966" s="497">
        <v>45</v>
      </c>
      <c r="H966" s="497">
        <v>0</v>
      </c>
      <c r="I966" s="497">
        <f t="shared" si="68"/>
        <v>36.35</v>
      </c>
      <c r="J966" s="497">
        <v>0</v>
      </c>
      <c r="K966" s="497">
        <v>36.35</v>
      </c>
      <c r="L966" s="721">
        <v>0</v>
      </c>
      <c r="M966" s="956">
        <v>0.91</v>
      </c>
      <c r="N966" s="653">
        <v>3.4765503500000001</v>
      </c>
      <c r="O966" s="731" t="s">
        <v>5640</v>
      </c>
      <c r="P966" s="514" t="s">
        <v>1588</v>
      </c>
      <c r="Q966" s="859">
        <v>0</v>
      </c>
      <c r="R966" s="859">
        <v>0</v>
      </c>
      <c r="S966" s="859">
        <v>0</v>
      </c>
      <c r="T966" s="859">
        <v>0</v>
      </c>
      <c r="U966" s="514"/>
      <c r="V966" s="514" t="s">
        <v>2701</v>
      </c>
      <c r="W966" s="498">
        <v>237</v>
      </c>
      <c r="X966" s="514" t="s">
        <v>2276</v>
      </c>
      <c r="Y966" s="514" t="s">
        <v>1533</v>
      </c>
      <c r="Z966" s="514"/>
      <c r="AA966" s="514" t="s">
        <v>1679</v>
      </c>
      <c r="AB966" s="531" t="s">
        <v>1679</v>
      </c>
    </row>
    <row r="967" spans="1:28" ht="24" customHeight="1">
      <c r="A967" s="584"/>
      <c r="B967" s="460" t="s">
        <v>675</v>
      </c>
      <c r="C967" s="458" t="s">
        <v>2240</v>
      </c>
      <c r="D967" s="510" t="s">
        <v>2702</v>
      </c>
      <c r="E967" s="497">
        <v>40</v>
      </c>
      <c r="F967" s="497">
        <v>0</v>
      </c>
      <c r="G967" s="497">
        <v>40</v>
      </c>
      <c r="H967" s="497">
        <v>0</v>
      </c>
      <c r="I967" s="497">
        <f t="shared" si="68"/>
        <v>21.27</v>
      </c>
      <c r="J967" s="497">
        <v>0</v>
      </c>
      <c r="K967" s="497">
        <v>21.27</v>
      </c>
      <c r="L967" s="721">
        <v>0</v>
      </c>
      <c r="M967" s="956">
        <v>0.76</v>
      </c>
      <c r="N967" s="653">
        <v>0.95213028</v>
      </c>
      <c r="O967" s="731" t="s">
        <v>5694</v>
      </c>
      <c r="P967" s="514" t="s">
        <v>1588</v>
      </c>
      <c r="Q967" s="859">
        <v>0</v>
      </c>
      <c r="R967" s="859">
        <v>0</v>
      </c>
      <c r="S967" s="859">
        <v>0</v>
      </c>
      <c r="T967" s="859">
        <v>0</v>
      </c>
      <c r="U967" s="514"/>
      <c r="V967" s="514" t="s">
        <v>2703</v>
      </c>
      <c r="W967" s="498">
        <v>284</v>
      </c>
      <c r="X967" s="514" t="s">
        <v>2276</v>
      </c>
      <c r="Y967" s="514" t="s">
        <v>1533</v>
      </c>
      <c r="Z967" s="514"/>
      <c r="AA967" s="514" t="s">
        <v>1679</v>
      </c>
      <c r="AB967" s="531" t="s">
        <v>1679</v>
      </c>
    </row>
    <row r="968" spans="1:28" ht="24" customHeight="1">
      <c r="A968" s="584"/>
      <c r="B968" s="460" t="s">
        <v>675</v>
      </c>
      <c r="C968" s="458" t="s">
        <v>2704</v>
      </c>
      <c r="D968" s="510" t="s">
        <v>2705</v>
      </c>
      <c r="E968" s="497">
        <v>30</v>
      </c>
      <c r="F968" s="497">
        <v>0</v>
      </c>
      <c r="G968" s="497">
        <v>30</v>
      </c>
      <c r="H968" s="497">
        <v>0</v>
      </c>
      <c r="I968" s="497">
        <f t="shared" si="68"/>
        <v>0</v>
      </c>
      <c r="J968" s="497">
        <v>0</v>
      </c>
      <c r="K968" s="497">
        <v>0</v>
      </c>
      <c r="L968" s="721">
        <v>0</v>
      </c>
      <c r="M968" s="956">
        <v>0</v>
      </c>
      <c r="N968" s="653">
        <v>0</v>
      </c>
      <c r="O968" s="731" t="s">
        <v>5640</v>
      </c>
      <c r="P968" s="514" t="s">
        <v>1588</v>
      </c>
      <c r="Q968" s="859">
        <v>0</v>
      </c>
      <c r="R968" s="859">
        <v>0</v>
      </c>
      <c r="S968" s="859">
        <v>0</v>
      </c>
      <c r="T968" s="859">
        <v>0</v>
      </c>
      <c r="U968" s="514"/>
      <c r="V968" s="514" t="s">
        <v>2706</v>
      </c>
      <c r="W968" s="498">
        <v>177</v>
      </c>
      <c r="X968" s="514" t="s">
        <v>2276</v>
      </c>
      <c r="Y968" s="514" t="s">
        <v>1533</v>
      </c>
      <c r="Z968" s="514"/>
      <c r="AA968" s="514" t="s">
        <v>1679</v>
      </c>
      <c r="AB968" s="531" t="s">
        <v>1679</v>
      </c>
    </row>
    <row r="969" spans="1:28" ht="24" customHeight="1">
      <c r="A969" s="584"/>
      <c r="B969" s="460" t="s">
        <v>675</v>
      </c>
      <c r="C969" s="458" t="s">
        <v>2707</v>
      </c>
      <c r="D969" s="510" t="s">
        <v>2708</v>
      </c>
      <c r="E969" s="497">
        <v>45</v>
      </c>
      <c r="F969" s="497">
        <v>0</v>
      </c>
      <c r="G969" s="497">
        <v>45</v>
      </c>
      <c r="H969" s="497">
        <v>0</v>
      </c>
      <c r="I969" s="497">
        <f t="shared" si="68"/>
        <v>10.49</v>
      </c>
      <c r="J969" s="497">
        <v>0</v>
      </c>
      <c r="K969" s="497">
        <v>10.49</v>
      </c>
      <c r="L969" s="721">
        <v>0</v>
      </c>
      <c r="M969" s="956">
        <v>0.79</v>
      </c>
      <c r="N969" s="653">
        <v>0.42098467999999994</v>
      </c>
      <c r="O969" s="731" t="s">
        <v>5663</v>
      </c>
      <c r="P969" s="514" t="s">
        <v>1588</v>
      </c>
      <c r="Q969" s="859">
        <v>0</v>
      </c>
      <c r="R969" s="859">
        <v>0</v>
      </c>
      <c r="S969" s="859">
        <v>0</v>
      </c>
      <c r="T969" s="859">
        <v>0</v>
      </c>
      <c r="U969" s="514"/>
      <c r="V969" s="514" t="s">
        <v>2709</v>
      </c>
      <c r="W969" s="498">
        <v>95</v>
      </c>
      <c r="X969" s="514" t="s">
        <v>2276</v>
      </c>
      <c r="Y969" s="514" t="s">
        <v>1533</v>
      </c>
      <c r="Z969" s="514"/>
      <c r="AA969" s="514" t="s">
        <v>1679</v>
      </c>
      <c r="AB969" s="531" t="s">
        <v>1679</v>
      </c>
    </row>
    <row r="970" spans="1:28" ht="24" customHeight="1">
      <c r="A970" s="584"/>
      <c r="B970" s="460" t="s">
        <v>675</v>
      </c>
      <c r="C970" s="458" t="s">
        <v>2036</v>
      </c>
      <c r="D970" s="510" t="s">
        <v>2710</v>
      </c>
      <c r="E970" s="497">
        <v>50</v>
      </c>
      <c r="F970" s="497">
        <v>0</v>
      </c>
      <c r="G970" s="497">
        <v>50</v>
      </c>
      <c r="H970" s="497">
        <v>0</v>
      </c>
      <c r="I970" s="497">
        <f t="shared" si="68"/>
        <v>0</v>
      </c>
      <c r="J970" s="497">
        <v>0</v>
      </c>
      <c r="K970" s="497">
        <v>0</v>
      </c>
      <c r="L970" s="721">
        <v>0</v>
      </c>
      <c r="M970" s="956">
        <v>0</v>
      </c>
      <c r="N970" s="653">
        <v>0</v>
      </c>
      <c r="O970" s="731" t="s">
        <v>5177</v>
      </c>
      <c r="P970" s="514" t="s">
        <v>1588</v>
      </c>
      <c r="Q970" s="859">
        <v>0</v>
      </c>
      <c r="R970" s="859">
        <v>0</v>
      </c>
      <c r="S970" s="859">
        <v>0</v>
      </c>
      <c r="T970" s="859">
        <v>0</v>
      </c>
      <c r="U970" s="514"/>
      <c r="V970" s="514" t="s">
        <v>757</v>
      </c>
      <c r="W970" s="498">
        <v>208</v>
      </c>
      <c r="X970" s="514" t="s">
        <v>2276</v>
      </c>
      <c r="Y970" s="514" t="s">
        <v>1533</v>
      </c>
      <c r="Z970" s="514"/>
      <c r="AA970" s="514" t="s">
        <v>1679</v>
      </c>
      <c r="AB970" s="531" t="s">
        <v>1679</v>
      </c>
    </row>
    <row r="971" spans="1:28" ht="24" customHeight="1">
      <c r="A971" s="584"/>
      <c r="B971" s="460" t="s">
        <v>675</v>
      </c>
      <c r="C971" s="458" t="s">
        <v>2711</v>
      </c>
      <c r="D971" s="510" t="s">
        <v>2712</v>
      </c>
      <c r="E971" s="497">
        <v>35</v>
      </c>
      <c r="F971" s="497">
        <v>0</v>
      </c>
      <c r="G971" s="497">
        <v>35</v>
      </c>
      <c r="H971" s="497">
        <v>0</v>
      </c>
      <c r="I971" s="497">
        <f t="shared" si="68"/>
        <v>0</v>
      </c>
      <c r="J971" s="497">
        <v>0</v>
      </c>
      <c r="K971" s="497">
        <v>0</v>
      </c>
      <c r="L971" s="721">
        <v>0</v>
      </c>
      <c r="M971" s="956">
        <v>0</v>
      </c>
      <c r="N971" s="653">
        <v>0</v>
      </c>
      <c r="O971" s="731" t="s">
        <v>2526</v>
      </c>
      <c r="P971" s="514" t="s">
        <v>1588</v>
      </c>
      <c r="Q971" s="859">
        <v>0</v>
      </c>
      <c r="R971" s="859">
        <v>0</v>
      </c>
      <c r="S971" s="859">
        <v>0</v>
      </c>
      <c r="T971" s="859">
        <v>0</v>
      </c>
      <c r="U971" s="514"/>
      <c r="V971" s="514" t="s">
        <v>757</v>
      </c>
      <c r="W971" s="498">
        <v>164</v>
      </c>
      <c r="X971" s="514" t="s">
        <v>2276</v>
      </c>
      <c r="Y971" s="514" t="s">
        <v>1533</v>
      </c>
      <c r="Z971" s="514"/>
      <c r="AA971" s="514" t="s">
        <v>1679</v>
      </c>
      <c r="AB971" s="531" t="s">
        <v>1679</v>
      </c>
    </row>
    <row r="972" spans="1:28" ht="24" customHeight="1">
      <c r="A972" s="584"/>
      <c r="B972" s="460" t="s">
        <v>675</v>
      </c>
      <c r="C972" s="458" t="s">
        <v>2713</v>
      </c>
      <c r="D972" s="510" t="s">
        <v>2714</v>
      </c>
      <c r="E972" s="497">
        <v>20</v>
      </c>
      <c r="F972" s="497">
        <v>0</v>
      </c>
      <c r="G972" s="497">
        <v>20</v>
      </c>
      <c r="H972" s="497">
        <v>0</v>
      </c>
      <c r="I972" s="497">
        <f t="shared" si="68"/>
        <v>0</v>
      </c>
      <c r="J972" s="497">
        <v>0</v>
      </c>
      <c r="K972" s="497">
        <v>0</v>
      </c>
      <c r="L972" s="721">
        <v>0</v>
      </c>
      <c r="M972" s="956">
        <v>0</v>
      </c>
      <c r="N972" s="653">
        <v>0</v>
      </c>
      <c r="O972" s="731" t="s">
        <v>2526</v>
      </c>
      <c r="P972" s="514" t="s">
        <v>1588</v>
      </c>
      <c r="Q972" s="859">
        <v>0</v>
      </c>
      <c r="R972" s="859">
        <v>0</v>
      </c>
      <c r="S972" s="859">
        <v>0</v>
      </c>
      <c r="T972" s="859">
        <v>0</v>
      </c>
      <c r="U972" s="514"/>
      <c r="V972" s="514" t="s">
        <v>2715</v>
      </c>
      <c r="W972" s="498">
        <v>95</v>
      </c>
      <c r="X972" s="514" t="s">
        <v>2276</v>
      </c>
      <c r="Y972" s="514" t="s">
        <v>1533</v>
      </c>
      <c r="Z972" s="514"/>
      <c r="AA972" s="514" t="s">
        <v>1679</v>
      </c>
      <c r="AB972" s="531" t="s">
        <v>1679</v>
      </c>
    </row>
    <row r="973" spans="1:28" ht="24" customHeight="1">
      <c r="A973" s="582" t="s">
        <v>1693</v>
      </c>
      <c r="B973" s="460" t="s">
        <v>2201</v>
      </c>
      <c r="C973" s="458" t="s">
        <v>2423</v>
      </c>
      <c r="D973" s="510" t="s">
        <v>2716</v>
      </c>
      <c r="E973" s="497">
        <f>F973+G973+H973</f>
        <v>3000</v>
      </c>
      <c r="F973" s="497">
        <v>0</v>
      </c>
      <c r="G973" s="497">
        <v>0</v>
      </c>
      <c r="H973" s="497">
        <v>3000</v>
      </c>
      <c r="I973" s="497">
        <f t="shared" si="68"/>
        <v>2833</v>
      </c>
      <c r="J973" s="497">
        <v>0</v>
      </c>
      <c r="K973" s="497">
        <v>0</v>
      </c>
      <c r="L973" s="721">
        <v>2833</v>
      </c>
      <c r="M973" s="956">
        <v>0.94568690095846653</v>
      </c>
      <c r="N973" s="653">
        <v>335.42720000000008</v>
      </c>
      <c r="O973" s="731" t="s">
        <v>3347</v>
      </c>
      <c r="P973" s="514" t="s">
        <v>3347</v>
      </c>
      <c r="Q973" s="859">
        <v>0</v>
      </c>
      <c r="R973" s="859">
        <v>0</v>
      </c>
      <c r="S973" s="859">
        <v>0</v>
      </c>
      <c r="T973" s="859">
        <v>0</v>
      </c>
      <c r="U973" s="514" t="s">
        <v>2717</v>
      </c>
      <c r="V973" s="514">
        <v>2003.8</v>
      </c>
      <c r="W973" s="498">
        <v>13000</v>
      </c>
      <c r="X973" s="514" t="s">
        <v>2276</v>
      </c>
      <c r="Y973" s="514" t="s">
        <v>3336</v>
      </c>
      <c r="Z973" s="514" t="s">
        <v>2718</v>
      </c>
      <c r="AA973" s="514" t="s">
        <v>1592</v>
      </c>
      <c r="AB973" s="531" t="s">
        <v>1592</v>
      </c>
    </row>
    <row r="974" spans="1:28" ht="24" customHeight="1">
      <c r="A974" s="584"/>
      <c r="B974" s="460" t="s">
        <v>675</v>
      </c>
      <c r="C974" s="458" t="s">
        <v>2719</v>
      </c>
      <c r="D974" s="510" t="s">
        <v>2720</v>
      </c>
      <c r="E974" s="497">
        <f t="shared" ref="E974:E1005" si="69">F974+G974+H974</f>
        <v>50</v>
      </c>
      <c r="F974" s="497">
        <v>0</v>
      </c>
      <c r="G974" s="497">
        <v>0</v>
      </c>
      <c r="H974" s="497">
        <v>50</v>
      </c>
      <c r="I974" s="497">
        <f t="shared" si="68"/>
        <v>41</v>
      </c>
      <c r="J974" s="497">
        <v>0</v>
      </c>
      <c r="K974" s="497">
        <v>0</v>
      </c>
      <c r="L974" s="721">
        <v>41</v>
      </c>
      <c r="M974" s="956">
        <v>0.82</v>
      </c>
      <c r="N974" s="653">
        <v>0.57153999999999994</v>
      </c>
      <c r="O974" s="731" t="s">
        <v>2721</v>
      </c>
      <c r="P974" s="514" t="s">
        <v>2721</v>
      </c>
      <c r="Q974" s="859">
        <v>0</v>
      </c>
      <c r="R974" s="859">
        <v>0</v>
      </c>
      <c r="S974" s="859">
        <v>0</v>
      </c>
      <c r="T974" s="859">
        <v>0</v>
      </c>
      <c r="U974" s="514" t="s">
        <v>2717</v>
      </c>
      <c r="V974" s="514">
        <v>2001.5</v>
      </c>
      <c r="W974" s="498">
        <v>219</v>
      </c>
      <c r="X974" s="514" t="s">
        <v>2276</v>
      </c>
      <c r="Y974" s="514" t="s">
        <v>3232</v>
      </c>
      <c r="Z974" s="514" t="s">
        <v>2718</v>
      </c>
      <c r="AA974" s="514" t="s">
        <v>1592</v>
      </c>
      <c r="AB974" s="531" t="s">
        <v>1592</v>
      </c>
    </row>
    <row r="975" spans="1:28" ht="24" customHeight="1">
      <c r="A975" s="584"/>
      <c r="B975" s="460" t="s">
        <v>675</v>
      </c>
      <c r="C975" s="458" t="s">
        <v>2722</v>
      </c>
      <c r="D975" s="510" t="s">
        <v>2723</v>
      </c>
      <c r="E975" s="497">
        <f t="shared" si="69"/>
        <v>250</v>
      </c>
      <c r="F975" s="497">
        <v>0</v>
      </c>
      <c r="G975" s="497">
        <v>0</v>
      </c>
      <c r="H975" s="497">
        <v>250</v>
      </c>
      <c r="I975" s="497">
        <f t="shared" si="68"/>
        <v>194</v>
      </c>
      <c r="J975" s="497">
        <v>0</v>
      </c>
      <c r="K975" s="497">
        <v>0</v>
      </c>
      <c r="L975" s="721">
        <v>194</v>
      </c>
      <c r="M975" s="956">
        <v>0.77600000000000013</v>
      </c>
      <c r="N975" s="653">
        <v>7.9186143999999992</v>
      </c>
      <c r="O975" s="731" t="s">
        <v>3494</v>
      </c>
      <c r="P975" s="514" t="s">
        <v>3494</v>
      </c>
      <c r="Q975" s="859">
        <v>0</v>
      </c>
      <c r="R975" s="859">
        <v>0</v>
      </c>
      <c r="S975" s="859">
        <v>0</v>
      </c>
      <c r="T975" s="859">
        <v>0</v>
      </c>
      <c r="U975" s="514" t="s">
        <v>2717</v>
      </c>
      <c r="V975" s="514">
        <v>2007.12</v>
      </c>
      <c r="W975" s="498">
        <v>3930</v>
      </c>
      <c r="X975" s="514" t="s">
        <v>2276</v>
      </c>
      <c r="Y975" s="514" t="s">
        <v>3336</v>
      </c>
      <c r="Z975" s="514" t="s">
        <v>2724</v>
      </c>
      <c r="AA975" s="514" t="s">
        <v>1592</v>
      </c>
      <c r="AB975" s="531" t="s">
        <v>1592</v>
      </c>
    </row>
    <row r="976" spans="1:28" ht="24" customHeight="1">
      <c r="A976" s="584"/>
      <c r="B976" s="460" t="s">
        <v>675</v>
      </c>
      <c r="C976" s="458" t="s">
        <v>2725</v>
      </c>
      <c r="D976" s="510" t="s">
        <v>2726</v>
      </c>
      <c r="E976" s="497">
        <f t="shared" si="69"/>
        <v>25</v>
      </c>
      <c r="F976" s="497">
        <v>0</v>
      </c>
      <c r="G976" s="497">
        <v>25</v>
      </c>
      <c r="H976" s="497">
        <v>0</v>
      </c>
      <c r="I976" s="497">
        <f t="shared" si="68"/>
        <v>20</v>
      </c>
      <c r="J976" s="497">
        <v>0</v>
      </c>
      <c r="K976" s="497">
        <v>20</v>
      </c>
      <c r="L976" s="721">
        <v>0</v>
      </c>
      <c r="M976" s="956">
        <v>0.8</v>
      </c>
      <c r="N976" s="653">
        <v>1.5807999999999998</v>
      </c>
      <c r="O976" s="731" t="s">
        <v>2727</v>
      </c>
      <c r="P976" s="514" t="s">
        <v>2727</v>
      </c>
      <c r="Q976" s="859">
        <v>0</v>
      </c>
      <c r="R976" s="859">
        <v>0</v>
      </c>
      <c r="S976" s="859">
        <v>0</v>
      </c>
      <c r="T976" s="859">
        <v>0</v>
      </c>
      <c r="U976" s="514" t="s">
        <v>2728</v>
      </c>
      <c r="V976" s="514">
        <v>2001.7</v>
      </c>
      <c r="W976" s="498">
        <v>163</v>
      </c>
      <c r="X976" s="514" t="s">
        <v>2193</v>
      </c>
      <c r="Y976" s="514" t="s">
        <v>3232</v>
      </c>
      <c r="Z976" s="514" t="s">
        <v>2729</v>
      </c>
      <c r="AA976" s="514" t="s">
        <v>1592</v>
      </c>
      <c r="AB976" s="531" t="s">
        <v>1592</v>
      </c>
    </row>
    <row r="977" spans="1:28" ht="24" customHeight="1">
      <c r="A977" s="584"/>
      <c r="B977" s="460" t="s">
        <v>675</v>
      </c>
      <c r="C977" s="458" t="s">
        <v>2183</v>
      </c>
      <c r="D977" s="510" t="s">
        <v>2730</v>
      </c>
      <c r="E977" s="497">
        <f t="shared" si="69"/>
        <v>112</v>
      </c>
      <c r="F977" s="497">
        <v>0</v>
      </c>
      <c r="G977" s="497">
        <v>112</v>
      </c>
      <c r="H977" s="497">
        <v>0</v>
      </c>
      <c r="I977" s="497">
        <f t="shared" si="68"/>
        <v>98</v>
      </c>
      <c r="J977" s="497">
        <v>0</v>
      </c>
      <c r="K977" s="497">
        <v>98</v>
      </c>
      <c r="L977" s="721">
        <v>0</v>
      </c>
      <c r="M977" s="956">
        <v>0.875</v>
      </c>
      <c r="N977" s="653">
        <v>0.41159999999999997</v>
      </c>
      <c r="O977" s="731" t="s">
        <v>2731</v>
      </c>
      <c r="P977" s="514" t="s">
        <v>2731</v>
      </c>
      <c r="Q977" s="859">
        <v>0</v>
      </c>
      <c r="R977" s="859">
        <v>0</v>
      </c>
      <c r="S977" s="859">
        <v>0</v>
      </c>
      <c r="T977" s="859">
        <v>0</v>
      </c>
      <c r="U977" s="514" t="s">
        <v>2717</v>
      </c>
      <c r="V977" s="514">
        <v>1998.9</v>
      </c>
      <c r="W977" s="498">
        <v>450</v>
      </c>
      <c r="X977" s="514" t="s">
        <v>2276</v>
      </c>
      <c r="Y977" s="514" t="s">
        <v>3232</v>
      </c>
      <c r="Z977" s="514" t="s">
        <v>2732</v>
      </c>
      <c r="AA977" s="514" t="s">
        <v>1592</v>
      </c>
      <c r="AB977" s="531" t="s">
        <v>1592</v>
      </c>
    </row>
    <row r="978" spans="1:28" ht="24" customHeight="1">
      <c r="A978" s="584"/>
      <c r="B978" s="460" t="s">
        <v>675</v>
      </c>
      <c r="C978" s="458" t="s">
        <v>2733</v>
      </c>
      <c r="D978" s="510" t="s">
        <v>2734</v>
      </c>
      <c r="E978" s="497">
        <f>F978+G978+H978</f>
        <v>115</v>
      </c>
      <c r="F978" s="497">
        <v>0</v>
      </c>
      <c r="G978" s="497">
        <v>115</v>
      </c>
      <c r="H978" s="497">
        <v>0</v>
      </c>
      <c r="I978" s="497">
        <f t="shared" si="68"/>
        <v>102</v>
      </c>
      <c r="J978" s="497">
        <v>0</v>
      </c>
      <c r="K978" s="497">
        <v>102</v>
      </c>
      <c r="L978" s="721">
        <v>0</v>
      </c>
      <c r="M978" s="956">
        <v>0.88695652173913042</v>
      </c>
      <c r="N978" s="653">
        <v>12.122921739130433</v>
      </c>
      <c r="O978" s="731" t="s">
        <v>2731</v>
      </c>
      <c r="P978" s="514" t="s">
        <v>2731</v>
      </c>
      <c r="Q978" s="859">
        <v>0</v>
      </c>
      <c r="R978" s="859">
        <v>0</v>
      </c>
      <c r="S978" s="859">
        <v>0</v>
      </c>
      <c r="T978" s="859">
        <v>0</v>
      </c>
      <c r="U978" s="514" t="s">
        <v>2717</v>
      </c>
      <c r="V978" s="514">
        <v>1997</v>
      </c>
      <c r="W978" s="498">
        <v>300</v>
      </c>
      <c r="X978" s="514" t="s">
        <v>2276</v>
      </c>
      <c r="Y978" s="514" t="s">
        <v>3232</v>
      </c>
      <c r="Z978" s="514" t="s">
        <v>2735</v>
      </c>
      <c r="AA978" s="514" t="s">
        <v>1592</v>
      </c>
      <c r="AB978" s="531" t="s">
        <v>1592</v>
      </c>
    </row>
    <row r="979" spans="1:28" ht="24" customHeight="1">
      <c r="A979" s="584"/>
      <c r="B979" s="460" t="s">
        <v>675</v>
      </c>
      <c r="C979" s="458" t="s">
        <v>2736</v>
      </c>
      <c r="D979" s="510" t="s">
        <v>2734</v>
      </c>
      <c r="E979" s="497">
        <f>F979+G979+H979</f>
        <v>10</v>
      </c>
      <c r="F979" s="497">
        <v>0</v>
      </c>
      <c r="G979" s="497">
        <v>0</v>
      </c>
      <c r="H979" s="497">
        <v>10</v>
      </c>
      <c r="I979" s="497">
        <f>J979+K979+L979</f>
        <v>4</v>
      </c>
      <c r="J979" s="497">
        <v>0</v>
      </c>
      <c r="K979" s="497">
        <v>0</v>
      </c>
      <c r="L979" s="721">
        <v>4</v>
      </c>
      <c r="M979" s="956">
        <v>0.4</v>
      </c>
      <c r="N979" s="653">
        <v>0.14255999999999999</v>
      </c>
      <c r="O979" s="731" t="s">
        <v>2721</v>
      </c>
      <c r="P979" s="514" t="s">
        <v>2721</v>
      </c>
      <c r="Q979" s="859">
        <v>0</v>
      </c>
      <c r="R979" s="859">
        <v>0</v>
      </c>
      <c r="S979" s="859">
        <v>0</v>
      </c>
      <c r="T979" s="859">
        <v>0</v>
      </c>
      <c r="U979" s="514" t="s">
        <v>2728</v>
      </c>
      <c r="V979" s="514">
        <v>2001</v>
      </c>
      <c r="W979" s="498">
        <v>56</v>
      </c>
      <c r="X979" s="514" t="s">
        <v>1532</v>
      </c>
      <c r="Y979" s="514" t="s">
        <v>3232</v>
      </c>
      <c r="Z979" s="514" t="s">
        <v>2735</v>
      </c>
      <c r="AA979" s="514" t="s">
        <v>1592</v>
      </c>
      <c r="AB979" s="531" t="s">
        <v>1592</v>
      </c>
    </row>
    <row r="980" spans="1:28" ht="24" customHeight="1">
      <c r="A980" s="584"/>
      <c r="B980" s="460" t="s">
        <v>675</v>
      </c>
      <c r="C980" s="458" t="s">
        <v>2737</v>
      </c>
      <c r="D980" s="510" t="s">
        <v>2738</v>
      </c>
      <c r="E980" s="497">
        <f t="shared" si="69"/>
        <v>120</v>
      </c>
      <c r="F980" s="497">
        <v>0</v>
      </c>
      <c r="G980" s="497">
        <v>0</v>
      </c>
      <c r="H980" s="497">
        <v>120</v>
      </c>
      <c r="I980" s="497">
        <f t="shared" si="68"/>
        <v>95</v>
      </c>
      <c r="J980" s="497">
        <v>0</v>
      </c>
      <c r="K980" s="497">
        <v>0</v>
      </c>
      <c r="L980" s="721">
        <v>95</v>
      </c>
      <c r="M980" s="956">
        <v>0.79166666666666652</v>
      </c>
      <c r="N980" s="653">
        <v>2.940645833333333</v>
      </c>
      <c r="O980" s="731" t="s">
        <v>3494</v>
      </c>
      <c r="P980" s="514" t="s">
        <v>3494</v>
      </c>
      <c r="Q980" s="859">
        <v>0</v>
      </c>
      <c r="R980" s="859">
        <v>0</v>
      </c>
      <c r="S980" s="859">
        <v>0</v>
      </c>
      <c r="T980" s="859">
        <v>0</v>
      </c>
      <c r="U980" s="514" t="s">
        <v>2717</v>
      </c>
      <c r="V980" s="514">
        <v>2007.12</v>
      </c>
      <c r="W980" s="498">
        <v>2645</v>
      </c>
      <c r="X980" s="514" t="s">
        <v>2276</v>
      </c>
      <c r="Y980" s="514" t="s">
        <v>3336</v>
      </c>
      <c r="Z980" s="514" t="s">
        <v>2739</v>
      </c>
      <c r="AA980" s="514" t="s">
        <v>1592</v>
      </c>
      <c r="AB980" s="531" t="s">
        <v>1592</v>
      </c>
    </row>
    <row r="981" spans="1:28" ht="24" customHeight="1">
      <c r="A981" s="584"/>
      <c r="B981" s="460" t="s">
        <v>675</v>
      </c>
      <c r="C981" s="458" t="s">
        <v>2740</v>
      </c>
      <c r="D981" s="510" t="s">
        <v>2741</v>
      </c>
      <c r="E981" s="497">
        <f t="shared" si="69"/>
        <v>250</v>
      </c>
      <c r="F981" s="497">
        <v>0</v>
      </c>
      <c r="G981" s="497">
        <v>0</v>
      </c>
      <c r="H981" s="497">
        <v>250</v>
      </c>
      <c r="I981" s="497">
        <f t="shared" si="68"/>
        <v>230</v>
      </c>
      <c r="J981" s="497">
        <v>0</v>
      </c>
      <c r="K981" s="497">
        <v>0</v>
      </c>
      <c r="L981" s="721">
        <v>230</v>
      </c>
      <c r="M981" s="956">
        <v>0.92</v>
      </c>
      <c r="N981" s="653">
        <v>7.8715199999999994</v>
      </c>
      <c r="O981" s="731" t="s">
        <v>2742</v>
      </c>
      <c r="P981" s="514" t="s">
        <v>2742</v>
      </c>
      <c r="Q981" s="859">
        <v>0</v>
      </c>
      <c r="R981" s="859">
        <v>0</v>
      </c>
      <c r="S981" s="859">
        <v>0</v>
      </c>
      <c r="T981" s="859">
        <v>0</v>
      </c>
      <c r="U981" s="514" t="s">
        <v>2717</v>
      </c>
      <c r="V981" s="514">
        <v>2005.1</v>
      </c>
      <c r="W981" s="498">
        <v>4872</v>
      </c>
      <c r="X981" s="514" t="s">
        <v>2276</v>
      </c>
      <c r="Y981" s="514" t="s">
        <v>3336</v>
      </c>
      <c r="Z981" s="514" t="s">
        <v>2743</v>
      </c>
      <c r="AA981" s="514" t="s">
        <v>1592</v>
      </c>
      <c r="AB981" s="531" t="s">
        <v>1592</v>
      </c>
    </row>
    <row r="982" spans="1:28" ht="24" customHeight="1">
      <c r="A982" s="584"/>
      <c r="B982" s="460" t="s">
        <v>675</v>
      </c>
      <c r="C982" s="458" t="s">
        <v>2744</v>
      </c>
      <c r="D982" s="510" t="s">
        <v>2745</v>
      </c>
      <c r="E982" s="497">
        <f t="shared" si="69"/>
        <v>20</v>
      </c>
      <c r="F982" s="497">
        <v>0</v>
      </c>
      <c r="G982" s="497">
        <v>20</v>
      </c>
      <c r="H982" s="497">
        <v>0</v>
      </c>
      <c r="I982" s="497">
        <f t="shared" si="68"/>
        <v>16</v>
      </c>
      <c r="J982" s="497">
        <v>0</v>
      </c>
      <c r="K982" s="497">
        <v>16</v>
      </c>
      <c r="L982" s="721">
        <v>0</v>
      </c>
      <c r="M982" s="956">
        <v>0.8</v>
      </c>
      <c r="N982" s="653">
        <v>1.4208000000000001</v>
      </c>
      <c r="O982" s="731" t="s">
        <v>2746</v>
      </c>
      <c r="P982" s="514" t="s">
        <v>2746</v>
      </c>
      <c r="Q982" s="859">
        <v>0</v>
      </c>
      <c r="R982" s="859">
        <v>0</v>
      </c>
      <c r="S982" s="859">
        <v>0</v>
      </c>
      <c r="T982" s="859">
        <v>0</v>
      </c>
      <c r="U982" s="514" t="s">
        <v>2728</v>
      </c>
      <c r="V982" s="514">
        <v>2005.11</v>
      </c>
      <c r="W982" s="498">
        <v>150</v>
      </c>
      <c r="X982" s="514" t="s">
        <v>1532</v>
      </c>
      <c r="Y982" s="514" t="s">
        <v>3232</v>
      </c>
      <c r="Z982" s="514" t="s">
        <v>2747</v>
      </c>
      <c r="AA982" s="514" t="s">
        <v>1592</v>
      </c>
      <c r="AB982" s="531" t="s">
        <v>1592</v>
      </c>
    </row>
    <row r="983" spans="1:28" ht="24" customHeight="1">
      <c r="A983" s="584"/>
      <c r="B983" s="460" t="s">
        <v>675</v>
      </c>
      <c r="C983" s="458" t="s">
        <v>2748</v>
      </c>
      <c r="D983" s="510" t="s">
        <v>2749</v>
      </c>
      <c r="E983" s="497">
        <f t="shared" si="69"/>
        <v>23</v>
      </c>
      <c r="F983" s="497">
        <v>0</v>
      </c>
      <c r="G983" s="497">
        <v>23</v>
      </c>
      <c r="H983" s="497">
        <v>0</v>
      </c>
      <c r="I983" s="497">
        <f t="shared" si="68"/>
        <v>19</v>
      </c>
      <c r="J983" s="497">
        <v>0</v>
      </c>
      <c r="K983" s="497">
        <v>19</v>
      </c>
      <c r="L983" s="721">
        <v>0</v>
      </c>
      <c r="M983" s="956">
        <v>0.82608695652173902</v>
      </c>
      <c r="N983" s="653">
        <v>1.5334652173913041</v>
      </c>
      <c r="O983" s="731" t="s">
        <v>2750</v>
      </c>
      <c r="P983" s="514" t="s">
        <v>2750</v>
      </c>
      <c r="Q983" s="859">
        <v>0</v>
      </c>
      <c r="R983" s="859">
        <v>0</v>
      </c>
      <c r="S983" s="859">
        <v>0</v>
      </c>
      <c r="T983" s="859">
        <v>0</v>
      </c>
      <c r="U983" s="514" t="s">
        <v>2728</v>
      </c>
      <c r="V983" s="514">
        <v>2005.11</v>
      </c>
      <c r="W983" s="498">
        <v>115</v>
      </c>
      <c r="X983" s="514" t="s">
        <v>1532</v>
      </c>
      <c r="Y983" s="514" t="s">
        <v>3232</v>
      </c>
      <c r="Z983" s="514" t="s">
        <v>2751</v>
      </c>
      <c r="AA983" s="514" t="s">
        <v>1592</v>
      </c>
      <c r="AB983" s="531" t="s">
        <v>1592</v>
      </c>
    </row>
    <row r="984" spans="1:28" ht="24" customHeight="1">
      <c r="A984" s="584"/>
      <c r="B984" s="460" t="s">
        <v>675</v>
      </c>
      <c r="C984" s="458" t="s">
        <v>5735</v>
      </c>
      <c r="D984" s="510" t="s">
        <v>2752</v>
      </c>
      <c r="E984" s="497">
        <f>F984+G984+H984</f>
        <v>40</v>
      </c>
      <c r="F984" s="497">
        <v>0</v>
      </c>
      <c r="G984" s="497">
        <v>40</v>
      </c>
      <c r="H984" s="497">
        <v>0</v>
      </c>
      <c r="I984" s="497">
        <f>J984+K984+L984</f>
        <v>36</v>
      </c>
      <c r="J984" s="497">
        <v>0</v>
      </c>
      <c r="K984" s="497">
        <v>36</v>
      </c>
      <c r="L984" s="721">
        <v>0</v>
      </c>
      <c r="M984" s="956">
        <v>0.9</v>
      </c>
      <c r="N984" s="653">
        <v>0.81</v>
      </c>
      <c r="O984" s="731" t="s">
        <v>5255</v>
      </c>
      <c r="P984" s="514" t="s">
        <v>5255</v>
      </c>
      <c r="Q984" s="859">
        <v>0</v>
      </c>
      <c r="R984" s="859">
        <v>0</v>
      </c>
      <c r="S984" s="859">
        <v>0</v>
      </c>
      <c r="T984" s="859">
        <v>0</v>
      </c>
      <c r="U984" s="514" t="s">
        <v>2728</v>
      </c>
      <c r="V984" s="514">
        <v>2001</v>
      </c>
      <c r="W984" s="498">
        <v>156</v>
      </c>
      <c r="X984" s="514" t="s">
        <v>1532</v>
      </c>
      <c r="Y984" s="514" t="s">
        <v>3232</v>
      </c>
      <c r="Z984" s="514" t="s">
        <v>1868</v>
      </c>
      <c r="AA984" s="514" t="s">
        <v>1592</v>
      </c>
      <c r="AB984" s="531" t="s">
        <v>1592</v>
      </c>
    </row>
    <row r="985" spans="1:28" ht="24" customHeight="1">
      <c r="A985" s="584"/>
      <c r="B985" s="460" t="s">
        <v>675</v>
      </c>
      <c r="C985" s="458" t="s">
        <v>2139</v>
      </c>
      <c r="D985" s="510" t="s">
        <v>2749</v>
      </c>
      <c r="E985" s="497">
        <f>F985+G985+H985</f>
        <v>10</v>
      </c>
      <c r="F985" s="497">
        <v>0</v>
      </c>
      <c r="G985" s="497">
        <v>0</v>
      </c>
      <c r="H985" s="497">
        <v>10</v>
      </c>
      <c r="I985" s="497">
        <f>J985+K985+L985</f>
        <v>8</v>
      </c>
      <c r="J985" s="497">
        <v>0</v>
      </c>
      <c r="K985" s="497">
        <v>0</v>
      </c>
      <c r="L985" s="721">
        <v>8</v>
      </c>
      <c r="M985" s="956">
        <v>0.8</v>
      </c>
      <c r="N985" s="653">
        <v>0.38400000000000001</v>
      </c>
      <c r="O985" s="731" t="s">
        <v>2721</v>
      </c>
      <c r="P985" s="514" t="s">
        <v>2721</v>
      </c>
      <c r="Q985" s="859">
        <v>0</v>
      </c>
      <c r="R985" s="859">
        <v>0</v>
      </c>
      <c r="S985" s="859">
        <v>0</v>
      </c>
      <c r="T985" s="859">
        <v>0</v>
      </c>
      <c r="U985" s="514" t="s">
        <v>2728</v>
      </c>
      <c r="V985" s="514">
        <v>2001</v>
      </c>
      <c r="W985" s="498">
        <v>60</v>
      </c>
      <c r="X985" s="514" t="s">
        <v>1532</v>
      </c>
      <c r="Y985" s="514" t="s">
        <v>3232</v>
      </c>
      <c r="Z985" s="514" t="s">
        <v>2751</v>
      </c>
      <c r="AA985" s="514" t="s">
        <v>1592</v>
      </c>
      <c r="AB985" s="531" t="s">
        <v>1592</v>
      </c>
    </row>
    <row r="986" spans="1:28" ht="24" customHeight="1">
      <c r="A986" s="584"/>
      <c r="B986" s="460" t="s">
        <v>675</v>
      </c>
      <c r="C986" s="458" t="s">
        <v>2753</v>
      </c>
      <c r="D986" s="510" t="s">
        <v>2745</v>
      </c>
      <c r="E986" s="497">
        <f t="shared" si="69"/>
        <v>110</v>
      </c>
      <c r="F986" s="497">
        <v>0</v>
      </c>
      <c r="G986" s="497">
        <v>110</v>
      </c>
      <c r="H986" s="497">
        <v>0</v>
      </c>
      <c r="I986" s="497">
        <f t="shared" si="68"/>
        <v>102</v>
      </c>
      <c r="J986" s="497">
        <v>0</v>
      </c>
      <c r="K986" s="497">
        <v>102</v>
      </c>
      <c r="L986" s="721">
        <v>0</v>
      </c>
      <c r="M986" s="956">
        <v>0.92727272727272725</v>
      </c>
      <c r="N986" s="653">
        <v>2.5631672727272727</v>
      </c>
      <c r="O986" s="731" t="s">
        <v>5177</v>
      </c>
      <c r="P986" s="514" t="s">
        <v>5177</v>
      </c>
      <c r="Q986" s="859">
        <v>0</v>
      </c>
      <c r="R986" s="859">
        <v>0</v>
      </c>
      <c r="S986" s="859">
        <v>0</v>
      </c>
      <c r="T986" s="859">
        <v>0</v>
      </c>
      <c r="U986" s="514" t="s">
        <v>2717</v>
      </c>
      <c r="V986" s="514">
        <v>1999.7</v>
      </c>
      <c r="W986" s="498">
        <v>375</v>
      </c>
      <c r="X986" s="514" t="s">
        <v>2276</v>
      </c>
      <c r="Y986" s="514" t="s">
        <v>3232</v>
      </c>
      <c r="Z986" s="514" t="s">
        <v>2747</v>
      </c>
      <c r="AA986" s="514" t="s">
        <v>1592</v>
      </c>
      <c r="AB986" s="531" t="s">
        <v>1592</v>
      </c>
    </row>
    <row r="987" spans="1:28" ht="24" customHeight="1">
      <c r="A987" s="584"/>
      <c r="B987" s="460" t="s">
        <v>675</v>
      </c>
      <c r="C987" s="458" t="s">
        <v>2754</v>
      </c>
      <c r="D987" s="510" t="s">
        <v>2755</v>
      </c>
      <c r="E987" s="497">
        <f t="shared" si="69"/>
        <v>20</v>
      </c>
      <c r="F987" s="497">
        <v>0</v>
      </c>
      <c r="G987" s="497">
        <v>20</v>
      </c>
      <c r="H987" s="497">
        <v>0</v>
      </c>
      <c r="I987" s="497">
        <f t="shared" si="68"/>
        <v>18</v>
      </c>
      <c r="J987" s="497">
        <v>0</v>
      </c>
      <c r="K987" s="497">
        <v>18</v>
      </c>
      <c r="L987" s="721">
        <v>0</v>
      </c>
      <c r="M987" s="956">
        <v>0.9</v>
      </c>
      <c r="N987" s="653">
        <v>0.65610000000000002</v>
      </c>
      <c r="O987" s="731" t="s">
        <v>3752</v>
      </c>
      <c r="P987" s="514" t="s">
        <v>3752</v>
      </c>
      <c r="Q987" s="859">
        <v>0</v>
      </c>
      <c r="R987" s="859">
        <v>0</v>
      </c>
      <c r="S987" s="859">
        <v>0</v>
      </c>
      <c r="T987" s="859">
        <v>0</v>
      </c>
      <c r="U987" s="514" t="s">
        <v>2717</v>
      </c>
      <c r="V987" s="514">
        <v>2002.5</v>
      </c>
      <c r="W987" s="498">
        <v>156</v>
      </c>
      <c r="X987" s="514" t="s">
        <v>1532</v>
      </c>
      <c r="Y987" s="514" t="s">
        <v>3232</v>
      </c>
      <c r="Z987" s="514" t="s">
        <v>1686</v>
      </c>
      <c r="AA987" s="514" t="s">
        <v>1686</v>
      </c>
      <c r="AB987" s="531" t="s">
        <v>1686</v>
      </c>
    </row>
    <row r="988" spans="1:28" ht="24" customHeight="1">
      <c r="A988" s="584"/>
      <c r="B988" s="460" t="s">
        <v>675</v>
      </c>
      <c r="C988" s="458" t="s">
        <v>2756</v>
      </c>
      <c r="D988" s="510" t="s">
        <v>2757</v>
      </c>
      <c r="E988" s="497">
        <f t="shared" si="69"/>
        <v>50</v>
      </c>
      <c r="F988" s="497">
        <v>0</v>
      </c>
      <c r="G988" s="497">
        <v>0</v>
      </c>
      <c r="H988" s="497">
        <v>50</v>
      </c>
      <c r="I988" s="497">
        <f t="shared" si="68"/>
        <v>40</v>
      </c>
      <c r="J988" s="497">
        <v>0</v>
      </c>
      <c r="K988" s="497">
        <v>0</v>
      </c>
      <c r="L988" s="721">
        <v>40</v>
      </c>
      <c r="M988" s="956">
        <v>0.8</v>
      </c>
      <c r="N988" s="653">
        <v>1.5007999999999999</v>
      </c>
      <c r="O988" s="731" t="s">
        <v>2721</v>
      </c>
      <c r="P988" s="514" t="s">
        <v>2721</v>
      </c>
      <c r="Q988" s="859">
        <v>0</v>
      </c>
      <c r="R988" s="859">
        <v>0</v>
      </c>
      <c r="S988" s="859">
        <v>0</v>
      </c>
      <c r="T988" s="859">
        <v>0</v>
      </c>
      <c r="U988" s="514" t="s">
        <v>2717</v>
      </c>
      <c r="V988" s="514">
        <v>2003.1</v>
      </c>
      <c r="W988" s="498">
        <v>710</v>
      </c>
      <c r="X988" s="514" t="s">
        <v>2276</v>
      </c>
      <c r="Y988" s="514" t="s">
        <v>3232</v>
      </c>
      <c r="Z988" s="514" t="s">
        <v>2758</v>
      </c>
      <c r="AA988" s="514" t="s">
        <v>1686</v>
      </c>
      <c r="AB988" s="531" t="s">
        <v>1686</v>
      </c>
    </row>
    <row r="989" spans="1:28" ht="24" customHeight="1">
      <c r="A989" s="584"/>
      <c r="B989" s="460" t="s">
        <v>675</v>
      </c>
      <c r="C989" s="458" t="s">
        <v>2350</v>
      </c>
      <c r="D989" s="510" t="s">
        <v>2759</v>
      </c>
      <c r="E989" s="497">
        <f t="shared" si="69"/>
        <v>40</v>
      </c>
      <c r="F989" s="497">
        <v>0</v>
      </c>
      <c r="G989" s="497">
        <v>0</v>
      </c>
      <c r="H989" s="497">
        <v>40</v>
      </c>
      <c r="I989" s="497">
        <f t="shared" si="68"/>
        <v>38</v>
      </c>
      <c r="J989" s="497">
        <v>0</v>
      </c>
      <c r="K989" s="497">
        <v>0</v>
      </c>
      <c r="L989" s="721">
        <v>38</v>
      </c>
      <c r="M989" s="956">
        <v>0.95</v>
      </c>
      <c r="N989" s="653">
        <v>1.1949099999999999</v>
      </c>
      <c r="O989" s="731" t="s">
        <v>2760</v>
      </c>
      <c r="P989" s="514" t="s">
        <v>2760</v>
      </c>
      <c r="Q989" s="859">
        <v>0</v>
      </c>
      <c r="R989" s="859">
        <v>0</v>
      </c>
      <c r="S989" s="859">
        <v>0</v>
      </c>
      <c r="T989" s="859">
        <v>0</v>
      </c>
      <c r="U989" s="514" t="s">
        <v>2728</v>
      </c>
      <c r="V989" s="514">
        <v>2003</v>
      </c>
      <c r="W989" s="498">
        <v>655</v>
      </c>
      <c r="X989" s="514" t="s">
        <v>1532</v>
      </c>
      <c r="Y989" s="514" t="s">
        <v>3232</v>
      </c>
      <c r="Z989" s="514" t="s">
        <v>1686</v>
      </c>
      <c r="AA989" s="514" t="s">
        <v>1686</v>
      </c>
      <c r="AB989" s="531" t="s">
        <v>1686</v>
      </c>
    </row>
    <row r="990" spans="1:28" ht="24" customHeight="1">
      <c r="A990" s="584"/>
      <c r="B990" s="460" t="s">
        <v>675</v>
      </c>
      <c r="C990" s="458" t="s">
        <v>2761</v>
      </c>
      <c r="D990" s="510" t="s">
        <v>2757</v>
      </c>
      <c r="E990" s="497">
        <f t="shared" si="69"/>
        <v>50</v>
      </c>
      <c r="F990" s="497">
        <v>0</v>
      </c>
      <c r="G990" s="497">
        <v>0</v>
      </c>
      <c r="H990" s="497">
        <v>50</v>
      </c>
      <c r="I990" s="497">
        <f t="shared" si="68"/>
        <v>46</v>
      </c>
      <c r="J990" s="497">
        <v>0</v>
      </c>
      <c r="K990" s="497">
        <v>0</v>
      </c>
      <c r="L990" s="721">
        <v>46</v>
      </c>
      <c r="M990" s="956">
        <v>0.92</v>
      </c>
      <c r="N990" s="653">
        <v>1.2865279999999999</v>
      </c>
      <c r="O990" s="731" t="s">
        <v>2762</v>
      </c>
      <c r="P990" s="514" t="s">
        <v>2762</v>
      </c>
      <c r="Q990" s="859">
        <v>0</v>
      </c>
      <c r="R990" s="859">
        <v>0</v>
      </c>
      <c r="S990" s="859">
        <v>0</v>
      </c>
      <c r="T990" s="859">
        <v>0</v>
      </c>
      <c r="U990" s="514" t="s">
        <v>2728</v>
      </c>
      <c r="V990" s="514">
        <v>2006</v>
      </c>
      <c r="W990" s="498">
        <v>1046</v>
      </c>
      <c r="X990" s="514" t="s">
        <v>1532</v>
      </c>
      <c r="Y990" s="514" t="s">
        <v>3232</v>
      </c>
      <c r="Z990" s="514" t="s">
        <v>1686</v>
      </c>
      <c r="AA990" s="514" t="s">
        <v>1686</v>
      </c>
      <c r="AB990" s="531" t="s">
        <v>1686</v>
      </c>
    </row>
    <row r="991" spans="1:28" ht="24" customHeight="1">
      <c r="A991" s="584"/>
      <c r="B991" s="460" t="s">
        <v>675</v>
      </c>
      <c r="C991" s="458" t="s">
        <v>2763</v>
      </c>
      <c r="D991" s="510" t="s">
        <v>2764</v>
      </c>
      <c r="E991" s="497">
        <f t="shared" si="69"/>
        <v>20</v>
      </c>
      <c r="F991" s="497">
        <v>0</v>
      </c>
      <c r="G991" s="497">
        <v>0</v>
      </c>
      <c r="H991" s="497">
        <v>20</v>
      </c>
      <c r="I991" s="497">
        <f t="shared" si="68"/>
        <v>19</v>
      </c>
      <c r="J991" s="497">
        <v>0</v>
      </c>
      <c r="K991" s="497">
        <v>0</v>
      </c>
      <c r="L991" s="721">
        <v>19</v>
      </c>
      <c r="M991" s="956">
        <v>0.95</v>
      </c>
      <c r="N991" s="653">
        <v>0.81586000000000014</v>
      </c>
      <c r="O991" s="731" t="s">
        <v>2765</v>
      </c>
      <c r="P991" s="514" t="s">
        <v>2765</v>
      </c>
      <c r="Q991" s="859">
        <v>0</v>
      </c>
      <c r="R991" s="859">
        <v>0</v>
      </c>
      <c r="S991" s="859">
        <v>0</v>
      </c>
      <c r="T991" s="859">
        <v>0</v>
      </c>
      <c r="U991" s="514" t="s">
        <v>2728</v>
      </c>
      <c r="V991" s="514">
        <v>2001</v>
      </c>
      <c r="W991" s="498">
        <v>56</v>
      </c>
      <c r="X991" s="514" t="s">
        <v>1532</v>
      </c>
      <c r="Y991" s="514" t="s">
        <v>3336</v>
      </c>
      <c r="Z991" s="514" t="s">
        <v>1686</v>
      </c>
      <c r="AA991" s="514" t="s">
        <v>1686</v>
      </c>
      <c r="AB991" s="531" t="s">
        <v>1686</v>
      </c>
    </row>
    <row r="992" spans="1:28" ht="24" customHeight="1">
      <c r="A992" s="584"/>
      <c r="B992" s="460" t="s">
        <v>675</v>
      </c>
      <c r="C992" s="458" t="s">
        <v>2766</v>
      </c>
      <c r="D992" s="510" t="s">
        <v>2767</v>
      </c>
      <c r="E992" s="497">
        <f>F992+G992+H992</f>
        <v>20</v>
      </c>
      <c r="F992" s="497">
        <v>0</v>
      </c>
      <c r="G992" s="497">
        <v>0</v>
      </c>
      <c r="H992" s="497">
        <v>20</v>
      </c>
      <c r="I992" s="497">
        <f>J992+K992+L992</f>
        <v>16</v>
      </c>
      <c r="J992" s="497">
        <v>0</v>
      </c>
      <c r="K992" s="497">
        <v>0</v>
      </c>
      <c r="L992" s="721">
        <v>16</v>
      </c>
      <c r="M992" s="956">
        <v>0.8</v>
      </c>
      <c r="N992" s="653">
        <v>0.57856000000000007</v>
      </c>
      <c r="O992" s="731" t="s">
        <v>2721</v>
      </c>
      <c r="P992" s="514" t="s">
        <v>2721</v>
      </c>
      <c r="Q992" s="859">
        <v>0</v>
      </c>
      <c r="R992" s="859">
        <v>0</v>
      </c>
      <c r="S992" s="859">
        <v>0</v>
      </c>
      <c r="T992" s="859">
        <v>0</v>
      </c>
      <c r="U992" s="514" t="s">
        <v>2728</v>
      </c>
      <c r="V992" s="514">
        <v>2003</v>
      </c>
      <c r="W992" s="498">
        <v>58</v>
      </c>
      <c r="X992" s="514" t="s">
        <v>1532</v>
      </c>
      <c r="Y992" s="514" t="s">
        <v>3232</v>
      </c>
      <c r="Z992" s="514" t="s">
        <v>2768</v>
      </c>
      <c r="AA992" s="514" t="s">
        <v>1592</v>
      </c>
      <c r="AB992" s="531" t="s">
        <v>1592</v>
      </c>
    </row>
    <row r="993" spans="1:28" ht="24" customHeight="1">
      <c r="A993" s="584"/>
      <c r="B993" s="460" t="s">
        <v>675</v>
      </c>
      <c r="C993" s="458" t="s">
        <v>2769</v>
      </c>
      <c r="D993" s="510" t="s">
        <v>2767</v>
      </c>
      <c r="E993" s="497">
        <f t="shared" si="69"/>
        <v>40</v>
      </c>
      <c r="F993" s="497">
        <v>0</v>
      </c>
      <c r="G993" s="497">
        <v>40</v>
      </c>
      <c r="H993" s="497">
        <v>0</v>
      </c>
      <c r="I993" s="497">
        <f t="shared" si="68"/>
        <v>38</v>
      </c>
      <c r="J993" s="497">
        <v>0</v>
      </c>
      <c r="K993" s="497">
        <v>38</v>
      </c>
      <c r="L993" s="721">
        <v>0</v>
      </c>
      <c r="M993" s="956">
        <v>0.95</v>
      </c>
      <c r="N993" s="653">
        <v>2.3862099999999997</v>
      </c>
      <c r="O993" s="731" t="s">
        <v>2770</v>
      </c>
      <c r="P993" s="514" t="s">
        <v>2770</v>
      </c>
      <c r="Q993" s="859">
        <v>0</v>
      </c>
      <c r="R993" s="859">
        <v>0</v>
      </c>
      <c r="S993" s="859">
        <v>0</v>
      </c>
      <c r="T993" s="859">
        <v>0</v>
      </c>
      <c r="U993" s="514" t="s">
        <v>2717</v>
      </c>
      <c r="V993" s="514">
        <v>2000.1</v>
      </c>
      <c r="W993" s="498">
        <v>205</v>
      </c>
      <c r="X993" s="514" t="s">
        <v>2276</v>
      </c>
      <c r="Y993" s="514" t="s">
        <v>3232</v>
      </c>
      <c r="Z993" s="514" t="s">
        <v>2768</v>
      </c>
      <c r="AA993" s="514" t="s">
        <v>1592</v>
      </c>
      <c r="AB993" s="531" t="s">
        <v>1592</v>
      </c>
    </row>
    <row r="994" spans="1:28" ht="24" customHeight="1">
      <c r="A994" s="584"/>
      <c r="B994" s="460" t="s">
        <v>675</v>
      </c>
      <c r="C994" s="458" t="s">
        <v>2771</v>
      </c>
      <c r="D994" s="510" t="s">
        <v>2772</v>
      </c>
      <c r="E994" s="497">
        <f t="shared" si="69"/>
        <v>300</v>
      </c>
      <c r="F994" s="497">
        <v>0</v>
      </c>
      <c r="G994" s="497">
        <v>0</v>
      </c>
      <c r="H994" s="497">
        <v>300</v>
      </c>
      <c r="I994" s="497">
        <f t="shared" si="68"/>
        <v>260</v>
      </c>
      <c r="J994" s="497">
        <v>0</v>
      </c>
      <c r="K994" s="497">
        <v>0</v>
      </c>
      <c r="L994" s="721">
        <v>260</v>
      </c>
      <c r="M994" s="956">
        <v>0.8666666666666667</v>
      </c>
      <c r="N994" s="653">
        <v>8.4725333333333328</v>
      </c>
      <c r="O994" s="731" t="s">
        <v>2742</v>
      </c>
      <c r="P994" s="514" t="s">
        <v>2742</v>
      </c>
      <c r="Q994" s="859">
        <v>0</v>
      </c>
      <c r="R994" s="859">
        <v>0</v>
      </c>
      <c r="S994" s="859">
        <v>0</v>
      </c>
      <c r="T994" s="859">
        <v>0</v>
      </c>
      <c r="U994" s="514" t="s">
        <v>2717</v>
      </c>
      <c r="V994" s="514">
        <v>2005.1</v>
      </c>
      <c r="W994" s="498">
        <v>4779</v>
      </c>
      <c r="X994" s="514" t="s">
        <v>2276</v>
      </c>
      <c r="Y994" s="514" t="s">
        <v>3336</v>
      </c>
      <c r="Z994" s="514" t="s">
        <v>2768</v>
      </c>
      <c r="AA994" s="514" t="s">
        <v>1592</v>
      </c>
      <c r="AB994" s="531" t="s">
        <v>1592</v>
      </c>
    </row>
    <row r="995" spans="1:28" ht="24" customHeight="1">
      <c r="A995" s="584"/>
      <c r="B995" s="460" t="s">
        <v>675</v>
      </c>
      <c r="C995" s="458" t="s">
        <v>2773</v>
      </c>
      <c r="D995" s="510" t="s">
        <v>2774</v>
      </c>
      <c r="E995" s="497">
        <f t="shared" si="69"/>
        <v>30</v>
      </c>
      <c r="F995" s="497">
        <v>0</v>
      </c>
      <c r="G995" s="497">
        <v>0</v>
      </c>
      <c r="H995" s="497">
        <v>30</v>
      </c>
      <c r="I995" s="497">
        <f t="shared" si="68"/>
        <v>30</v>
      </c>
      <c r="J995" s="497">
        <v>0</v>
      </c>
      <c r="K995" s="497">
        <v>0</v>
      </c>
      <c r="L995" s="721">
        <v>30</v>
      </c>
      <c r="M995" s="956">
        <v>1</v>
      </c>
      <c r="N995" s="653">
        <v>2.7539999999999996</v>
      </c>
      <c r="O995" s="731" t="s">
        <v>2770</v>
      </c>
      <c r="P995" s="514" t="s">
        <v>2770</v>
      </c>
      <c r="Q995" s="859">
        <v>0</v>
      </c>
      <c r="R995" s="859">
        <v>0</v>
      </c>
      <c r="S995" s="859">
        <v>0</v>
      </c>
      <c r="T995" s="859">
        <v>0</v>
      </c>
      <c r="U995" s="514" t="s">
        <v>2728</v>
      </c>
      <c r="V995" s="514">
        <v>2005.12</v>
      </c>
      <c r="W995" s="498">
        <v>1000</v>
      </c>
      <c r="X995" s="514" t="s">
        <v>1532</v>
      </c>
      <c r="Y995" s="514" t="s">
        <v>3336</v>
      </c>
      <c r="Z995" s="514" t="s">
        <v>2768</v>
      </c>
      <c r="AA995" s="514" t="s">
        <v>1592</v>
      </c>
      <c r="AB995" s="531" t="s">
        <v>1592</v>
      </c>
    </row>
    <row r="996" spans="1:28" ht="24" customHeight="1">
      <c r="A996" s="584"/>
      <c r="B996" s="460" t="s">
        <v>675</v>
      </c>
      <c r="C996" s="458" t="s">
        <v>2775</v>
      </c>
      <c r="D996" s="510" t="s">
        <v>2776</v>
      </c>
      <c r="E996" s="497">
        <f t="shared" si="69"/>
        <v>20</v>
      </c>
      <c r="F996" s="497">
        <v>0</v>
      </c>
      <c r="G996" s="497">
        <v>0</v>
      </c>
      <c r="H996" s="497">
        <v>20</v>
      </c>
      <c r="I996" s="497">
        <f t="shared" si="68"/>
        <v>17</v>
      </c>
      <c r="J996" s="497">
        <v>0</v>
      </c>
      <c r="K996" s="497">
        <v>0</v>
      </c>
      <c r="L996" s="721">
        <v>17</v>
      </c>
      <c r="M996" s="956">
        <v>0.85</v>
      </c>
      <c r="N996" s="653">
        <v>1.1271</v>
      </c>
      <c r="O996" s="731" t="s">
        <v>2777</v>
      </c>
      <c r="P996" s="514" t="s">
        <v>2777</v>
      </c>
      <c r="Q996" s="859">
        <v>0</v>
      </c>
      <c r="R996" s="859">
        <v>0</v>
      </c>
      <c r="S996" s="859">
        <v>0</v>
      </c>
      <c r="T996" s="859">
        <v>0</v>
      </c>
      <c r="U996" s="514" t="s">
        <v>2728</v>
      </c>
      <c r="V996" s="514">
        <v>2002</v>
      </c>
      <c r="W996" s="498">
        <v>142</v>
      </c>
      <c r="X996" s="514" t="s">
        <v>1532</v>
      </c>
      <c r="Y996" s="514" t="s">
        <v>3336</v>
      </c>
      <c r="Z996" s="514" t="s">
        <v>2768</v>
      </c>
      <c r="AA996" s="514" t="s">
        <v>1592</v>
      </c>
      <c r="AB996" s="531" t="s">
        <v>1592</v>
      </c>
    </row>
    <row r="997" spans="1:28" ht="24" customHeight="1">
      <c r="A997" s="584"/>
      <c r="B997" s="460" t="s">
        <v>675</v>
      </c>
      <c r="C997" s="458" t="s">
        <v>2778</v>
      </c>
      <c r="D997" s="510" t="s">
        <v>2779</v>
      </c>
      <c r="E997" s="497">
        <f t="shared" si="69"/>
        <v>30</v>
      </c>
      <c r="F997" s="497">
        <v>0</v>
      </c>
      <c r="G997" s="497">
        <v>0</v>
      </c>
      <c r="H997" s="497">
        <v>30</v>
      </c>
      <c r="I997" s="497">
        <f t="shared" si="68"/>
        <v>26</v>
      </c>
      <c r="J997" s="497">
        <v>0</v>
      </c>
      <c r="K997" s="497">
        <v>0</v>
      </c>
      <c r="L997" s="721">
        <v>26</v>
      </c>
      <c r="M997" s="956">
        <v>0.8666666666666667</v>
      </c>
      <c r="N997" s="653">
        <v>1.1582133333333333</v>
      </c>
      <c r="O997" s="731" t="s">
        <v>2780</v>
      </c>
      <c r="P997" s="514" t="s">
        <v>2780</v>
      </c>
      <c r="Q997" s="859">
        <v>0</v>
      </c>
      <c r="R997" s="859">
        <v>0</v>
      </c>
      <c r="S997" s="859">
        <v>0</v>
      </c>
      <c r="T997" s="859">
        <v>0</v>
      </c>
      <c r="U997" s="514" t="s">
        <v>2728</v>
      </c>
      <c r="V997" s="514">
        <v>2002</v>
      </c>
      <c r="W997" s="498">
        <v>170</v>
      </c>
      <c r="X997" s="514" t="s">
        <v>1532</v>
      </c>
      <c r="Y997" s="514" t="s">
        <v>3336</v>
      </c>
      <c r="Z997" s="514" t="s">
        <v>2781</v>
      </c>
      <c r="AA997" s="514" t="s">
        <v>1592</v>
      </c>
      <c r="AB997" s="531" t="s">
        <v>1592</v>
      </c>
    </row>
    <row r="998" spans="1:28" ht="24" customHeight="1">
      <c r="A998" s="584"/>
      <c r="B998" s="460" t="s">
        <v>675</v>
      </c>
      <c r="C998" s="458" t="s">
        <v>2782</v>
      </c>
      <c r="D998" s="510" t="s">
        <v>2776</v>
      </c>
      <c r="E998" s="497">
        <f t="shared" si="69"/>
        <v>35</v>
      </c>
      <c r="F998" s="497">
        <v>0</v>
      </c>
      <c r="G998" s="497">
        <v>0</v>
      </c>
      <c r="H998" s="497">
        <v>35</v>
      </c>
      <c r="I998" s="497">
        <f t="shared" si="68"/>
        <v>30</v>
      </c>
      <c r="J998" s="497">
        <v>0</v>
      </c>
      <c r="K998" s="497">
        <v>0</v>
      </c>
      <c r="L998" s="721">
        <v>30</v>
      </c>
      <c r="M998" s="956">
        <v>0.8571428571428571</v>
      </c>
      <c r="N998" s="653">
        <v>0.59914285714285709</v>
      </c>
      <c r="O998" s="731" t="s">
        <v>5255</v>
      </c>
      <c r="P998" s="514" t="s">
        <v>5255</v>
      </c>
      <c r="Q998" s="859">
        <v>0</v>
      </c>
      <c r="R998" s="859">
        <v>0</v>
      </c>
      <c r="S998" s="859">
        <v>0</v>
      </c>
      <c r="T998" s="859">
        <v>0</v>
      </c>
      <c r="U998" s="514" t="s">
        <v>2728</v>
      </c>
      <c r="V998" s="514">
        <v>2002</v>
      </c>
      <c r="W998" s="498">
        <v>210</v>
      </c>
      <c r="X998" s="514" t="s">
        <v>1532</v>
      </c>
      <c r="Y998" s="514" t="s">
        <v>3336</v>
      </c>
      <c r="Z998" s="514" t="s">
        <v>2768</v>
      </c>
      <c r="AA998" s="514" t="s">
        <v>1592</v>
      </c>
      <c r="AB998" s="531" t="s">
        <v>1592</v>
      </c>
    </row>
    <row r="999" spans="1:28" ht="24" customHeight="1">
      <c r="A999" s="584"/>
      <c r="B999" s="460" t="s">
        <v>675</v>
      </c>
      <c r="C999" s="458" t="s">
        <v>2783</v>
      </c>
      <c r="D999" s="510" t="s">
        <v>2784</v>
      </c>
      <c r="E999" s="497">
        <f t="shared" si="69"/>
        <v>40</v>
      </c>
      <c r="F999" s="497">
        <v>0</v>
      </c>
      <c r="G999" s="497">
        <v>0</v>
      </c>
      <c r="H999" s="497">
        <v>40</v>
      </c>
      <c r="I999" s="497">
        <f t="shared" si="68"/>
        <v>40</v>
      </c>
      <c r="J999" s="497">
        <v>0</v>
      </c>
      <c r="K999" s="497">
        <v>0</v>
      </c>
      <c r="L999" s="721">
        <v>40</v>
      </c>
      <c r="M999" s="956">
        <v>1</v>
      </c>
      <c r="N999" s="653">
        <v>0.86</v>
      </c>
      <c r="O999" s="731" t="s">
        <v>2765</v>
      </c>
      <c r="P999" s="514" t="s">
        <v>2765</v>
      </c>
      <c r="Q999" s="859">
        <v>0</v>
      </c>
      <c r="R999" s="859">
        <v>0</v>
      </c>
      <c r="S999" s="859">
        <v>0</v>
      </c>
      <c r="T999" s="859">
        <v>0</v>
      </c>
      <c r="U999" s="514" t="s">
        <v>2728</v>
      </c>
      <c r="V999" s="514">
        <v>2005.12</v>
      </c>
      <c r="W999" s="498">
        <v>523</v>
      </c>
      <c r="X999" s="514" t="s">
        <v>1532</v>
      </c>
      <c r="Y999" s="514" t="s">
        <v>3336</v>
      </c>
      <c r="Z999" s="514" t="s">
        <v>2785</v>
      </c>
      <c r="AA999" s="514" t="s">
        <v>1592</v>
      </c>
      <c r="AB999" s="531" t="s">
        <v>1592</v>
      </c>
    </row>
    <row r="1000" spans="1:28" ht="24" customHeight="1">
      <c r="A1000" s="584"/>
      <c r="B1000" s="460" t="s">
        <v>675</v>
      </c>
      <c r="C1000" s="458" t="s">
        <v>2786</v>
      </c>
      <c r="D1000" s="510" t="s">
        <v>2784</v>
      </c>
      <c r="E1000" s="497">
        <f t="shared" si="69"/>
        <v>130</v>
      </c>
      <c r="F1000" s="497">
        <v>0</v>
      </c>
      <c r="G1000" s="497">
        <v>130</v>
      </c>
      <c r="H1000" s="497">
        <v>0</v>
      </c>
      <c r="I1000" s="497">
        <f t="shared" si="68"/>
        <v>120</v>
      </c>
      <c r="J1000" s="497">
        <v>0</v>
      </c>
      <c r="K1000" s="497">
        <v>120</v>
      </c>
      <c r="L1000" s="721">
        <v>0</v>
      </c>
      <c r="M1000" s="956">
        <v>0.92307692307692302</v>
      </c>
      <c r="N1000" s="653">
        <v>4.2424615384615381</v>
      </c>
      <c r="O1000" s="731" t="s">
        <v>2787</v>
      </c>
      <c r="P1000" s="514" t="s">
        <v>5177</v>
      </c>
      <c r="Q1000" s="859">
        <v>0</v>
      </c>
      <c r="R1000" s="859">
        <v>0</v>
      </c>
      <c r="S1000" s="859">
        <v>0</v>
      </c>
      <c r="T1000" s="859">
        <v>0</v>
      </c>
      <c r="U1000" s="514" t="s">
        <v>2717</v>
      </c>
      <c r="V1000" s="514">
        <v>1999.7</v>
      </c>
      <c r="W1000" s="498">
        <v>375</v>
      </c>
      <c r="X1000" s="514" t="s">
        <v>2276</v>
      </c>
      <c r="Y1000" s="514" t="s">
        <v>3232</v>
      </c>
      <c r="Z1000" s="514" t="s">
        <v>2785</v>
      </c>
      <c r="AA1000" s="514" t="s">
        <v>1592</v>
      </c>
      <c r="AB1000" s="531" t="s">
        <v>1592</v>
      </c>
    </row>
    <row r="1001" spans="1:28" ht="24" customHeight="1">
      <c r="A1001" s="584"/>
      <c r="B1001" s="460" t="s">
        <v>675</v>
      </c>
      <c r="C1001" s="458" t="s">
        <v>2788</v>
      </c>
      <c r="D1001" s="510" t="s">
        <v>2789</v>
      </c>
      <c r="E1001" s="497">
        <f t="shared" si="69"/>
        <v>15</v>
      </c>
      <c r="F1001" s="497">
        <v>0</v>
      </c>
      <c r="G1001" s="497">
        <v>0</v>
      </c>
      <c r="H1001" s="497">
        <v>15</v>
      </c>
      <c r="I1001" s="497">
        <f t="shared" si="68"/>
        <v>14</v>
      </c>
      <c r="J1001" s="497">
        <v>0</v>
      </c>
      <c r="K1001" s="497">
        <v>0</v>
      </c>
      <c r="L1001" s="721">
        <v>14</v>
      </c>
      <c r="M1001" s="956">
        <v>0.93333333333333324</v>
      </c>
      <c r="N1001" s="653">
        <v>0.84933333333333338</v>
      </c>
      <c r="O1001" s="731" t="s">
        <v>2721</v>
      </c>
      <c r="P1001" s="514" t="s">
        <v>2721</v>
      </c>
      <c r="Q1001" s="859">
        <v>0</v>
      </c>
      <c r="R1001" s="859">
        <v>0</v>
      </c>
      <c r="S1001" s="859">
        <v>0</v>
      </c>
      <c r="T1001" s="859">
        <v>0</v>
      </c>
      <c r="U1001" s="514" t="s">
        <v>2728</v>
      </c>
      <c r="V1001" s="514">
        <v>2001</v>
      </c>
      <c r="W1001" s="498">
        <v>75</v>
      </c>
      <c r="X1001" s="514" t="s">
        <v>1532</v>
      </c>
      <c r="Y1001" s="514" t="s">
        <v>3336</v>
      </c>
      <c r="Z1001" s="514" t="s">
        <v>2729</v>
      </c>
      <c r="AA1001" s="514" t="s">
        <v>1592</v>
      </c>
      <c r="AB1001" s="531" t="s">
        <v>1592</v>
      </c>
    </row>
    <row r="1002" spans="1:28" ht="24" customHeight="1">
      <c r="A1002" s="584"/>
      <c r="B1002" s="460" t="s">
        <v>675</v>
      </c>
      <c r="C1002" s="458" t="s">
        <v>2036</v>
      </c>
      <c r="D1002" s="510" t="s">
        <v>2790</v>
      </c>
      <c r="E1002" s="497">
        <f t="shared" si="69"/>
        <v>35</v>
      </c>
      <c r="F1002" s="497">
        <v>0</v>
      </c>
      <c r="G1002" s="497">
        <v>0</v>
      </c>
      <c r="H1002" s="497">
        <v>35</v>
      </c>
      <c r="I1002" s="497">
        <f t="shared" si="68"/>
        <v>32</v>
      </c>
      <c r="J1002" s="497">
        <v>0</v>
      </c>
      <c r="K1002" s="497">
        <v>0</v>
      </c>
      <c r="L1002" s="721">
        <v>32</v>
      </c>
      <c r="M1002" s="956">
        <v>0.91428571428571426</v>
      </c>
      <c r="N1002" s="653">
        <v>0.47104000000000001</v>
      </c>
      <c r="O1002" s="731" t="s">
        <v>2780</v>
      </c>
      <c r="P1002" s="514" t="s">
        <v>2780</v>
      </c>
      <c r="Q1002" s="859">
        <v>0</v>
      </c>
      <c r="R1002" s="859">
        <v>0</v>
      </c>
      <c r="S1002" s="859">
        <v>0</v>
      </c>
      <c r="T1002" s="859">
        <v>0</v>
      </c>
      <c r="U1002" s="514" t="s">
        <v>2728</v>
      </c>
      <c r="V1002" s="514">
        <v>2002</v>
      </c>
      <c r="W1002" s="498">
        <v>186</v>
      </c>
      <c r="X1002" s="514" t="s">
        <v>1532</v>
      </c>
      <c r="Y1002" s="514" t="s">
        <v>3336</v>
      </c>
      <c r="Z1002" s="514" t="s">
        <v>2791</v>
      </c>
      <c r="AA1002" s="514" t="s">
        <v>1592</v>
      </c>
      <c r="AB1002" s="531" t="s">
        <v>1592</v>
      </c>
    </row>
    <row r="1003" spans="1:28" ht="24" customHeight="1">
      <c r="A1003" s="584"/>
      <c r="B1003" s="460" t="s">
        <v>675</v>
      </c>
      <c r="C1003" s="458" t="s">
        <v>2792</v>
      </c>
      <c r="D1003" s="510" t="s">
        <v>2793</v>
      </c>
      <c r="E1003" s="497">
        <f t="shared" si="69"/>
        <v>40</v>
      </c>
      <c r="F1003" s="497">
        <v>0</v>
      </c>
      <c r="G1003" s="497">
        <v>0</v>
      </c>
      <c r="H1003" s="497">
        <v>40</v>
      </c>
      <c r="I1003" s="497">
        <f t="shared" si="68"/>
        <v>39</v>
      </c>
      <c r="J1003" s="497">
        <v>0</v>
      </c>
      <c r="K1003" s="497">
        <v>0</v>
      </c>
      <c r="L1003" s="721">
        <v>39</v>
      </c>
      <c r="M1003" s="956">
        <v>0.97499999999999998</v>
      </c>
      <c r="N1003" s="653">
        <v>3.4146449999999997</v>
      </c>
      <c r="O1003" s="731" t="s">
        <v>2721</v>
      </c>
      <c r="P1003" s="514" t="s">
        <v>2721</v>
      </c>
      <c r="Q1003" s="859">
        <v>0</v>
      </c>
      <c r="R1003" s="859">
        <v>0</v>
      </c>
      <c r="S1003" s="859">
        <v>0</v>
      </c>
      <c r="T1003" s="859">
        <v>0</v>
      </c>
      <c r="U1003" s="514" t="s">
        <v>2728</v>
      </c>
      <c r="V1003" s="514">
        <v>2005.12</v>
      </c>
      <c r="W1003" s="498">
        <v>462</v>
      </c>
      <c r="X1003" s="514" t="s">
        <v>1532</v>
      </c>
      <c r="Y1003" s="514" t="s">
        <v>3336</v>
      </c>
      <c r="Z1003" s="514" t="s">
        <v>2794</v>
      </c>
      <c r="AA1003" s="514" t="s">
        <v>1592</v>
      </c>
      <c r="AB1003" s="531" t="s">
        <v>1592</v>
      </c>
    </row>
    <row r="1004" spans="1:28" ht="24" customHeight="1">
      <c r="A1004" s="584"/>
      <c r="B1004" s="460" t="s">
        <v>675</v>
      </c>
      <c r="C1004" s="458" t="s">
        <v>2795</v>
      </c>
      <c r="D1004" s="510" t="s">
        <v>2789</v>
      </c>
      <c r="E1004" s="497">
        <f t="shared" si="69"/>
        <v>300</v>
      </c>
      <c r="F1004" s="497">
        <v>0</v>
      </c>
      <c r="G1004" s="497">
        <v>0</v>
      </c>
      <c r="H1004" s="497">
        <v>300</v>
      </c>
      <c r="I1004" s="497">
        <f t="shared" si="68"/>
        <v>270</v>
      </c>
      <c r="J1004" s="497">
        <v>0</v>
      </c>
      <c r="K1004" s="497">
        <v>0</v>
      </c>
      <c r="L1004" s="721">
        <v>270</v>
      </c>
      <c r="M1004" s="956">
        <v>0.9</v>
      </c>
      <c r="N1004" s="653">
        <v>10.199999999999999</v>
      </c>
      <c r="O1004" s="731" t="s">
        <v>2742</v>
      </c>
      <c r="P1004" s="514" t="s">
        <v>2742</v>
      </c>
      <c r="Q1004" s="859">
        <v>0</v>
      </c>
      <c r="R1004" s="859">
        <v>0</v>
      </c>
      <c r="S1004" s="859">
        <v>0</v>
      </c>
      <c r="T1004" s="859">
        <v>0</v>
      </c>
      <c r="U1004" s="514" t="s">
        <v>2717</v>
      </c>
      <c r="V1004" s="514">
        <v>2005.1</v>
      </c>
      <c r="W1004" s="498">
        <v>4826</v>
      </c>
      <c r="X1004" s="514" t="s">
        <v>2276</v>
      </c>
      <c r="Y1004" s="514" t="s">
        <v>3336</v>
      </c>
      <c r="Z1004" s="514" t="s">
        <v>2729</v>
      </c>
      <c r="AA1004" s="514" t="s">
        <v>1592</v>
      </c>
      <c r="AB1004" s="531" t="s">
        <v>1592</v>
      </c>
    </row>
    <row r="1005" spans="1:28" ht="24" customHeight="1">
      <c r="A1005" s="584"/>
      <c r="B1005" s="460" t="s">
        <v>675</v>
      </c>
      <c r="C1005" s="458" t="s">
        <v>2796</v>
      </c>
      <c r="D1005" s="510" t="s">
        <v>2797</v>
      </c>
      <c r="E1005" s="497">
        <f t="shared" si="69"/>
        <v>45</v>
      </c>
      <c r="F1005" s="497">
        <v>0</v>
      </c>
      <c r="G1005" s="497">
        <v>0</v>
      </c>
      <c r="H1005" s="497">
        <v>45</v>
      </c>
      <c r="I1005" s="497">
        <f t="shared" si="68"/>
        <v>45</v>
      </c>
      <c r="J1005" s="497">
        <v>0</v>
      </c>
      <c r="K1005" s="497">
        <v>0</v>
      </c>
      <c r="L1005" s="721">
        <v>45</v>
      </c>
      <c r="M1005" s="956">
        <v>1</v>
      </c>
      <c r="N1005" s="653">
        <v>2.3624999999999998</v>
      </c>
      <c r="O1005" s="731" t="s">
        <v>3419</v>
      </c>
      <c r="P1005" s="514" t="s">
        <v>3419</v>
      </c>
      <c r="Q1005" s="859">
        <v>0</v>
      </c>
      <c r="R1005" s="859">
        <v>0</v>
      </c>
      <c r="S1005" s="859">
        <v>0</v>
      </c>
      <c r="T1005" s="859">
        <v>0</v>
      </c>
      <c r="U1005" s="514" t="s">
        <v>2728</v>
      </c>
      <c r="V1005" s="514">
        <v>2005.12</v>
      </c>
      <c r="W1005" s="498">
        <v>1000</v>
      </c>
      <c r="X1005" s="514" t="s">
        <v>1532</v>
      </c>
      <c r="Y1005" s="514" t="s">
        <v>3336</v>
      </c>
      <c r="Z1005" s="514" t="s">
        <v>2798</v>
      </c>
      <c r="AA1005" s="514" t="s">
        <v>1592</v>
      </c>
      <c r="AB1005" s="531" t="s">
        <v>1592</v>
      </c>
    </row>
    <row r="1006" spans="1:28" ht="24" customHeight="1">
      <c r="A1006" s="582" t="s">
        <v>1695</v>
      </c>
      <c r="B1006" s="460" t="s">
        <v>2201</v>
      </c>
      <c r="C1006" s="458" t="s">
        <v>2424</v>
      </c>
      <c r="D1006" s="510" t="s">
        <v>2799</v>
      </c>
      <c r="E1006" s="497">
        <f>SUM(F1006:H1006)</f>
        <v>3000</v>
      </c>
      <c r="F1006" s="497">
        <v>0</v>
      </c>
      <c r="G1006" s="497">
        <v>3000</v>
      </c>
      <c r="H1006" s="497">
        <v>0</v>
      </c>
      <c r="I1006" s="497">
        <f t="shared" ref="I1006:I1030" si="70">SUM(J1006:L1006)</f>
        <v>3000</v>
      </c>
      <c r="J1006" s="497">
        <v>0</v>
      </c>
      <c r="K1006" s="497">
        <v>3000</v>
      </c>
      <c r="L1006" s="721">
        <v>0</v>
      </c>
      <c r="M1006" s="956">
        <v>0.98213256484149869</v>
      </c>
      <c r="N1006" s="653">
        <v>204.48000000000005</v>
      </c>
      <c r="O1006" s="731" t="s">
        <v>2800</v>
      </c>
      <c r="P1006" s="514" t="s">
        <v>2800</v>
      </c>
      <c r="Q1006" s="859">
        <v>10</v>
      </c>
      <c r="R1006" s="859">
        <v>10</v>
      </c>
      <c r="S1006" s="859">
        <v>0</v>
      </c>
      <c r="T1006" s="859">
        <v>0</v>
      </c>
      <c r="U1006" s="464" t="s">
        <v>2306</v>
      </c>
      <c r="V1006" s="514" t="s">
        <v>2801</v>
      </c>
      <c r="W1006" s="653">
        <v>16807</v>
      </c>
      <c r="X1006" s="514" t="s">
        <v>1532</v>
      </c>
      <c r="Y1006" s="514" t="s">
        <v>3336</v>
      </c>
      <c r="Z1006" s="514" t="s">
        <v>1602</v>
      </c>
      <c r="AA1006" s="514" t="s">
        <v>1592</v>
      </c>
      <c r="AB1006" s="531" t="s">
        <v>1592</v>
      </c>
    </row>
    <row r="1007" spans="1:28" ht="24" customHeight="1">
      <c r="A1007" s="584"/>
      <c r="B1007" s="460" t="s">
        <v>675</v>
      </c>
      <c r="C1007" s="458" t="s">
        <v>2802</v>
      </c>
      <c r="D1007" s="510" t="s">
        <v>2803</v>
      </c>
      <c r="E1007" s="497">
        <f>SUM(F1007:H1007)</f>
        <v>30</v>
      </c>
      <c r="F1007" s="497">
        <v>0</v>
      </c>
      <c r="G1007" s="497">
        <v>30</v>
      </c>
      <c r="H1007" s="497">
        <v>0</v>
      </c>
      <c r="I1007" s="497">
        <f t="shared" si="70"/>
        <v>30</v>
      </c>
      <c r="J1007" s="497">
        <v>0</v>
      </c>
      <c r="K1007" s="497">
        <v>30</v>
      </c>
      <c r="L1007" s="721">
        <v>0</v>
      </c>
      <c r="M1007" s="956">
        <v>0.95</v>
      </c>
      <c r="N1007" s="653">
        <v>2.6</v>
      </c>
      <c r="O1007" s="731" t="s">
        <v>2804</v>
      </c>
      <c r="P1007" s="514" t="s">
        <v>2804</v>
      </c>
      <c r="Q1007" s="859">
        <v>0</v>
      </c>
      <c r="R1007" s="859">
        <v>0</v>
      </c>
      <c r="S1007" s="859">
        <v>0</v>
      </c>
      <c r="T1007" s="859">
        <v>0</v>
      </c>
      <c r="U1007" s="464" t="s">
        <v>2306</v>
      </c>
      <c r="V1007" s="514" t="s">
        <v>2801</v>
      </c>
      <c r="W1007" s="498">
        <v>240</v>
      </c>
      <c r="X1007" s="514" t="s">
        <v>1532</v>
      </c>
      <c r="Y1007" s="514" t="s">
        <v>2805</v>
      </c>
      <c r="Z1007" s="514" t="s">
        <v>1602</v>
      </c>
      <c r="AA1007" s="514" t="s">
        <v>1592</v>
      </c>
      <c r="AB1007" s="531" t="s">
        <v>1592</v>
      </c>
    </row>
    <row r="1008" spans="1:28" ht="24" customHeight="1">
      <c r="A1008" s="584"/>
      <c r="B1008" s="460" t="s">
        <v>675</v>
      </c>
      <c r="C1008" s="458" t="s">
        <v>2240</v>
      </c>
      <c r="D1008" s="510" t="s">
        <v>2806</v>
      </c>
      <c r="E1008" s="497">
        <f>SUM(F1008:H1008)</f>
        <v>70</v>
      </c>
      <c r="F1008" s="497">
        <v>0</v>
      </c>
      <c r="G1008" s="497">
        <v>70</v>
      </c>
      <c r="H1008" s="497">
        <v>0</v>
      </c>
      <c r="I1008" s="497">
        <f t="shared" si="70"/>
        <v>70</v>
      </c>
      <c r="J1008" s="497">
        <v>0</v>
      </c>
      <c r="K1008" s="497">
        <v>70</v>
      </c>
      <c r="L1008" s="721">
        <v>0</v>
      </c>
      <c r="M1008" s="956">
        <v>0.89</v>
      </c>
      <c r="N1008" s="653">
        <v>2.87</v>
      </c>
      <c r="O1008" s="731" t="s">
        <v>2804</v>
      </c>
      <c r="P1008" s="514" t="s">
        <v>2804</v>
      </c>
      <c r="Q1008" s="859">
        <v>0</v>
      </c>
      <c r="R1008" s="859">
        <v>0</v>
      </c>
      <c r="S1008" s="859">
        <v>0</v>
      </c>
      <c r="T1008" s="859">
        <v>0</v>
      </c>
      <c r="U1008" s="464" t="s">
        <v>2306</v>
      </c>
      <c r="V1008" s="514" t="s">
        <v>2807</v>
      </c>
      <c r="W1008" s="498">
        <v>300</v>
      </c>
      <c r="X1008" s="514" t="s">
        <v>1532</v>
      </c>
      <c r="Y1008" s="514" t="s">
        <v>2805</v>
      </c>
      <c r="Z1008" s="514" t="s">
        <v>1602</v>
      </c>
      <c r="AA1008" s="514" t="s">
        <v>1592</v>
      </c>
      <c r="AB1008" s="531" t="s">
        <v>1592</v>
      </c>
    </row>
    <row r="1009" spans="1:28" ht="24" customHeight="1">
      <c r="A1009" s="584"/>
      <c r="B1009" s="460" t="s">
        <v>675</v>
      </c>
      <c r="C1009" s="458" t="s">
        <v>2808</v>
      </c>
      <c r="D1009" s="510" t="s">
        <v>2809</v>
      </c>
      <c r="E1009" s="497">
        <v>50</v>
      </c>
      <c r="F1009" s="497">
        <v>0</v>
      </c>
      <c r="G1009" s="497">
        <v>50</v>
      </c>
      <c r="H1009" s="497">
        <v>0</v>
      </c>
      <c r="I1009" s="497">
        <f t="shared" si="70"/>
        <v>30</v>
      </c>
      <c r="J1009" s="497">
        <v>0</v>
      </c>
      <c r="K1009" s="497">
        <v>30</v>
      </c>
      <c r="L1009" s="721">
        <v>0</v>
      </c>
      <c r="M1009" s="956">
        <v>0.98</v>
      </c>
      <c r="N1009" s="653">
        <v>6.86</v>
      </c>
      <c r="O1009" s="731" t="s">
        <v>2804</v>
      </c>
      <c r="P1009" s="514" t="s">
        <v>2804</v>
      </c>
      <c r="Q1009" s="859">
        <v>0</v>
      </c>
      <c r="R1009" s="859">
        <v>0</v>
      </c>
      <c r="S1009" s="859">
        <v>0</v>
      </c>
      <c r="T1009" s="859">
        <v>0</v>
      </c>
      <c r="U1009" s="464" t="s">
        <v>2306</v>
      </c>
      <c r="V1009" s="514" t="s">
        <v>2098</v>
      </c>
      <c r="W1009" s="498">
        <v>240</v>
      </c>
      <c r="X1009" s="514" t="s">
        <v>1532</v>
      </c>
      <c r="Y1009" s="514" t="s">
        <v>2805</v>
      </c>
      <c r="Z1009" s="514" t="s">
        <v>1602</v>
      </c>
      <c r="AA1009" s="514" t="s">
        <v>1592</v>
      </c>
      <c r="AB1009" s="531" t="s">
        <v>1592</v>
      </c>
    </row>
    <row r="1010" spans="1:28" ht="24" customHeight="1">
      <c r="A1010" s="584"/>
      <c r="B1010" s="460" t="s">
        <v>675</v>
      </c>
      <c r="C1010" s="458" t="s">
        <v>2810</v>
      </c>
      <c r="D1010" s="510" t="s">
        <v>2811</v>
      </c>
      <c r="E1010" s="497">
        <f>SUM(F1010:H1010)</f>
        <v>30</v>
      </c>
      <c r="F1010" s="497">
        <v>0</v>
      </c>
      <c r="G1010" s="497">
        <v>30</v>
      </c>
      <c r="H1010" s="497">
        <v>0</v>
      </c>
      <c r="I1010" s="497">
        <f t="shared" si="70"/>
        <v>30</v>
      </c>
      <c r="J1010" s="497">
        <v>0</v>
      </c>
      <c r="K1010" s="497">
        <v>30</v>
      </c>
      <c r="L1010" s="721">
        <v>0</v>
      </c>
      <c r="M1010" s="956">
        <v>0.97</v>
      </c>
      <c r="N1010" s="653">
        <v>4.25</v>
      </c>
      <c r="O1010" s="731" t="s">
        <v>2812</v>
      </c>
      <c r="P1010" s="514" t="s">
        <v>2812</v>
      </c>
      <c r="Q1010" s="859">
        <v>0</v>
      </c>
      <c r="R1010" s="859">
        <v>0</v>
      </c>
      <c r="S1010" s="859">
        <v>0</v>
      </c>
      <c r="T1010" s="859">
        <v>0</v>
      </c>
      <c r="U1010" s="464" t="s">
        <v>2306</v>
      </c>
      <c r="V1010" s="514" t="s">
        <v>2813</v>
      </c>
      <c r="W1010" s="498">
        <v>240</v>
      </c>
      <c r="X1010" s="514" t="s">
        <v>1532</v>
      </c>
      <c r="Y1010" s="514" t="s">
        <v>2805</v>
      </c>
      <c r="Z1010" s="514" t="s">
        <v>1602</v>
      </c>
      <c r="AA1010" s="514" t="s">
        <v>1592</v>
      </c>
      <c r="AB1010" s="531" t="s">
        <v>1592</v>
      </c>
    </row>
    <row r="1011" spans="1:28" ht="24" customHeight="1">
      <c r="A1011" s="584"/>
      <c r="B1011" s="460" t="s">
        <v>675</v>
      </c>
      <c r="C1011" s="458" t="s">
        <v>2068</v>
      </c>
      <c r="D1011" s="510" t="s">
        <v>2814</v>
      </c>
      <c r="E1011" s="497">
        <v>40</v>
      </c>
      <c r="F1011" s="497">
        <v>0</v>
      </c>
      <c r="G1011" s="497">
        <v>40</v>
      </c>
      <c r="H1011" s="497">
        <v>0</v>
      </c>
      <c r="I1011" s="497">
        <f t="shared" si="70"/>
        <v>30</v>
      </c>
      <c r="J1011" s="497">
        <v>0</v>
      </c>
      <c r="K1011" s="497">
        <v>30</v>
      </c>
      <c r="L1011" s="721">
        <v>0</v>
      </c>
      <c r="M1011" s="956">
        <v>0.96</v>
      </c>
      <c r="N1011" s="653">
        <v>3.82</v>
      </c>
      <c r="O1011" s="731" t="s">
        <v>5663</v>
      </c>
      <c r="P1011" s="514" t="s">
        <v>5663</v>
      </c>
      <c r="Q1011" s="859">
        <v>0</v>
      </c>
      <c r="R1011" s="859">
        <v>0</v>
      </c>
      <c r="S1011" s="859">
        <v>0</v>
      </c>
      <c r="T1011" s="859">
        <v>0</v>
      </c>
      <c r="U1011" s="464" t="s">
        <v>2306</v>
      </c>
      <c r="V1011" s="514" t="s">
        <v>2815</v>
      </c>
      <c r="W1011" s="498">
        <v>188</v>
      </c>
      <c r="X1011" s="514" t="s">
        <v>1532</v>
      </c>
      <c r="Y1011" s="514" t="s">
        <v>2805</v>
      </c>
      <c r="Z1011" s="514" t="s">
        <v>1602</v>
      </c>
      <c r="AA1011" s="514" t="s">
        <v>1592</v>
      </c>
      <c r="AB1011" s="531" t="s">
        <v>1592</v>
      </c>
    </row>
    <row r="1012" spans="1:28" ht="24" customHeight="1">
      <c r="A1012" s="584"/>
      <c r="B1012" s="460" t="s">
        <v>675</v>
      </c>
      <c r="C1012" s="458" t="s">
        <v>2816</v>
      </c>
      <c r="D1012" s="510" t="s">
        <v>2817</v>
      </c>
      <c r="E1012" s="497">
        <v>40</v>
      </c>
      <c r="F1012" s="497">
        <v>0</v>
      </c>
      <c r="G1012" s="497">
        <v>40</v>
      </c>
      <c r="H1012" s="497">
        <v>0</v>
      </c>
      <c r="I1012" s="497">
        <f t="shared" si="70"/>
        <v>30</v>
      </c>
      <c r="J1012" s="497">
        <v>0</v>
      </c>
      <c r="K1012" s="497">
        <v>30</v>
      </c>
      <c r="L1012" s="721">
        <v>0</v>
      </c>
      <c r="M1012" s="956">
        <v>0.95</v>
      </c>
      <c r="N1012" s="653">
        <v>2.6</v>
      </c>
      <c r="O1012" s="731" t="s">
        <v>2804</v>
      </c>
      <c r="P1012" s="514" t="s">
        <v>2804</v>
      </c>
      <c r="Q1012" s="859">
        <v>0</v>
      </c>
      <c r="R1012" s="859">
        <v>0</v>
      </c>
      <c r="S1012" s="859">
        <v>0</v>
      </c>
      <c r="T1012" s="859">
        <v>0</v>
      </c>
      <c r="U1012" s="464" t="s">
        <v>2306</v>
      </c>
      <c r="V1012" s="514" t="s">
        <v>2815</v>
      </c>
      <c r="W1012" s="498">
        <v>188</v>
      </c>
      <c r="X1012" s="514" t="s">
        <v>1532</v>
      </c>
      <c r="Y1012" s="514" t="s">
        <v>2805</v>
      </c>
      <c r="Z1012" s="514" t="s">
        <v>1602</v>
      </c>
      <c r="AA1012" s="514" t="s">
        <v>1592</v>
      </c>
      <c r="AB1012" s="531" t="s">
        <v>1592</v>
      </c>
    </row>
    <row r="1013" spans="1:28" ht="24" customHeight="1">
      <c r="A1013" s="584"/>
      <c r="B1013" s="460" t="s">
        <v>675</v>
      </c>
      <c r="C1013" s="458" t="s">
        <v>3310</v>
      </c>
      <c r="D1013" s="510" t="s">
        <v>2818</v>
      </c>
      <c r="E1013" s="497">
        <v>35</v>
      </c>
      <c r="F1013" s="497">
        <v>0</v>
      </c>
      <c r="G1013" s="497">
        <v>35</v>
      </c>
      <c r="H1013" s="497">
        <v>0</v>
      </c>
      <c r="I1013" s="497">
        <f t="shared" si="70"/>
        <v>35</v>
      </c>
      <c r="J1013" s="497">
        <v>0</v>
      </c>
      <c r="K1013" s="497">
        <v>35</v>
      </c>
      <c r="L1013" s="721">
        <v>0</v>
      </c>
      <c r="M1013" s="956">
        <v>0.94</v>
      </c>
      <c r="N1013" s="653">
        <v>7.4</v>
      </c>
      <c r="O1013" s="731" t="s">
        <v>2819</v>
      </c>
      <c r="P1013" s="514" t="s">
        <v>2819</v>
      </c>
      <c r="Q1013" s="859">
        <v>0</v>
      </c>
      <c r="R1013" s="859">
        <v>0</v>
      </c>
      <c r="S1013" s="859">
        <v>0</v>
      </c>
      <c r="T1013" s="859">
        <v>0</v>
      </c>
      <c r="U1013" s="464" t="s">
        <v>2306</v>
      </c>
      <c r="V1013" s="534" t="s">
        <v>2820</v>
      </c>
      <c r="W1013" s="498">
        <v>107</v>
      </c>
      <c r="X1013" s="514" t="s">
        <v>1532</v>
      </c>
      <c r="Y1013" s="514" t="s">
        <v>2805</v>
      </c>
      <c r="Z1013" s="514" t="s">
        <v>2821</v>
      </c>
      <c r="AA1013" s="514" t="s">
        <v>1592</v>
      </c>
      <c r="AB1013" s="531" t="s">
        <v>1592</v>
      </c>
    </row>
    <row r="1014" spans="1:28" ht="24" customHeight="1">
      <c r="A1014" s="584"/>
      <c r="B1014" s="460" t="s">
        <v>675</v>
      </c>
      <c r="C1014" s="458" t="s">
        <v>2822</v>
      </c>
      <c r="D1014" s="510" t="s">
        <v>2823</v>
      </c>
      <c r="E1014" s="497">
        <v>43</v>
      </c>
      <c r="F1014" s="497">
        <v>0</v>
      </c>
      <c r="G1014" s="497">
        <v>43</v>
      </c>
      <c r="H1014" s="497">
        <v>0</v>
      </c>
      <c r="I1014" s="497">
        <f t="shared" si="70"/>
        <v>43</v>
      </c>
      <c r="J1014" s="497">
        <v>0</v>
      </c>
      <c r="K1014" s="497">
        <v>43</v>
      </c>
      <c r="L1014" s="721">
        <v>0</v>
      </c>
      <c r="M1014" s="956">
        <v>0.95</v>
      </c>
      <c r="N1014" s="653">
        <v>7.35</v>
      </c>
      <c r="O1014" s="731" t="s">
        <v>5582</v>
      </c>
      <c r="P1014" s="514" t="s">
        <v>5582</v>
      </c>
      <c r="Q1014" s="859">
        <v>0</v>
      </c>
      <c r="R1014" s="859">
        <v>0</v>
      </c>
      <c r="S1014" s="859">
        <v>0</v>
      </c>
      <c r="T1014" s="859">
        <v>0</v>
      </c>
      <c r="U1014" s="464" t="s">
        <v>2306</v>
      </c>
      <c r="V1014" s="534" t="s">
        <v>3250</v>
      </c>
      <c r="W1014" s="498">
        <v>200</v>
      </c>
      <c r="X1014" s="514" t="s">
        <v>1532</v>
      </c>
      <c r="Y1014" s="514" t="s">
        <v>2805</v>
      </c>
      <c r="Z1014" s="514" t="s">
        <v>1602</v>
      </c>
      <c r="AA1014" s="514" t="s">
        <v>1592</v>
      </c>
      <c r="AB1014" s="531" t="s">
        <v>1592</v>
      </c>
    </row>
    <row r="1015" spans="1:28" ht="24" customHeight="1">
      <c r="A1015" s="584"/>
      <c r="B1015" s="460" t="s">
        <v>675</v>
      </c>
      <c r="C1015" s="458" t="s">
        <v>2824</v>
      </c>
      <c r="D1015" s="510" t="s">
        <v>2825</v>
      </c>
      <c r="E1015" s="497">
        <v>20</v>
      </c>
      <c r="F1015" s="497">
        <v>0</v>
      </c>
      <c r="G1015" s="497">
        <v>20</v>
      </c>
      <c r="H1015" s="497">
        <v>0</v>
      </c>
      <c r="I1015" s="497">
        <f t="shared" si="70"/>
        <v>20</v>
      </c>
      <c r="J1015" s="497">
        <v>0</v>
      </c>
      <c r="K1015" s="497">
        <v>20</v>
      </c>
      <c r="L1015" s="721">
        <v>0</v>
      </c>
      <c r="M1015" s="956">
        <v>0.95</v>
      </c>
      <c r="N1015" s="653">
        <v>7.35</v>
      </c>
      <c r="O1015" s="731" t="s">
        <v>3451</v>
      </c>
      <c r="P1015" s="514" t="s">
        <v>3451</v>
      </c>
      <c r="Q1015" s="859">
        <v>0</v>
      </c>
      <c r="R1015" s="859">
        <v>0</v>
      </c>
      <c r="S1015" s="859">
        <v>0</v>
      </c>
      <c r="T1015" s="859">
        <v>0</v>
      </c>
      <c r="U1015" s="464" t="s">
        <v>2306</v>
      </c>
      <c r="V1015" s="534" t="s">
        <v>2826</v>
      </c>
      <c r="W1015" s="498">
        <v>220</v>
      </c>
      <c r="X1015" s="514" t="s">
        <v>1532</v>
      </c>
      <c r="Y1015" s="514" t="s">
        <v>2805</v>
      </c>
      <c r="Z1015" s="514" t="s">
        <v>1602</v>
      </c>
      <c r="AA1015" s="514" t="s">
        <v>1592</v>
      </c>
      <c r="AB1015" s="531" t="s">
        <v>1592</v>
      </c>
    </row>
    <row r="1016" spans="1:28" ht="24" customHeight="1">
      <c r="A1016" s="584"/>
      <c r="B1016" s="460" t="s">
        <v>675</v>
      </c>
      <c r="C1016" s="458" t="s">
        <v>2827</v>
      </c>
      <c r="D1016" s="510" t="s">
        <v>2828</v>
      </c>
      <c r="E1016" s="497">
        <v>30</v>
      </c>
      <c r="F1016" s="497">
        <v>0</v>
      </c>
      <c r="G1016" s="497">
        <v>30</v>
      </c>
      <c r="H1016" s="497">
        <v>0</v>
      </c>
      <c r="I1016" s="497">
        <f t="shared" si="70"/>
        <v>30</v>
      </c>
      <c r="J1016" s="497">
        <v>0</v>
      </c>
      <c r="K1016" s="497">
        <v>30</v>
      </c>
      <c r="L1016" s="721">
        <v>0</v>
      </c>
      <c r="M1016" s="956">
        <v>0.95</v>
      </c>
      <c r="N1016" s="653">
        <v>7.35</v>
      </c>
      <c r="O1016" s="731" t="s">
        <v>2285</v>
      </c>
      <c r="P1016" s="514" t="s">
        <v>2285</v>
      </c>
      <c r="Q1016" s="859">
        <v>0</v>
      </c>
      <c r="R1016" s="859">
        <v>0</v>
      </c>
      <c r="S1016" s="859">
        <v>0</v>
      </c>
      <c r="T1016" s="859">
        <v>0</v>
      </c>
      <c r="U1016" s="464" t="s">
        <v>2306</v>
      </c>
      <c r="V1016" s="534" t="s">
        <v>2701</v>
      </c>
      <c r="W1016" s="498">
        <v>464</v>
      </c>
      <c r="X1016" s="514" t="s">
        <v>1532</v>
      </c>
      <c r="Y1016" s="514" t="s">
        <v>2805</v>
      </c>
      <c r="Z1016" s="514" t="s">
        <v>1602</v>
      </c>
      <c r="AA1016" s="514" t="s">
        <v>1592</v>
      </c>
      <c r="AB1016" s="531" t="s">
        <v>1592</v>
      </c>
    </row>
    <row r="1017" spans="1:28" ht="24" customHeight="1">
      <c r="A1017" s="584"/>
      <c r="B1017" s="460" t="s">
        <v>675</v>
      </c>
      <c r="C1017" s="458" t="s">
        <v>2829</v>
      </c>
      <c r="D1017" s="510" t="s">
        <v>2830</v>
      </c>
      <c r="E1017" s="497">
        <v>30</v>
      </c>
      <c r="F1017" s="497">
        <v>0</v>
      </c>
      <c r="G1017" s="497">
        <v>30</v>
      </c>
      <c r="H1017" s="497">
        <v>0</v>
      </c>
      <c r="I1017" s="497">
        <f t="shared" si="70"/>
        <v>30</v>
      </c>
      <c r="J1017" s="497">
        <v>0</v>
      </c>
      <c r="K1017" s="497">
        <v>30</v>
      </c>
      <c r="L1017" s="721">
        <v>0</v>
      </c>
      <c r="M1017" s="956">
        <v>0.95</v>
      </c>
      <c r="N1017" s="653">
        <v>7.35</v>
      </c>
      <c r="O1017" s="731" t="s">
        <v>2831</v>
      </c>
      <c r="P1017" s="514" t="s">
        <v>2831</v>
      </c>
      <c r="Q1017" s="859">
        <v>0</v>
      </c>
      <c r="R1017" s="859">
        <v>0</v>
      </c>
      <c r="S1017" s="859">
        <v>0</v>
      </c>
      <c r="T1017" s="859">
        <v>0</v>
      </c>
      <c r="U1017" s="464" t="s">
        <v>2306</v>
      </c>
      <c r="V1017" s="534" t="s">
        <v>2832</v>
      </c>
      <c r="W1017" s="498">
        <v>464</v>
      </c>
      <c r="X1017" s="514" t="s">
        <v>1532</v>
      </c>
      <c r="Y1017" s="514" t="s">
        <v>2805</v>
      </c>
      <c r="Z1017" s="514" t="s">
        <v>1602</v>
      </c>
      <c r="AA1017" s="514" t="s">
        <v>1592</v>
      </c>
      <c r="AB1017" s="531" t="s">
        <v>1592</v>
      </c>
    </row>
    <row r="1018" spans="1:28" ht="24" customHeight="1">
      <c r="A1018" s="584"/>
      <c r="B1018" s="460" t="s">
        <v>675</v>
      </c>
      <c r="C1018" s="458" t="s">
        <v>2833</v>
      </c>
      <c r="D1018" s="510" t="s">
        <v>2834</v>
      </c>
      <c r="E1018" s="497">
        <v>60</v>
      </c>
      <c r="F1018" s="497">
        <v>0</v>
      </c>
      <c r="G1018" s="497">
        <v>60</v>
      </c>
      <c r="H1018" s="497">
        <v>0</v>
      </c>
      <c r="I1018" s="497">
        <f t="shared" si="70"/>
        <v>60</v>
      </c>
      <c r="J1018" s="497">
        <v>0</v>
      </c>
      <c r="K1018" s="497">
        <v>60</v>
      </c>
      <c r="L1018" s="721">
        <v>0</v>
      </c>
      <c r="M1018" s="956">
        <v>0.95</v>
      </c>
      <c r="N1018" s="653">
        <v>7.35</v>
      </c>
      <c r="O1018" s="731" t="s">
        <v>5582</v>
      </c>
      <c r="P1018" s="514" t="s">
        <v>5582</v>
      </c>
      <c r="Q1018" s="859">
        <v>0</v>
      </c>
      <c r="R1018" s="859">
        <v>0</v>
      </c>
      <c r="S1018" s="859">
        <v>0</v>
      </c>
      <c r="T1018" s="859">
        <v>0</v>
      </c>
      <c r="U1018" s="464" t="s">
        <v>2306</v>
      </c>
      <c r="V1018" s="534" t="s">
        <v>2835</v>
      </c>
      <c r="W1018" s="498">
        <v>904</v>
      </c>
      <c r="X1018" s="514" t="s">
        <v>1532</v>
      </c>
      <c r="Y1018" s="514" t="s">
        <v>2805</v>
      </c>
      <c r="Z1018" s="514" t="s">
        <v>2836</v>
      </c>
      <c r="AA1018" s="514" t="s">
        <v>1592</v>
      </c>
      <c r="AB1018" s="531" t="s">
        <v>1592</v>
      </c>
    </row>
    <row r="1019" spans="1:28" ht="24" customHeight="1">
      <c r="A1019" s="584"/>
      <c r="B1019" s="460" t="s">
        <v>675</v>
      </c>
      <c r="C1019" s="458" t="s">
        <v>884</v>
      </c>
      <c r="D1019" s="510" t="s">
        <v>2837</v>
      </c>
      <c r="E1019" s="497">
        <v>120</v>
      </c>
      <c r="F1019" s="497">
        <v>0</v>
      </c>
      <c r="G1019" s="497">
        <v>120</v>
      </c>
      <c r="H1019" s="497">
        <v>0</v>
      </c>
      <c r="I1019" s="497">
        <f t="shared" si="70"/>
        <v>120</v>
      </c>
      <c r="J1019" s="497">
        <v>0</v>
      </c>
      <c r="K1019" s="497">
        <v>120</v>
      </c>
      <c r="L1019" s="721">
        <v>0</v>
      </c>
      <c r="M1019" s="956">
        <v>0.95</v>
      </c>
      <c r="N1019" s="653">
        <v>7.35</v>
      </c>
      <c r="O1019" s="731" t="s">
        <v>3451</v>
      </c>
      <c r="P1019" s="514" t="s">
        <v>3451</v>
      </c>
      <c r="Q1019" s="859">
        <v>0</v>
      </c>
      <c r="R1019" s="859">
        <v>0</v>
      </c>
      <c r="S1019" s="859">
        <v>0</v>
      </c>
      <c r="T1019" s="859">
        <v>0</v>
      </c>
      <c r="U1019" s="464" t="s">
        <v>2306</v>
      </c>
      <c r="V1019" s="534" t="s">
        <v>2215</v>
      </c>
      <c r="W1019" s="498">
        <v>1166</v>
      </c>
      <c r="X1019" s="514" t="s">
        <v>1532</v>
      </c>
      <c r="Y1019" s="514" t="s">
        <v>2805</v>
      </c>
      <c r="Z1019" s="514" t="s">
        <v>2838</v>
      </c>
      <c r="AA1019" s="514" t="s">
        <v>1592</v>
      </c>
      <c r="AB1019" s="531" t="s">
        <v>1592</v>
      </c>
    </row>
    <row r="1020" spans="1:28" ht="24" customHeight="1">
      <c r="A1020" s="584"/>
      <c r="B1020" s="460" t="s">
        <v>675</v>
      </c>
      <c r="C1020" s="458" t="s">
        <v>2839</v>
      </c>
      <c r="D1020" s="510" t="s">
        <v>2840</v>
      </c>
      <c r="E1020" s="497">
        <v>20</v>
      </c>
      <c r="F1020" s="497">
        <v>0</v>
      </c>
      <c r="G1020" s="497">
        <v>20</v>
      </c>
      <c r="H1020" s="497">
        <v>0</v>
      </c>
      <c r="I1020" s="497">
        <f t="shared" si="70"/>
        <v>20</v>
      </c>
      <c r="J1020" s="497">
        <v>0</v>
      </c>
      <c r="K1020" s="497">
        <v>20</v>
      </c>
      <c r="L1020" s="721">
        <v>0</v>
      </c>
      <c r="M1020" s="956">
        <v>0.95</v>
      </c>
      <c r="N1020" s="653">
        <v>7.35</v>
      </c>
      <c r="O1020" s="731" t="s">
        <v>5582</v>
      </c>
      <c r="P1020" s="514" t="s">
        <v>5582</v>
      </c>
      <c r="Q1020" s="859">
        <v>0</v>
      </c>
      <c r="R1020" s="859">
        <v>0</v>
      </c>
      <c r="S1020" s="859">
        <v>0</v>
      </c>
      <c r="T1020" s="859">
        <v>0</v>
      </c>
      <c r="U1020" s="464" t="s">
        <v>2306</v>
      </c>
      <c r="V1020" s="534" t="s">
        <v>2835</v>
      </c>
      <c r="W1020" s="498">
        <v>560</v>
      </c>
      <c r="X1020" s="514" t="s">
        <v>1532</v>
      </c>
      <c r="Y1020" s="514" t="s">
        <v>2805</v>
      </c>
      <c r="Z1020" s="514" t="s">
        <v>1602</v>
      </c>
      <c r="AA1020" s="514" t="s">
        <v>1592</v>
      </c>
      <c r="AB1020" s="531" t="s">
        <v>1592</v>
      </c>
    </row>
    <row r="1021" spans="1:28" ht="24" customHeight="1">
      <c r="A1021" s="582" t="s">
        <v>1696</v>
      </c>
      <c r="B1021" s="521" t="s">
        <v>2201</v>
      </c>
      <c r="C1021" s="522" t="s">
        <v>2425</v>
      </c>
      <c r="D1021" s="524" t="s">
        <v>2841</v>
      </c>
      <c r="E1021" s="497">
        <f>F1021+G1021+H1021</f>
        <v>2000</v>
      </c>
      <c r="F1021" s="497">
        <v>0</v>
      </c>
      <c r="G1021" s="497">
        <v>2000</v>
      </c>
      <c r="H1021" s="497">
        <v>0</v>
      </c>
      <c r="I1021" s="497">
        <f t="shared" si="70"/>
        <v>1090</v>
      </c>
      <c r="J1021" s="497">
        <v>0</v>
      </c>
      <c r="K1021" s="497">
        <v>1090</v>
      </c>
      <c r="L1021" s="721">
        <v>0</v>
      </c>
      <c r="M1021" s="956">
        <v>0.90281173594132025</v>
      </c>
      <c r="N1021" s="653">
        <v>16.099299999999996</v>
      </c>
      <c r="O1021" s="733" t="s">
        <v>3173</v>
      </c>
      <c r="P1021" s="514" t="s">
        <v>1588</v>
      </c>
      <c r="Q1021" s="859">
        <v>0</v>
      </c>
      <c r="R1021" s="859">
        <v>0</v>
      </c>
      <c r="S1021" s="859">
        <v>0</v>
      </c>
      <c r="T1021" s="859">
        <v>0</v>
      </c>
      <c r="U1021" s="514" t="s">
        <v>2842</v>
      </c>
      <c r="V1021" s="514" t="s">
        <v>2843</v>
      </c>
      <c r="W1021" s="498">
        <v>8700</v>
      </c>
      <c r="X1021" s="514" t="s">
        <v>2276</v>
      </c>
      <c r="Y1021" s="514" t="s">
        <v>3336</v>
      </c>
      <c r="Z1021" s="514" t="s">
        <v>1697</v>
      </c>
      <c r="AA1021" s="514" t="s">
        <v>1592</v>
      </c>
      <c r="AB1021" s="531" t="s">
        <v>1592</v>
      </c>
    </row>
    <row r="1022" spans="1:28" ht="24" customHeight="1">
      <c r="A1022" s="584"/>
      <c r="B1022" s="521" t="s">
        <v>2201</v>
      </c>
      <c r="C1022" s="522" t="s">
        <v>2844</v>
      </c>
      <c r="D1022" s="524" t="s">
        <v>2845</v>
      </c>
      <c r="E1022" s="497">
        <f t="shared" ref="E1022:E1039" si="71">F1022+G1022+H1022</f>
        <v>2000</v>
      </c>
      <c r="F1022" s="497">
        <v>0</v>
      </c>
      <c r="G1022" s="497">
        <v>0</v>
      </c>
      <c r="H1022" s="497">
        <v>2000</v>
      </c>
      <c r="I1022" s="497">
        <f t="shared" si="70"/>
        <v>1063</v>
      </c>
      <c r="J1022" s="497">
        <v>0</v>
      </c>
      <c r="K1022" s="497">
        <v>0</v>
      </c>
      <c r="L1022" s="721">
        <v>1063</v>
      </c>
      <c r="M1022" s="956">
        <v>0.98773371469315252</v>
      </c>
      <c r="N1022" s="653">
        <v>107.76778744151848</v>
      </c>
      <c r="O1022" s="733" t="s">
        <v>5427</v>
      </c>
      <c r="P1022" s="514" t="s">
        <v>1588</v>
      </c>
      <c r="Q1022" s="859">
        <v>0</v>
      </c>
      <c r="R1022" s="859">
        <v>0</v>
      </c>
      <c r="S1022" s="859">
        <v>0</v>
      </c>
      <c r="T1022" s="859">
        <v>0</v>
      </c>
      <c r="U1022" s="514" t="s">
        <v>2846</v>
      </c>
      <c r="V1022" s="514" t="s">
        <v>2847</v>
      </c>
      <c r="W1022" s="498">
        <v>15500</v>
      </c>
      <c r="X1022" s="514" t="s">
        <v>2276</v>
      </c>
      <c r="Y1022" s="514" t="s">
        <v>3336</v>
      </c>
      <c r="Z1022" s="514" t="s">
        <v>1699</v>
      </c>
      <c r="AA1022" s="514" t="s">
        <v>1592</v>
      </c>
      <c r="AB1022" s="531" t="s">
        <v>1592</v>
      </c>
    </row>
    <row r="1023" spans="1:28" ht="24" customHeight="1">
      <c r="A1023" s="584"/>
      <c r="B1023" s="460" t="s">
        <v>675</v>
      </c>
      <c r="C1023" s="522" t="s">
        <v>2848</v>
      </c>
      <c r="D1023" s="524" t="s">
        <v>2849</v>
      </c>
      <c r="E1023" s="497">
        <f t="shared" si="71"/>
        <v>60</v>
      </c>
      <c r="F1023" s="497">
        <v>0</v>
      </c>
      <c r="G1023" s="497">
        <v>60</v>
      </c>
      <c r="H1023" s="497">
        <v>0</v>
      </c>
      <c r="I1023" s="497">
        <f t="shared" si="70"/>
        <v>6</v>
      </c>
      <c r="J1023" s="497">
        <v>0</v>
      </c>
      <c r="K1023" s="497">
        <v>6</v>
      </c>
      <c r="L1023" s="721">
        <v>0</v>
      </c>
      <c r="M1023" s="956">
        <v>0.1</v>
      </c>
      <c r="N1023" s="653">
        <v>28.963600000000003</v>
      </c>
      <c r="O1023" s="731" t="s">
        <v>2850</v>
      </c>
      <c r="P1023" s="514" t="s">
        <v>1588</v>
      </c>
      <c r="Q1023" s="859">
        <v>0</v>
      </c>
      <c r="R1023" s="859">
        <v>0</v>
      </c>
      <c r="S1023" s="859">
        <v>0</v>
      </c>
      <c r="T1023" s="859">
        <v>0</v>
      </c>
      <c r="U1023" s="532" t="s">
        <v>2842</v>
      </c>
      <c r="V1023" s="534" t="s">
        <v>5454</v>
      </c>
      <c r="W1023" s="498">
        <v>310</v>
      </c>
      <c r="X1023" s="514" t="s">
        <v>2276</v>
      </c>
      <c r="Y1023" s="514" t="s">
        <v>3336</v>
      </c>
      <c r="Z1023" s="514" t="s">
        <v>1697</v>
      </c>
      <c r="AA1023" s="514" t="s">
        <v>1592</v>
      </c>
      <c r="AB1023" s="531" t="s">
        <v>1592</v>
      </c>
    </row>
    <row r="1024" spans="1:28" ht="24" customHeight="1">
      <c r="A1024" s="584"/>
      <c r="B1024" s="521" t="s">
        <v>675</v>
      </c>
      <c r="C1024" s="522" t="s">
        <v>2851</v>
      </c>
      <c r="D1024" s="524" t="s">
        <v>2852</v>
      </c>
      <c r="E1024" s="497">
        <f t="shared" si="71"/>
        <v>50</v>
      </c>
      <c r="F1024" s="497">
        <v>0</v>
      </c>
      <c r="G1024" s="497">
        <v>50</v>
      </c>
      <c r="H1024" s="497">
        <v>0</v>
      </c>
      <c r="I1024" s="497">
        <f t="shared" si="70"/>
        <v>57</v>
      </c>
      <c r="J1024" s="497">
        <v>0</v>
      </c>
      <c r="K1024" s="497">
        <v>57</v>
      </c>
      <c r="L1024" s="721">
        <v>0</v>
      </c>
      <c r="M1024" s="956">
        <v>1.1399999999999999</v>
      </c>
      <c r="N1024" s="653">
        <v>330.18503999999996</v>
      </c>
      <c r="O1024" s="731" t="s">
        <v>2853</v>
      </c>
      <c r="P1024" s="514" t="s">
        <v>1588</v>
      </c>
      <c r="Q1024" s="859">
        <v>0</v>
      </c>
      <c r="R1024" s="859">
        <v>0</v>
      </c>
      <c r="S1024" s="859">
        <v>0</v>
      </c>
      <c r="T1024" s="859">
        <v>0</v>
      </c>
      <c r="U1024" s="532" t="s">
        <v>2842</v>
      </c>
      <c r="V1024" s="534" t="s">
        <v>2367</v>
      </c>
      <c r="W1024" s="498">
        <v>186</v>
      </c>
      <c r="X1024" s="514" t="s">
        <v>2276</v>
      </c>
      <c r="Y1024" s="514" t="s">
        <v>3336</v>
      </c>
      <c r="Z1024" s="514" t="s">
        <v>1697</v>
      </c>
      <c r="AA1024" s="514" t="s">
        <v>1592</v>
      </c>
      <c r="AB1024" s="531" t="s">
        <v>1592</v>
      </c>
    </row>
    <row r="1025" spans="1:28" ht="24" customHeight="1">
      <c r="A1025" s="584"/>
      <c r="B1025" s="460" t="s">
        <v>675</v>
      </c>
      <c r="C1025" s="522" t="s">
        <v>2854</v>
      </c>
      <c r="D1025" s="524" t="s">
        <v>2855</v>
      </c>
      <c r="E1025" s="497">
        <f t="shared" si="71"/>
        <v>50</v>
      </c>
      <c r="F1025" s="497">
        <v>0</v>
      </c>
      <c r="G1025" s="497">
        <v>50</v>
      </c>
      <c r="H1025" s="497">
        <v>0</v>
      </c>
      <c r="I1025" s="497">
        <f t="shared" si="70"/>
        <v>26</v>
      </c>
      <c r="J1025" s="497">
        <v>0</v>
      </c>
      <c r="K1025" s="497">
        <v>26</v>
      </c>
      <c r="L1025" s="721">
        <v>0</v>
      </c>
      <c r="M1025" s="956">
        <v>0.52</v>
      </c>
      <c r="N1025" s="653">
        <v>150.61072000000001</v>
      </c>
      <c r="O1025" s="731" t="s">
        <v>5663</v>
      </c>
      <c r="P1025" s="514" t="s">
        <v>1588</v>
      </c>
      <c r="Q1025" s="859">
        <v>0</v>
      </c>
      <c r="R1025" s="859">
        <v>0</v>
      </c>
      <c r="S1025" s="859">
        <v>0</v>
      </c>
      <c r="T1025" s="859">
        <v>0</v>
      </c>
      <c r="U1025" s="532" t="s">
        <v>2856</v>
      </c>
      <c r="V1025" s="534" t="s">
        <v>2074</v>
      </c>
      <c r="W1025" s="498">
        <v>229</v>
      </c>
      <c r="X1025" s="514" t="s">
        <v>2276</v>
      </c>
      <c r="Y1025" s="514" t="s">
        <v>3336</v>
      </c>
      <c r="Z1025" s="514" t="s">
        <v>1697</v>
      </c>
      <c r="AA1025" s="514" t="s">
        <v>1592</v>
      </c>
      <c r="AB1025" s="531" t="s">
        <v>1592</v>
      </c>
    </row>
    <row r="1026" spans="1:28" ht="24" customHeight="1">
      <c r="A1026" s="584"/>
      <c r="B1026" s="460" t="s">
        <v>675</v>
      </c>
      <c r="C1026" s="522" t="s">
        <v>4957</v>
      </c>
      <c r="D1026" s="524" t="s">
        <v>2857</v>
      </c>
      <c r="E1026" s="497">
        <f t="shared" si="71"/>
        <v>25</v>
      </c>
      <c r="F1026" s="497">
        <v>0</v>
      </c>
      <c r="G1026" s="497">
        <v>25</v>
      </c>
      <c r="H1026" s="497">
        <v>0</v>
      </c>
      <c r="I1026" s="497">
        <f t="shared" si="70"/>
        <v>39</v>
      </c>
      <c r="J1026" s="497">
        <v>0</v>
      </c>
      <c r="K1026" s="497">
        <v>39</v>
      </c>
      <c r="L1026" s="721">
        <v>0</v>
      </c>
      <c r="M1026" s="956">
        <v>1.56</v>
      </c>
      <c r="N1026" s="653">
        <v>451.83216000000004</v>
      </c>
      <c r="O1026" s="731" t="s">
        <v>2853</v>
      </c>
      <c r="P1026" s="514" t="s">
        <v>1588</v>
      </c>
      <c r="Q1026" s="859">
        <v>0</v>
      </c>
      <c r="R1026" s="859">
        <v>0</v>
      </c>
      <c r="S1026" s="859">
        <v>0</v>
      </c>
      <c r="T1026" s="859">
        <v>0</v>
      </c>
      <c r="U1026" s="532" t="s">
        <v>2856</v>
      </c>
      <c r="V1026" s="534" t="s">
        <v>5435</v>
      </c>
      <c r="W1026" s="498">
        <v>126</v>
      </c>
      <c r="X1026" s="514" t="s">
        <v>2276</v>
      </c>
      <c r="Y1026" s="514" t="s">
        <v>3336</v>
      </c>
      <c r="Z1026" s="514" t="s">
        <v>2858</v>
      </c>
      <c r="AA1026" s="514" t="s">
        <v>1688</v>
      </c>
      <c r="AB1026" s="531" t="s">
        <v>1686</v>
      </c>
    </row>
    <row r="1027" spans="1:28" ht="24" customHeight="1">
      <c r="A1027" s="584"/>
      <c r="B1027" s="521" t="s">
        <v>675</v>
      </c>
      <c r="C1027" s="522" t="s">
        <v>2859</v>
      </c>
      <c r="D1027" s="524" t="s">
        <v>2860</v>
      </c>
      <c r="E1027" s="497">
        <f t="shared" si="71"/>
        <v>34</v>
      </c>
      <c r="F1027" s="497">
        <v>0</v>
      </c>
      <c r="G1027" s="497">
        <v>34</v>
      </c>
      <c r="H1027" s="497">
        <v>0</v>
      </c>
      <c r="I1027" s="497">
        <f t="shared" si="70"/>
        <v>15</v>
      </c>
      <c r="J1027" s="497">
        <v>0</v>
      </c>
      <c r="K1027" s="497">
        <v>15</v>
      </c>
      <c r="L1027" s="721">
        <v>0</v>
      </c>
      <c r="M1027" s="956">
        <v>0.44117647058823528</v>
      </c>
      <c r="N1027" s="653">
        <v>127.78058823529412</v>
      </c>
      <c r="O1027" s="731" t="s">
        <v>5177</v>
      </c>
      <c r="P1027" s="514" t="s">
        <v>1588</v>
      </c>
      <c r="Q1027" s="859">
        <v>0</v>
      </c>
      <c r="R1027" s="859">
        <v>0</v>
      </c>
      <c r="S1027" s="859">
        <v>0</v>
      </c>
      <c r="T1027" s="859">
        <v>0</v>
      </c>
      <c r="U1027" s="532" t="s">
        <v>2856</v>
      </c>
      <c r="V1027" s="534" t="s">
        <v>2367</v>
      </c>
      <c r="W1027" s="498">
        <v>167</v>
      </c>
      <c r="X1027" s="514" t="s">
        <v>2276</v>
      </c>
      <c r="Y1027" s="514" t="s">
        <v>3336</v>
      </c>
      <c r="Z1027" s="514" t="s">
        <v>2861</v>
      </c>
      <c r="AA1027" s="514" t="s">
        <v>1688</v>
      </c>
      <c r="AB1027" s="531" t="s">
        <v>1686</v>
      </c>
    </row>
    <row r="1028" spans="1:28" ht="24" customHeight="1">
      <c r="A1028" s="584"/>
      <c r="B1028" s="460" t="s">
        <v>675</v>
      </c>
      <c r="C1028" s="522" t="s">
        <v>2862</v>
      </c>
      <c r="D1028" s="524" t="s">
        <v>2863</v>
      </c>
      <c r="E1028" s="497">
        <f t="shared" si="71"/>
        <v>57</v>
      </c>
      <c r="F1028" s="497">
        <v>0</v>
      </c>
      <c r="G1028" s="497">
        <v>57</v>
      </c>
      <c r="H1028" s="497">
        <v>0</v>
      </c>
      <c r="I1028" s="497">
        <f t="shared" si="70"/>
        <v>174</v>
      </c>
      <c r="J1028" s="497">
        <v>0</v>
      </c>
      <c r="K1028" s="497">
        <v>174</v>
      </c>
      <c r="L1028" s="721">
        <v>0</v>
      </c>
      <c r="M1028" s="956">
        <v>3.0526315789473686</v>
      </c>
      <c r="N1028" s="653">
        <v>884.15200000000004</v>
      </c>
      <c r="O1028" s="731" t="s">
        <v>2853</v>
      </c>
      <c r="P1028" s="514" t="s">
        <v>1588</v>
      </c>
      <c r="Q1028" s="859">
        <v>0</v>
      </c>
      <c r="R1028" s="859">
        <v>0</v>
      </c>
      <c r="S1028" s="859">
        <v>0</v>
      </c>
      <c r="T1028" s="859">
        <v>0</v>
      </c>
      <c r="U1028" s="532" t="s">
        <v>2856</v>
      </c>
      <c r="V1028" s="534" t="s">
        <v>2027</v>
      </c>
      <c r="W1028" s="498">
        <v>240</v>
      </c>
      <c r="X1028" s="514" t="s">
        <v>2276</v>
      </c>
      <c r="Y1028" s="514" t="s">
        <v>3336</v>
      </c>
      <c r="Z1028" s="514" t="s">
        <v>2861</v>
      </c>
      <c r="AA1028" s="514" t="s">
        <v>1688</v>
      </c>
      <c r="AB1028" s="531" t="s">
        <v>1686</v>
      </c>
    </row>
    <row r="1029" spans="1:28" ht="24" customHeight="1">
      <c r="A1029" s="584"/>
      <c r="B1029" s="460" t="s">
        <v>675</v>
      </c>
      <c r="C1029" s="522" t="s">
        <v>2187</v>
      </c>
      <c r="D1029" s="524" t="s">
        <v>2864</v>
      </c>
      <c r="E1029" s="497">
        <f t="shared" si="71"/>
        <v>48</v>
      </c>
      <c r="F1029" s="497">
        <v>0</v>
      </c>
      <c r="G1029" s="497">
        <v>48</v>
      </c>
      <c r="H1029" s="497">
        <v>0</v>
      </c>
      <c r="I1029" s="497">
        <f t="shared" si="70"/>
        <v>80</v>
      </c>
      <c r="J1029" s="497">
        <v>0</v>
      </c>
      <c r="K1029" s="497">
        <v>80</v>
      </c>
      <c r="L1029" s="721">
        <v>0</v>
      </c>
      <c r="M1029" s="956">
        <v>1.666666666666667</v>
      </c>
      <c r="N1029" s="653">
        <v>482.72666666666674</v>
      </c>
      <c r="O1029" s="731" t="s">
        <v>2865</v>
      </c>
      <c r="P1029" s="514" t="s">
        <v>1588</v>
      </c>
      <c r="Q1029" s="859">
        <v>0</v>
      </c>
      <c r="R1029" s="859">
        <v>0</v>
      </c>
      <c r="S1029" s="859">
        <v>0</v>
      </c>
      <c r="T1029" s="859">
        <v>0</v>
      </c>
      <c r="U1029" s="532" t="s">
        <v>2856</v>
      </c>
      <c r="V1029" s="534" t="s">
        <v>2866</v>
      </c>
      <c r="W1029" s="498">
        <v>253</v>
      </c>
      <c r="X1029" s="514" t="s">
        <v>2276</v>
      </c>
      <c r="Y1029" s="514" t="s">
        <v>3336</v>
      </c>
      <c r="Z1029" s="514" t="s">
        <v>2861</v>
      </c>
      <c r="AA1029" s="514" t="s">
        <v>1688</v>
      </c>
      <c r="AB1029" s="531" t="s">
        <v>1686</v>
      </c>
    </row>
    <row r="1030" spans="1:28" ht="24" customHeight="1">
      <c r="A1030" s="584"/>
      <c r="B1030" s="460" t="s">
        <v>675</v>
      </c>
      <c r="C1030" s="522" t="s">
        <v>1662</v>
      </c>
      <c r="D1030" s="524" t="s">
        <v>2867</v>
      </c>
      <c r="E1030" s="497">
        <f t="shared" si="71"/>
        <v>40</v>
      </c>
      <c r="F1030" s="497">
        <v>0</v>
      </c>
      <c r="G1030" s="497">
        <v>40</v>
      </c>
      <c r="H1030" s="497">
        <v>0</v>
      </c>
      <c r="I1030" s="497">
        <f t="shared" si="70"/>
        <v>28</v>
      </c>
      <c r="J1030" s="497">
        <v>0</v>
      </c>
      <c r="K1030" s="497">
        <f>40*0.7</f>
        <v>28</v>
      </c>
      <c r="L1030" s="721">
        <v>0</v>
      </c>
      <c r="M1030" s="956">
        <v>0.7</v>
      </c>
      <c r="N1030" s="653">
        <v>202.74519999999998</v>
      </c>
      <c r="O1030" s="731" t="s">
        <v>5663</v>
      </c>
      <c r="P1030" s="514" t="s">
        <v>1588</v>
      </c>
      <c r="Q1030" s="859">
        <v>0</v>
      </c>
      <c r="R1030" s="859">
        <v>0</v>
      </c>
      <c r="S1030" s="859">
        <v>0</v>
      </c>
      <c r="T1030" s="859">
        <v>0</v>
      </c>
      <c r="U1030" s="532" t="s">
        <v>2856</v>
      </c>
      <c r="V1030" s="534" t="s">
        <v>2868</v>
      </c>
      <c r="W1030" s="498">
        <v>494</v>
      </c>
      <c r="X1030" s="514" t="s">
        <v>2276</v>
      </c>
      <c r="Y1030" s="514" t="s">
        <v>3336</v>
      </c>
      <c r="Z1030" s="514" t="s">
        <v>2869</v>
      </c>
      <c r="AA1030" s="514" t="s">
        <v>1688</v>
      </c>
      <c r="AB1030" s="531" t="s">
        <v>1686</v>
      </c>
    </row>
    <row r="1031" spans="1:28" ht="24" customHeight="1">
      <c r="A1031" s="584"/>
      <c r="B1031" s="460" t="s">
        <v>675</v>
      </c>
      <c r="C1031" s="522" t="s">
        <v>2870</v>
      </c>
      <c r="D1031" s="524" t="s">
        <v>2871</v>
      </c>
      <c r="E1031" s="497">
        <f t="shared" si="71"/>
        <v>40</v>
      </c>
      <c r="F1031" s="497">
        <v>0</v>
      </c>
      <c r="G1031" s="497">
        <v>40</v>
      </c>
      <c r="H1031" s="497">
        <v>0</v>
      </c>
      <c r="I1031" s="497">
        <f t="shared" ref="I1031:I1039" si="72">SUM(J1031:L1031)</f>
        <v>119</v>
      </c>
      <c r="J1031" s="497">
        <v>0</v>
      </c>
      <c r="K1031" s="497">
        <v>119</v>
      </c>
      <c r="L1031" s="721">
        <v>0</v>
      </c>
      <c r="M1031" s="956">
        <v>2.9750000000000001</v>
      </c>
      <c r="N1031" s="653">
        <v>861.6671</v>
      </c>
      <c r="O1031" s="731" t="s">
        <v>2865</v>
      </c>
      <c r="P1031" s="514" t="s">
        <v>1588</v>
      </c>
      <c r="Q1031" s="859">
        <v>0</v>
      </c>
      <c r="R1031" s="859">
        <v>0</v>
      </c>
      <c r="S1031" s="859">
        <v>0</v>
      </c>
      <c r="T1031" s="859">
        <v>0</v>
      </c>
      <c r="U1031" s="532" t="s">
        <v>2856</v>
      </c>
      <c r="V1031" s="534" t="s">
        <v>2130</v>
      </c>
      <c r="W1031" s="498">
        <v>205</v>
      </c>
      <c r="X1031" s="514" t="s">
        <v>2276</v>
      </c>
      <c r="Y1031" s="514" t="s">
        <v>3336</v>
      </c>
      <c r="Z1031" s="514" t="s">
        <v>1699</v>
      </c>
      <c r="AA1031" s="514" t="s">
        <v>1592</v>
      </c>
      <c r="AB1031" s="531" t="s">
        <v>1592</v>
      </c>
    </row>
    <row r="1032" spans="1:28" ht="24" customHeight="1">
      <c r="A1032" s="584"/>
      <c r="B1032" s="460" t="s">
        <v>675</v>
      </c>
      <c r="C1032" s="522" t="s">
        <v>2872</v>
      </c>
      <c r="D1032" s="524" t="s">
        <v>2873</v>
      </c>
      <c r="E1032" s="497">
        <f t="shared" si="71"/>
        <v>38</v>
      </c>
      <c r="F1032" s="497">
        <v>0</v>
      </c>
      <c r="G1032" s="497">
        <v>38</v>
      </c>
      <c r="H1032" s="497">
        <v>0</v>
      </c>
      <c r="I1032" s="497">
        <f t="shared" si="72"/>
        <v>32</v>
      </c>
      <c r="J1032" s="497">
        <v>0</v>
      </c>
      <c r="K1032" s="497">
        <v>32</v>
      </c>
      <c r="L1032" s="721">
        <v>0</v>
      </c>
      <c r="M1032" s="956">
        <v>0.84210526315789469</v>
      </c>
      <c r="N1032" s="653">
        <v>243.904</v>
      </c>
      <c r="O1032" s="731" t="s">
        <v>2874</v>
      </c>
      <c r="P1032" s="514" t="s">
        <v>1588</v>
      </c>
      <c r="Q1032" s="859">
        <v>0</v>
      </c>
      <c r="R1032" s="859">
        <v>0</v>
      </c>
      <c r="S1032" s="859">
        <v>0</v>
      </c>
      <c r="T1032" s="859">
        <v>0</v>
      </c>
      <c r="U1032" s="532" t="s">
        <v>2856</v>
      </c>
      <c r="V1032" s="534" t="s">
        <v>2875</v>
      </c>
      <c r="W1032" s="498">
        <v>251</v>
      </c>
      <c r="X1032" s="514" t="s">
        <v>2276</v>
      </c>
      <c r="Y1032" s="514" t="s">
        <v>3336</v>
      </c>
      <c r="Z1032" s="514" t="s">
        <v>1592</v>
      </c>
      <c r="AA1032" s="514" t="s">
        <v>1592</v>
      </c>
      <c r="AB1032" s="531" t="s">
        <v>1592</v>
      </c>
    </row>
    <row r="1033" spans="1:28" ht="24" customHeight="1">
      <c r="A1033" s="584"/>
      <c r="B1033" s="460" t="s">
        <v>675</v>
      </c>
      <c r="C1033" s="522" t="s">
        <v>746</v>
      </c>
      <c r="D1033" s="524" t="s">
        <v>2876</v>
      </c>
      <c r="E1033" s="497">
        <f t="shared" si="71"/>
        <v>45</v>
      </c>
      <c r="F1033" s="497">
        <v>0</v>
      </c>
      <c r="G1033" s="497">
        <v>45</v>
      </c>
      <c r="H1033" s="497">
        <v>0</v>
      </c>
      <c r="I1033" s="497">
        <f t="shared" si="72"/>
        <v>31.499999999999996</v>
      </c>
      <c r="J1033" s="497">
        <v>0</v>
      </c>
      <c r="K1033" s="497">
        <f>45*0.7</f>
        <v>31.499999999999996</v>
      </c>
      <c r="L1033" s="721">
        <v>0</v>
      </c>
      <c r="M1033" s="956">
        <v>0.7</v>
      </c>
      <c r="N1033" s="653">
        <v>202.74519999999998</v>
      </c>
      <c r="O1033" s="731" t="s">
        <v>2874</v>
      </c>
      <c r="P1033" s="514" t="s">
        <v>1588</v>
      </c>
      <c r="Q1033" s="859">
        <v>0</v>
      </c>
      <c r="R1033" s="859">
        <v>0</v>
      </c>
      <c r="S1033" s="859">
        <v>0</v>
      </c>
      <c r="T1033" s="859">
        <v>0</v>
      </c>
      <c r="U1033" s="532" t="s">
        <v>2856</v>
      </c>
      <c r="V1033" s="534" t="s">
        <v>2074</v>
      </c>
      <c r="W1033" s="498">
        <v>245</v>
      </c>
      <c r="X1033" s="514" t="s">
        <v>2276</v>
      </c>
      <c r="Y1033" s="514" t="s">
        <v>3336</v>
      </c>
      <c r="Z1033" s="514" t="s">
        <v>1592</v>
      </c>
      <c r="AA1033" s="514" t="s">
        <v>1592</v>
      </c>
      <c r="AB1033" s="531" t="s">
        <v>1592</v>
      </c>
    </row>
    <row r="1034" spans="1:28" ht="24" customHeight="1">
      <c r="A1034" s="584"/>
      <c r="B1034" s="521" t="s">
        <v>675</v>
      </c>
      <c r="C1034" s="522" t="s">
        <v>2877</v>
      </c>
      <c r="D1034" s="524" t="s">
        <v>2878</v>
      </c>
      <c r="E1034" s="497">
        <f t="shared" si="71"/>
        <v>76</v>
      </c>
      <c r="F1034" s="497">
        <v>0</v>
      </c>
      <c r="G1034" s="497">
        <v>76</v>
      </c>
      <c r="H1034" s="497">
        <v>0</v>
      </c>
      <c r="I1034" s="497">
        <f t="shared" si="72"/>
        <v>17</v>
      </c>
      <c r="J1034" s="497">
        <v>0</v>
      </c>
      <c r="K1034" s="497">
        <v>17</v>
      </c>
      <c r="L1034" s="721">
        <v>0</v>
      </c>
      <c r="M1034" s="956">
        <v>0.22368421052631579</v>
      </c>
      <c r="N1034" s="653">
        <v>64.787000000000006</v>
      </c>
      <c r="O1034" s="731" t="s">
        <v>2853</v>
      </c>
      <c r="P1034" s="514" t="s">
        <v>1588</v>
      </c>
      <c r="Q1034" s="859">
        <v>0</v>
      </c>
      <c r="R1034" s="859">
        <v>0</v>
      </c>
      <c r="S1034" s="859">
        <v>0</v>
      </c>
      <c r="T1034" s="859">
        <v>0</v>
      </c>
      <c r="U1034" s="532" t="s">
        <v>2856</v>
      </c>
      <c r="V1034" s="534" t="s">
        <v>2027</v>
      </c>
      <c r="W1034" s="498">
        <v>190</v>
      </c>
      <c r="X1034" s="514" t="s">
        <v>2276</v>
      </c>
      <c r="Y1034" s="514" t="s">
        <v>3336</v>
      </c>
      <c r="Z1034" s="514" t="s">
        <v>1700</v>
      </c>
      <c r="AA1034" s="514" t="s">
        <v>1699</v>
      </c>
      <c r="AB1034" s="531" t="s">
        <v>1592</v>
      </c>
    </row>
    <row r="1035" spans="1:28" ht="24" customHeight="1">
      <c r="A1035" s="584"/>
      <c r="B1035" s="460" t="s">
        <v>675</v>
      </c>
      <c r="C1035" s="522" t="s">
        <v>2879</v>
      </c>
      <c r="D1035" s="524" t="s">
        <v>2880</v>
      </c>
      <c r="E1035" s="497">
        <f t="shared" si="71"/>
        <v>35</v>
      </c>
      <c r="F1035" s="497">
        <v>0</v>
      </c>
      <c r="G1035" s="497">
        <v>35</v>
      </c>
      <c r="H1035" s="497">
        <v>0</v>
      </c>
      <c r="I1035" s="497">
        <f t="shared" si="72"/>
        <v>64</v>
      </c>
      <c r="J1035" s="497">
        <v>0</v>
      </c>
      <c r="K1035" s="497">
        <v>64</v>
      </c>
      <c r="L1035" s="721">
        <v>0</v>
      </c>
      <c r="M1035" s="956">
        <v>1.8285714285714285</v>
      </c>
      <c r="N1035" s="653">
        <v>529.62011428571418</v>
      </c>
      <c r="O1035" s="731" t="s">
        <v>2881</v>
      </c>
      <c r="P1035" s="514" t="s">
        <v>1588</v>
      </c>
      <c r="Q1035" s="859">
        <v>0</v>
      </c>
      <c r="R1035" s="859">
        <v>0</v>
      </c>
      <c r="S1035" s="859">
        <v>0</v>
      </c>
      <c r="T1035" s="859">
        <v>0</v>
      </c>
      <c r="U1035" s="532" t="s">
        <v>2856</v>
      </c>
      <c r="V1035" s="534" t="s">
        <v>2882</v>
      </c>
      <c r="W1035" s="498">
        <v>171</v>
      </c>
      <c r="X1035" s="514" t="s">
        <v>2276</v>
      </c>
      <c r="Y1035" s="514" t="s">
        <v>3336</v>
      </c>
      <c r="Z1035" s="514" t="s">
        <v>1700</v>
      </c>
      <c r="AA1035" s="514" t="s">
        <v>1699</v>
      </c>
      <c r="AB1035" s="531" t="s">
        <v>1592</v>
      </c>
    </row>
    <row r="1036" spans="1:28" ht="24" customHeight="1">
      <c r="A1036" s="584"/>
      <c r="B1036" s="460" t="s">
        <v>675</v>
      </c>
      <c r="C1036" s="522" t="s">
        <v>2883</v>
      </c>
      <c r="D1036" s="524" t="s">
        <v>2884</v>
      </c>
      <c r="E1036" s="497">
        <f t="shared" si="71"/>
        <v>40</v>
      </c>
      <c r="F1036" s="497">
        <v>0</v>
      </c>
      <c r="G1036" s="497">
        <v>40</v>
      </c>
      <c r="H1036" s="497">
        <v>0</v>
      </c>
      <c r="I1036" s="497">
        <f t="shared" si="72"/>
        <v>66</v>
      </c>
      <c r="J1036" s="497">
        <v>0</v>
      </c>
      <c r="K1036" s="497">
        <v>66</v>
      </c>
      <c r="L1036" s="721">
        <v>0</v>
      </c>
      <c r="M1036" s="956">
        <v>1.65</v>
      </c>
      <c r="N1036" s="653">
        <v>477.89939999999996</v>
      </c>
      <c r="O1036" s="731" t="s">
        <v>2865</v>
      </c>
      <c r="P1036" s="514" t="s">
        <v>1588</v>
      </c>
      <c r="Q1036" s="859">
        <v>0</v>
      </c>
      <c r="R1036" s="859">
        <v>0</v>
      </c>
      <c r="S1036" s="859">
        <v>0</v>
      </c>
      <c r="T1036" s="859">
        <v>0</v>
      </c>
      <c r="U1036" s="532" t="s">
        <v>2856</v>
      </c>
      <c r="V1036" s="534" t="s">
        <v>2875</v>
      </c>
      <c r="W1036" s="498">
        <v>233</v>
      </c>
      <c r="X1036" s="514" t="s">
        <v>2276</v>
      </c>
      <c r="Y1036" s="514" t="s">
        <v>3336</v>
      </c>
      <c r="Z1036" s="514" t="s">
        <v>1701</v>
      </c>
      <c r="AA1036" s="514" t="s">
        <v>1592</v>
      </c>
      <c r="AB1036" s="531" t="s">
        <v>1592</v>
      </c>
    </row>
    <row r="1037" spans="1:28" ht="24" customHeight="1">
      <c r="A1037" s="584"/>
      <c r="B1037" s="521" t="s">
        <v>675</v>
      </c>
      <c r="C1037" s="522" t="s">
        <v>2885</v>
      </c>
      <c r="D1037" s="524" t="s">
        <v>2886</v>
      </c>
      <c r="E1037" s="497">
        <f t="shared" si="71"/>
        <v>60</v>
      </c>
      <c r="F1037" s="497">
        <v>0</v>
      </c>
      <c r="G1037" s="497">
        <v>60</v>
      </c>
      <c r="H1037" s="497">
        <v>0</v>
      </c>
      <c r="I1037" s="497">
        <f t="shared" si="72"/>
        <v>83</v>
      </c>
      <c r="J1037" s="497">
        <v>0</v>
      </c>
      <c r="K1037" s="497">
        <v>83</v>
      </c>
      <c r="L1037" s="721">
        <v>0</v>
      </c>
      <c r="M1037" s="956">
        <v>1.3833333333333335</v>
      </c>
      <c r="N1037" s="653">
        <v>400.66313333333335</v>
      </c>
      <c r="O1037" s="731" t="s">
        <v>2865</v>
      </c>
      <c r="P1037" s="514" t="s">
        <v>1588</v>
      </c>
      <c r="Q1037" s="859">
        <v>0</v>
      </c>
      <c r="R1037" s="859">
        <v>0</v>
      </c>
      <c r="S1037" s="859">
        <v>0</v>
      </c>
      <c r="T1037" s="859">
        <v>0</v>
      </c>
      <c r="U1037" s="532" t="s">
        <v>2856</v>
      </c>
      <c r="V1037" s="534" t="s">
        <v>2875</v>
      </c>
      <c r="W1037" s="498">
        <v>395</v>
      </c>
      <c r="X1037" s="514" t="s">
        <v>2276</v>
      </c>
      <c r="Y1037" s="514" t="s">
        <v>3336</v>
      </c>
      <c r="Z1037" s="514" t="s">
        <v>1701</v>
      </c>
      <c r="AA1037" s="514" t="s">
        <v>1592</v>
      </c>
      <c r="AB1037" s="531" t="s">
        <v>1592</v>
      </c>
    </row>
    <row r="1038" spans="1:28" ht="24" customHeight="1">
      <c r="A1038" s="584"/>
      <c r="B1038" s="460" t="s">
        <v>675</v>
      </c>
      <c r="C1038" s="522" t="s">
        <v>2887</v>
      </c>
      <c r="D1038" s="524" t="s">
        <v>2888</v>
      </c>
      <c r="E1038" s="497">
        <f t="shared" si="71"/>
        <v>70</v>
      </c>
      <c r="F1038" s="497">
        <v>0</v>
      </c>
      <c r="G1038" s="497">
        <v>70</v>
      </c>
      <c r="H1038" s="497">
        <v>0</v>
      </c>
      <c r="I1038" s="497">
        <f t="shared" si="72"/>
        <v>80</v>
      </c>
      <c r="J1038" s="497">
        <v>0</v>
      </c>
      <c r="K1038" s="497">
        <v>80</v>
      </c>
      <c r="L1038" s="721">
        <v>0</v>
      </c>
      <c r="M1038" s="956">
        <v>1.1428571428571428</v>
      </c>
      <c r="N1038" s="653">
        <v>331.01257142857145</v>
      </c>
      <c r="O1038" s="731" t="s">
        <v>2865</v>
      </c>
      <c r="P1038" s="514" t="s">
        <v>1588</v>
      </c>
      <c r="Q1038" s="859">
        <v>0</v>
      </c>
      <c r="R1038" s="859">
        <v>0</v>
      </c>
      <c r="S1038" s="859">
        <v>0</v>
      </c>
      <c r="T1038" s="859">
        <v>0</v>
      </c>
      <c r="U1038" s="532" t="s">
        <v>2856</v>
      </c>
      <c r="V1038" s="534" t="s">
        <v>2889</v>
      </c>
      <c r="W1038" s="498">
        <v>494</v>
      </c>
      <c r="X1038" s="514" t="s">
        <v>2276</v>
      </c>
      <c r="Y1038" s="514" t="s">
        <v>3336</v>
      </c>
      <c r="Z1038" s="514" t="s">
        <v>1701</v>
      </c>
      <c r="AA1038" s="514" t="s">
        <v>1592</v>
      </c>
      <c r="AB1038" s="531" t="s">
        <v>1592</v>
      </c>
    </row>
    <row r="1039" spans="1:28" ht="24" customHeight="1">
      <c r="A1039" s="584"/>
      <c r="B1039" s="460" t="s">
        <v>675</v>
      </c>
      <c r="C1039" s="522" t="s">
        <v>2890</v>
      </c>
      <c r="D1039" s="524" t="s">
        <v>2891</v>
      </c>
      <c r="E1039" s="497">
        <f t="shared" si="71"/>
        <v>35</v>
      </c>
      <c r="F1039" s="497">
        <v>0</v>
      </c>
      <c r="G1039" s="497">
        <v>35</v>
      </c>
      <c r="H1039" s="497">
        <v>0</v>
      </c>
      <c r="I1039" s="497">
        <f t="shared" si="72"/>
        <v>16</v>
      </c>
      <c r="J1039" s="497">
        <v>0</v>
      </c>
      <c r="K1039" s="497">
        <v>16</v>
      </c>
      <c r="L1039" s="721">
        <v>0</v>
      </c>
      <c r="M1039" s="956">
        <v>0.45714285714285713</v>
      </c>
      <c r="N1039" s="653">
        <v>132.40502857142855</v>
      </c>
      <c r="O1039" s="731" t="s">
        <v>2892</v>
      </c>
      <c r="P1039" s="514" t="s">
        <v>1588</v>
      </c>
      <c r="Q1039" s="859">
        <v>0</v>
      </c>
      <c r="R1039" s="859">
        <v>0</v>
      </c>
      <c r="S1039" s="859">
        <v>0</v>
      </c>
      <c r="T1039" s="859">
        <v>0</v>
      </c>
      <c r="U1039" s="532" t="s">
        <v>2856</v>
      </c>
      <c r="V1039" s="534" t="s">
        <v>2074</v>
      </c>
      <c r="W1039" s="498">
        <v>168</v>
      </c>
      <c r="X1039" s="514" t="s">
        <v>2276</v>
      </c>
      <c r="Y1039" s="514" t="s">
        <v>3336</v>
      </c>
      <c r="Z1039" s="514" t="s">
        <v>1701</v>
      </c>
      <c r="AA1039" s="514" t="s">
        <v>1592</v>
      </c>
      <c r="AB1039" s="531" t="s">
        <v>1592</v>
      </c>
    </row>
    <row r="1040" spans="1:28" ht="24" customHeight="1">
      <c r="A1040" s="582" t="s">
        <v>1974</v>
      </c>
      <c r="B1040" s="460" t="s">
        <v>2201</v>
      </c>
      <c r="C1040" s="458" t="s">
        <v>2426</v>
      </c>
      <c r="D1040" s="510" t="s">
        <v>2893</v>
      </c>
      <c r="E1040" s="497">
        <v>3400</v>
      </c>
      <c r="F1040" s="497">
        <v>0</v>
      </c>
      <c r="G1040" s="497">
        <v>0</v>
      </c>
      <c r="H1040" s="497">
        <v>3400</v>
      </c>
      <c r="I1040" s="497">
        <f>SUM(J1040:L1040)</f>
        <v>1435</v>
      </c>
      <c r="J1040" s="497">
        <v>0</v>
      </c>
      <c r="K1040" s="497">
        <v>0</v>
      </c>
      <c r="L1040" s="721">
        <v>1435</v>
      </c>
      <c r="M1040" s="956">
        <v>0.98480520298984642</v>
      </c>
      <c r="N1040" s="653">
        <v>135.12663826567729</v>
      </c>
      <c r="O1040" s="731" t="s">
        <v>2894</v>
      </c>
      <c r="P1040" s="514" t="s">
        <v>1588</v>
      </c>
      <c r="Q1040" s="859">
        <v>0</v>
      </c>
      <c r="R1040" s="859">
        <v>0</v>
      </c>
      <c r="S1040" s="859">
        <v>0</v>
      </c>
      <c r="T1040" s="859">
        <v>0</v>
      </c>
      <c r="U1040" s="514" t="s">
        <v>2895</v>
      </c>
      <c r="V1040" s="514" t="s">
        <v>1991</v>
      </c>
      <c r="W1040" s="498"/>
      <c r="X1040" s="514" t="s">
        <v>2243</v>
      </c>
      <c r="Y1040" s="514" t="s">
        <v>3336</v>
      </c>
      <c r="Z1040" s="514" t="s">
        <v>2896</v>
      </c>
      <c r="AA1040" s="514" t="s">
        <v>2897</v>
      </c>
      <c r="AB1040" s="531" t="s">
        <v>1784</v>
      </c>
    </row>
    <row r="1041" spans="1:28" ht="24" customHeight="1">
      <c r="A1041" s="584"/>
      <c r="B1041" s="460" t="s">
        <v>2201</v>
      </c>
      <c r="C1041" s="458" t="s">
        <v>1419</v>
      </c>
      <c r="D1041" s="510" t="s">
        <v>2898</v>
      </c>
      <c r="E1041" s="497">
        <v>1700</v>
      </c>
      <c r="F1041" s="497">
        <v>0</v>
      </c>
      <c r="G1041" s="497">
        <v>0</v>
      </c>
      <c r="H1041" s="497">
        <v>1700</v>
      </c>
      <c r="I1041" s="497">
        <f>SUM(J1041:L1041)</f>
        <v>740</v>
      </c>
      <c r="J1041" s="497">
        <v>0</v>
      </c>
      <c r="K1041" s="497">
        <v>0</v>
      </c>
      <c r="L1041" s="721">
        <v>740</v>
      </c>
      <c r="M1041" s="956">
        <v>0.96328671328671323</v>
      </c>
      <c r="N1041" s="653">
        <v>40.774000000000001</v>
      </c>
      <c r="O1041" s="731" t="s">
        <v>2899</v>
      </c>
      <c r="P1041" s="514" t="s">
        <v>2900</v>
      </c>
      <c r="Q1041" s="859">
        <v>10</v>
      </c>
      <c r="R1041" s="859">
        <v>110</v>
      </c>
      <c r="S1041" s="859">
        <v>0</v>
      </c>
      <c r="T1041" s="859">
        <v>0</v>
      </c>
      <c r="U1041" s="514" t="s">
        <v>2895</v>
      </c>
      <c r="V1041" s="514" t="s">
        <v>1991</v>
      </c>
      <c r="W1041" s="498"/>
      <c r="X1041" s="514" t="s">
        <v>2243</v>
      </c>
      <c r="Y1041" s="514" t="s">
        <v>3336</v>
      </c>
      <c r="Z1041" s="514" t="s">
        <v>2901</v>
      </c>
      <c r="AA1041" s="514" t="s">
        <v>2897</v>
      </c>
      <c r="AB1041" s="531" t="s">
        <v>1784</v>
      </c>
    </row>
    <row r="1042" spans="1:28" ht="24" customHeight="1">
      <c r="A1042" s="584"/>
      <c r="B1042" s="460" t="s">
        <v>675</v>
      </c>
      <c r="C1042" s="522" t="s">
        <v>2902</v>
      </c>
      <c r="D1042" s="524" t="s">
        <v>2903</v>
      </c>
      <c r="E1042" s="657">
        <v>30</v>
      </c>
      <c r="F1042" s="657">
        <v>0</v>
      </c>
      <c r="G1042" s="657">
        <v>30</v>
      </c>
      <c r="H1042" s="657">
        <v>0</v>
      </c>
      <c r="I1042" s="497">
        <f>SUM(J1042:L1042)</f>
        <v>25</v>
      </c>
      <c r="J1042" s="657">
        <v>0</v>
      </c>
      <c r="K1042" s="657">
        <v>25</v>
      </c>
      <c r="L1042" s="732">
        <v>0</v>
      </c>
      <c r="M1042" s="956">
        <v>0.83333333333333348</v>
      </c>
      <c r="N1042" s="653">
        <v>241.36333333333337</v>
      </c>
      <c r="O1042" s="733" t="s">
        <v>2904</v>
      </c>
      <c r="P1042" s="532" t="s">
        <v>1588</v>
      </c>
      <c r="Q1042" s="860">
        <v>0</v>
      </c>
      <c r="R1042" s="860">
        <v>0</v>
      </c>
      <c r="S1042" s="860">
        <v>0</v>
      </c>
      <c r="T1042" s="860">
        <v>0</v>
      </c>
      <c r="U1042" s="532" t="s">
        <v>2307</v>
      </c>
      <c r="V1042" s="533" t="s">
        <v>2905</v>
      </c>
      <c r="W1042" s="653">
        <v>630</v>
      </c>
      <c r="X1042" s="532" t="s">
        <v>1532</v>
      </c>
      <c r="Y1042" s="532" t="s">
        <v>1533</v>
      </c>
      <c r="Z1042" s="532" t="s">
        <v>2906</v>
      </c>
      <c r="AA1042" s="532" t="s">
        <v>1686</v>
      </c>
      <c r="AB1042" s="539" t="s">
        <v>1591</v>
      </c>
    </row>
    <row r="1043" spans="1:28" ht="24" customHeight="1">
      <c r="A1043" s="584"/>
      <c r="B1043" s="521" t="s">
        <v>675</v>
      </c>
      <c r="C1043" s="522" t="s">
        <v>2907</v>
      </c>
      <c r="D1043" s="524" t="s">
        <v>2908</v>
      </c>
      <c r="E1043" s="657">
        <v>40</v>
      </c>
      <c r="F1043" s="657">
        <v>0</v>
      </c>
      <c r="G1043" s="657">
        <v>40</v>
      </c>
      <c r="H1043" s="657">
        <v>0</v>
      </c>
      <c r="I1043" s="657">
        <f t="shared" ref="I1043:I1067" si="73">SUM(J1043:L1043)</f>
        <v>36.72</v>
      </c>
      <c r="J1043" s="657">
        <v>0</v>
      </c>
      <c r="K1043" s="657">
        <v>36.72</v>
      </c>
      <c r="L1043" s="732">
        <v>0</v>
      </c>
      <c r="M1043" s="957">
        <v>0.91799999999999993</v>
      </c>
      <c r="N1043" s="653">
        <v>265.88584800000001</v>
      </c>
      <c r="O1043" s="733" t="s">
        <v>2904</v>
      </c>
      <c r="P1043" s="532" t="s">
        <v>1588</v>
      </c>
      <c r="Q1043" s="860">
        <v>0</v>
      </c>
      <c r="R1043" s="860">
        <v>0</v>
      </c>
      <c r="S1043" s="860">
        <v>0</v>
      </c>
      <c r="T1043" s="860">
        <v>0</v>
      </c>
      <c r="U1043" s="532" t="s">
        <v>2307</v>
      </c>
      <c r="V1043" s="533" t="s">
        <v>2909</v>
      </c>
      <c r="W1043" s="653"/>
      <c r="X1043" s="532" t="s">
        <v>1532</v>
      </c>
      <c r="Y1043" s="532" t="s">
        <v>1533</v>
      </c>
      <c r="Z1043" s="532" t="s">
        <v>1865</v>
      </c>
      <c r="AA1043" s="532" t="s">
        <v>1686</v>
      </c>
      <c r="AB1043" s="539" t="s">
        <v>1591</v>
      </c>
    </row>
    <row r="1044" spans="1:28" ht="24" customHeight="1">
      <c r="A1044" s="584"/>
      <c r="B1044" s="460" t="s">
        <v>675</v>
      </c>
      <c r="C1044" s="522" t="s">
        <v>2910</v>
      </c>
      <c r="D1044" s="524" t="s">
        <v>2911</v>
      </c>
      <c r="E1044" s="657">
        <v>45</v>
      </c>
      <c r="F1044" s="657">
        <v>0</v>
      </c>
      <c r="G1044" s="657">
        <v>45</v>
      </c>
      <c r="H1044" s="657">
        <v>0</v>
      </c>
      <c r="I1044" s="657">
        <f t="shared" si="73"/>
        <v>24.3</v>
      </c>
      <c r="J1044" s="657">
        <v>0</v>
      </c>
      <c r="K1044" s="657">
        <v>24.3</v>
      </c>
      <c r="L1044" s="732">
        <v>0</v>
      </c>
      <c r="M1044" s="957">
        <v>0.54</v>
      </c>
      <c r="N1044" s="653">
        <v>156.40344000000002</v>
      </c>
      <c r="O1044" s="733" t="s">
        <v>2904</v>
      </c>
      <c r="P1044" s="532" t="s">
        <v>1588</v>
      </c>
      <c r="Q1044" s="860">
        <v>0</v>
      </c>
      <c r="R1044" s="860">
        <v>0</v>
      </c>
      <c r="S1044" s="860">
        <v>0</v>
      </c>
      <c r="T1044" s="860">
        <v>0</v>
      </c>
      <c r="U1044" s="532" t="s">
        <v>2307</v>
      </c>
      <c r="V1044" s="533" t="s">
        <v>2028</v>
      </c>
      <c r="W1044" s="653"/>
      <c r="X1044" s="532" t="s">
        <v>1532</v>
      </c>
      <c r="Y1044" s="532" t="s">
        <v>1533</v>
      </c>
      <c r="Z1044" s="532" t="s">
        <v>2912</v>
      </c>
      <c r="AA1044" s="532" t="s">
        <v>1686</v>
      </c>
      <c r="AB1044" s="539" t="s">
        <v>1591</v>
      </c>
    </row>
    <row r="1045" spans="1:28" ht="24" customHeight="1">
      <c r="A1045" s="584"/>
      <c r="B1045" s="521" t="s">
        <v>675</v>
      </c>
      <c r="C1045" s="522" t="s">
        <v>2913</v>
      </c>
      <c r="D1045" s="524" t="s">
        <v>2914</v>
      </c>
      <c r="E1045" s="657">
        <v>20</v>
      </c>
      <c r="F1045" s="657">
        <v>0</v>
      </c>
      <c r="G1045" s="657">
        <v>20</v>
      </c>
      <c r="H1045" s="657">
        <v>0</v>
      </c>
      <c r="I1045" s="657">
        <f t="shared" si="73"/>
        <v>10.06</v>
      </c>
      <c r="J1045" s="657">
        <v>0</v>
      </c>
      <c r="K1045" s="657">
        <v>10.06</v>
      </c>
      <c r="L1045" s="732">
        <v>0</v>
      </c>
      <c r="M1045" s="957">
        <v>0.503</v>
      </c>
      <c r="N1045" s="653">
        <v>145.68690799999999</v>
      </c>
      <c r="O1045" s="733" t="s">
        <v>2197</v>
      </c>
      <c r="P1045" s="532" t="s">
        <v>1588</v>
      </c>
      <c r="Q1045" s="860">
        <v>0</v>
      </c>
      <c r="R1045" s="860">
        <v>0</v>
      </c>
      <c r="S1045" s="860">
        <v>0</v>
      </c>
      <c r="T1045" s="860">
        <v>0</v>
      </c>
      <c r="U1045" s="532" t="s">
        <v>2307</v>
      </c>
      <c r="V1045" s="533" t="s">
        <v>2028</v>
      </c>
      <c r="W1045" s="653"/>
      <c r="X1045" s="532" t="s">
        <v>1532</v>
      </c>
      <c r="Y1045" s="532" t="s">
        <v>1533</v>
      </c>
      <c r="Z1045" s="532" t="s">
        <v>2915</v>
      </c>
      <c r="AA1045" s="532" t="s">
        <v>1686</v>
      </c>
      <c r="AB1045" s="539" t="s">
        <v>1591</v>
      </c>
    </row>
    <row r="1046" spans="1:28" ht="24" customHeight="1">
      <c r="A1046" s="584"/>
      <c r="B1046" s="460" t="s">
        <v>675</v>
      </c>
      <c r="C1046" s="522" t="s">
        <v>2916</v>
      </c>
      <c r="D1046" s="524" t="s">
        <v>2917</v>
      </c>
      <c r="E1046" s="657">
        <v>20</v>
      </c>
      <c r="F1046" s="657">
        <v>0</v>
      </c>
      <c r="G1046" s="657">
        <v>20</v>
      </c>
      <c r="H1046" s="657">
        <v>0</v>
      </c>
      <c r="I1046" s="657">
        <f t="shared" si="73"/>
        <v>11</v>
      </c>
      <c r="J1046" s="657">
        <v>0</v>
      </c>
      <c r="K1046" s="657">
        <v>11</v>
      </c>
      <c r="L1046" s="732">
        <v>0</v>
      </c>
      <c r="M1046" s="957">
        <v>0.55000000000000004</v>
      </c>
      <c r="N1046" s="653">
        <v>159.29980000000003</v>
      </c>
      <c r="O1046" s="733" t="s">
        <v>2918</v>
      </c>
      <c r="P1046" s="532" t="s">
        <v>1588</v>
      </c>
      <c r="Q1046" s="860">
        <v>0</v>
      </c>
      <c r="R1046" s="860">
        <v>0</v>
      </c>
      <c r="S1046" s="860">
        <v>0</v>
      </c>
      <c r="T1046" s="860">
        <v>0</v>
      </c>
      <c r="U1046" s="532" t="s">
        <v>2307</v>
      </c>
      <c r="V1046" s="533" t="s">
        <v>2919</v>
      </c>
      <c r="W1046" s="653"/>
      <c r="X1046" s="532" t="s">
        <v>1532</v>
      </c>
      <c r="Y1046" s="514" t="s">
        <v>1533</v>
      </c>
      <c r="Z1046" s="532" t="s">
        <v>2920</v>
      </c>
      <c r="AA1046" s="532" t="s">
        <v>1686</v>
      </c>
      <c r="AB1046" s="539" t="s">
        <v>1591</v>
      </c>
    </row>
    <row r="1047" spans="1:28" ht="24" customHeight="1">
      <c r="A1047" s="584"/>
      <c r="B1047" s="460" t="s">
        <v>675</v>
      </c>
      <c r="C1047" s="522" t="s">
        <v>2921</v>
      </c>
      <c r="D1047" s="524" t="s">
        <v>2922</v>
      </c>
      <c r="E1047" s="657">
        <v>30</v>
      </c>
      <c r="F1047" s="657">
        <v>0</v>
      </c>
      <c r="G1047" s="657">
        <v>30</v>
      </c>
      <c r="H1047" s="657">
        <v>0</v>
      </c>
      <c r="I1047" s="657">
        <f t="shared" si="73"/>
        <v>15.7</v>
      </c>
      <c r="J1047" s="657">
        <v>0</v>
      </c>
      <c r="K1047" s="657">
        <v>15.7</v>
      </c>
      <c r="L1047" s="732">
        <v>0</v>
      </c>
      <c r="M1047" s="957">
        <v>0.52333333333333332</v>
      </c>
      <c r="N1047" s="653">
        <v>151.57617333333334</v>
      </c>
      <c r="O1047" s="733" t="s">
        <v>3559</v>
      </c>
      <c r="P1047" s="532" t="s">
        <v>1588</v>
      </c>
      <c r="Q1047" s="860">
        <v>0</v>
      </c>
      <c r="R1047" s="860">
        <v>0</v>
      </c>
      <c r="S1047" s="860">
        <v>0</v>
      </c>
      <c r="T1047" s="860">
        <v>0</v>
      </c>
      <c r="U1047" s="532" t="s">
        <v>2307</v>
      </c>
      <c r="V1047" s="533" t="s">
        <v>2923</v>
      </c>
      <c r="W1047" s="653"/>
      <c r="X1047" s="532" t="s">
        <v>1532</v>
      </c>
      <c r="Y1047" s="532" t="s">
        <v>1533</v>
      </c>
      <c r="Z1047" s="532" t="s">
        <v>2924</v>
      </c>
      <c r="AA1047" s="532" t="s">
        <v>1686</v>
      </c>
      <c r="AB1047" s="539" t="s">
        <v>1591</v>
      </c>
    </row>
    <row r="1048" spans="1:28" ht="24" customHeight="1">
      <c r="A1048" s="584"/>
      <c r="B1048" s="521" t="s">
        <v>675</v>
      </c>
      <c r="C1048" s="522" t="s">
        <v>2925</v>
      </c>
      <c r="D1048" s="524" t="s">
        <v>2926</v>
      </c>
      <c r="E1048" s="657">
        <v>35</v>
      </c>
      <c r="F1048" s="657">
        <v>0</v>
      </c>
      <c r="G1048" s="657">
        <v>35</v>
      </c>
      <c r="H1048" s="657">
        <v>0</v>
      </c>
      <c r="I1048" s="657">
        <f t="shared" si="73"/>
        <v>29</v>
      </c>
      <c r="J1048" s="657">
        <v>0</v>
      </c>
      <c r="K1048" s="657">
        <v>29</v>
      </c>
      <c r="L1048" s="732">
        <v>0</v>
      </c>
      <c r="M1048" s="957">
        <v>0.82857142857142863</v>
      </c>
      <c r="N1048" s="653">
        <v>239.98411428571433</v>
      </c>
      <c r="O1048" s="733" t="s">
        <v>5783</v>
      </c>
      <c r="P1048" s="532" t="s">
        <v>1588</v>
      </c>
      <c r="Q1048" s="860">
        <v>0</v>
      </c>
      <c r="R1048" s="860">
        <v>0</v>
      </c>
      <c r="S1048" s="860">
        <v>0</v>
      </c>
      <c r="T1048" s="860">
        <v>0</v>
      </c>
      <c r="U1048" s="532" t="s">
        <v>2307</v>
      </c>
      <c r="V1048" s="533" t="s">
        <v>2927</v>
      </c>
      <c r="W1048" s="653"/>
      <c r="X1048" s="532" t="s">
        <v>1532</v>
      </c>
      <c r="Y1048" s="532" t="s">
        <v>1533</v>
      </c>
      <c r="Z1048" s="532" t="s">
        <v>2906</v>
      </c>
      <c r="AA1048" s="532" t="s">
        <v>1686</v>
      </c>
      <c r="AB1048" s="539" t="s">
        <v>1591</v>
      </c>
    </row>
    <row r="1049" spans="1:28" ht="24" customHeight="1">
      <c r="A1049" s="584"/>
      <c r="B1049" s="460" t="s">
        <v>675</v>
      </c>
      <c r="C1049" s="522" t="s">
        <v>2928</v>
      </c>
      <c r="D1049" s="524" t="s">
        <v>2929</v>
      </c>
      <c r="E1049" s="657">
        <v>35</v>
      </c>
      <c r="F1049" s="657">
        <v>0</v>
      </c>
      <c r="G1049" s="657">
        <v>35</v>
      </c>
      <c r="H1049" s="657">
        <v>0</v>
      </c>
      <c r="I1049" s="657">
        <f t="shared" si="73"/>
        <v>29</v>
      </c>
      <c r="J1049" s="657">
        <v>0</v>
      </c>
      <c r="K1049" s="657">
        <v>29</v>
      </c>
      <c r="L1049" s="732">
        <v>0</v>
      </c>
      <c r="M1049" s="957">
        <v>0.82857142857142863</v>
      </c>
      <c r="N1049" s="653">
        <v>239.98411428571433</v>
      </c>
      <c r="O1049" s="733" t="s">
        <v>2904</v>
      </c>
      <c r="P1049" s="532" t="s">
        <v>1588</v>
      </c>
      <c r="Q1049" s="860">
        <v>0</v>
      </c>
      <c r="R1049" s="860">
        <v>0</v>
      </c>
      <c r="S1049" s="860">
        <v>0</v>
      </c>
      <c r="T1049" s="860">
        <v>0</v>
      </c>
      <c r="U1049" s="532" t="s">
        <v>2307</v>
      </c>
      <c r="V1049" s="533" t="s">
        <v>2927</v>
      </c>
      <c r="W1049" s="653"/>
      <c r="X1049" s="532" t="s">
        <v>1532</v>
      </c>
      <c r="Y1049" s="532" t="s">
        <v>1533</v>
      </c>
      <c r="Z1049" s="532" t="s">
        <v>2906</v>
      </c>
      <c r="AA1049" s="532" t="s">
        <v>1686</v>
      </c>
      <c r="AB1049" s="539" t="s">
        <v>1591</v>
      </c>
    </row>
    <row r="1050" spans="1:28" ht="24" customHeight="1">
      <c r="A1050" s="584"/>
      <c r="B1050" s="521" t="s">
        <v>675</v>
      </c>
      <c r="C1050" s="522" t="s">
        <v>2930</v>
      </c>
      <c r="D1050" s="524" t="s">
        <v>2931</v>
      </c>
      <c r="E1050" s="657">
        <v>20</v>
      </c>
      <c r="F1050" s="657">
        <v>0</v>
      </c>
      <c r="G1050" s="657">
        <v>20</v>
      </c>
      <c r="H1050" s="657">
        <v>0</v>
      </c>
      <c r="I1050" s="657">
        <f t="shared" si="73"/>
        <v>17.3</v>
      </c>
      <c r="J1050" s="657">
        <v>0</v>
      </c>
      <c r="K1050" s="657">
        <v>17.3</v>
      </c>
      <c r="L1050" s="732">
        <v>0</v>
      </c>
      <c r="M1050" s="957">
        <v>0.86499999999999999</v>
      </c>
      <c r="N1050" s="653">
        <v>250.53513999999998</v>
      </c>
      <c r="O1050" s="733" t="s">
        <v>2932</v>
      </c>
      <c r="P1050" s="532" t="s">
        <v>1588</v>
      </c>
      <c r="Q1050" s="860">
        <v>0</v>
      </c>
      <c r="R1050" s="860">
        <v>0</v>
      </c>
      <c r="S1050" s="860">
        <v>0</v>
      </c>
      <c r="T1050" s="860">
        <v>0</v>
      </c>
      <c r="U1050" s="532" t="s">
        <v>2307</v>
      </c>
      <c r="V1050" s="533" t="s">
        <v>2923</v>
      </c>
      <c r="W1050" s="653"/>
      <c r="X1050" s="532" t="s">
        <v>1532</v>
      </c>
      <c r="Y1050" s="532" t="s">
        <v>1533</v>
      </c>
      <c r="Z1050" s="532" t="s">
        <v>5615</v>
      </c>
      <c r="AA1050" s="532" t="s">
        <v>1686</v>
      </c>
      <c r="AB1050" s="539" t="s">
        <v>1591</v>
      </c>
    </row>
    <row r="1051" spans="1:28" ht="24" customHeight="1">
      <c r="A1051" s="584"/>
      <c r="B1051" s="460" t="s">
        <v>675</v>
      </c>
      <c r="C1051" s="522" t="s">
        <v>2933</v>
      </c>
      <c r="D1051" s="524" t="s">
        <v>2934</v>
      </c>
      <c r="E1051" s="657">
        <v>20</v>
      </c>
      <c r="F1051" s="657">
        <v>0</v>
      </c>
      <c r="G1051" s="657">
        <v>20</v>
      </c>
      <c r="H1051" s="657">
        <v>0</v>
      </c>
      <c r="I1051" s="657">
        <f t="shared" si="73"/>
        <v>11.6</v>
      </c>
      <c r="J1051" s="657">
        <v>0</v>
      </c>
      <c r="K1051" s="657">
        <v>11.6</v>
      </c>
      <c r="L1051" s="732">
        <v>0</v>
      </c>
      <c r="M1051" s="957">
        <v>0.57999999999999996</v>
      </c>
      <c r="N1051" s="653">
        <v>167.98887999999997</v>
      </c>
      <c r="O1051" s="733" t="s">
        <v>2935</v>
      </c>
      <c r="P1051" s="532" t="s">
        <v>1588</v>
      </c>
      <c r="Q1051" s="860">
        <v>0</v>
      </c>
      <c r="R1051" s="860">
        <v>0</v>
      </c>
      <c r="S1051" s="860">
        <v>0</v>
      </c>
      <c r="T1051" s="860">
        <v>0</v>
      </c>
      <c r="U1051" s="532" t="s">
        <v>2307</v>
      </c>
      <c r="V1051" s="533" t="s">
        <v>2866</v>
      </c>
      <c r="W1051" s="653"/>
      <c r="X1051" s="532" t="s">
        <v>1532</v>
      </c>
      <c r="Y1051" s="532" t="s">
        <v>1533</v>
      </c>
      <c r="Z1051" s="532" t="s">
        <v>2936</v>
      </c>
      <c r="AA1051" s="532" t="s">
        <v>1686</v>
      </c>
      <c r="AB1051" s="539" t="s">
        <v>1591</v>
      </c>
    </row>
    <row r="1052" spans="1:28" ht="24" customHeight="1">
      <c r="A1052" s="584"/>
      <c r="B1052" s="460" t="s">
        <v>675</v>
      </c>
      <c r="C1052" s="522" t="s">
        <v>2937</v>
      </c>
      <c r="D1052" s="524" t="s">
        <v>2938</v>
      </c>
      <c r="E1052" s="657">
        <v>35</v>
      </c>
      <c r="F1052" s="657">
        <v>0</v>
      </c>
      <c r="G1052" s="657">
        <v>35</v>
      </c>
      <c r="H1052" s="657">
        <v>0</v>
      </c>
      <c r="I1052" s="657">
        <f t="shared" si="73"/>
        <v>32</v>
      </c>
      <c r="J1052" s="657">
        <v>0</v>
      </c>
      <c r="K1052" s="657">
        <v>32</v>
      </c>
      <c r="L1052" s="732">
        <v>0</v>
      </c>
      <c r="M1052" s="957">
        <v>0.91428571428571426</v>
      </c>
      <c r="N1052" s="653">
        <v>264.81005714285709</v>
      </c>
      <c r="O1052" s="733" t="s">
        <v>5663</v>
      </c>
      <c r="P1052" s="532" t="s">
        <v>1588</v>
      </c>
      <c r="Q1052" s="860">
        <v>0</v>
      </c>
      <c r="R1052" s="860">
        <v>0</v>
      </c>
      <c r="S1052" s="860">
        <v>0</v>
      </c>
      <c r="T1052" s="860">
        <v>0</v>
      </c>
      <c r="U1052" s="532" t="s">
        <v>2307</v>
      </c>
      <c r="V1052" s="533" t="s">
        <v>2939</v>
      </c>
      <c r="W1052" s="653"/>
      <c r="X1052" s="532" t="s">
        <v>1532</v>
      </c>
      <c r="Y1052" s="514" t="s">
        <v>1533</v>
      </c>
      <c r="Z1052" s="532" t="s">
        <v>1865</v>
      </c>
      <c r="AA1052" s="532" t="s">
        <v>1686</v>
      </c>
      <c r="AB1052" s="539" t="s">
        <v>1591</v>
      </c>
    </row>
    <row r="1053" spans="1:28" ht="24" customHeight="1">
      <c r="A1053" s="584"/>
      <c r="B1053" s="521" t="s">
        <v>675</v>
      </c>
      <c r="C1053" s="522" t="s">
        <v>2940</v>
      </c>
      <c r="D1053" s="524" t="s">
        <v>2941</v>
      </c>
      <c r="E1053" s="657">
        <v>35</v>
      </c>
      <c r="F1053" s="657">
        <v>0</v>
      </c>
      <c r="G1053" s="657">
        <v>35</v>
      </c>
      <c r="H1053" s="657">
        <v>0</v>
      </c>
      <c r="I1053" s="657">
        <f t="shared" si="73"/>
        <v>29</v>
      </c>
      <c r="J1053" s="657">
        <v>0</v>
      </c>
      <c r="K1053" s="657">
        <v>29</v>
      </c>
      <c r="L1053" s="732">
        <v>0</v>
      </c>
      <c r="M1053" s="957">
        <v>0.82857142857142863</v>
      </c>
      <c r="N1053" s="653">
        <v>239.98411428571433</v>
      </c>
      <c r="O1053" s="733" t="s">
        <v>5769</v>
      </c>
      <c r="P1053" s="532" t="s">
        <v>1588</v>
      </c>
      <c r="Q1053" s="860">
        <v>0</v>
      </c>
      <c r="R1053" s="860">
        <v>0</v>
      </c>
      <c r="S1053" s="860">
        <v>0</v>
      </c>
      <c r="T1053" s="860">
        <v>0</v>
      </c>
      <c r="U1053" s="532" t="s">
        <v>2307</v>
      </c>
      <c r="V1053" s="533" t="s">
        <v>2939</v>
      </c>
      <c r="W1053" s="653"/>
      <c r="X1053" s="532" t="s">
        <v>1532</v>
      </c>
      <c r="Y1053" s="532" t="s">
        <v>1533</v>
      </c>
      <c r="Z1053" s="532" t="s">
        <v>1865</v>
      </c>
      <c r="AA1053" s="532" t="s">
        <v>1686</v>
      </c>
      <c r="AB1053" s="539" t="s">
        <v>1591</v>
      </c>
    </row>
    <row r="1054" spans="1:28" ht="24" customHeight="1">
      <c r="A1054" s="584"/>
      <c r="B1054" s="460" t="s">
        <v>675</v>
      </c>
      <c r="C1054" s="522" t="s">
        <v>2942</v>
      </c>
      <c r="D1054" s="524" t="s">
        <v>2943</v>
      </c>
      <c r="E1054" s="657">
        <v>40</v>
      </c>
      <c r="F1054" s="657">
        <v>0</v>
      </c>
      <c r="G1054" s="657">
        <v>40</v>
      </c>
      <c r="H1054" s="657">
        <v>0</v>
      </c>
      <c r="I1054" s="657">
        <f t="shared" si="73"/>
        <v>29</v>
      </c>
      <c r="J1054" s="657">
        <v>0</v>
      </c>
      <c r="K1054" s="657">
        <v>29</v>
      </c>
      <c r="L1054" s="732">
        <v>0</v>
      </c>
      <c r="M1054" s="957">
        <v>0.72499999999999998</v>
      </c>
      <c r="N1054" s="653">
        <v>209.98610000000002</v>
      </c>
      <c r="O1054" s="733" t="s">
        <v>2944</v>
      </c>
      <c r="P1054" s="532" t="s">
        <v>1588</v>
      </c>
      <c r="Q1054" s="860">
        <v>0</v>
      </c>
      <c r="R1054" s="860">
        <v>0</v>
      </c>
      <c r="S1054" s="860">
        <v>0</v>
      </c>
      <c r="T1054" s="860">
        <v>0</v>
      </c>
      <c r="U1054" s="532" t="s">
        <v>2307</v>
      </c>
      <c r="V1054" s="533" t="s">
        <v>2945</v>
      </c>
      <c r="W1054" s="653"/>
      <c r="X1054" s="532" t="s">
        <v>1532</v>
      </c>
      <c r="Y1054" s="532" t="s">
        <v>1533</v>
      </c>
      <c r="Z1054" s="532" t="s">
        <v>1865</v>
      </c>
      <c r="AA1054" s="532" t="s">
        <v>1686</v>
      </c>
      <c r="AB1054" s="539" t="s">
        <v>1591</v>
      </c>
    </row>
    <row r="1055" spans="1:28" ht="24" customHeight="1">
      <c r="A1055" s="584"/>
      <c r="B1055" s="521" t="s">
        <v>675</v>
      </c>
      <c r="C1055" s="522" t="s">
        <v>2946</v>
      </c>
      <c r="D1055" s="524" t="s">
        <v>2947</v>
      </c>
      <c r="E1055" s="657">
        <v>30</v>
      </c>
      <c r="F1055" s="657">
        <v>0</v>
      </c>
      <c r="G1055" s="657">
        <v>30</v>
      </c>
      <c r="H1055" s="657">
        <v>0</v>
      </c>
      <c r="I1055" s="657">
        <f t="shared" si="73"/>
        <v>29</v>
      </c>
      <c r="J1055" s="657">
        <v>0</v>
      </c>
      <c r="K1055" s="657">
        <v>29</v>
      </c>
      <c r="L1055" s="732">
        <v>0</v>
      </c>
      <c r="M1055" s="957">
        <v>0.96666666666666667</v>
      </c>
      <c r="N1055" s="653">
        <v>279.98146666666668</v>
      </c>
      <c r="O1055" s="733" t="s">
        <v>2904</v>
      </c>
      <c r="P1055" s="532" t="s">
        <v>1588</v>
      </c>
      <c r="Q1055" s="860">
        <v>0</v>
      </c>
      <c r="R1055" s="860">
        <v>0</v>
      </c>
      <c r="S1055" s="860">
        <v>0</v>
      </c>
      <c r="T1055" s="860">
        <v>0</v>
      </c>
      <c r="U1055" s="532" t="s">
        <v>2307</v>
      </c>
      <c r="V1055" s="533" t="s">
        <v>2948</v>
      </c>
      <c r="W1055" s="653"/>
      <c r="X1055" s="532" t="s">
        <v>1532</v>
      </c>
      <c r="Y1055" s="532" t="s">
        <v>1533</v>
      </c>
      <c r="Z1055" s="532" t="s">
        <v>335</v>
      </c>
      <c r="AA1055" s="532" t="s">
        <v>1686</v>
      </c>
      <c r="AB1055" s="539" t="s">
        <v>1591</v>
      </c>
    </row>
    <row r="1056" spans="1:28" ht="24" customHeight="1">
      <c r="A1056" s="584"/>
      <c r="B1056" s="460" t="s">
        <v>675</v>
      </c>
      <c r="C1056" s="522" t="s">
        <v>2949</v>
      </c>
      <c r="D1056" s="524" t="s">
        <v>2950</v>
      </c>
      <c r="E1056" s="657">
        <f>SUM(F1056:H1056)</f>
        <v>50</v>
      </c>
      <c r="F1056" s="657">
        <v>0</v>
      </c>
      <c r="G1056" s="657">
        <v>50</v>
      </c>
      <c r="H1056" s="657">
        <v>0</v>
      </c>
      <c r="I1056" s="657">
        <f t="shared" si="73"/>
        <v>30</v>
      </c>
      <c r="J1056" s="657">
        <v>0</v>
      </c>
      <c r="K1056" s="657">
        <v>30</v>
      </c>
      <c r="L1056" s="732">
        <v>0</v>
      </c>
      <c r="M1056" s="957">
        <v>0.6</v>
      </c>
      <c r="N1056" s="653">
        <v>173.7816</v>
      </c>
      <c r="O1056" s="733" t="s">
        <v>2951</v>
      </c>
      <c r="P1056" s="532" t="s">
        <v>1588</v>
      </c>
      <c r="Q1056" s="860">
        <v>0</v>
      </c>
      <c r="R1056" s="860">
        <v>0</v>
      </c>
      <c r="S1056" s="860">
        <v>0</v>
      </c>
      <c r="T1056" s="860">
        <v>0</v>
      </c>
      <c r="U1056" s="532" t="s">
        <v>2952</v>
      </c>
      <c r="V1056" s="533" t="s">
        <v>2077</v>
      </c>
      <c r="W1056" s="653">
        <v>343</v>
      </c>
      <c r="X1056" s="532" t="s">
        <v>1532</v>
      </c>
      <c r="Y1056" s="532" t="s">
        <v>1533</v>
      </c>
      <c r="Z1056" s="532" t="s">
        <v>1686</v>
      </c>
      <c r="AA1056" s="532" t="s">
        <v>1686</v>
      </c>
      <c r="AB1056" s="539" t="s">
        <v>1686</v>
      </c>
    </row>
    <row r="1057" spans="1:28" ht="24" customHeight="1">
      <c r="A1057" s="582" t="s">
        <v>1866</v>
      </c>
      <c r="B1057" s="460" t="s">
        <v>2201</v>
      </c>
      <c r="C1057" s="458" t="s">
        <v>2427</v>
      </c>
      <c r="D1057" s="510" t="s">
        <v>2953</v>
      </c>
      <c r="E1057" s="497">
        <f>SUM(F1057:H1057)</f>
        <v>2600</v>
      </c>
      <c r="F1057" s="497">
        <v>0</v>
      </c>
      <c r="G1057" s="497">
        <v>0</v>
      </c>
      <c r="H1057" s="497">
        <v>2600</v>
      </c>
      <c r="I1057" s="737">
        <f t="shared" si="73"/>
        <v>2442</v>
      </c>
      <c r="J1057" s="737">
        <v>0</v>
      </c>
      <c r="K1057" s="737">
        <v>0</v>
      </c>
      <c r="L1057" s="738">
        <v>2442</v>
      </c>
      <c r="M1057" s="956">
        <v>0.95381715362865216</v>
      </c>
      <c r="N1057" s="653">
        <v>247.13039999999995</v>
      </c>
      <c r="O1057" s="731" t="s">
        <v>2954</v>
      </c>
      <c r="P1057" s="514" t="s">
        <v>1588</v>
      </c>
      <c r="Q1057" s="859">
        <v>130</v>
      </c>
      <c r="R1057" s="859">
        <v>0</v>
      </c>
      <c r="S1057" s="859">
        <v>0</v>
      </c>
      <c r="T1057" s="859">
        <v>0</v>
      </c>
      <c r="U1057" s="514"/>
      <c r="V1057" s="514" t="s">
        <v>2955</v>
      </c>
      <c r="W1057" s="498">
        <v>14250</v>
      </c>
      <c r="X1057" s="514" t="s">
        <v>2276</v>
      </c>
      <c r="Y1057" s="514" t="s">
        <v>3336</v>
      </c>
      <c r="Z1057" s="514" t="s">
        <v>1867</v>
      </c>
      <c r="AA1057" s="514" t="s">
        <v>1686</v>
      </c>
      <c r="AB1057" s="531" t="s">
        <v>1686</v>
      </c>
    </row>
    <row r="1058" spans="1:28" ht="24" customHeight="1">
      <c r="A1058" s="584"/>
      <c r="B1058" s="460" t="s">
        <v>675</v>
      </c>
      <c r="C1058" s="458" t="s">
        <v>2145</v>
      </c>
      <c r="D1058" s="510" t="s">
        <v>2956</v>
      </c>
      <c r="E1058" s="497">
        <v>60</v>
      </c>
      <c r="F1058" s="497">
        <v>0</v>
      </c>
      <c r="G1058" s="497">
        <v>0</v>
      </c>
      <c r="H1058" s="497">
        <v>60</v>
      </c>
      <c r="I1058" s="497">
        <f t="shared" si="73"/>
        <v>54</v>
      </c>
      <c r="J1058" s="497">
        <v>0</v>
      </c>
      <c r="K1058" s="497">
        <v>0</v>
      </c>
      <c r="L1058" s="721">
        <v>54</v>
      </c>
      <c r="M1058" s="957">
        <v>0.9</v>
      </c>
      <c r="N1058" s="653">
        <v>0</v>
      </c>
      <c r="O1058" s="731" t="s">
        <v>2957</v>
      </c>
      <c r="P1058" s="540" t="s">
        <v>1588</v>
      </c>
      <c r="Q1058" s="859">
        <v>0</v>
      </c>
      <c r="R1058" s="859">
        <v>0</v>
      </c>
      <c r="S1058" s="859">
        <v>0</v>
      </c>
      <c r="T1058" s="859">
        <v>0</v>
      </c>
      <c r="U1058" s="514" t="s">
        <v>2958</v>
      </c>
      <c r="V1058" s="514" t="s">
        <v>2959</v>
      </c>
      <c r="W1058" s="498">
        <v>189</v>
      </c>
      <c r="X1058" s="514" t="s">
        <v>1532</v>
      </c>
      <c r="Y1058" s="514" t="s">
        <v>3336</v>
      </c>
      <c r="Z1058" s="514" t="s">
        <v>1867</v>
      </c>
      <c r="AA1058" s="514" t="s">
        <v>1686</v>
      </c>
      <c r="AB1058" s="531" t="s">
        <v>1686</v>
      </c>
    </row>
    <row r="1059" spans="1:28" ht="24" customHeight="1">
      <c r="A1059" s="584"/>
      <c r="B1059" s="460" t="s">
        <v>675</v>
      </c>
      <c r="C1059" s="458" t="s">
        <v>2097</v>
      </c>
      <c r="D1059" s="510" t="s">
        <v>2960</v>
      </c>
      <c r="E1059" s="497">
        <v>50</v>
      </c>
      <c r="F1059" s="497">
        <v>0</v>
      </c>
      <c r="G1059" s="497">
        <v>0</v>
      </c>
      <c r="H1059" s="497">
        <v>50</v>
      </c>
      <c r="I1059" s="497">
        <f t="shared" si="73"/>
        <v>45</v>
      </c>
      <c r="J1059" s="497">
        <v>0</v>
      </c>
      <c r="K1059" s="497">
        <v>0</v>
      </c>
      <c r="L1059" s="721">
        <v>45</v>
      </c>
      <c r="M1059" s="956">
        <v>0.9</v>
      </c>
      <c r="N1059" s="653">
        <v>0</v>
      </c>
      <c r="O1059" s="731" t="s">
        <v>2961</v>
      </c>
      <c r="P1059" s="514" t="s">
        <v>1588</v>
      </c>
      <c r="Q1059" s="859">
        <v>0</v>
      </c>
      <c r="R1059" s="859">
        <v>0</v>
      </c>
      <c r="S1059" s="859">
        <v>0</v>
      </c>
      <c r="T1059" s="859">
        <v>0</v>
      </c>
      <c r="U1059" s="514" t="s">
        <v>2958</v>
      </c>
      <c r="V1059" s="514" t="s">
        <v>2962</v>
      </c>
      <c r="W1059" s="498">
        <v>467</v>
      </c>
      <c r="X1059" s="514" t="s">
        <v>1532</v>
      </c>
      <c r="Y1059" s="514" t="s">
        <v>3336</v>
      </c>
      <c r="Z1059" s="514" t="s">
        <v>1868</v>
      </c>
      <c r="AA1059" s="514" t="s">
        <v>1686</v>
      </c>
      <c r="AB1059" s="531" t="s">
        <v>1686</v>
      </c>
    </row>
    <row r="1060" spans="1:28" ht="24" customHeight="1">
      <c r="A1060" s="584"/>
      <c r="B1060" s="460" t="s">
        <v>675</v>
      </c>
      <c r="C1060" s="458" t="s">
        <v>2677</v>
      </c>
      <c r="D1060" s="510" t="s">
        <v>2963</v>
      </c>
      <c r="E1060" s="497">
        <v>20</v>
      </c>
      <c r="F1060" s="497">
        <v>0</v>
      </c>
      <c r="G1060" s="497">
        <v>0</v>
      </c>
      <c r="H1060" s="497">
        <v>20</v>
      </c>
      <c r="I1060" s="497">
        <f t="shared" si="73"/>
        <v>18</v>
      </c>
      <c r="J1060" s="497">
        <v>0</v>
      </c>
      <c r="K1060" s="497">
        <v>0</v>
      </c>
      <c r="L1060" s="721">
        <v>18</v>
      </c>
      <c r="M1060" s="956">
        <v>0.9</v>
      </c>
      <c r="N1060" s="653">
        <v>0</v>
      </c>
      <c r="O1060" s="731" t="s">
        <v>2964</v>
      </c>
      <c r="P1060" s="514" t="s">
        <v>1588</v>
      </c>
      <c r="Q1060" s="859">
        <v>0</v>
      </c>
      <c r="R1060" s="859">
        <v>0</v>
      </c>
      <c r="S1060" s="859">
        <v>0</v>
      </c>
      <c r="T1060" s="859">
        <v>0</v>
      </c>
      <c r="U1060" s="514" t="s">
        <v>2958</v>
      </c>
      <c r="V1060" s="514" t="s">
        <v>2962</v>
      </c>
      <c r="W1060" s="498">
        <v>155</v>
      </c>
      <c r="X1060" s="514" t="s">
        <v>1532</v>
      </c>
      <c r="Y1060" s="514" t="s">
        <v>3336</v>
      </c>
      <c r="Z1060" s="514" t="s">
        <v>1868</v>
      </c>
      <c r="AA1060" s="514" t="s">
        <v>1686</v>
      </c>
      <c r="AB1060" s="531" t="s">
        <v>1686</v>
      </c>
    </row>
    <row r="1061" spans="1:28" ht="24" customHeight="1">
      <c r="A1061" s="584"/>
      <c r="B1061" s="460" t="s">
        <v>675</v>
      </c>
      <c r="C1061" s="458" t="s">
        <v>2965</v>
      </c>
      <c r="D1061" s="510" t="s">
        <v>2966</v>
      </c>
      <c r="E1061" s="497">
        <v>60</v>
      </c>
      <c r="F1061" s="497">
        <v>0</v>
      </c>
      <c r="G1061" s="497" t="s">
        <v>1704</v>
      </c>
      <c r="H1061" s="497">
        <v>60</v>
      </c>
      <c r="I1061" s="497">
        <f t="shared" si="73"/>
        <v>54</v>
      </c>
      <c r="J1061" s="497">
        <v>0</v>
      </c>
      <c r="K1061" s="497">
        <v>0</v>
      </c>
      <c r="L1061" s="721">
        <v>54</v>
      </c>
      <c r="M1061" s="956">
        <v>0.9</v>
      </c>
      <c r="N1061" s="653">
        <v>0</v>
      </c>
      <c r="O1061" s="731" t="s">
        <v>2967</v>
      </c>
      <c r="P1061" s="514" t="s">
        <v>1588</v>
      </c>
      <c r="Q1061" s="859">
        <v>0</v>
      </c>
      <c r="R1061" s="859">
        <v>0</v>
      </c>
      <c r="S1061" s="859">
        <v>0</v>
      </c>
      <c r="T1061" s="859">
        <v>0</v>
      </c>
      <c r="U1061" s="514" t="s">
        <v>2958</v>
      </c>
      <c r="V1061" s="514" t="s">
        <v>5197</v>
      </c>
      <c r="W1061" s="498">
        <v>217</v>
      </c>
      <c r="X1061" s="514" t="s">
        <v>1532</v>
      </c>
      <c r="Y1061" s="514" t="s">
        <v>3336</v>
      </c>
      <c r="Z1061" s="514" t="s">
        <v>1698</v>
      </c>
      <c r="AA1061" s="514" t="s">
        <v>1686</v>
      </c>
      <c r="AB1061" s="531" t="s">
        <v>1686</v>
      </c>
    </row>
    <row r="1062" spans="1:28" ht="24" customHeight="1">
      <c r="A1062" s="584"/>
      <c r="B1062" s="460" t="s">
        <v>675</v>
      </c>
      <c r="C1062" s="458" t="s">
        <v>3310</v>
      </c>
      <c r="D1062" s="510" t="s">
        <v>2968</v>
      </c>
      <c r="E1062" s="497">
        <v>16</v>
      </c>
      <c r="F1062" s="497">
        <v>0</v>
      </c>
      <c r="G1062" s="497">
        <v>0</v>
      </c>
      <c r="H1062" s="497">
        <v>16</v>
      </c>
      <c r="I1062" s="497">
        <f t="shared" si="73"/>
        <v>14</v>
      </c>
      <c r="J1062" s="497">
        <v>0</v>
      </c>
      <c r="K1062" s="497">
        <v>0</v>
      </c>
      <c r="L1062" s="721">
        <v>14</v>
      </c>
      <c r="M1062" s="956">
        <v>0.875</v>
      </c>
      <c r="N1062" s="653">
        <v>0</v>
      </c>
      <c r="O1062" s="731" t="s">
        <v>3180</v>
      </c>
      <c r="P1062" s="514" t="s">
        <v>1588</v>
      </c>
      <c r="Q1062" s="859">
        <v>0</v>
      </c>
      <c r="R1062" s="859">
        <v>0</v>
      </c>
      <c r="S1062" s="859">
        <v>0</v>
      </c>
      <c r="T1062" s="859">
        <v>0</v>
      </c>
      <c r="U1062" s="514" t="s">
        <v>2958</v>
      </c>
      <c r="V1062" s="514" t="s">
        <v>2969</v>
      </c>
      <c r="W1062" s="498">
        <v>223</v>
      </c>
      <c r="X1062" s="514" t="s">
        <v>1532</v>
      </c>
      <c r="Y1062" s="514" t="s">
        <v>3336</v>
      </c>
      <c r="Z1062" s="514" t="s">
        <v>1698</v>
      </c>
      <c r="AA1062" s="514" t="s">
        <v>1686</v>
      </c>
      <c r="AB1062" s="531" t="s">
        <v>1686</v>
      </c>
    </row>
    <row r="1063" spans="1:28" ht="24" customHeight="1">
      <c r="A1063" s="584"/>
      <c r="B1063" s="460" t="s">
        <v>675</v>
      </c>
      <c r="C1063" s="458" t="s">
        <v>2970</v>
      </c>
      <c r="D1063" s="510" t="s">
        <v>2971</v>
      </c>
      <c r="E1063" s="497">
        <v>32</v>
      </c>
      <c r="F1063" s="497">
        <v>0</v>
      </c>
      <c r="G1063" s="497">
        <v>0</v>
      </c>
      <c r="H1063" s="497">
        <v>32</v>
      </c>
      <c r="I1063" s="497">
        <f t="shared" si="73"/>
        <v>27</v>
      </c>
      <c r="J1063" s="497">
        <v>0</v>
      </c>
      <c r="K1063" s="497">
        <v>0</v>
      </c>
      <c r="L1063" s="721">
        <v>27</v>
      </c>
      <c r="M1063" s="956">
        <v>0.84375</v>
      </c>
      <c r="N1063" s="653">
        <v>0</v>
      </c>
      <c r="O1063" s="731" t="s">
        <v>3752</v>
      </c>
      <c r="P1063" s="514" t="s">
        <v>1588</v>
      </c>
      <c r="Q1063" s="859">
        <v>0</v>
      </c>
      <c r="R1063" s="859">
        <v>0</v>
      </c>
      <c r="S1063" s="859">
        <v>0</v>
      </c>
      <c r="T1063" s="859">
        <v>0</v>
      </c>
      <c r="U1063" s="514" t="s">
        <v>2958</v>
      </c>
      <c r="V1063" s="514" t="s">
        <v>2962</v>
      </c>
      <c r="W1063" s="498">
        <v>159</v>
      </c>
      <c r="X1063" s="514" t="s">
        <v>1532</v>
      </c>
      <c r="Y1063" s="514" t="s">
        <v>3336</v>
      </c>
      <c r="Z1063" s="514" t="s">
        <v>1698</v>
      </c>
      <c r="AA1063" s="514" t="s">
        <v>1686</v>
      </c>
      <c r="AB1063" s="531" t="s">
        <v>1686</v>
      </c>
    </row>
    <row r="1064" spans="1:28" ht="24" customHeight="1">
      <c r="A1064" s="584"/>
      <c r="B1064" s="460" t="s">
        <v>675</v>
      </c>
      <c r="C1064" s="458" t="s">
        <v>2972</v>
      </c>
      <c r="D1064" s="510" t="s">
        <v>2973</v>
      </c>
      <c r="E1064" s="497">
        <v>70</v>
      </c>
      <c r="F1064" s="497">
        <v>0</v>
      </c>
      <c r="G1064" s="497">
        <v>0</v>
      </c>
      <c r="H1064" s="497">
        <v>70</v>
      </c>
      <c r="I1064" s="497">
        <f t="shared" si="73"/>
        <v>63</v>
      </c>
      <c r="J1064" s="497">
        <v>0</v>
      </c>
      <c r="K1064" s="497">
        <v>0</v>
      </c>
      <c r="L1064" s="721">
        <v>63</v>
      </c>
      <c r="M1064" s="956">
        <v>0.9</v>
      </c>
      <c r="N1064" s="653">
        <v>0</v>
      </c>
      <c r="O1064" s="731" t="s">
        <v>3419</v>
      </c>
      <c r="P1064" s="514" t="s">
        <v>1588</v>
      </c>
      <c r="Q1064" s="859">
        <v>0</v>
      </c>
      <c r="R1064" s="859">
        <v>0</v>
      </c>
      <c r="S1064" s="859">
        <v>0</v>
      </c>
      <c r="T1064" s="859">
        <v>0</v>
      </c>
      <c r="U1064" s="514" t="s">
        <v>2958</v>
      </c>
      <c r="V1064" s="514" t="s">
        <v>5197</v>
      </c>
      <c r="W1064" s="498">
        <v>180</v>
      </c>
      <c r="X1064" s="514" t="s">
        <v>1532</v>
      </c>
      <c r="Y1064" s="514" t="s">
        <v>3336</v>
      </c>
      <c r="Z1064" s="514" t="s">
        <v>2974</v>
      </c>
      <c r="AA1064" s="514" t="s">
        <v>1686</v>
      </c>
      <c r="AB1064" s="531" t="s">
        <v>1686</v>
      </c>
    </row>
    <row r="1065" spans="1:28" ht="24" customHeight="1">
      <c r="A1065" s="584"/>
      <c r="B1065" s="460" t="s">
        <v>675</v>
      </c>
      <c r="C1065" s="458" t="s">
        <v>2975</v>
      </c>
      <c r="D1065" s="510" t="s">
        <v>2976</v>
      </c>
      <c r="E1065" s="497">
        <v>20</v>
      </c>
      <c r="F1065" s="497">
        <v>0</v>
      </c>
      <c r="G1065" s="497">
        <v>0</v>
      </c>
      <c r="H1065" s="497">
        <v>20</v>
      </c>
      <c r="I1065" s="497">
        <f t="shared" si="73"/>
        <v>18</v>
      </c>
      <c r="J1065" s="497">
        <v>0</v>
      </c>
      <c r="K1065" s="497">
        <v>0</v>
      </c>
      <c r="L1065" s="721">
        <v>18</v>
      </c>
      <c r="M1065" s="956">
        <v>0.9</v>
      </c>
      <c r="N1065" s="653">
        <v>0</v>
      </c>
      <c r="O1065" s="731" t="s">
        <v>2951</v>
      </c>
      <c r="P1065" s="514" t="s">
        <v>1588</v>
      </c>
      <c r="Q1065" s="859">
        <v>0</v>
      </c>
      <c r="R1065" s="859">
        <v>0</v>
      </c>
      <c r="S1065" s="859">
        <v>0</v>
      </c>
      <c r="T1065" s="859">
        <v>0</v>
      </c>
      <c r="U1065" s="514" t="s">
        <v>2958</v>
      </c>
      <c r="V1065" s="514" t="s">
        <v>2977</v>
      </c>
      <c r="W1065" s="498">
        <v>310</v>
      </c>
      <c r="X1065" s="514" t="s">
        <v>1532</v>
      </c>
      <c r="Y1065" s="514" t="s">
        <v>3336</v>
      </c>
      <c r="Z1065" s="514" t="s">
        <v>2974</v>
      </c>
      <c r="AA1065" s="514" t="s">
        <v>1686</v>
      </c>
      <c r="AB1065" s="531" t="s">
        <v>1686</v>
      </c>
    </row>
    <row r="1066" spans="1:28" ht="24" customHeight="1">
      <c r="A1066" s="584"/>
      <c r="B1066" s="460" t="s">
        <v>675</v>
      </c>
      <c r="C1066" s="458" t="s">
        <v>2978</v>
      </c>
      <c r="D1066" s="510" t="s">
        <v>2979</v>
      </c>
      <c r="E1066" s="497">
        <v>100</v>
      </c>
      <c r="F1066" s="497">
        <v>0</v>
      </c>
      <c r="G1066" s="497">
        <v>0</v>
      </c>
      <c r="H1066" s="497">
        <v>100</v>
      </c>
      <c r="I1066" s="497">
        <f t="shared" si="73"/>
        <v>90</v>
      </c>
      <c r="J1066" s="497">
        <v>0</v>
      </c>
      <c r="K1066" s="497">
        <v>0</v>
      </c>
      <c r="L1066" s="721">
        <v>90</v>
      </c>
      <c r="M1066" s="956">
        <v>0.9</v>
      </c>
      <c r="N1066" s="653">
        <v>0</v>
      </c>
      <c r="O1066" s="731" t="s">
        <v>2951</v>
      </c>
      <c r="P1066" s="514" t="s">
        <v>1588</v>
      </c>
      <c r="Q1066" s="859">
        <v>0</v>
      </c>
      <c r="R1066" s="859">
        <v>0</v>
      </c>
      <c r="S1066" s="859">
        <v>0</v>
      </c>
      <c r="T1066" s="859">
        <v>0</v>
      </c>
      <c r="U1066" s="514" t="s">
        <v>2958</v>
      </c>
      <c r="V1066" s="514" t="s">
        <v>5197</v>
      </c>
      <c r="W1066" s="498">
        <v>217</v>
      </c>
      <c r="X1066" s="514" t="s">
        <v>1532</v>
      </c>
      <c r="Y1066" s="514" t="s">
        <v>3336</v>
      </c>
      <c r="Z1066" s="514" t="s">
        <v>1828</v>
      </c>
      <c r="AA1066" s="514" t="s">
        <v>1686</v>
      </c>
      <c r="AB1066" s="531" t="s">
        <v>1686</v>
      </c>
    </row>
    <row r="1067" spans="1:28" ht="24" customHeight="1">
      <c r="A1067" s="584"/>
      <c r="B1067" s="460" t="s">
        <v>675</v>
      </c>
      <c r="C1067" s="458" t="s">
        <v>2980</v>
      </c>
      <c r="D1067" s="510" t="s">
        <v>2981</v>
      </c>
      <c r="E1067" s="497">
        <v>20</v>
      </c>
      <c r="F1067" s="497">
        <v>0</v>
      </c>
      <c r="G1067" s="497">
        <v>0</v>
      </c>
      <c r="H1067" s="497">
        <v>20</v>
      </c>
      <c r="I1067" s="497">
        <f t="shared" si="73"/>
        <v>18</v>
      </c>
      <c r="J1067" s="497">
        <v>0</v>
      </c>
      <c r="K1067" s="497">
        <v>0</v>
      </c>
      <c r="L1067" s="721">
        <v>18</v>
      </c>
      <c r="M1067" s="956">
        <v>0.9</v>
      </c>
      <c r="N1067" s="653">
        <v>0</v>
      </c>
      <c r="O1067" s="731" t="s">
        <v>2967</v>
      </c>
      <c r="P1067" s="514" t="s">
        <v>1588</v>
      </c>
      <c r="Q1067" s="859">
        <v>0</v>
      </c>
      <c r="R1067" s="859">
        <v>0</v>
      </c>
      <c r="S1067" s="859">
        <v>0</v>
      </c>
      <c r="T1067" s="859">
        <v>0</v>
      </c>
      <c r="U1067" s="514" t="s">
        <v>2958</v>
      </c>
      <c r="V1067" s="514" t="s">
        <v>2982</v>
      </c>
      <c r="W1067" s="498">
        <v>486</v>
      </c>
      <c r="X1067" s="514" t="s">
        <v>1532</v>
      </c>
      <c r="Y1067" s="514" t="s">
        <v>3336</v>
      </c>
      <c r="Z1067" s="514" t="s">
        <v>1828</v>
      </c>
      <c r="AA1067" s="514" t="s">
        <v>1686</v>
      </c>
      <c r="AB1067" s="531" t="s">
        <v>1686</v>
      </c>
    </row>
    <row r="1068" spans="1:28" ht="24" customHeight="1">
      <c r="A1068" s="584"/>
      <c r="B1068" s="460" t="s">
        <v>675</v>
      </c>
      <c r="C1068" s="458" t="s">
        <v>2983</v>
      </c>
      <c r="D1068" s="510" t="s">
        <v>2984</v>
      </c>
      <c r="E1068" s="497">
        <v>30</v>
      </c>
      <c r="F1068" s="497">
        <v>0</v>
      </c>
      <c r="G1068" s="497">
        <v>0</v>
      </c>
      <c r="H1068" s="497">
        <v>30</v>
      </c>
      <c r="I1068" s="497">
        <f t="shared" ref="I1068:I1075" si="74">SUM(J1068:L1068)</f>
        <v>27</v>
      </c>
      <c r="J1068" s="497">
        <v>0</v>
      </c>
      <c r="K1068" s="497">
        <v>0</v>
      </c>
      <c r="L1068" s="721">
        <v>27</v>
      </c>
      <c r="M1068" s="956">
        <v>0.9</v>
      </c>
      <c r="N1068" s="653">
        <v>0</v>
      </c>
      <c r="O1068" s="731" t="s">
        <v>3419</v>
      </c>
      <c r="P1068" s="514" t="s">
        <v>1588</v>
      </c>
      <c r="Q1068" s="859">
        <v>0</v>
      </c>
      <c r="R1068" s="859">
        <v>0</v>
      </c>
      <c r="S1068" s="859">
        <v>0</v>
      </c>
      <c r="T1068" s="859">
        <v>0</v>
      </c>
      <c r="U1068" s="514" t="s">
        <v>2958</v>
      </c>
      <c r="V1068" s="514" t="s">
        <v>2962</v>
      </c>
      <c r="W1068" s="498">
        <v>145</v>
      </c>
      <c r="X1068" s="514" t="s">
        <v>1532</v>
      </c>
      <c r="Y1068" s="514" t="s">
        <v>3336</v>
      </c>
      <c r="Z1068" s="514" t="s">
        <v>1828</v>
      </c>
      <c r="AA1068" s="514" t="s">
        <v>1686</v>
      </c>
      <c r="AB1068" s="531" t="s">
        <v>1686</v>
      </c>
    </row>
    <row r="1069" spans="1:28" ht="24" customHeight="1">
      <c r="A1069" s="584"/>
      <c r="B1069" s="460" t="s">
        <v>675</v>
      </c>
      <c r="C1069" s="458" t="s">
        <v>2985</v>
      </c>
      <c r="D1069" s="510" t="s">
        <v>2986</v>
      </c>
      <c r="E1069" s="497">
        <v>50</v>
      </c>
      <c r="F1069" s="497">
        <v>0</v>
      </c>
      <c r="G1069" s="497">
        <v>0</v>
      </c>
      <c r="H1069" s="497">
        <v>50</v>
      </c>
      <c r="I1069" s="497">
        <f t="shared" si="74"/>
        <v>45</v>
      </c>
      <c r="J1069" s="497">
        <v>0</v>
      </c>
      <c r="K1069" s="497">
        <v>0</v>
      </c>
      <c r="L1069" s="721">
        <v>45</v>
      </c>
      <c r="M1069" s="956">
        <v>0.9</v>
      </c>
      <c r="N1069" s="653">
        <v>0</v>
      </c>
      <c r="O1069" s="731" t="s">
        <v>2987</v>
      </c>
      <c r="P1069" s="514" t="s">
        <v>1588</v>
      </c>
      <c r="Q1069" s="859">
        <v>0</v>
      </c>
      <c r="R1069" s="859">
        <v>0</v>
      </c>
      <c r="S1069" s="859">
        <v>0</v>
      </c>
      <c r="T1069" s="859">
        <v>0</v>
      </c>
      <c r="U1069" s="514" t="s">
        <v>2958</v>
      </c>
      <c r="V1069" s="514" t="s">
        <v>5197</v>
      </c>
      <c r="W1069" s="498">
        <v>193</v>
      </c>
      <c r="X1069" s="514" t="s">
        <v>1532</v>
      </c>
      <c r="Y1069" s="514" t="s">
        <v>3336</v>
      </c>
      <c r="Z1069" s="514" t="s">
        <v>1867</v>
      </c>
      <c r="AA1069" s="514" t="s">
        <v>1686</v>
      </c>
      <c r="AB1069" s="531" t="s">
        <v>1686</v>
      </c>
    </row>
    <row r="1070" spans="1:28" ht="24" customHeight="1">
      <c r="A1070" s="584"/>
      <c r="B1070" s="460" t="s">
        <v>675</v>
      </c>
      <c r="C1070" s="458" t="s">
        <v>2988</v>
      </c>
      <c r="D1070" s="510" t="s">
        <v>2989</v>
      </c>
      <c r="E1070" s="497">
        <v>250</v>
      </c>
      <c r="F1070" s="497">
        <v>0</v>
      </c>
      <c r="G1070" s="497">
        <v>0</v>
      </c>
      <c r="H1070" s="497">
        <v>250</v>
      </c>
      <c r="I1070" s="497">
        <f t="shared" si="74"/>
        <v>200</v>
      </c>
      <c r="J1070" s="497">
        <v>0</v>
      </c>
      <c r="K1070" s="497">
        <v>0</v>
      </c>
      <c r="L1070" s="721">
        <v>200</v>
      </c>
      <c r="M1070" s="956">
        <v>0.8</v>
      </c>
      <c r="N1070" s="653">
        <v>0</v>
      </c>
      <c r="O1070" s="731" t="s">
        <v>2951</v>
      </c>
      <c r="P1070" s="514" t="s">
        <v>1588</v>
      </c>
      <c r="Q1070" s="859">
        <v>0</v>
      </c>
      <c r="R1070" s="859">
        <v>0</v>
      </c>
      <c r="S1070" s="859">
        <v>0</v>
      </c>
      <c r="T1070" s="859">
        <v>0</v>
      </c>
      <c r="U1070" s="514" t="s">
        <v>2309</v>
      </c>
      <c r="V1070" s="514" t="s">
        <v>2990</v>
      </c>
      <c r="W1070" s="498">
        <v>525</v>
      </c>
      <c r="X1070" s="514" t="s">
        <v>1532</v>
      </c>
      <c r="Y1070" s="514" t="s">
        <v>3336</v>
      </c>
      <c r="Z1070" s="514" t="s">
        <v>1867</v>
      </c>
      <c r="AA1070" s="514" t="s">
        <v>1686</v>
      </c>
      <c r="AB1070" s="531" t="s">
        <v>1686</v>
      </c>
    </row>
    <row r="1071" spans="1:28" ht="24" customHeight="1">
      <c r="A1071" s="584"/>
      <c r="B1071" s="460" t="s">
        <v>675</v>
      </c>
      <c r="C1071" s="458" t="s">
        <v>1985</v>
      </c>
      <c r="D1071" s="510" t="s">
        <v>2991</v>
      </c>
      <c r="E1071" s="497">
        <v>90</v>
      </c>
      <c r="F1071" s="497">
        <v>0</v>
      </c>
      <c r="G1071" s="497">
        <v>0</v>
      </c>
      <c r="H1071" s="497">
        <v>90</v>
      </c>
      <c r="I1071" s="497">
        <f t="shared" si="74"/>
        <v>81</v>
      </c>
      <c r="J1071" s="497">
        <v>0</v>
      </c>
      <c r="K1071" s="497">
        <v>0</v>
      </c>
      <c r="L1071" s="721">
        <v>81</v>
      </c>
      <c r="M1071" s="956">
        <v>0.9</v>
      </c>
      <c r="N1071" s="653">
        <v>0</v>
      </c>
      <c r="O1071" s="731" t="s">
        <v>2987</v>
      </c>
      <c r="P1071" s="514" t="s">
        <v>1588</v>
      </c>
      <c r="Q1071" s="859">
        <v>0</v>
      </c>
      <c r="R1071" s="859">
        <v>0</v>
      </c>
      <c r="S1071" s="859">
        <v>0</v>
      </c>
      <c r="T1071" s="859">
        <v>0</v>
      </c>
      <c r="U1071" s="514" t="s">
        <v>2958</v>
      </c>
      <c r="V1071" s="514" t="s">
        <v>2992</v>
      </c>
      <c r="W1071" s="498">
        <v>209</v>
      </c>
      <c r="X1071" s="514" t="s">
        <v>1532</v>
      </c>
      <c r="Y1071" s="514" t="s">
        <v>3336</v>
      </c>
      <c r="Z1071" s="514" t="s">
        <v>1867</v>
      </c>
      <c r="AA1071" s="514" t="s">
        <v>1686</v>
      </c>
      <c r="AB1071" s="531" t="s">
        <v>1686</v>
      </c>
    </row>
    <row r="1072" spans="1:28" ht="24" customHeight="1">
      <c r="A1072" s="584"/>
      <c r="B1072" s="460" t="s">
        <v>675</v>
      </c>
      <c r="C1072" s="458" t="s">
        <v>2993</v>
      </c>
      <c r="D1072" s="510" t="s">
        <v>2994</v>
      </c>
      <c r="E1072" s="497">
        <v>30</v>
      </c>
      <c r="F1072" s="497">
        <v>0</v>
      </c>
      <c r="G1072" s="497">
        <v>0</v>
      </c>
      <c r="H1072" s="497">
        <v>30</v>
      </c>
      <c r="I1072" s="497">
        <f t="shared" si="74"/>
        <v>27</v>
      </c>
      <c r="J1072" s="497">
        <v>0</v>
      </c>
      <c r="K1072" s="497">
        <v>0</v>
      </c>
      <c r="L1072" s="721">
        <v>27</v>
      </c>
      <c r="M1072" s="956">
        <v>0.9</v>
      </c>
      <c r="N1072" s="653">
        <v>0</v>
      </c>
      <c r="O1072" s="731" t="s">
        <v>3419</v>
      </c>
      <c r="P1072" s="514" t="s">
        <v>1588</v>
      </c>
      <c r="Q1072" s="859">
        <v>0</v>
      </c>
      <c r="R1072" s="859">
        <v>0</v>
      </c>
      <c r="S1072" s="859">
        <v>0</v>
      </c>
      <c r="T1072" s="859">
        <v>0</v>
      </c>
      <c r="U1072" s="514" t="s">
        <v>2958</v>
      </c>
      <c r="V1072" s="514" t="s">
        <v>5216</v>
      </c>
      <c r="W1072" s="498">
        <v>471</v>
      </c>
      <c r="X1072" s="514" t="s">
        <v>1532</v>
      </c>
      <c r="Y1072" s="514" t="s">
        <v>3336</v>
      </c>
      <c r="Z1072" s="514" t="s">
        <v>1867</v>
      </c>
      <c r="AA1072" s="514" t="s">
        <v>1686</v>
      </c>
      <c r="AB1072" s="531" t="s">
        <v>1686</v>
      </c>
    </row>
    <row r="1073" spans="1:28" ht="24" customHeight="1">
      <c r="A1073" s="584"/>
      <c r="B1073" s="460" t="s">
        <v>675</v>
      </c>
      <c r="C1073" s="458" t="s">
        <v>2995</v>
      </c>
      <c r="D1073" s="510" t="s">
        <v>2996</v>
      </c>
      <c r="E1073" s="497">
        <v>25</v>
      </c>
      <c r="F1073" s="497">
        <v>0</v>
      </c>
      <c r="G1073" s="497">
        <v>0</v>
      </c>
      <c r="H1073" s="497">
        <v>25</v>
      </c>
      <c r="I1073" s="497">
        <f t="shared" si="74"/>
        <v>20</v>
      </c>
      <c r="J1073" s="497">
        <v>0</v>
      </c>
      <c r="K1073" s="497">
        <v>0</v>
      </c>
      <c r="L1073" s="721">
        <v>20</v>
      </c>
      <c r="M1073" s="956">
        <v>0.8</v>
      </c>
      <c r="N1073" s="653">
        <v>0</v>
      </c>
      <c r="O1073" s="731" t="s">
        <v>2964</v>
      </c>
      <c r="P1073" s="514" t="s">
        <v>1588</v>
      </c>
      <c r="Q1073" s="859">
        <v>0</v>
      </c>
      <c r="R1073" s="859">
        <v>0</v>
      </c>
      <c r="S1073" s="859">
        <v>0</v>
      </c>
      <c r="T1073" s="859">
        <v>0</v>
      </c>
      <c r="U1073" s="514" t="s">
        <v>2958</v>
      </c>
      <c r="V1073" s="514" t="s">
        <v>5216</v>
      </c>
      <c r="W1073" s="498">
        <v>404</v>
      </c>
      <c r="X1073" s="514" t="s">
        <v>1532</v>
      </c>
      <c r="Y1073" s="514" t="s">
        <v>3336</v>
      </c>
      <c r="Z1073" s="514" t="s">
        <v>1869</v>
      </c>
      <c r="AA1073" s="514" t="s">
        <v>1686</v>
      </c>
      <c r="AB1073" s="531" t="s">
        <v>1686</v>
      </c>
    </row>
    <row r="1074" spans="1:28" ht="24" customHeight="1">
      <c r="A1074" s="584"/>
      <c r="B1074" s="460" t="s">
        <v>675</v>
      </c>
      <c r="C1074" s="458" t="s">
        <v>2997</v>
      </c>
      <c r="D1074" s="510" t="s">
        <v>2998</v>
      </c>
      <c r="E1074" s="497">
        <v>40</v>
      </c>
      <c r="F1074" s="497">
        <v>0</v>
      </c>
      <c r="G1074" s="497">
        <v>0</v>
      </c>
      <c r="H1074" s="497">
        <v>40</v>
      </c>
      <c r="I1074" s="497">
        <f t="shared" si="74"/>
        <v>36</v>
      </c>
      <c r="J1074" s="497">
        <v>0</v>
      </c>
      <c r="K1074" s="497">
        <v>0</v>
      </c>
      <c r="L1074" s="721">
        <v>36</v>
      </c>
      <c r="M1074" s="956">
        <v>0.9</v>
      </c>
      <c r="N1074" s="653">
        <v>0</v>
      </c>
      <c r="O1074" s="731" t="s">
        <v>2964</v>
      </c>
      <c r="P1074" s="514" t="s">
        <v>1588</v>
      </c>
      <c r="Q1074" s="859">
        <v>0</v>
      </c>
      <c r="R1074" s="859">
        <v>0</v>
      </c>
      <c r="S1074" s="859">
        <v>0</v>
      </c>
      <c r="T1074" s="859">
        <v>0</v>
      </c>
      <c r="U1074" s="514" t="s">
        <v>2958</v>
      </c>
      <c r="V1074" s="514" t="s">
        <v>2999</v>
      </c>
      <c r="W1074" s="498">
        <v>128</v>
      </c>
      <c r="X1074" s="514" t="s">
        <v>1532</v>
      </c>
      <c r="Y1074" s="514" t="s">
        <v>3336</v>
      </c>
      <c r="Z1074" s="514" t="s">
        <v>1869</v>
      </c>
      <c r="AA1074" s="514" t="s">
        <v>1686</v>
      </c>
      <c r="AB1074" s="531" t="s">
        <v>1686</v>
      </c>
    </row>
    <row r="1075" spans="1:28" ht="24" customHeight="1">
      <c r="A1075" s="584"/>
      <c r="B1075" s="460" t="s">
        <v>675</v>
      </c>
      <c r="C1075" s="458" t="s">
        <v>3000</v>
      </c>
      <c r="D1075" s="510" t="s">
        <v>3001</v>
      </c>
      <c r="E1075" s="497">
        <v>25</v>
      </c>
      <c r="F1075" s="497">
        <v>0</v>
      </c>
      <c r="G1075" s="497">
        <v>0</v>
      </c>
      <c r="H1075" s="497">
        <v>25</v>
      </c>
      <c r="I1075" s="497">
        <f t="shared" si="74"/>
        <v>20</v>
      </c>
      <c r="J1075" s="497">
        <v>0</v>
      </c>
      <c r="K1075" s="497">
        <v>0</v>
      </c>
      <c r="L1075" s="721">
        <v>20</v>
      </c>
      <c r="M1075" s="956">
        <v>0.8</v>
      </c>
      <c r="N1075" s="653">
        <v>0</v>
      </c>
      <c r="O1075" s="731" t="s">
        <v>3002</v>
      </c>
      <c r="P1075" s="514" t="s">
        <v>1588</v>
      </c>
      <c r="Q1075" s="859">
        <v>0</v>
      </c>
      <c r="R1075" s="859">
        <v>0</v>
      </c>
      <c r="S1075" s="859">
        <v>0</v>
      </c>
      <c r="T1075" s="859">
        <v>0</v>
      </c>
      <c r="U1075" s="514" t="s">
        <v>2958</v>
      </c>
      <c r="V1075" s="514" t="s">
        <v>3003</v>
      </c>
      <c r="W1075" s="498">
        <v>462</v>
      </c>
      <c r="X1075" s="514" t="s">
        <v>1532</v>
      </c>
      <c r="Y1075" s="514" t="s">
        <v>3336</v>
      </c>
      <c r="Z1075" s="514" t="s">
        <v>3004</v>
      </c>
      <c r="AA1075" s="514" t="s">
        <v>1686</v>
      </c>
      <c r="AB1075" s="531" t="s">
        <v>1686</v>
      </c>
    </row>
    <row r="1076" spans="1:28" ht="24" customHeight="1">
      <c r="A1076" s="584"/>
      <c r="B1076" s="460" t="s">
        <v>675</v>
      </c>
      <c r="C1076" s="458" t="s">
        <v>3005</v>
      </c>
      <c r="D1076" s="510" t="s">
        <v>3006</v>
      </c>
      <c r="E1076" s="497">
        <v>40</v>
      </c>
      <c r="F1076" s="497">
        <v>0</v>
      </c>
      <c r="G1076" s="497">
        <v>0</v>
      </c>
      <c r="H1076" s="497">
        <v>40</v>
      </c>
      <c r="I1076" s="497">
        <f>L1076</f>
        <v>36</v>
      </c>
      <c r="J1076" s="497">
        <v>0</v>
      </c>
      <c r="K1076" s="497">
        <v>0</v>
      </c>
      <c r="L1076" s="721">
        <v>36</v>
      </c>
      <c r="M1076" s="956">
        <v>0.9</v>
      </c>
      <c r="N1076" s="653">
        <v>0</v>
      </c>
      <c r="O1076" s="731" t="s">
        <v>3007</v>
      </c>
      <c r="P1076" s="514" t="s">
        <v>1588</v>
      </c>
      <c r="Q1076" s="859">
        <v>0</v>
      </c>
      <c r="R1076" s="859">
        <v>0</v>
      </c>
      <c r="S1076" s="859">
        <v>0</v>
      </c>
      <c r="T1076" s="859">
        <v>0</v>
      </c>
      <c r="U1076" s="514" t="s">
        <v>2958</v>
      </c>
      <c r="V1076" s="514" t="s">
        <v>3008</v>
      </c>
      <c r="W1076" s="498">
        <v>230</v>
      </c>
      <c r="X1076" s="514" t="s">
        <v>1532</v>
      </c>
      <c r="Y1076" s="514" t="s">
        <v>3336</v>
      </c>
      <c r="Z1076" s="514" t="s">
        <v>3004</v>
      </c>
      <c r="AA1076" s="514" t="s">
        <v>1686</v>
      </c>
      <c r="AB1076" s="531" t="s">
        <v>1686</v>
      </c>
    </row>
    <row r="1077" spans="1:28" ht="24" customHeight="1">
      <c r="A1077" s="582" t="s">
        <v>1870</v>
      </c>
      <c r="B1077" s="460" t="s">
        <v>2201</v>
      </c>
      <c r="C1077" s="458" t="s">
        <v>2428</v>
      </c>
      <c r="D1077" s="510" t="s">
        <v>3009</v>
      </c>
      <c r="E1077" s="497">
        <f>SUM(F1077:H1077)</f>
        <v>16000</v>
      </c>
      <c r="F1077" s="497">
        <v>0</v>
      </c>
      <c r="G1077" s="497">
        <v>16000</v>
      </c>
      <c r="H1077" s="497">
        <v>0</v>
      </c>
      <c r="I1077" s="497">
        <f>SUM(J1077:L1077)</f>
        <v>11343</v>
      </c>
      <c r="J1077" s="497">
        <v>0</v>
      </c>
      <c r="K1077" s="497">
        <v>11343</v>
      </c>
      <c r="L1077" s="721" t="s">
        <v>3211</v>
      </c>
      <c r="M1077" s="956">
        <v>0.94481605351170572</v>
      </c>
      <c r="N1077" s="653">
        <v>640.87950000000001</v>
      </c>
      <c r="O1077" s="731" t="s">
        <v>1535</v>
      </c>
      <c r="P1077" s="514" t="s">
        <v>1588</v>
      </c>
      <c r="Q1077" s="859">
        <v>0</v>
      </c>
      <c r="R1077" s="859">
        <v>0</v>
      </c>
      <c r="S1077" s="859">
        <v>15.7</v>
      </c>
      <c r="T1077" s="859">
        <v>0</v>
      </c>
      <c r="U1077" s="514" t="s">
        <v>3010</v>
      </c>
      <c r="V1077" s="514" t="s">
        <v>3011</v>
      </c>
      <c r="W1077" s="498">
        <v>23156</v>
      </c>
      <c r="X1077" s="514" t="s">
        <v>2276</v>
      </c>
      <c r="Y1077" s="514" t="s">
        <v>3507</v>
      </c>
      <c r="Z1077" s="514"/>
      <c r="AA1077" s="514" t="s">
        <v>3012</v>
      </c>
      <c r="AB1077" s="531" t="s">
        <v>1587</v>
      </c>
    </row>
    <row r="1078" spans="1:28" ht="24" customHeight="1">
      <c r="A1078" s="584"/>
      <c r="B1078" s="460" t="s">
        <v>2201</v>
      </c>
      <c r="C1078" s="458" t="s">
        <v>2407</v>
      </c>
      <c r="D1078" s="510" t="s">
        <v>3013</v>
      </c>
      <c r="E1078" s="497">
        <f>SUM(F1078:H1078)</f>
        <v>500</v>
      </c>
      <c r="F1078" s="497">
        <v>0</v>
      </c>
      <c r="G1078" s="497">
        <v>0</v>
      </c>
      <c r="H1078" s="497">
        <v>500</v>
      </c>
      <c r="I1078" s="497">
        <f>SUM(J1078:L1078)</f>
        <v>410</v>
      </c>
      <c r="J1078" s="497">
        <v>0</v>
      </c>
      <c r="K1078" s="497">
        <v>0</v>
      </c>
      <c r="L1078" s="721">
        <v>410</v>
      </c>
      <c r="M1078" s="956">
        <v>0.94075829383886256</v>
      </c>
      <c r="N1078" s="653">
        <v>32.554000000000002</v>
      </c>
      <c r="O1078" s="731" t="s">
        <v>3014</v>
      </c>
      <c r="P1078" s="514" t="s">
        <v>1588</v>
      </c>
      <c r="Q1078" s="859">
        <v>0</v>
      </c>
      <c r="R1078" s="859">
        <v>0</v>
      </c>
      <c r="S1078" s="859">
        <v>0</v>
      </c>
      <c r="T1078" s="859">
        <v>0</v>
      </c>
      <c r="U1078" s="514" t="s">
        <v>3010</v>
      </c>
      <c r="V1078" s="534" t="s">
        <v>3015</v>
      </c>
      <c r="W1078" s="653">
        <v>7753</v>
      </c>
      <c r="X1078" s="514" t="s">
        <v>2276</v>
      </c>
      <c r="Y1078" s="514" t="s">
        <v>3016</v>
      </c>
      <c r="Z1078" s="514"/>
      <c r="AA1078" s="514" t="s">
        <v>3017</v>
      </c>
      <c r="AB1078" s="531" t="s">
        <v>1587</v>
      </c>
    </row>
    <row r="1079" spans="1:28" ht="24" customHeight="1">
      <c r="A1079" s="584"/>
      <c r="B1079" s="460" t="s">
        <v>675</v>
      </c>
      <c r="C1079" s="458" t="s">
        <v>3018</v>
      </c>
      <c r="D1079" s="510" t="s">
        <v>3019</v>
      </c>
      <c r="E1079" s="497">
        <f>SUM(F1079:H1079)</f>
        <v>154</v>
      </c>
      <c r="F1079" s="497">
        <v>0</v>
      </c>
      <c r="G1079" s="497">
        <v>154</v>
      </c>
      <c r="H1079" s="497">
        <v>0</v>
      </c>
      <c r="I1079" s="497">
        <f>SUM(J1079:L1079)</f>
        <v>41</v>
      </c>
      <c r="J1079" s="497">
        <v>0</v>
      </c>
      <c r="K1079" s="497">
        <v>41</v>
      </c>
      <c r="L1079" s="721">
        <v>0</v>
      </c>
      <c r="M1079" s="956">
        <v>0.72699999999999998</v>
      </c>
      <c r="N1079" s="653">
        <v>2.6796492999999999</v>
      </c>
      <c r="O1079" s="731" t="s">
        <v>5089</v>
      </c>
      <c r="P1079" s="514" t="s">
        <v>1588</v>
      </c>
      <c r="Q1079" s="859">
        <v>0</v>
      </c>
      <c r="R1079" s="859">
        <v>0</v>
      </c>
      <c r="S1079" s="859">
        <v>0</v>
      </c>
      <c r="T1079" s="859">
        <v>0</v>
      </c>
      <c r="U1079" s="514" t="s">
        <v>3010</v>
      </c>
      <c r="V1079" s="534" t="s">
        <v>3020</v>
      </c>
      <c r="W1079" s="653">
        <v>400</v>
      </c>
      <c r="X1079" s="514" t="s">
        <v>2276</v>
      </c>
      <c r="Y1079" s="514" t="s">
        <v>3507</v>
      </c>
      <c r="Z1079" s="514"/>
      <c r="AA1079" s="514" t="s">
        <v>5612</v>
      </c>
      <c r="AB1079" s="531" t="s">
        <v>1592</v>
      </c>
    </row>
    <row r="1080" spans="1:28" ht="24" customHeight="1">
      <c r="A1080" s="584"/>
      <c r="B1080" s="460" t="s">
        <v>675</v>
      </c>
      <c r="C1080" s="458" t="s">
        <v>3021</v>
      </c>
      <c r="D1080" s="510" t="s">
        <v>3022</v>
      </c>
      <c r="E1080" s="497">
        <f>SUM(F1080:H1080)</f>
        <v>40</v>
      </c>
      <c r="F1080" s="497">
        <v>0</v>
      </c>
      <c r="G1080" s="497">
        <v>40</v>
      </c>
      <c r="H1080" s="497">
        <v>0</v>
      </c>
      <c r="I1080" s="497">
        <f>SUM(J1080:L1080)</f>
        <v>14</v>
      </c>
      <c r="J1080" s="497">
        <v>0</v>
      </c>
      <c r="K1080" s="497">
        <v>14</v>
      </c>
      <c r="L1080" s="721">
        <v>0</v>
      </c>
      <c r="M1080" s="956">
        <v>0.95</v>
      </c>
      <c r="N1080" s="653">
        <v>1.1597599999999999</v>
      </c>
      <c r="O1080" s="731" t="s">
        <v>2865</v>
      </c>
      <c r="P1080" s="514" t="s">
        <v>1588</v>
      </c>
      <c r="Q1080" s="859">
        <v>0</v>
      </c>
      <c r="R1080" s="859">
        <v>0</v>
      </c>
      <c r="S1080" s="859">
        <v>0</v>
      </c>
      <c r="T1080" s="859">
        <v>0</v>
      </c>
      <c r="U1080" s="514" t="s">
        <v>3010</v>
      </c>
      <c r="V1080" s="534" t="s">
        <v>2368</v>
      </c>
      <c r="W1080" s="498">
        <v>306</v>
      </c>
      <c r="X1080" s="514" t="s">
        <v>2276</v>
      </c>
      <c r="Y1080" s="514" t="s">
        <v>3507</v>
      </c>
      <c r="Z1080" s="514"/>
      <c r="AA1080" s="514" t="s">
        <v>3023</v>
      </c>
      <c r="AB1080" s="531" t="s">
        <v>1587</v>
      </c>
    </row>
    <row r="1081" spans="1:28" ht="24" customHeight="1">
      <c r="A1081" s="584"/>
      <c r="B1081" s="460" t="s">
        <v>675</v>
      </c>
      <c r="C1081" s="458" t="s">
        <v>3024</v>
      </c>
      <c r="D1081" s="510" t="s">
        <v>3025</v>
      </c>
      <c r="E1081" s="497">
        <f>SUM(F1081:H1081)</f>
        <v>40</v>
      </c>
      <c r="F1081" s="497">
        <v>0</v>
      </c>
      <c r="G1081" s="497">
        <v>40</v>
      </c>
      <c r="H1081" s="497">
        <v>0</v>
      </c>
      <c r="I1081" s="497">
        <f t="shared" ref="I1081:I1096" si="75">SUM(J1081:L1081)</f>
        <v>40</v>
      </c>
      <c r="J1081" s="497">
        <v>0</v>
      </c>
      <c r="K1081" s="497">
        <v>40</v>
      </c>
      <c r="L1081" s="721">
        <v>0</v>
      </c>
      <c r="M1081" s="956">
        <v>0.70099999999999996</v>
      </c>
      <c r="N1081" s="653">
        <v>2.3581639999999999</v>
      </c>
      <c r="O1081" s="731" t="s">
        <v>5737</v>
      </c>
      <c r="P1081" s="514" t="s">
        <v>1588</v>
      </c>
      <c r="Q1081" s="859">
        <v>0</v>
      </c>
      <c r="R1081" s="859">
        <v>0</v>
      </c>
      <c r="S1081" s="859">
        <v>0</v>
      </c>
      <c r="T1081" s="859">
        <v>0</v>
      </c>
      <c r="U1081" s="514" t="s">
        <v>3010</v>
      </c>
      <c r="V1081" s="534" t="s">
        <v>3416</v>
      </c>
      <c r="W1081" s="498">
        <v>146</v>
      </c>
      <c r="X1081" s="514" t="s">
        <v>2276</v>
      </c>
      <c r="Y1081" s="514" t="s">
        <v>3507</v>
      </c>
      <c r="Z1081" s="514"/>
      <c r="AA1081" s="514" t="s">
        <v>5612</v>
      </c>
      <c r="AB1081" s="531" t="s">
        <v>1587</v>
      </c>
    </row>
    <row r="1082" spans="1:28" ht="24" customHeight="1">
      <c r="A1082" s="584"/>
      <c r="B1082" s="460" t="s">
        <v>675</v>
      </c>
      <c r="C1082" s="458" t="s">
        <v>3026</v>
      </c>
      <c r="D1082" s="510" t="s">
        <v>3027</v>
      </c>
      <c r="E1082" s="497">
        <v>48</v>
      </c>
      <c r="F1082" s="497">
        <v>0</v>
      </c>
      <c r="G1082" s="497">
        <v>48</v>
      </c>
      <c r="H1082" s="497">
        <v>0</v>
      </c>
      <c r="I1082" s="497">
        <f t="shared" si="75"/>
        <v>48</v>
      </c>
      <c r="J1082" s="497">
        <v>0</v>
      </c>
      <c r="K1082" s="497">
        <v>48</v>
      </c>
      <c r="L1082" s="721">
        <v>0</v>
      </c>
      <c r="M1082" s="956">
        <v>0.87</v>
      </c>
      <c r="N1082" s="653">
        <v>2.2425120000000001</v>
      </c>
      <c r="O1082" s="731" t="s">
        <v>5737</v>
      </c>
      <c r="P1082" s="514" t="s">
        <v>1588</v>
      </c>
      <c r="Q1082" s="859">
        <v>0</v>
      </c>
      <c r="R1082" s="859">
        <v>0</v>
      </c>
      <c r="S1082" s="859">
        <v>0</v>
      </c>
      <c r="T1082" s="859">
        <v>0</v>
      </c>
      <c r="U1082" s="514" t="s">
        <v>3010</v>
      </c>
      <c r="V1082" s="534" t="s">
        <v>3416</v>
      </c>
      <c r="W1082" s="498">
        <v>197</v>
      </c>
      <c r="X1082" s="514" t="s">
        <v>2276</v>
      </c>
      <c r="Y1082" s="514" t="s">
        <v>3507</v>
      </c>
      <c r="Z1082" s="514"/>
      <c r="AA1082" s="514" t="s">
        <v>3028</v>
      </c>
      <c r="AB1082" s="531" t="s">
        <v>1587</v>
      </c>
    </row>
    <row r="1083" spans="1:28" ht="24" customHeight="1">
      <c r="A1083" s="584"/>
      <c r="B1083" s="460" t="s">
        <v>675</v>
      </c>
      <c r="C1083" s="458" t="s">
        <v>3029</v>
      </c>
      <c r="D1083" s="510" t="s">
        <v>3030</v>
      </c>
      <c r="E1083" s="497">
        <v>20</v>
      </c>
      <c r="F1083" s="497">
        <v>0</v>
      </c>
      <c r="G1083" s="497">
        <v>20</v>
      </c>
      <c r="H1083" s="497">
        <v>0</v>
      </c>
      <c r="I1083" s="497">
        <f t="shared" si="75"/>
        <v>20</v>
      </c>
      <c r="J1083" s="497">
        <v>0</v>
      </c>
      <c r="K1083" s="497">
        <v>20</v>
      </c>
      <c r="L1083" s="721">
        <v>0</v>
      </c>
      <c r="M1083" s="956">
        <v>0.81200000000000006</v>
      </c>
      <c r="N1083" s="653">
        <v>1.3527920000000002</v>
      </c>
      <c r="O1083" s="731" t="s">
        <v>5737</v>
      </c>
      <c r="P1083" s="514" t="s">
        <v>1588</v>
      </c>
      <c r="Q1083" s="859">
        <v>0</v>
      </c>
      <c r="R1083" s="859">
        <v>0</v>
      </c>
      <c r="S1083" s="859">
        <v>0</v>
      </c>
      <c r="T1083" s="859">
        <v>0</v>
      </c>
      <c r="U1083" s="514" t="s">
        <v>3010</v>
      </c>
      <c r="V1083" s="534" t="s">
        <v>2868</v>
      </c>
      <c r="W1083" s="498">
        <v>344</v>
      </c>
      <c r="X1083" s="514" t="s">
        <v>2276</v>
      </c>
      <c r="Y1083" s="514" t="s">
        <v>3507</v>
      </c>
      <c r="Z1083" s="514"/>
      <c r="AA1083" s="514" t="s">
        <v>5612</v>
      </c>
      <c r="AB1083" s="531" t="s">
        <v>1587</v>
      </c>
    </row>
    <row r="1084" spans="1:28" ht="24" customHeight="1">
      <c r="A1084" s="584"/>
      <c r="B1084" s="460" t="s">
        <v>675</v>
      </c>
      <c r="C1084" s="458" t="s">
        <v>3031</v>
      </c>
      <c r="D1084" s="510" t="s">
        <v>3032</v>
      </c>
      <c r="E1084" s="497">
        <f>SUM(F1084:H1084)</f>
        <v>20</v>
      </c>
      <c r="F1084" s="497">
        <v>0</v>
      </c>
      <c r="G1084" s="497">
        <v>20</v>
      </c>
      <c r="H1084" s="497">
        <v>0</v>
      </c>
      <c r="I1084" s="497">
        <f t="shared" si="75"/>
        <v>20</v>
      </c>
      <c r="J1084" s="497">
        <v>0</v>
      </c>
      <c r="K1084" s="497">
        <v>20</v>
      </c>
      <c r="L1084" s="721">
        <v>0</v>
      </c>
      <c r="M1084" s="956">
        <v>0.88300000000000001</v>
      </c>
      <c r="N1084" s="653">
        <v>1.4834400000000001</v>
      </c>
      <c r="O1084" s="731" t="s">
        <v>2865</v>
      </c>
      <c r="P1084" s="514" t="s">
        <v>1588</v>
      </c>
      <c r="Q1084" s="859">
        <v>0</v>
      </c>
      <c r="R1084" s="859">
        <v>0</v>
      </c>
      <c r="S1084" s="859">
        <v>0</v>
      </c>
      <c r="T1084" s="859">
        <v>0</v>
      </c>
      <c r="U1084" s="514" t="s">
        <v>3010</v>
      </c>
      <c r="V1084" s="534" t="s">
        <v>5435</v>
      </c>
      <c r="W1084" s="498">
        <v>275</v>
      </c>
      <c r="X1084" s="514" t="s">
        <v>2276</v>
      </c>
      <c r="Y1084" s="514" t="s">
        <v>3507</v>
      </c>
      <c r="Z1084" s="514"/>
      <c r="AA1084" s="514" t="s">
        <v>3033</v>
      </c>
      <c r="AB1084" s="531" t="s">
        <v>1587</v>
      </c>
    </row>
    <row r="1085" spans="1:28" ht="24" customHeight="1">
      <c r="A1085" s="584"/>
      <c r="B1085" s="460" t="s">
        <v>675</v>
      </c>
      <c r="C1085" s="458" t="s">
        <v>3034</v>
      </c>
      <c r="D1085" s="510" t="s">
        <v>3035</v>
      </c>
      <c r="E1085" s="497">
        <v>20</v>
      </c>
      <c r="F1085" s="497">
        <v>0</v>
      </c>
      <c r="G1085" s="497">
        <v>20</v>
      </c>
      <c r="H1085" s="497">
        <v>0</v>
      </c>
      <c r="I1085" s="497">
        <f t="shared" si="75"/>
        <v>20</v>
      </c>
      <c r="J1085" s="497">
        <v>0</v>
      </c>
      <c r="K1085" s="497">
        <v>20</v>
      </c>
      <c r="L1085" s="721">
        <v>0</v>
      </c>
      <c r="M1085" s="956">
        <v>0.80500000000000005</v>
      </c>
      <c r="N1085" s="653">
        <v>1.1672499999999999</v>
      </c>
      <c r="O1085" s="731" t="s">
        <v>3036</v>
      </c>
      <c r="P1085" s="514" t="s">
        <v>1588</v>
      </c>
      <c r="Q1085" s="859">
        <v>0</v>
      </c>
      <c r="R1085" s="859">
        <v>0</v>
      </c>
      <c r="S1085" s="859">
        <v>0</v>
      </c>
      <c r="T1085" s="859">
        <v>0</v>
      </c>
      <c r="U1085" s="514" t="s">
        <v>3010</v>
      </c>
      <c r="V1085" s="534" t="s">
        <v>3410</v>
      </c>
      <c r="W1085" s="498">
        <v>289</v>
      </c>
      <c r="X1085" s="514" t="s">
        <v>2276</v>
      </c>
      <c r="Y1085" s="514" t="s">
        <v>3507</v>
      </c>
      <c r="Z1085" s="514"/>
      <c r="AA1085" s="514" t="s">
        <v>2310</v>
      </c>
      <c r="AB1085" s="531" t="s">
        <v>1587</v>
      </c>
    </row>
    <row r="1086" spans="1:28" ht="24" customHeight="1">
      <c r="A1086" s="584"/>
      <c r="B1086" s="460" t="s">
        <v>675</v>
      </c>
      <c r="C1086" s="458" t="s">
        <v>3037</v>
      </c>
      <c r="D1086" s="510" t="s">
        <v>3035</v>
      </c>
      <c r="E1086" s="497">
        <v>34</v>
      </c>
      <c r="F1086" s="497">
        <v>0</v>
      </c>
      <c r="G1086" s="497">
        <v>34</v>
      </c>
      <c r="H1086" s="497">
        <v>0</v>
      </c>
      <c r="I1086" s="497">
        <f t="shared" si="75"/>
        <v>34</v>
      </c>
      <c r="J1086" s="497">
        <v>0</v>
      </c>
      <c r="K1086" s="497">
        <v>34</v>
      </c>
      <c r="L1086" s="721">
        <v>0</v>
      </c>
      <c r="M1086" s="956">
        <v>0.86</v>
      </c>
      <c r="N1086" s="653">
        <v>1.8391959999999998</v>
      </c>
      <c r="O1086" s="731" t="s">
        <v>5089</v>
      </c>
      <c r="P1086" s="514" t="s">
        <v>1588</v>
      </c>
      <c r="Q1086" s="859">
        <v>0</v>
      </c>
      <c r="R1086" s="859">
        <v>0</v>
      </c>
      <c r="S1086" s="859">
        <v>0</v>
      </c>
      <c r="T1086" s="859">
        <v>0</v>
      </c>
      <c r="U1086" s="514" t="s">
        <v>3010</v>
      </c>
      <c r="V1086" s="534" t="s">
        <v>2368</v>
      </c>
      <c r="W1086" s="498">
        <v>223</v>
      </c>
      <c r="X1086" s="514" t="s">
        <v>2276</v>
      </c>
      <c r="Y1086" s="514" t="s">
        <v>3507</v>
      </c>
      <c r="Z1086" s="514"/>
      <c r="AA1086" s="514" t="s">
        <v>3028</v>
      </c>
      <c r="AB1086" s="531" t="s">
        <v>1587</v>
      </c>
    </row>
    <row r="1087" spans="1:28" ht="24" customHeight="1">
      <c r="A1087" s="584"/>
      <c r="B1087" s="460" t="s">
        <v>675</v>
      </c>
      <c r="C1087" s="458" t="s">
        <v>3038</v>
      </c>
      <c r="D1087" s="510" t="s">
        <v>3039</v>
      </c>
      <c r="E1087" s="497">
        <v>34</v>
      </c>
      <c r="F1087" s="497">
        <v>0</v>
      </c>
      <c r="G1087" s="497">
        <v>34</v>
      </c>
      <c r="H1087" s="497">
        <v>0</v>
      </c>
      <c r="I1087" s="497">
        <f t="shared" si="75"/>
        <v>34</v>
      </c>
      <c r="J1087" s="497">
        <v>0</v>
      </c>
      <c r="K1087" s="497">
        <v>34</v>
      </c>
      <c r="L1087" s="721">
        <v>0</v>
      </c>
      <c r="M1087" s="956">
        <v>0.87599999999999989</v>
      </c>
      <c r="N1087" s="653">
        <v>1.8257591999999998</v>
      </c>
      <c r="O1087" s="731" t="s">
        <v>5089</v>
      </c>
      <c r="P1087" s="514" t="s">
        <v>1588</v>
      </c>
      <c r="Q1087" s="859">
        <v>0</v>
      </c>
      <c r="R1087" s="859">
        <v>0</v>
      </c>
      <c r="S1087" s="859">
        <v>0</v>
      </c>
      <c r="T1087" s="859">
        <v>0</v>
      </c>
      <c r="U1087" s="514" t="s">
        <v>3010</v>
      </c>
      <c r="V1087" s="534" t="s">
        <v>2368</v>
      </c>
      <c r="W1087" s="498">
        <v>240</v>
      </c>
      <c r="X1087" s="514" t="s">
        <v>2276</v>
      </c>
      <c r="Y1087" s="514" t="s">
        <v>3507</v>
      </c>
      <c r="Z1087" s="514"/>
      <c r="AA1087" s="514" t="s">
        <v>3023</v>
      </c>
      <c r="AB1087" s="531" t="s">
        <v>1587</v>
      </c>
    </row>
    <row r="1088" spans="1:28" ht="24" customHeight="1">
      <c r="A1088" s="584"/>
      <c r="B1088" s="460" t="s">
        <v>675</v>
      </c>
      <c r="C1088" s="458" t="s">
        <v>3040</v>
      </c>
      <c r="D1088" s="510" t="s">
        <v>3041</v>
      </c>
      <c r="E1088" s="497">
        <v>27</v>
      </c>
      <c r="F1088" s="497">
        <v>0</v>
      </c>
      <c r="G1088" s="497">
        <v>27</v>
      </c>
      <c r="H1088" s="497">
        <v>0</v>
      </c>
      <c r="I1088" s="497">
        <f t="shared" si="75"/>
        <v>27</v>
      </c>
      <c r="J1088" s="497">
        <v>0</v>
      </c>
      <c r="K1088" s="497">
        <v>27</v>
      </c>
      <c r="L1088" s="721">
        <v>0</v>
      </c>
      <c r="M1088" s="956">
        <v>0.83700000000000008</v>
      </c>
      <c r="N1088" s="653">
        <v>0.95819759999999998</v>
      </c>
      <c r="O1088" s="731" t="s">
        <v>5089</v>
      </c>
      <c r="P1088" s="514" t="s">
        <v>1588</v>
      </c>
      <c r="Q1088" s="859">
        <v>0</v>
      </c>
      <c r="R1088" s="859">
        <v>0</v>
      </c>
      <c r="S1088" s="859">
        <v>0</v>
      </c>
      <c r="T1088" s="859">
        <v>0</v>
      </c>
      <c r="U1088" s="514" t="s">
        <v>3010</v>
      </c>
      <c r="V1088" s="534" t="s">
        <v>5435</v>
      </c>
      <c r="W1088" s="498">
        <v>282</v>
      </c>
      <c r="X1088" s="514" t="s">
        <v>2276</v>
      </c>
      <c r="Y1088" s="514" t="s">
        <v>3507</v>
      </c>
      <c r="Z1088" s="514"/>
      <c r="AA1088" s="514" t="s">
        <v>3012</v>
      </c>
      <c r="AB1088" s="531" t="s">
        <v>1587</v>
      </c>
    </row>
    <row r="1089" spans="1:28" ht="24" customHeight="1">
      <c r="A1089" s="584"/>
      <c r="B1089" s="460" t="s">
        <v>675</v>
      </c>
      <c r="C1089" s="458" t="s">
        <v>3042</v>
      </c>
      <c r="D1089" s="510" t="s">
        <v>3043</v>
      </c>
      <c r="E1089" s="497">
        <v>35</v>
      </c>
      <c r="F1089" s="497">
        <v>0</v>
      </c>
      <c r="G1089" s="497">
        <v>35</v>
      </c>
      <c r="H1089" s="497">
        <v>0</v>
      </c>
      <c r="I1089" s="497">
        <f t="shared" si="75"/>
        <v>35</v>
      </c>
      <c r="J1089" s="497">
        <v>0</v>
      </c>
      <c r="K1089" s="497">
        <v>35</v>
      </c>
      <c r="L1089" s="721">
        <v>0</v>
      </c>
      <c r="M1089" s="956">
        <v>0.80099999999999993</v>
      </c>
      <c r="N1089" s="653">
        <v>1.7297595000000001</v>
      </c>
      <c r="O1089" s="731" t="s">
        <v>5737</v>
      </c>
      <c r="P1089" s="514" t="s">
        <v>1588</v>
      </c>
      <c r="Q1089" s="859">
        <v>0</v>
      </c>
      <c r="R1089" s="859">
        <v>0</v>
      </c>
      <c r="S1089" s="859">
        <v>0</v>
      </c>
      <c r="T1089" s="859">
        <v>0</v>
      </c>
      <c r="U1089" s="514" t="s">
        <v>3010</v>
      </c>
      <c r="V1089" s="534" t="s">
        <v>5435</v>
      </c>
      <c r="W1089" s="498">
        <v>353</v>
      </c>
      <c r="X1089" s="514" t="s">
        <v>2276</v>
      </c>
      <c r="Y1089" s="514" t="s">
        <v>3507</v>
      </c>
      <c r="Z1089" s="514"/>
      <c r="AA1089" s="514" t="s">
        <v>3044</v>
      </c>
      <c r="AB1089" s="531" t="s">
        <v>1587</v>
      </c>
    </row>
    <row r="1090" spans="1:28" ht="24" customHeight="1">
      <c r="A1090" s="584"/>
      <c r="B1090" s="460" t="s">
        <v>675</v>
      </c>
      <c r="C1090" s="458" t="s">
        <v>3045</v>
      </c>
      <c r="D1090" s="510" t="s">
        <v>3046</v>
      </c>
      <c r="E1090" s="497">
        <v>35</v>
      </c>
      <c r="F1090" s="497">
        <v>0</v>
      </c>
      <c r="G1090" s="497">
        <v>35</v>
      </c>
      <c r="H1090" s="497">
        <v>0</v>
      </c>
      <c r="I1090" s="497">
        <f t="shared" si="75"/>
        <v>35</v>
      </c>
      <c r="J1090" s="497">
        <v>0</v>
      </c>
      <c r="K1090" s="497">
        <v>35</v>
      </c>
      <c r="L1090" s="721">
        <v>0</v>
      </c>
      <c r="M1090" s="956">
        <v>0.90200000000000002</v>
      </c>
      <c r="N1090" s="653">
        <v>2.9991500000000002</v>
      </c>
      <c r="O1090" s="731" t="s">
        <v>3047</v>
      </c>
      <c r="P1090" s="514" t="s">
        <v>1588</v>
      </c>
      <c r="Q1090" s="859">
        <v>0</v>
      </c>
      <c r="R1090" s="859">
        <v>0</v>
      </c>
      <c r="S1090" s="859">
        <v>0</v>
      </c>
      <c r="T1090" s="859">
        <v>0</v>
      </c>
      <c r="U1090" s="514" t="s">
        <v>3010</v>
      </c>
      <c r="V1090" s="534" t="s">
        <v>3048</v>
      </c>
      <c r="W1090" s="498">
        <v>670</v>
      </c>
      <c r="X1090" s="514" t="s">
        <v>2276</v>
      </c>
      <c r="Y1090" s="514" t="s">
        <v>3507</v>
      </c>
      <c r="Z1090" s="514"/>
      <c r="AA1090" s="514" t="s">
        <v>3049</v>
      </c>
      <c r="AB1090" s="531" t="s">
        <v>1587</v>
      </c>
    </row>
    <row r="1091" spans="1:28" ht="24" customHeight="1">
      <c r="A1091" s="584"/>
      <c r="B1091" s="460" t="s">
        <v>675</v>
      </c>
      <c r="C1091" s="458" t="s">
        <v>3050</v>
      </c>
      <c r="D1091" s="510" t="s">
        <v>3051</v>
      </c>
      <c r="E1091" s="497">
        <v>30</v>
      </c>
      <c r="F1091" s="497">
        <v>0</v>
      </c>
      <c r="G1091" s="497">
        <v>30</v>
      </c>
      <c r="H1091" s="497">
        <v>0</v>
      </c>
      <c r="I1091" s="497">
        <f t="shared" si="75"/>
        <v>30</v>
      </c>
      <c r="J1091" s="497">
        <v>0</v>
      </c>
      <c r="K1091" s="497">
        <v>30</v>
      </c>
      <c r="L1091" s="721">
        <v>0</v>
      </c>
      <c r="M1091" s="956">
        <v>0.90200000000000002</v>
      </c>
      <c r="N1091" s="653">
        <v>2.0430299999999999</v>
      </c>
      <c r="O1091" s="731" t="s">
        <v>5698</v>
      </c>
      <c r="P1091" s="514" t="s">
        <v>1588</v>
      </c>
      <c r="Q1091" s="859">
        <v>0</v>
      </c>
      <c r="R1091" s="859">
        <v>0</v>
      </c>
      <c r="S1091" s="859">
        <v>0</v>
      </c>
      <c r="T1091" s="859">
        <v>0</v>
      </c>
      <c r="U1091" s="514" t="s">
        <v>3010</v>
      </c>
      <c r="V1091" s="534" t="s">
        <v>3052</v>
      </c>
      <c r="W1091" s="498">
        <v>357</v>
      </c>
      <c r="X1091" s="514" t="s">
        <v>2276</v>
      </c>
      <c r="Y1091" s="514" t="s">
        <v>3507</v>
      </c>
      <c r="Z1091" s="514"/>
      <c r="AA1091" s="514" t="s">
        <v>3053</v>
      </c>
      <c r="AB1091" s="531" t="s">
        <v>1587</v>
      </c>
    </row>
    <row r="1092" spans="1:28" ht="24" customHeight="1">
      <c r="A1092" s="584"/>
      <c r="B1092" s="460" t="s">
        <v>675</v>
      </c>
      <c r="C1092" s="458" t="s">
        <v>3054</v>
      </c>
      <c r="D1092" s="510" t="s">
        <v>3055</v>
      </c>
      <c r="E1092" s="497">
        <v>30</v>
      </c>
      <c r="F1092" s="497">
        <v>0</v>
      </c>
      <c r="G1092" s="497">
        <v>30</v>
      </c>
      <c r="H1092" s="497">
        <v>0</v>
      </c>
      <c r="I1092" s="497">
        <f t="shared" si="75"/>
        <v>30</v>
      </c>
      <c r="J1092" s="497">
        <v>0</v>
      </c>
      <c r="K1092" s="497">
        <v>30</v>
      </c>
      <c r="L1092" s="721">
        <v>0</v>
      </c>
      <c r="M1092" s="956">
        <v>0.86699999999999999</v>
      </c>
      <c r="N1092" s="653">
        <v>1.5892109999999999</v>
      </c>
      <c r="O1092" s="731" t="s">
        <v>5698</v>
      </c>
      <c r="P1092" s="514" t="s">
        <v>1588</v>
      </c>
      <c r="Q1092" s="859">
        <v>0</v>
      </c>
      <c r="R1092" s="859">
        <v>0</v>
      </c>
      <c r="S1092" s="859">
        <v>0</v>
      </c>
      <c r="T1092" s="859">
        <v>0</v>
      </c>
      <c r="U1092" s="514" t="s">
        <v>3010</v>
      </c>
      <c r="V1092" s="534" t="s">
        <v>3056</v>
      </c>
      <c r="W1092" s="498">
        <v>240</v>
      </c>
      <c r="X1092" s="514" t="s">
        <v>2276</v>
      </c>
      <c r="Y1092" s="514" t="s">
        <v>3507</v>
      </c>
      <c r="Z1092" s="514"/>
      <c r="AA1092" s="514" t="s">
        <v>3057</v>
      </c>
      <c r="AB1092" s="531" t="s">
        <v>1587</v>
      </c>
    </row>
    <row r="1093" spans="1:28" ht="24" customHeight="1">
      <c r="A1093" s="584"/>
      <c r="B1093" s="460" t="s">
        <v>675</v>
      </c>
      <c r="C1093" s="458" t="s">
        <v>3058</v>
      </c>
      <c r="D1093" s="510" t="s">
        <v>3059</v>
      </c>
      <c r="E1093" s="497">
        <v>30</v>
      </c>
      <c r="F1093" s="497">
        <v>0</v>
      </c>
      <c r="G1093" s="497">
        <v>30</v>
      </c>
      <c r="H1093" s="497">
        <v>0</v>
      </c>
      <c r="I1093" s="497">
        <f t="shared" si="75"/>
        <v>30</v>
      </c>
      <c r="J1093" s="497">
        <v>0</v>
      </c>
      <c r="K1093" s="497">
        <v>30</v>
      </c>
      <c r="L1093" s="721">
        <v>0</v>
      </c>
      <c r="M1093" s="956">
        <v>0.89300000000000002</v>
      </c>
      <c r="N1093" s="653">
        <v>1.7574239999999997</v>
      </c>
      <c r="O1093" s="731" t="s">
        <v>2865</v>
      </c>
      <c r="P1093" s="514" t="s">
        <v>1588</v>
      </c>
      <c r="Q1093" s="859">
        <v>0</v>
      </c>
      <c r="R1093" s="859">
        <v>0</v>
      </c>
      <c r="S1093" s="859">
        <v>0</v>
      </c>
      <c r="T1093" s="859">
        <v>0</v>
      </c>
      <c r="U1093" s="514" t="s">
        <v>3010</v>
      </c>
      <c r="V1093" s="534" t="s">
        <v>2868</v>
      </c>
      <c r="W1093" s="498">
        <v>339</v>
      </c>
      <c r="X1093" s="514" t="s">
        <v>2276</v>
      </c>
      <c r="Y1093" s="514" t="s">
        <v>3507</v>
      </c>
      <c r="Z1093" s="514"/>
      <c r="AA1093" s="514" t="s">
        <v>3060</v>
      </c>
      <c r="AB1093" s="531" t="s">
        <v>1587</v>
      </c>
    </row>
    <row r="1094" spans="1:28" ht="24" customHeight="1">
      <c r="A1094" s="584"/>
      <c r="B1094" s="460" t="s">
        <v>675</v>
      </c>
      <c r="C1094" s="458" t="s">
        <v>3061</v>
      </c>
      <c r="D1094" s="510" t="s">
        <v>3062</v>
      </c>
      <c r="E1094" s="497">
        <v>60</v>
      </c>
      <c r="F1094" s="497">
        <v>0</v>
      </c>
      <c r="G1094" s="497">
        <v>60</v>
      </c>
      <c r="H1094" s="497">
        <v>0</v>
      </c>
      <c r="I1094" s="497">
        <f t="shared" si="75"/>
        <v>60</v>
      </c>
      <c r="J1094" s="497">
        <v>0</v>
      </c>
      <c r="K1094" s="497">
        <v>60</v>
      </c>
      <c r="L1094" s="721">
        <v>0</v>
      </c>
      <c r="M1094" s="956">
        <v>0.83</v>
      </c>
      <c r="N1094" s="653">
        <v>1.98702</v>
      </c>
      <c r="O1094" s="731" t="s">
        <v>5089</v>
      </c>
      <c r="P1094" s="514" t="s">
        <v>1588</v>
      </c>
      <c r="Q1094" s="859">
        <v>0</v>
      </c>
      <c r="R1094" s="859">
        <v>0</v>
      </c>
      <c r="S1094" s="859">
        <v>0</v>
      </c>
      <c r="T1094" s="859">
        <v>0</v>
      </c>
      <c r="U1094" s="514" t="s">
        <v>3010</v>
      </c>
      <c r="V1094" s="534" t="s">
        <v>2368</v>
      </c>
      <c r="W1094" s="498">
        <v>280</v>
      </c>
      <c r="X1094" s="514" t="s">
        <v>2276</v>
      </c>
      <c r="Y1094" s="514" t="s">
        <v>3507</v>
      </c>
      <c r="Z1094" s="514"/>
      <c r="AA1094" s="514" t="s">
        <v>3063</v>
      </c>
      <c r="AB1094" s="531" t="s">
        <v>1587</v>
      </c>
    </row>
    <row r="1095" spans="1:28" ht="24" customHeight="1">
      <c r="A1095" s="584"/>
      <c r="B1095" s="460" t="s">
        <v>675</v>
      </c>
      <c r="C1095" s="458" t="s">
        <v>3064</v>
      </c>
      <c r="D1095" s="510" t="s">
        <v>3065</v>
      </c>
      <c r="E1095" s="497">
        <v>36</v>
      </c>
      <c r="F1095" s="497">
        <v>0</v>
      </c>
      <c r="G1095" s="497">
        <v>36</v>
      </c>
      <c r="H1095" s="497">
        <v>0</v>
      </c>
      <c r="I1095" s="497">
        <f t="shared" si="75"/>
        <v>36</v>
      </c>
      <c r="J1095" s="497">
        <v>0</v>
      </c>
      <c r="K1095" s="497">
        <v>36</v>
      </c>
      <c r="L1095" s="721">
        <v>0</v>
      </c>
      <c r="M1095" s="956">
        <v>0.86599999999999999</v>
      </c>
      <c r="N1095" s="653">
        <v>2.1137327999999997</v>
      </c>
      <c r="O1095" s="731" t="s">
        <v>5737</v>
      </c>
      <c r="P1095" s="514" t="s">
        <v>1588</v>
      </c>
      <c r="Q1095" s="859">
        <v>0</v>
      </c>
      <c r="R1095" s="859">
        <v>0</v>
      </c>
      <c r="S1095" s="859">
        <v>0</v>
      </c>
      <c r="T1095" s="859">
        <v>0</v>
      </c>
      <c r="U1095" s="514" t="s">
        <v>3010</v>
      </c>
      <c r="V1095" s="534" t="s">
        <v>3066</v>
      </c>
      <c r="W1095" s="498">
        <v>140</v>
      </c>
      <c r="X1095" s="514" t="s">
        <v>2276</v>
      </c>
      <c r="Y1095" s="514" t="s">
        <v>3507</v>
      </c>
      <c r="Z1095" s="514"/>
      <c r="AA1095" s="514" t="s">
        <v>3067</v>
      </c>
      <c r="AB1095" s="531" t="s">
        <v>1587</v>
      </c>
    </row>
    <row r="1096" spans="1:28" ht="24" customHeight="1">
      <c r="A1096" s="584"/>
      <c r="B1096" s="460" t="s">
        <v>675</v>
      </c>
      <c r="C1096" s="458" t="s">
        <v>3068</v>
      </c>
      <c r="D1096" s="510" t="s">
        <v>3069</v>
      </c>
      <c r="E1096" s="497">
        <v>60</v>
      </c>
      <c r="F1096" s="497">
        <v>0</v>
      </c>
      <c r="G1096" s="497">
        <v>60</v>
      </c>
      <c r="H1096" s="497">
        <v>0</v>
      </c>
      <c r="I1096" s="497">
        <f t="shared" si="75"/>
        <v>60</v>
      </c>
      <c r="J1096" s="497">
        <v>0</v>
      </c>
      <c r="K1096" s="497">
        <v>60</v>
      </c>
      <c r="L1096" s="721">
        <v>0</v>
      </c>
      <c r="M1096" s="956">
        <v>0.82599999999999996</v>
      </c>
      <c r="N1096" s="653">
        <v>3.3056520000000003</v>
      </c>
      <c r="O1096" s="731" t="s">
        <v>5737</v>
      </c>
      <c r="P1096" s="514" t="s">
        <v>1588</v>
      </c>
      <c r="Q1096" s="859">
        <v>0</v>
      </c>
      <c r="R1096" s="859">
        <v>0</v>
      </c>
      <c r="S1096" s="859">
        <v>0</v>
      </c>
      <c r="T1096" s="859">
        <v>0</v>
      </c>
      <c r="U1096" s="514" t="s">
        <v>3010</v>
      </c>
      <c r="V1096" s="534" t="s">
        <v>3066</v>
      </c>
      <c r="W1096" s="498">
        <v>350</v>
      </c>
      <c r="X1096" s="514" t="s">
        <v>2276</v>
      </c>
      <c r="Y1096" s="514" t="s">
        <v>3507</v>
      </c>
      <c r="Z1096" s="514"/>
      <c r="AA1096" s="514" t="s">
        <v>3070</v>
      </c>
      <c r="AB1096" s="531" t="s">
        <v>1587</v>
      </c>
    </row>
    <row r="1097" spans="1:28" ht="24" customHeight="1">
      <c r="A1097" s="584"/>
      <c r="B1097" s="460" t="s">
        <v>675</v>
      </c>
      <c r="C1097" s="458" t="s">
        <v>3071</v>
      </c>
      <c r="D1097" s="510" t="s">
        <v>3072</v>
      </c>
      <c r="E1097" s="497">
        <v>45</v>
      </c>
      <c r="F1097" s="497">
        <v>0</v>
      </c>
      <c r="G1097" s="497">
        <v>45</v>
      </c>
      <c r="H1097" s="497">
        <v>0</v>
      </c>
      <c r="I1097" s="497">
        <f t="shared" ref="I1097:I1109" si="76">SUM(J1097:L1097)</f>
        <v>45</v>
      </c>
      <c r="J1097" s="497">
        <v>0</v>
      </c>
      <c r="K1097" s="497">
        <v>45</v>
      </c>
      <c r="L1097" s="721">
        <v>0</v>
      </c>
      <c r="M1097" s="956">
        <v>0.81900000000000006</v>
      </c>
      <c r="N1097" s="653">
        <v>2.0823074999999998</v>
      </c>
      <c r="O1097" s="731" t="s">
        <v>5698</v>
      </c>
      <c r="P1097" s="514" t="s">
        <v>1588</v>
      </c>
      <c r="Q1097" s="859">
        <v>0</v>
      </c>
      <c r="R1097" s="859">
        <v>0</v>
      </c>
      <c r="S1097" s="859">
        <v>0</v>
      </c>
      <c r="T1097" s="859">
        <v>0</v>
      </c>
      <c r="U1097" s="514" t="s">
        <v>3010</v>
      </c>
      <c r="V1097" s="534" t="s">
        <v>5435</v>
      </c>
      <c r="W1097" s="498">
        <v>345</v>
      </c>
      <c r="X1097" s="514" t="s">
        <v>2276</v>
      </c>
      <c r="Y1097" s="514" t="s">
        <v>3507</v>
      </c>
      <c r="Z1097" s="514"/>
      <c r="AA1097" s="514" t="s">
        <v>3073</v>
      </c>
      <c r="AB1097" s="531" t="s">
        <v>1587</v>
      </c>
    </row>
    <row r="1098" spans="1:28" ht="24" customHeight="1">
      <c r="A1098" s="584"/>
      <c r="B1098" s="460" t="s">
        <v>675</v>
      </c>
      <c r="C1098" s="458" t="s">
        <v>3074</v>
      </c>
      <c r="D1098" s="510" t="s">
        <v>3069</v>
      </c>
      <c r="E1098" s="497">
        <v>30</v>
      </c>
      <c r="F1098" s="497">
        <v>0</v>
      </c>
      <c r="G1098" s="497">
        <v>30</v>
      </c>
      <c r="H1098" s="497">
        <v>0</v>
      </c>
      <c r="I1098" s="497">
        <f t="shared" si="76"/>
        <v>30</v>
      </c>
      <c r="J1098" s="497">
        <v>0</v>
      </c>
      <c r="K1098" s="497">
        <v>30</v>
      </c>
      <c r="L1098" s="721">
        <v>0</v>
      </c>
      <c r="M1098" s="956">
        <v>0.877</v>
      </c>
      <c r="N1098" s="653">
        <v>2.012715</v>
      </c>
      <c r="O1098" s="731" t="s">
        <v>3451</v>
      </c>
      <c r="P1098" s="514" t="s">
        <v>1588</v>
      </c>
      <c r="Q1098" s="859">
        <v>0</v>
      </c>
      <c r="R1098" s="859">
        <v>0</v>
      </c>
      <c r="S1098" s="859">
        <v>0</v>
      </c>
      <c r="T1098" s="859">
        <v>0</v>
      </c>
      <c r="U1098" s="514" t="s">
        <v>3010</v>
      </c>
      <c r="V1098" s="534" t="s">
        <v>2948</v>
      </c>
      <c r="W1098" s="498">
        <v>661</v>
      </c>
      <c r="X1098" s="514" t="s">
        <v>2276</v>
      </c>
      <c r="Y1098" s="514" t="s">
        <v>3336</v>
      </c>
      <c r="Z1098" s="514"/>
      <c r="AA1098" s="514" t="s">
        <v>3070</v>
      </c>
      <c r="AB1098" s="531" t="s">
        <v>1587</v>
      </c>
    </row>
    <row r="1099" spans="1:28" ht="24" customHeight="1">
      <c r="A1099" s="584"/>
      <c r="B1099" s="460" t="s">
        <v>675</v>
      </c>
      <c r="C1099" s="458" t="s">
        <v>3075</v>
      </c>
      <c r="D1099" s="510" t="s">
        <v>3076</v>
      </c>
      <c r="E1099" s="497">
        <v>40</v>
      </c>
      <c r="F1099" s="497">
        <v>0</v>
      </c>
      <c r="G1099" s="497">
        <v>40</v>
      </c>
      <c r="H1099" s="497">
        <v>0</v>
      </c>
      <c r="I1099" s="497">
        <f t="shared" si="76"/>
        <v>40</v>
      </c>
      <c r="J1099" s="497">
        <v>0</v>
      </c>
      <c r="K1099" s="497">
        <v>40</v>
      </c>
      <c r="L1099" s="721">
        <v>0</v>
      </c>
      <c r="M1099" s="956">
        <v>0.84099999999999997</v>
      </c>
      <c r="N1099" s="653">
        <v>1.372512</v>
      </c>
      <c r="O1099" s="731" t="s">
        <v>780</v>
      </c>
      <c r="P1099" s="514" t="s">
        <v>1588</v>
      </c>
      <c r="Q1099" s="859">
        <v>0</v>
      </c>
      <c r="R1099" s="859">
        <v>0</v>
      </c>
      <c r="S1099" s="859">
        <v>0</v>
      </c>
      <c r="T1099" s="859">
        <v>0</v>
      </c>
      <c r="U1099" s="514" t="s">
        <v>3010</v>
      </c>
      <c r="V1099" s="534" t="s">
        <v>5236</v>
      </c>
      <c r="W1099" s="498">
        <v>10000</v>
      </c>
      <c r="X1099" s="514" t="s">
        <v>2276</v>
      </c>
      <c r="Y1099" s="514" t="s">
        <v>3336</v>
      </c>
      <c r="Z1099" s="514"/>
      <c r="AA1099" s="514" t="s">
        <v>3077</v>
      </c>
      <c r="AB1099" s="531" t="s">
        <v>1587</v>
      </c>
    </row>
    <row r="1100" spans="1:28" ht="24" customHeight="1">
      <c r="A1100" s="582" t="s">
        <v>1871</v>
      </c>
      <c r="B1100" s="460" t="s">
        <v>2201</v>
      </c>
      <c r="C1100" s="458" t="s">
        <v>2311</v>
      </c>
      <c r="D1100" s="510" t="s">
        <v>3078</v>
      </c>
      <c r="E1100" s="497">
        <f>SUM(F1100:H1100)</f>
        <v>8000</v>
      </c>
      <c r="F1100" s="497">
        <v>0</v>
      </c>
      <c r="G1100" s="497">
        <v>8000</v>
      </c>
      <c r="H1100" s="497">
        <v>0</v>
      </c>
      <c r="I1100" s="497">
        <f t="shared" si="76"/>
        <v>9522</v>
      </c>
      <c r="J1100" s="497">
        <v>0</v>
      </c>
      <c r="K1100" s="497">
        <v>9522</v>
      </c>
      <c r="L1100" s="721">
        <v>0</v>
      </c>
      <c r="M1100" s="956">
        <v>0.97316017316017323</v>
      </c>
      <c r="N1100" s="653">
        <v>1070.2728</v>
      </c>
      <c r="O1100" s="731" t="s">
        <v>3079</v>
      </c>
      <c r="P1100" s="514" t="s">
        <v>1588</v>
      </c>
      <c r="Q1100" s="859">
        <v>0</v>
      </c>
      <c r="R1100" s="859">
        <v>0</v>
      </c>
      <c r="S1100" s="859">
        <v>0</v>
      </c>
      <c r="T1100" s="859">
        <v>0</v>
      </c>
      <c r="U1100" s="514" t="s">
        <v>3080</v>
      </c>
      <c r="V1100" s="534" t="s">
        <v>3081</v>
      </c>
      <c r="W1100" s="498">
        <v>22950</v>
      </c>
      <c r="X1100" s="514" t="s">
        <v>2276</v>
      </c>
      <c r="Y1100" s="514" t="s">
        <v>3336</v>
      </c>
      <c r="Z1100" s="514" t="s">
        <v>1685</v>
      </c>
      <c r="AA1100" s="514" t="s">
        <v>1685</v>
      </c>
      <c r="AB1100" s="531" t="s">
        <v>1592</v>
      </c>
    </row>
    <row r="1101" spans="1:28" ht="24" customHeight="1">
      <c r="A1101" s="584"/>
      <c r="B1101" s="460" t="s">
        <v>675</v>
      </c>
      <c r="C1101" s="458" t="s">
        <v>2044</v>
      </c>
      <c r="D1101" s="510" t="s">
        <v>3082</v>
      </c>
      <c r="E1101" s="497">
        <v>23</v>
      </c>
      <c r="F1101" s="497">
        <v>0</v>
      </c>
      <c r="G1101" s="497">
        <v>23</v>
      </c>
      <c r="H1101" s="497">
        <v>0</v>
      </c>
      <c r="I1101" s="497">
        <f t="shared" si="76"/>
        <v>23</v>
      </c>
      <c r="J1101" s="497">
        <v>0</v>
      </c>
      <c r="K1101" s="497">
        <v>23</v>
      </c>
      <c r="L1101" s="721">
        <v>0</v>
      </c>
      <c r="M1101" s="956">
        <v>1</v>
      </c>
      <c r="N1101" s="653">
        <v>276</v>
      </c>
      <c r="O1101" s="731" t="s">
        <v>3083</v>
      </c>
      <c r="P1101" s="514" t="s">
        <v>1588</v>
      </c>
      <c r="Q1101" s="859">
        <v>0</v>
      </c>
      <c r="R1101" s="859">
        <v>0</v>
      </c>
      <c r="S1101" s="859">
        <v>0</v>
      </c>
      <c r="T1101" s="859">
        <v>0</v>
      </c>
      <c r="U1101" s="514" t="s">
        <v>3084</v>
      </c>
      <c r="V1101" s="534" t="s">
        <v>3085</v>
      </c>
      <c r="W1101" s="498">
        <v>100</v>
      </c>
      <c r="X1101" s="514" t="s">
        <v>1532</v>
      </c>
      <c r="Y1101" s="514" t="s">
        <v>1533</v>
      </c>
      <c r="Z1101" s="514" t="s">
        <v>1685</v>
      </c>
      <c r="AA1101" s="514" t="s">
        <v>1685</v>
      </c>
      <c r="AB1101" s="531" t="s">
        <v>1592</v>
      </c>
    </row>
    <row r="1102" spans="1:28" ht="24" customHeight="1">
      <c r="A1102" s="584"/>
      <c r="B1102" s="460" t="s">
        <v>3837</v>
      </c>
      <c r="C1102" s="458" t="s">
        <v>3086</v>
      </c>
      <c r="D1102" s="510" t="s">
        <v>3087</v>
      </c>
      <c r="E1102" s="497">
        <f>SUM(F1102:H1102)</f>
        <v>150</v>
      </c>
      <c r="F1102" s="497">
        <v>0</v>
      </c>
      <c r="G1102" s="497">
        <v>150</v>
      </c>
      <c r="H1102" s="497">
        <v>0</v>
      </c>
      <c r="I1102" s="497">
        <f t="shared" si="76"/>
        <v>150</v>
      </c>
      <c r="J1102" s="497">
        <v>0</v>
      </c>
      <c r="K1102" s="497">
        <v>150</v>
      </c>
      <c r="L1102" s="721">
        <v>0</v>
      </c>
      <c r="M1102" s="956">
        <v>1</v>
      </c>
      <c r="N1102" s="653">
        <v>423</v>
      </c>
      <c r="O1102" s="731" t="s">
        <v>5737</v>
      </c>
      <c r="P1102" s="514" t="s">
        <v>1588</v>
      </c>
      <c r="Q1102" s="859">
        <v>0</v>
      </c>
      <c r="R1102" s="859">
        <v>0</v>
      </c>
      <c r="S1102" s="859">
        <v>0</v>
      </c>
      <c r="T1102" s="859">
        <v>0</v>
      </c>
      <c r="U1102" s="514" t="s">
        <v>3088</v>
      </c>
      <c r="V1102" s="534" t="s">
        <v>3089</v>
      </c>
      <c r="W1102" s="498">
        <v>375</v>
      </c>
      <c r="X1102" s="514" t="s">
        <v>1532</v>
      </c>
      <c r="Y1102" s="514" t="s">
        <v>1533</v>
      </c>
      <c r="Z1102" s="514" t="s">
        <v>1685</v>
      </c>
      <c r="AA1102" s="514" t="s">
        <v>1685</v>
      </c>
      <c r="AB1102" s="531" t="s">
        <v>1592</v>
      </c>
    </row>
    <row r="1103" spans="1:28" ht="24" customHeight="1">
      <c r="A1103" s="584"/>
      <c r="B1103" s="460" t="s">
        <v>3837</v>
      </c>
      <c r="C1103" s="458" t="s">
        <v>3090</v>
      </c>
      <c r="D1103" s="510" t="s">
        <v>3091</v>
      </c>
      <c r="E1103" s="497">
        <v>20</v>
      </c>
      <c r="F1103" s="497">
        <v>0</v>
      </c>
      <c r="G1103" s="497">
        <v>20</v>
      </c>
      <c r="H1103" s="497">
        <v>0</v>
      </c>
      <c r="I1103" s="497">
        <f t="shared" si="76"/>
        <v>20</v>
      </c>
      <c r="J1103" s="497">
        <v>0</v>
      </c>
      <c r="K1103" s="497">
        <v>20</v>
      </c>
      <c r="L1103" s="721">
        <v>0</v>
      </c>
      <c r="M1103" s="956">
        <v>1</v>
      </c>
      <c r="N1103" s="653">
        <v>180</v>
      </c>
      <c r="O1103" s="731" t="s">
        <v>3083</v>
      </c>
      <c r="P1103" s="514" t="s">
        <v>1588</v>
      </c>
      <c r="Q1103" s="859">
        <v>0</v>
      </c>
      <c r="R1103" s="859">
        <v>0</v>
      </c>
      <c r="S1103" s="859">
        <v>0</v>
      </c>
      <c r="T1103" s="859">
        <v>0</v>
      </c>
      <c r="U1103" s="514" t="s">
        <v>3084</v>
      </c>
      <c r="V1103" s="534" t="s">
        <v>3092</v>
      </c>
      <c r="W1103" s="498">
        <v>100</v>
      </c>
      <c r="X1103" s="514" t="s">
        <v>1532</v>
      </c>
      <c r="Y1103" s="514" t="s">
        <v>1533</v>
      </c>
      <c r="Z1103" s="514"/>
      <c r="AA1103" s="514"/>
      <c r="AB1103" s="531" t="s">
        <v>1592</v>
      </c>
    </row>
    <row r="1104" spans="1:28" ht="24" customHeight="1">
      <c r="A1104" s="584"/>
      <c r="B1104" s="460" t="s">
        <v>3837</v>
      </c>
      <c r="C1104" s="458" t="s">
        <v>3093</v>
      </c>
      <c r="D1104" s="510" t="s">
        <v>3094</v>
      </c>
      <c r="E1104" s="497">
        <f>SUM(F1104:H1104)</f>
        <v>60</v>
      </c>
      <c r="F1104" s="497">
        <v>0</v>
      </c>
      <c r="G1104" s="497">
        <v>60</v>
      </c>
      <c r="H1104" s="497">
        <v>0</v>
      </c>
      <c r="I1104" s="497">
        <f t="shared" si="76"/>
        <v>60</v>
      </c>
      <c r="J1104" s="497">
        <v>0</v>
      </c>
      <c r="K1104" s="497">
        <v>60</v>
      </c>
      <c r="L1104" s="721">
        <v>0</v>
      </c>
      <c r="M1104" s="956">
        <v>1</v>
      </c>
      <c r="N1104" s="653">
        <v>237</v>
      </c>
      <c r="O1104" s="731" t="s">
        <v>3095</v>
      </c>
      <c r="P1104" s="514" t="s">
        <v>1588</v>
      </c>
      <c r="Q1104" s="859">
        <v>0</v>
      </c>
      <c r="R1104" s="859">
        <v>0</v>
      </c>
      <c r="S1104" s="859">
        <v>0</v>
      </c>
      <c r="T1104" s="859">
        <v>0</v>
      </c>
      <c r="U1104" s="514" t="s">
        <v>3088</v>
      </c>
      <c r="V1104" s="534" t="s">
        <v>3096</v>
      </c>
      <c r="W1104" s="498">
        <v>320</v>
      </c>
      <c r="X1104" s="514" t="s">
        <v>1532</v>
      </c>
      <c r="Y1104" s="514" t="s">
        <v>1533</v>
      </c>
      <c r="Z1104" s="514" t="s">
        <v>1685</v>
      </c>
      <c r="AA1104" s="514" t="s">
        <v>1685</v>
      </c>
      <c r="AB1104" s="531" t="s">
        <v>1592</v>
      </c>
    </row>
    <row r="1105" spans="1:28" ht="24" customHeight="1">
      <c r="A1105" s="584"/>
      <c r="B1105" s="460" t="s">
        <v>3837</v>
      </c>
      <c r="C1105" s="458" t="s">
        <v>3097</v>
      </c>
      <c r="D1105" s="510" t="s">
        <v>3098</v>
      </c>
      <c r="E1105" s="497">
        <f>SUM(F1105:H1105)</f>
        <v>45</v>
      </c>
      <c r="F1105" s="497">
        <v>0</v>
      </c>
      <c r="G1105" s="497">
        <v>45</v>
      </c>
      <c r="H1105" s="497">
        <v>0</v>
      </c>
      <c r="I1105" s="497">
        <f t="shared" si="76"/>
        <v>45</v>
      </c>
      <c r="J1105" s="497">
        <v>0</v>
      </c>
      <c r="K1105" s="497">
        <v>45</v>
      </c>
      <c r="L1105" s="721">
        <v>0</v>
      </c>
      <c r="M1105" s="956">
        <v>1</v>
      </c>
      <c r="N1105" s="653">
        <v>401.4</v>
      </c>
      <c r="O1105" s="731" t="s">
        <v>3099</v>
      </c>
      <c r="P1105" s="514" t="s">
        <v>1588</v>
      </c>
      <c r="Q1105" s="859">
        <v>0</v>
      </c>
      <c r="R1105" s="859">
        <v>0</v>
      </c>
      <c r="S1105" s="859">
        <v>0</v>
      </c>
      <c r="T1105" s="859">
        <v>0</v>
      </c>
      <c r="U1105" s="514" t="s">
        <v>3100</v>
      </c>
      <c r="V1105" s="534" t="s">
        <v>3101</v>
      </c>
      <c r="W1105" s="498">
        <v>675</v>
      </c>
      <c r="X1105" s="514" t="s">
        <v>1532</v>
      </c>
      <c r="Y1105" s="514" t="s">
        <v>1404</v>
      </c>
      <c r="Z1105" s="514"/>
      <c r="AA1105" s="514"/>
      <c r="AB1105" s="531" t="s">
        <v>1997</v>
      </c>
    </row>
    <row r="1106" spans="1:28" ht="24" customHeight="1">
      <c r="A1106" s="584"/>
      <c r="B1106" s="460" t="s">
        <v>3837</v>
      </c>
      <c r="C1106" s="458" t="s">
        <v>3102</v>
      </c>
      <c r="D1106" s="510" t="s">
        <v>3103</v>
      </c>
      <c r="E1106" s="497">
        <v>30</v>
      </c>
      <c r="F1106" s="497">
        <v>0</v>
      </c>
      <c r="G1106" s="497">
        <v>30</v>
      </c>
      <c r="H1106" s="497">
        <v>0</v>
      </c>
      <c r="I1106" s="497">
        <f t="shared" si="76"/>
        <v>30</v>
      </c>
      <c r="J1106" s="497">
        <v>0</v>
      </c>
      <c r="K1106" s="497">
        <v>30</v>
      </c>
      <c r="L1106" s="721">
        <v>0</v>
      </c>
      <c r="M1106" s="956">
        <v>1</v>
      </c>
      <c r="N1106" s="653">
        <v>285</v>
      </c>
      <c r="O1106" s="731" t="s">
        <v>3104</v>
      </c>
      <c r="P1106" s="514" t="s">
        <v>1588</v>
      </c>
      <c r="Q1106" s="859">
        <v>0</v>
      </c>
      <c r="R1106" s="859">
        <v>0</v>
      </c>
      <c r="S1106" s="859">
        <v>0</v>
      </c>
      <c r="T1106" s="859">
        <v>0</v>
      </c>
      <c r="U1106" s="514" t="s">
        <v>3084</v>
      </c>
      <c r="V1106" s="534" t="s">
        <v>3105</v>
      </c>
      <c r="W1106" s="498">
        <v>200</v>
      </c>
      <c r="X1106" s="514" t="s">
        <v>1532</v>
      </c>
      <c r="Y1106" s="514" t="s">
        <v>1533</v>
      </c>
      <c r="Z1106" s="514"/>
      <c r="AA1106" s="514"/>
      <c r="AB1106" s="531" t="s">
        <v>1997</v>
      </c>
    </row>
    <row r="1107" spans="1:28" ht="24" customHeight="1">
      <c r="A1107" s="584"/>
      <c r="B1107" s="460" t="s">
        <v>3837</v>
      </c>
      <c r="C1107" s="458" t="s">
        <v>3106</v>
      </c>
      <c r="D1107" s="510" t="s">
        <v>3103</v>
      </c>
      <c r="E1107" s="497">
        <f>SUM(F1107:H1107)</f>
        <v>48</v>
      </c>
      <c r="F1107" s="497">
        <v>0</v>
      </c>
      <c r="G1107" s="497">
        <v>48</v>
      </c>
      <c r="H1107" s="497">
        <v>0</v>
      </c>
      <c r="I1107" s="497">
        <f t="shared" si="76"/>
        <v>48</v>
      </c>
      <c r="J1107" s="497">
        <v>0</v>
      </c>
      <c r="K1107" s="497">
        <v>48</v>
      </c>
      <c r="L1107" s="721">
        <v>0</v>
      </c>
      <c r="M1107" s="956">
        <v>1</v>
      </c>
      <c r="N1107" s="653">
        <v>633.6</v>
      </c>
      <c r="O1107" s="731" t="s">
        <v>3099</v>
      </c>
      <c r="P1107" s="514" t="s">
        <v>1588</v>
      </c>
      <c r="Q1107" s="859">
        <v>0</v>
      </c>
      <c r="R1107" s="859">
        <v>0</v>
      </c>
      <c r="S1107" s="859">
        <v>0</v>
      </c>
      <c r="T1107" s="859">
        <v>0</v>
      </c>
      <c r="U1107" s="514" t="s">
        <v>3100</v>
      </c>
      <c r="V1107" s="534" t="s">
        <v>3107</v>
      </c>
      <c r="W1107" s="498">
        <v>492</v>
      </c>
      <c r="X1107" s="514" t="s">
        <v>1532</v>
      </c>
      <c r="Y1107" s="514" t="s">
        <v>1404</v>
      </c>
      <c r="Z1107" s="514"/>
      <c r="AA1107" s="514"/>
      <c r="AB1107" s="531" t="s">
        <v>1997</v>
      </c>
    </row>
    <row r="1108" spans="1:28" ht="24" customHeight="1">
      <c r="A1108" s="584"/>
      <c r="B1108" s="460" t="s">
        <v>3837</v>
      </c>
      <c r="C1108" s="458" t="s">
        <v>3108</v>
      </c>
      <c r="D1108" s="510" t="s">
        <v>3109</v>
      </c>
      <c r="E1108" s="497">
        <f>SUM(F1108:H1108)</f>
        <v>76</v>
      </c>
      <c r="F1108" s="497">
        <v>0</v>
      </c>
      <c r="G1108" s="497">
        <v>76</v>
      </c>
      <c r="H1108" s="497">
        <v>0</v>
      </c>
      <c r="I1108" s="497">
        <f t="shared" si="76"/>
        <v>76</v>
      </c>
      <c r="J1108" s="497">
        <v>0</v>
      </c>
      <c r="K1108" s="497">
        <v>76</v>
      </c>
      <c r="L1108" s="721">
        <v>0</v>
      </c>
      <c r="M1108" s="956">
        <v>1</v>
      </c>
      <c r="N1108" s="653">
        <v>262.08</v>
      </c>
      <c r="O1108" s="731" t="s">
        <v>3099</v>
      </c>
      <c r="P1108" s="514" t="s">
        <v>1588</v>
      </c>
      <c r="Q1108" s="859">
        <v>0</v>
      </c>
      <c r="R1108" s="859">
        <v>0</v>
      </c>
      <c r="S1108" s="859">
        <v>0</v>
      </c>
      <c r="T1108" s="859">
        <v>0</v>
      </c>
      <c r="U1108" s="514" t="s">
        <v>3100</v>
      </c>
      <c r="V1108" s="534" t="s">
        <v>3110</v>
      </c>
      <c r="W1108" s="498">
        <v>707</v>
      </c>
      <c r="X1108" s="514" t="s">
        <v>1532</v>
      </c>
      <c r="Y1108" s="514" t="s">
        <v>1404</v>
      </c>
      <c r="Z1108" s="514"/>
      <c r="AA1108" s="514"/>
      <c r="AB1108" s="531" t="s">
        <v>1997</v>
      </c>
    </row>
    <row r="1109" spans="1:28" ht="24" customHeight="1">
      <c r="A1109" s="583"/>
      <c r="B1109" s="460" t="s">
        <v>3837</v>
      </c>
      <c r="C1109" s="458" t="s">
        <v>4171</v>
      </c>
      <c r="D1109" s="510" t="s">
        <v>3111</v>
      </c>
      <c r="E1109" s="497">
        <f>SUM(F1109:H1109)</f>
        <v>30</v>
      </c>
      <c r="F1109" s="497">
        <v>0</v>
      </c>
      <c r="G1109" s="497">
        <v>30</v>
      </c>
      <c r="H1109" s="497">
        <v>0</v>
      </c>
      <c r="I1109" s="497">
        <f t="shared" si="76"/>
        <v>30</v>
      </c>
      <c r="J1109" s="497">
        <v>0</v>
      </c>
      <c r="K1109" s="497">
        <v>30</v>
      </c>
      <c r="L1109" s="721">
        <v>0</v>
      </c>
      <c r="M1109" s="956">
        <v>1</v>
      </c>
      <c r="N1109" s="653">
        <v>195</v>
      </c>
      <c r="O1109" s="731" t="s">
        <v>3099</v>
      </c>
      <c r="P1109" s="514" t="s">
        <v>1588</v>
      </c>
      <c r="Q1109" s="859">
        <v>0</v>
      </c>
      <c r="R1109" s="859">
        <v>0</v>
      </c>
      <c r="S1109" s="859">
        <v>0</v>
      </c>
      <c r="T1109" s="859">
        <v>0</v>
      </c>
      <c r="U1109" s="514" t="s">
        <v>3100</v>
      </c>
      <c r="V1109" s="534" t="s">
        <v>3110</v>
      </c>
      <c r="W1109" s="498">
        <v>478</v>
      </c>
      <c r="X1109" s="514" t="s">
        <v>1532</v>
      </c>
      <c r="Y1109" s="514" t="s">
        <v>1404</v>
      </c>
      <c r="Z1109" s="514"/>
      <c r="AA1109" s="514"/>
      <c r="AB1109" s="531" t="s">
        <v>1997</v>
      </c>
    </row>
    <row r="1110" spans="1:28" ht="24" customHeight="1">
      <c r="A1110" s="583" t="s">
        <v>1872</v>
      </c>
      <c r="B1110" s="458" t="s">
        <v>6044</v>
      </c>
      <c r="C1110" s="458"/>
      <c r="D1110" s="510"/>
      <c r="E1110" s="498" t="s">
        <v>7571</v>
      </c>
      <c r="F1110" s="498" t="s">
        <v>6226</v>
      </c>
      <c r="G1110" s="498" t="s">
        <v>7570</v>
      </c>
      <c r="H1110" s="498" t="s">
        <v>7562</v>
      </c>
      <c r="I1110" s="498" t="s">
        <v>7597</v>
      </c>
      <c r="J1110" s="498" t="s">
        <v>7599</v>
      </c>
      <c r="K1110" s="498" t="s">
        <v>7593</v>
      </c>
      <c r="L1110" s="668" t="s">
        <v>7563</v>
      </c>
      <c r="M1110" s="956"/>
      <c r="N1110" s="498" t="s">
        <v>7342</v>
      </c>
      <c r="O1110" s="669" t="s">
        <v>1588</v>
      </c>
      <c r="P1110" s="463" t="s">
        <v>1588</v>
      </c>
      <c r="Q1110" s="852">
        <f>Q1111+Q1227</f>
        <v>1019.5999999999999</v>
      </c>
      <c r="R1110" s="852">
        <f>R1111+R1227</f>
        <v>583.79999999999995</v>
      </c>
      <c r="S1110" s="852">
        <f>S1111+S1227</f>
        <v>267.8</v>
      </c>
      <c r="T1110" s="852">
        <f>T1111+T1227</f>
        <v>0</v>
      </c>
      <c r="U1110" s="463" t="s">
        <v>7536</v>
      </c>
      <c r="V1110" s="463"/>
      <c r="W1110" s="498">
        <f>W1111+W1227</f>
        <v>1445253</v>
      </c>
      <c r="X1110" s="463"/>
      <c r="Y1110" s="463"/>
      <c r="Z1110" s="463"/>
      <c r="AA1110" s="463"/>
      <c r="AB1110" s="459"/>
    </row>
    <row r="1111" spans="1:28" ht="24" customHeight="1">
      <c r="A1111" s="582" t="s">
        <v>1674</v>
      </c>
      <c r="B1111" s="458" t="s">
        <v>6042</v>
      </c>
      <c r="C1111" s="579"/>
      <c r="D1111" s="579"/>
      <c r="E1111" s="498" t="s">
        <v>7569</v>
      </c>
      <c r="F1111" s="498" t="s">
        <v>6226</v>
      </c>
      <c r="G1111" s="498" t="s">
        <v>7568</v>
      </c>
      <c r="H1111" s="498" t="s">
        <v>7564</v>
      </c>
      <c r="I1111" s="498" t="s">
        <v>7595</v>
      </c>
      <c r="J1111" s="498" t="s">
        <v>7599</v>
      </c>
      <c r="K1111" s="498" t="s">
        <v>7591</v>
      </c>
      <c r="L1111" s="668" t="s">
        <v>7565</v>
      </c>
      <c r="M1111" s="956"/>
      <c r="N1111" s="498" t="s">
        <v>6230</v>
      </c>
      <c r="O1111" s="669" t="s">
        <v>1588</v>
      </c>
      <c r="P1111" s="463" t="s">
        <v>1588</v>
      </c>
      <c r="Q1111" s="852">
        <f>SUM(Q1112:Q1226)</f>
        <v>570.79999999999995</v>
      </c>
      <c r="R1111" s="852">
        <f>SUM(R1112:R1226)</f>
        <v>276.10000000000002</v>
      </c>
      <c r="S1111" s="852">
        <f>SUM(S1112:S1226)</f>
        <v>192.8</v>
      </c>
      <c r="T1111" s="852">
        <f>SUM(T1112:T1226)</f>
        <v>0</v>
      </c>
      <c r="U1111" s="463"/>
      <c r="V1111" s="463"/>
      <c r="W1111" s="498">
        <f>SUM(W1112:W1226)</f>
        <v>668295</v>
      </c>
      <c r="X1111" s="463"/>
      <c r="Y1111" s="463"/>
      <c r="Z1111" s="463"/>
      <c r="AA1111" s="463"/>
      <c r="AB1111" s="459"/>
    </row>
    <row r="1112" spans="1:28" ht="24" customHeight="1">
      <c r="A1112" s="600" t="s">
        <v>1873</v>
      </c>
      <c r="B1112" s="541" t="s">
        <v>2201</v>
      </c>
      <c r="C1112" s="739" t="s">
        <v>1770</v>
      </c>
      <c r="D1112" s="740" t="s">
        <v>3112</v>
      </c>
      <c r="E1112" s="658">
        <f>SUM(F1112:H1112)</f>
        <v>100000</v>
      </c>
      <c r="F1112" s="658">
        <v>0</v>
      </c>
      <c r="G1112" s="658">
        <v>100000</v>
      </c>
      <c r="H1112" s="658">
        <v>0</v>
      </c>
      <c r="I1112" s="658">
        <f>SUM(J1112:L1112)</f>
        <v>74929</v>
      </c>
      <c r="J1112" s="658">
        <v>0</v>
      </c>
      <c r="K1112" s="658">
        <v>74929</v>
      </c>
      <c r="L1112" s="741">
        <v>0</v>
      </c>
      <c r="M1112" s="956">
        <v>0.96258503401360551</v>
      </c>
      <c r="N1112" s="653">
        <v>6361.4721000000009</v>
      </c>
      <c r="O1112" s="742" t="s">
        <v>3113</v>
      </c>
      <c r="P1112" s="542" t="s">
        <v>3409</v>
      </c>
      <c r="Q1112" s="861">
        <v>0</v>
      </c>
      <c r="R1112" s="861">
        <v>0</v>
      </c>
      <c r="S1112" s="861">
        <v>0</v>
      </c>
      <c r="T1112" s="861">
        <v>0</v>
      </c>
      <c r="U1112" s="542" t="s">
        <v>3114</v>
      </c>
      <c r="V1112" s="542">
        <v>98.6</v>
      </c>
      <c r="W1112" s="658">
        <v>65546</v>
      </c>
      <c r="X1112" s="542"/>
      <c r="Y1112" s="542" t="s">
        <v>3115</v>
      </c>
      <c r="Z1112" s="542"/>
      <c r="AA1112" s="542"/>
      <c r="AB1112" s="543" t="s">
        <v>1587</v>
      </c>
    </row>
    <row r="1113" spans="1:28" ht="24" customHeight="1">
      <c r="A1113" s="601"/>
      <c r="B1113" s="541" t="s">
        <v>2201</v>
      </c>
      <c r="C1113" s="739" t="s">
        <v>2034</v>
      </c>
      <c r="D1113" s="740" t="s">
        <v>3116</v>
      </c>
      <c r="E1113" s="658">
        <f>SUM(F1113:H1113)</f>
        <v>35000</v>
      </c>
      <c r="F1113" s="658">
        <v>0</v>
      </c>
      <c r="G1113" s="658">
        <v>0</v>
      </c>
      <c r="H1113" s="659">
        <v>35000</v>
      </c>
      <c r="I1113" s="658">
        <f>SUM(J1113:L1113)</f>
        <v>25698</v>
      </c>
      <c r="J1113" s="659">
        <v>0</v>
      </c>
      <c r="K1113" s="659">
        <v>0</v>
      </c>
      <c r="L1113" s="741">
        <v>25698</v>
      </c>
      <c r="M1113" s="965">
        <v>0.75125628140703515</v>
      </c>
      <c r="N1113" s="653">
        <v>768.37019999999995</v>
      </c>
      <c r="O1113" s="742" t="s">
        <v>3215</v>
      </c>
      <c r="P1113" s="542" t="s">
        <v>1588</v>
      </c>
      <c r="Q1113" s="861">
        <v>184</v>
      </c>
      <c r="R1113" s="861">
        <v>0</v>
      </c>
      <c r="S1113" s="861">
        <v>136</v>
      </c>
      <c r="T1113" s="861">
        <v>0</v>
      </c>
      <c r="U1113" s="542" t="s">
        <v>3117</v>
      </c>
      <c r="V1113" s="542" t="s">
        <v>3118</v>
      </c>
      <c r="W1113" s="658">
        <v>79384</v>
      </c>
      <c r="X1113" s="542" t="s">
        <v>1532</v>
      </c>
      <c r="Y1113" s="542" t="s">
        <v>3336</v>
      </c>
      <c r="Z1113" s="542"/>
      <c r="AA1113" s="542"/>
      <c r="AB1113" s="543" t="s">
        <v>1587</v>
      </c>
    </row>
    <row r="1114" spans="1:28" ht="24" customHeight="1">
      <c r="A1114" s="603" t="s">
        <v>1874</v>
      </c>
      <c r="B1114" s="544" t="s">
        <v>2201</v>
      </c>
      <c r="C1114" s="743" t="s">
        <v>2035</v>
      </c>
      <c r="D1114" s="553" t="s">
        <v>3119</v>
      </c>
      <c r="E1114" s="659">
        <f>SUM(F1114:H1114)</f>
        <v>110000</v>
      </c>
      <c r="F1114" s="554">
        <v>0</v>
      </c>
      <c r="G1114" s="554">
        <v>0</v>
      </c>
      <c r="H1114" s="554">
        <v>110000</v>
      </c>
      <c r="I1114" s="658">
        <f t="shared" ref="I1114:I1177" si="77">SUM(J1114:L1114)</f>
        <v>49310</v>
      </c>
      <c r="J1114" s="554">
        <v>0</v>
      </c>
      <c r="K1114" s="554">
        <v>0</v>
      </c>
      <c r="L1114" s="744">
        <v>49310</v>
      </c>
      <c r="M1114" s="966">
        <v>0.91464311994113323</v>
      </c>
      <c r="N1114" s="653">
        <v>6129.2330000000002</v>
      </c>
      <c r="O1114" s="745" t="s">
        <v>3120</v>
      </c>
      <c r="P1114" s="545" t="s">
        <v>1588</v>
      </c>
      <c r="Q1114" s="862">
        <v>190</v>
      </c>
      <c r="R1114" s="862">
        <v>0</v>
      </c>
      <c r="S1114" s="862">
        <v>0</v>
      </c>
      <c r="T1114" s="862">
        <v>0</v>
      </c>
      <c r="U1114" s="545" t="s">
        <v>3121</v>
      </c>
      <c r="V1114" s="545" t="s">
        <v>2153</v>
      </c>
      <c r="W1114" s="658">
        <v>197020</v>
      </c>
      <c r="X1114" s="545" t="s">
        <v>2193</v>
      </c>
      <c r="Y1114" s="545" t="s">
        <v>3161</v>
      </c>
      <c r="Z1114" s="545"/>
      <c r="AA1114" s="545"/>
      <c r="AB1114" s="546" t="s">
        <v>1934</v>
      </c>
    </row>
    <row r="1115" spans="1:28" ht="24" customHeight="1">
      <c r="A1115" s="604"/>
      <c r="B1115" s="544" t="s">
        <v>675</v>
      </c>
      <c r="C1115" s="743" t="s">
        <v>2068</v>
      </c>
      <c r="D1115" s="553" t="s">
        <v>3122</v>
      </c>
      <c r="E1115" s="659">
        <f t="shared" ref="E1115:E1178" si="78">SUM(F1115:H1115)</f>
        <v>30</v>
      </c>
      <c r="F1115" s="554" t="s">
        <v>3123</v>
      </c>
      <c r="G1115" s="554">
        <v>30</v>
      </c>
      <c r="H1115" s="554" t="s">
        <v>3123</v>
      </c>
      <c r="I1115" s="554">
        <f t="shared" si="77"/>
        <v>20</v>
      </c>
      <c r="J1115" s="554" t="s">
        <v>3123</v>
      </c>
      <c r="K1115" s="554">
        <v>20</v>
      </c>
      <c r="L1115" s="744" t="s">
        <v>3123</v>
      </c>
      <c r="M1115" s="956">
        <v>0.95</v>
      </c>
      <c r="N1115" s="653">
        <v>1.7</v>
      </c>
      <c r="O1115" s="745" t="s">
        <v>3124</v>
      </c>
      <c r="P1115" s="545" t="s">
        <v>1588</v>
      </c>
      <c r="Q1115" s="862" t="s">
        <v>3123</v>
      </c>
      <c r="R1115" s="862" t="s">
        <v>3123</v>
      </c>
      <c r="S1115" s="862" t="s">
        <v>3123</v>
      </c>
      <c r="T1115" s="862" t="s">
        <v>3123</v>
      </c>
      <c r="U1115" s="545" t="s">
        <v>3125</v>
      </c>
      <c r="V1115" s="545" t="s">
        <v>3126</v>
      </c>
      <c r="W1115" s="658">
        <v>234</v>
      </c>
      <c r="X1115" s="545" t="s">
        <v>2193</v>
      </c>
      <c r="Y1115" s="545" t="s">
        <v>3161</v>
      </c>
      <c r="Z1115" s="545"/>
      <c r="AA1115" s="545"/>
      <c r="AB1115" s="546" t="s">
        <v>1934</v>
      </c>
    </row>
    <row r="1116" spans="1:28" ht="24" customHeight="1">
      <c r="A1116" s="604"/>
      <c r="B1116" s="544" t="s">
        <v>675</v>
      </c>
      <c r="C1116" s="743" t="s">
        <v>3127</v>
      </c>
      <c r="D1116" s="553" t="s">
        <v>3128</v>
      </c>
      <c r="E1116" s="554">
        <f t="shared" si="78"/>
        <v>60</v>
      </c>
      <c r="F1116" s="554" t="s">
        <v>3123</v>
      </c>
      <c r="G1116" s="554">
        <v>60</v>
      </c>
      <c r="H1116" s="554" t="s">
        <v>3123</v>
      </c>
      <c r="I1116" s="554">
        <f t="shared" si="77"/>
        <v>45</v>
      </c>
      <c r="J1116" s="554" t="s">
        <v>3123</v>
      </c>
      <c r="K1116" s="554">
        <v>45</v>
      </c>
      <c r="L1116" s="744" t="s">
        <v>3123</v>
      </c>
      <c r="M1116" s="966">
        <v>0.95</v>
      </c>
      <c r="N1116" s="653">
        <v>3.9</v>
      </c>
      <c r="O1116" s="745" t="s">
        <v>3129</v>
      </c>
      <c r="P1116" s="545" t="s">
        <v>1588</v>
      </c>
      <c r="Q1116" s="862" t="s">
        <v>3123</v>
      </c>
      <c r="R1116" s="862" t="s">
        <v>3123</v>
      </c>
      <c r="S1116" s="862" t="s">
        <v>3123</v>
      </c>
      <c r="T1116" s="862" t="s">
        <v>3123</v>
      </c>
      <c r="U1116" s="545" t="s">
        <v>3125</v>
      </c>
      <c r="V1116" s="545" t="s">
        <v>3130</v>
      </c>
      <c r="W1116" s="658">
        <v>301</v>
      </c>
      <c r="X1116" s="545" t="s">
        <v>2193</v>
      </c>
      <c r="Y1116" s="545" t="s">
        <v>1404</v>
      </c>
      <c r="Z1116" s="545"/>
      <c r="AA1116" s="545"/>
      <c r="AB1116" s="546" t="s">
        <v>1934</v>
      </c>
    </row>
    <row r="1117" spans="1:28" ht="24" customHeight="1">
      <c r="A1117" s="604"/>
      <c r="B1117" s="544" t="s">
        <v>675</v>
      </c>
      <c r="C1117" s="743" t="s">
        <v>3131</v>
      </c>
      <c r="D1117" s="553" t="s">
        <v>3132</v>
      </c>
      <c r="E1117" s="554">
        <f t="shared" si="78"/>
        <v>180</v>
      </c>
      <c r="F1117" s="554" t="s">
        <v>3123</v>
      </c>
      <c r="G1117" s="554">
        <v>180</v>
      </c>
      <c r="H1117" s="554" t="s">
        <v>3123</v>
      </c>
      <c r="I1117" s="554">
        <f t="shared" si="77"/>
        <v>160</v>
      </c>
      <c r="J1117" s="554" t="s">
        <v>3123</v>
      </c>
      <c r="K1117" s="554">
        <v>160</v>
      </c>
      <c r="L1117" s="744" t="s">
        <v>3123</v>
      </c>
      <c r="M1117" s="966">
        <v>0.95</v>
      </c>
      <c r="N1117" s="653">
        <v>14</v>
      </c>
      <c r="O1117" s="745" t="s">
        <v>3133</v>
      </c>
      <c r="P1117" s="545" t="s">
        <v>1588</v>
      </c>
      <c r="Q1117" s="862" t="s">
        <v>3123</v>
      </c>
      <c r="R1117" s="862" t="s">
        <v>3123</v>
      </c>
      <c r="S1117" s="862" t="s">
        <v>3123</v>
      </c>
      <c r="T1117" s="862" t="s">
        <v>3123</v>
      </c>
      <c r="U1117" s="545" t="s">
        <v>3125</v>
      </c>
      <c r="V1117" s="545" t="s">
        <v>3134</v>
      </c>
      <c r="W1117" s="658">
        <v>395</v>
      </c>
      <c r="X1117" s="545" t="s">
        <v>2193</v>
      </c>
      <c r="Y1117" s="545" t="s">
        <v>1404</v>
      </c>
      <c r="Z1117" s="545"/>
      <c r="AA1117" s="545"/>
      <c r="AB1117" s="546" t="s">
        <v>1934</v>
      </c>
    </row>
    <row r="1118" spans="1:28" ht="24" customHeight="1">
      <c r="A1118" s="604"/>
      <c r="B1118" s="544" t="s">
        <v>675</v>
      </c>
      <c r="C1118" s="743" t="s">
        <v>3135</v>
      </c>
      <c r="D1118" s="553" t="s">
        <v>3136</v>
      </c>
      <c r="E1118" s="554">
        <f t="shared" si="78"/>
        <v>50</v>
      </c>
      <c r="F1118" s="554" t="s">
        <v>3123</v>
      </c>
      <c r="G1118" s="554">
        <v>50</v>
      </c>
      <c r="H1118" s="554" t="s">
        <v>3123</v>
      </c>
      <c r="I1118" s="554">
        <f t="shared" si="77"/>
        <v>35</v>
      </c>
      <c r="J1118" s="554" t="s">
        <v>3123</v>
      </c>
      <c r="K1118" s="554">
        <v>35</v>
      </c>
      <c r="L1118" s="744" t="s">
        <v>3123</v>
      </c>
      <c r="M1118" s="966">
        <v>0.95</v>
      </c>
      <c r="N1118" s="653">
        <v>3.1</v>
      </c>
      <c r="O1118" s="745" t="s">
        <v>3129</v>
      </c>
      <c r="P1118" s="545" t="s">
        <v>1588</v>
      </c>
      <c r="Q1118" s="862" t="s">
        <v>3123</v>
      </c>
      <c r="R1118" s="862" t="s">
        <v>3123</v>
      </c>
      <c r="S1118" s="862" t="s">
        <v>3123</v>
      </c>
      <c r="T1118" s="862" t="s">
        <v>3123</v>
      </c>
      <c r="U1118" s="545" t="s">
        <v>3125</v>
      </c>
      <c r="V1118" s="545" t="s">
        <v>3137</v>
      </c>
      <c r="W1118" s="658">
        <v>342</v>
      </c>
      <c r="X1118" s="545" t="s">
        <v>2193</v>
      </c>
      <c r="Y1118" s="545" t="s">
        <v>1404</v>
      </c>
      <c r="Z1118" s="545"/>
      <c r="AA1118" s="545"/>
      <c r="AB1118" s="546" t="s">
        <v>1934</v>
      </c>
    </row>
    <row r="1119" spans="1:28" ht="24" customHeight="1">
      <c r="A1119" s="604"/>
      <c r="B1119" s="544" t="s">
        <v>675</v>
      </c>
      <c r="C1119" s="743" t="s">
        <v>3138</v>
      </c>
      <c r="D1119" s="553" t="s">
        <v>3139</v>
      </c>
      <c r="E1119" s="554">
        <f t="shared" si="78"/>
        <v>100</v>
      </c>
      <c r="F1119" s="554" t="s">
        <v>3123</v>
      </c>
      <c r="G1119" s="554">
        <v>100</v>
      </c>
      <c r="H1119" s="554" t="s">
        <v>3123</v>
      </c>
      <c r="I1119" s="554">
        <f t="shared" si="77"/>
        <v>85</v>
      </c>
      <c r="J1119" s="554" t="s">
        <v>3123</v>
      </c>
      <c r="K1119" s="554">
        <v>85</v>
      </c>
      <c r="L1119" s="744" t="s">
        <v>3123</v>
      </c>
      <c r="M1119" s="966">
        <v>0.95</v>
      </c>
      <c r="N1119" s="653">
        <v>7.4</v>
      </c>
      <c r="O1119" s="745" t="s">
        <v>3133</v>
      </c>
      <c r="P1119" s="545" t="s">
        <v>1588</v>
      </c>
      <c r="Q1119" s="862" t="s">
        <v>3123</v>
      </c>
      <c r="R1119" s="862" t="s">
        <v>3123</v>
      </c>
      <c r="S1119" s="862" t="s">
        <v>3123</v>
      </c>
      <c r="T1119" s="862" t="s">
        <v>3123</v>
      </c>
      <c r="U1119" s="545" t="s">
        <v>3125</v>
      </c>
      <c r="V1119" s="545" t="s">
        <v>3140</v>
      </c>
      <c r="W1119" s="658">
        <v>343</v>
      </c>
      <c r="X1119" s="545" t="s">
        <v>2193</v>
      </c>
      <c r="Y1119" s="545" t="s">
        <v>1404</v>
      </c>
      <c r="Z1119" s="545"/>
      <c r="AA1119" s="545"/>
      <c r="AB1119" s="546" t="s">
        <v>1934</v>
      </c>
    </row>
    <row r="1120" spans="1:28" ht="24" customHeight="1">
      <c r="A1120" s="604"/>
      <c r="B1120" s="544" t="s">
        <v>675</v>
      </c>
      <c r="C1120" s="743" t="s">
        <v>3141</v>
      </c>
      <c r="D1120" s="553" t="s">
        <v>3142</v>
      </c>
      <c r="E1120" s="554">
        <f t="shared" si="78"/>
        <v>120</v>
      </c>
      <c r="F1120" s="554" t="s">
        <v>3123</v>
      </c>
      <c r="G1120" s="554">
        <v>120</v>
      </c>
      <c r="H1120" s="554" t="s">
        <v>3123</v>
      </c>
      <c r="I1120" s="554">
        <f t="shared" si="77"/>
        <v>105</v>
      </c>
      <c r="J1120" s="554" t="s">
        <v>3123</v>
      </c>
      <c r="K1120" s="554">
        <v>105</v>
      </c>
      <c r="L1120" s="744" t="s">
        <v>3123</v>
      </c>
      <c r="M1120" s="966">
        <v>0.95</v>
      </c>
      <c r="N1120" s="653">
        <v>9.1999999999999993</v>
      </c>
      <c r="O1120" s="745" t="s">
        <v>3133</v>
      </c>
      <c r="P1120" s="545" t="s">
        <v>1588</v>
      </c>
      <c r="Q1120" s="862" t="s">
        <v>3123</v>
      </c>
      <c r="R1120" s="862" t="s">
        <v>3123</v>
      </c>
      <c r="S1120" s="862" t="s">
        <v>3123</v>
      </c>
      <c r="T1120" s="862" t="s">
        <v>3123</v>
      </c>
      <c r="U1120" s="545" t="s">
        <v>3125</v>
      </c>
      <c r="V1120" s="545" t="s">
        <v>3143</v>
      </c>
      <c r="W1120" s="658">
        <v>360</v>
      </c>
      <c r="X1120" s="545" t="s">
        <v>2193</v>
      </c>
      <c r="Y1120" s="545" t="s">
        <v>1404</v>
      </c>
      <c r="Z1120" s="545"/>
      <c r="AA1120" s="545"/>
      <c r="AB1120" s="546" t="s">
        <v>1934</v>
      </c>
    </row>
    <row r="1121" spans="1:28" ht="24" customHeight="1">
      <c r="A1121" s="604"/>
      <c r="B1121" s="544" t="s">
        <v>675</v>
      </c>
      <c r="C1121" s="743" t="s">
        <v>3144</v>
      </c>
      <c r="D1121" s="553" t="s">
        <v>3145</v>
      </c>
      <c r="E1121" s="554">
        <f t="shared" si="78"/>
        <v>110</v>
      </c>
      <c r="F1121" s="554" t="s">
        <v>3123</v>
      </c>
      <c r="G1121" s="554">
        <v>110</v>
      </c>
      <c r="H1121" s="554" t="s">
        <v>3123</v>
      </c>
      <c r="I1121" s="554">
        <f t="shared" si="77"/>
        <v>90</v>
      </c>
      <c r="J1121" s="554" t="s">
        <v>3123</v>
      </c>
      <c r="K1121" s="554">
        <v>90</v>
      </c>
      <c r="L1121" s="744" t="s">
        <v>3123</v>
      </c>
      <c r="M1121" s="966">
        <v>0.95</v>
      </c>
      <c r="N1121" s="653">
        <v>7.9</v>
      </c>
      <c r="O1121" s="745" t="s">
        <v>3146</v>
      </c>
      <c r="P1121" s="545" t="s">
        <v>1588</v>
      </c>
      <c r="Q1121" s="862" t="s">
        <v>3123</v>
      </c>
      <c r="R1121" s="862" t="s">
        <v>3123</v>
      </c>
      <c r="S1121" s="862" t="s">
        <v>3123</v>
      </c>
      <c r="T1121" s="862" t="s">
        <v>3123</v>
      </c>
      <c r="U1121" s="545" t="s">
        <v>3125</v>
      </c>
      <c r="V1121" s="545" t="s">
        <v>3147</v>
      </c>
      <c r="W1121" s="658">
        <v>530</v>
      </c>
      <c r="X1121" s="545" t="s">
        <v>2193</v>
      </c>
      <c r="Y1121" s="545" t="s">
        <v>1404</v>
      </c>
      <c r="Z1121" s="545"/>
      <c r="AA1121" s="545"/>
      <c r="AB1121" s="546" t="s">
        <v>1934</v>
      </c>
    </row>
    <row r="1122" spans="1:28" ht="24" customHeight="1">
      <c r="A1122" s="604"/>
      <c r="B1122" s="544" t="s">
        <v>675</v>
      </c>
      <c r="C1122" s="743" t="s">
        <v>3148</v>
      </c>
      <c r="D1122" s="553" t="s">
        <v>3149</v>
      </c>
      <c r="E1122" s="554">
        <f t="shared" si="78"/>
        <v>60</v>
      </c>
      <c r="F1122" s="554" t="s">
        <v>3123</v>
      </c>
      <c r="G1122" s="554">
        <v>60</v>
      </c>
      <c r="H1122" s="554" t="s">
        <v>3123</v>
      </c>
      <c r="I1122" s="554">
        <f t="shared" si="77"/>
        <v>50</v>
      </c>
      <c r="J1122" s="554" t="s">
        <v>3123</v>
      </c>
      <c r="K1122" s="554" t="s">
        <v>3123</v>
      </c>
      <c r="L1122" s="744">
        <v>50</v>
      </c>
      <c r="M1122" s="966">
        <v>0.95</v>
      </c>
      <c r="N1122" s="653">
        <v>4.4000000000000004</v>
      </c>
      <c r="O1122" s="745" t="s">
        <v>3150</v>
      </c>
      <c r="P1122" s="545" t="s">
        <v>1588</v>
      </c>
      <c r="Q1122" s="862" t="s">
        <v>3123</v>
      </c>
      <c r="R1122" s="862" t="s">
        <v>3123</v>
      </c>
      <c r="S1122" s="862" t="s">
        <v>3123</v>
      </c>
      <c r="T1122" s="862" t="s">
        <v>3123</v>
      </c>
      <c r="U1122" s="545" t="s">
        <v>3125</v>
      </c>
      <c r="V1122" s="545" t="s">
        <v>3151</v>
      </c>
      <c r="W1122" s="658">
        <v>325</v>
      </c>
      <c r="X1122" s="545" t="s">
        <v>2193</v>
      </c>
      <c r="Y1122" s="545" t="s">
        <v>3161</v>
      </c>
      <c r="Z1122" s="545"/>
      <c r="AA1122" s="545"/>
      <c r="AB1122" s="546" t="s">
        <v>1934</v>
      </c>
    </row>
    <row r="1123" spans="1:28" ht="24" customHeight="1">
      <c r="A1123" s="604"/>
      <c r="B1123" s="544" t="s">
        <v>675</v>
      </c>
      <c r="C1123" s="743" t="s">
        <v>3152</v>
      </c>
      <c r="D1123" s="553" t="s">
        <v>3153</v>
      </c>
      <c r="E1123" s="554">
        <f t="shared" si="78"/>
        <v>110</v>
      </c>
      <c r="F1123" s="554" t="s">
        <v>3123</v>
      </c>
      <c r="G1123" s="554">
        <v>110</v>
      </c>
      <c r="H1123" s="554" t="s">
        <v>3123</v>
      </c>
      <c r="I1123" s="554">
        <f t="shared" si="77"/>
        <v>95</v>
      </c>
      <c r="J1123" s="554" t="s">
        <v>3123</v>
      </c>
      <c r="K1123" s="554" t="s">
        <v>3123</v>
      </c>
      <c r="L1123" s="744">
        <v>95</v>
      </c>
      <c r="M1123" s="966">
        <v>0.95</v>
      </c>
      <c r="N1123" s="653">
        <v>8.3000000000000007</v>
      </c>
      <c r="O1123" s="745" t="s">
        <v>3154</v>
      </c>
      <c r="P1123" s="545" t="s">
        <v>1588</v>
      </c>
      <c r="Q1123" s="862" t="s">
        <v>3123</v>
      </c>
      <c r="R1123" s="862" t="s">
        <v>3123</v>
      </c>
      <c r="S1123" s="862" t="s">
        <v>3123</v>
      </c>
      <c r="T1123" s="862" t="s">
        <v>3123</v>
      </c>
      <c r="U1123" s="545" t="s">
        <v>3125</v>
      </c>
      <c r="V1123" s="545" t="s">
        <v>3155</v>
      </c>
      <c r="W1123" s="658">
        <v>407</v>
      </c>
      <c r="X1123" s="545" t="s">
        <v>2193</v>
      </c>
      <c r="Y1123" s="545" t="s">
        <v>1404</v>
      </c>
      <c r="Z1123" s="545"/>
      <c r="AA1123" s="545"/>
      <c r="AB1123" s="546" t="s">
        <v>1934</v>
      </c>
    </row>
    <row r="1124" spans="1:28" ht="24" customHeight="1">
      <c r="A1124" s="604"/>
      <c r="B1124" s="544" t="s">
        <v>675</v>
      </c>
      <c r="C1124" s="743" t="s">
        <v>2127</v>
      </c>
      <c r="D1124" s="553" t="s">
        <v>6323</v>
      </c>
      <c r="E1124" s="554">
        <f t="shared" si="78"/>
        <v>30</v>
      </c>
      <c r="F1124" s="554" t="s">
        <v>3123</v>
      </c>
      <c r="G1124" s="554">
        <v>30</v>
      </c>
      <c r="H1124" s="554" t="s">
        <v>3123</v>
      </c>
      <c r="I1124" s="554">
        <f t="shared" si="77"/>
        <v>24</v>
      </c>
      <c r="J1124" s="554" t="s">
        <v>3123</v>
      </c>
      <c r="K1124" s="554">
        <v>24</v>
      </c>
      <c r="L1124" s="744" t="s">
        <v>3123</v>
      </c>
      <c r="M1124" s="966">
        <v>0.95</v>
      </c>
      <c r="N1124" s="653">
        <v>2.1</v>
      </c>
      <c r="O1124" s="745" t="s">
        <v>3133</v>
      </c>
      <c r="P1124" s="545" t="s">
        <v>1588</v>
      </c>
      <c r="Q1124" s="862" t="s">
        <v>3123</v>
      </c>
      <c r="R1124" s="862" t="s">
        <v>3123</v>
      </c>
      <c r="S1124" s="862" t="s">
        <v>3123</v>
      </c>
      <c r="T1124" s="862" t="s">
        <v>3123</v>
      </c>
      <c r="U1124" s="545" t="s">
        <v>3125</v>
      </c>
      <c r="V1124" s="545" t="s">
        <v>6324</v>
      </c>
      <c r="W1124" s="658">
        <v>263</v>
      </c>
      <c r="X1124" s="545" t="s">
        <v>2193</v>
      </c>
      <c r="Y1124" s="545" t="s">
        <v>3161</v>
      </c>
      <c r="Z1124" s="545"/>
      <c r="AA1124" s="545"/>
      <c r="AB1124" s="546" t="s">
        <v>1934</v>
      </c>
    </row>
    <row r="1125" spans="1:28" ht="24" customHeight="1">
      <c r="A1125" s="604"/>
      <c r="B1125" s="544" t="s">
        <v>675</v>
      </c>
      <c r="C1125" s="743" t="s">
        <v>2073</v>
      </c>
      <c r="D1125" s="553" t="s">
        <v>6325</v>
      </c>
      <c r="E1125" s="554">
        <f t="shared" si="78"/>
        <v>80</v>
      </c>
      <c r="F1125" s="554" t="s">
        <v>3123</v>
      </c>
      <c r="G1125" s="554">
        <v>80</v>
      </c>
      <c r="H1125" s="554" t="s">
        <v>3123</v>
      </c>
      <c r="I1125" s="554">
        <f t="shared" si="77"/>
        <v>60</v>
      </c>
      <c r="J1125" s="554" t="s">
        <v>3123</v>
      </c>
      <c r="K1125" s="554">
        <v>60</v>
      </c>
      <c r="L1125" s="744" t="s">
        <v>3123</v>
      </c>
      <c r="M1125" s="966">
        <v>0.95</v>
      </c>
      <c r="N1125" s="653">
        <v>5.2</v>
      </c>
      <c r="O1125" s="745" t="s">
        <v>5089</v>
      </c>
      <c r="P1125" s="545" t="s">
        <v>1588</v>
      </c>
      <c r="Q1125" s="862" t="s">
        <v>3123</v>
      </c>
      <c r="R1125" s="862" t="s">
        <v>3123</v>
      </c>
      <c r="S1125" s="862" t="s">
        <v>3123</v>
      </c>
      <c r="T1125" s="862" t="s">
        <v>3123</v>
      </c>
      <c r="U1125" s="545" t="s">
        <v>3125</v>
      </c>
      <c r="V1125" s="545" t="s">
        <v>6326</v>
      </c>
      <c r="W1125" s="658">
        <v>374</v>
      </c>
      <c r="X1125" s="545" t="s">
        <v>2193</v>
      </c>
      <c r="Y1125" s="545" t="s">
        <v>3161</v>
      </c>
      <c r="Z1125" s="545"/>
      <c r="AA1125" s="545"/>
      <c r="AB1125" s="546" t="s">
        <v>1934</v>
      </c>
    </row>
    <row r="1126" spans="1:28" ht="24" customHeight="1">
      <c r="A1126" s="604"/>
      <c r="B1126" s="544" t="s">
        <v>675</v>
      </c>
      <c r="C1126" s="743" t="s">
        <v>6327</v>
      </c>
      <c r="D1126" s="553" t="s">
        <v>6328</v>
      </c>
      <c r="E1126" s="554">
        <f t="shared" si="78"/>
        <v>160</v>
      </c>
      <c r="F1126" s="554" t="s">
        <v>3123</v>
      </c>
      <c r="G1126" s="554">
        <v>160</v>
      </c>
      <c r="H1126" s="554" t="s">
        <v>3123</v>
      </c>
      <c r="I1126" s="554">
        <f t="shared" si="77"/>
        <v>140</v>
      </c>
      <c r="J1126" s="554" t="s">
        <v>3123</v>
      </c>
      <c r="K1126" s="554" t="s">
        <v>3123</v>
      </c>
      <c r="L1126" s="744">
        <v>140</v>
      </c>
      <c r="M1126" s="966">
        <v>0.95</v>
      </c>
      <c r="N1126" s="653">
        <v>12.2</v>
      </c>
      <c r="O1126" s="745" t="s">
        <v>6329</v>
      </c>
      <c r="P1126" s="545" t="s">
        <v>1588</v>
      </c>
      <c r="Q1126" s="862" t="s">
        <v>3123</v>
      </c>
      <c r="R1126" s="862" t="s">
        <v>3123</v>
      </c>
      <c r="S1126" s="862" t="s">
        <v>3123</v>
      </c>
      <c r="T1126" s="862" t="s">
        <v>3123</v>
      </c>
      <c r="U1126" s="545" t="s">
        <v>3125</v>
      </c>
      <c r="V1126" s="545" t="s">
        <v>6330</v>
      </c>
      <c r="W1126" s="658">
        <v>483</v>
      </c>
      <c r="X1126" s="545" t="s">
        <v>2193</v>
      </c>
      <c r="Y1126" s="545" t="s">
        <v>1404</v>
      </c>
      <c r="Z1126" s="545"/>
      <c r="AA1126" s="545"/>
      <c r="AB1126" s="546" t="s">
        <v>1934</v>
      </c>
    </row>
    <row r="1127" spans="1:28" ht="24" customHeight="1">
      <c r="A1127" s="604"/>
      <c r="B1127" s="544" t="s">
        <v>675</v>
      </c>
      <c r="C1127" s="743" t="s">
        <v>6331</v>
      </c>
      <c r="D1127" s="553" t="s">
        <v>6332</v>
      </c>
      <c r="E1127" s="554">
        <f t="shared" si="78"/>
        <v>60</v>
      </c>
      <c r="F1127" s="554" t="s">
        <v>3123</v>
      </c>
      <c r="G1127" s="554">
        <v>60</v>
      </c>
      <c r="H1127" s="554" t="s">
        <v>3123</v>
      </c>
      <c r="I1127" s="554">
        <f t="shared" si="77"/>
        <v>48</v>
      </c>
      <c r="J1127" s="554" t="s">
        <v>3123</v>
      </c>
      <c r="K1127" s="554">
        <v>48</v>
      </c>
      <c r="L1127" s="744" t="s">
        <v>3123</v>
      </c>
      <c r="M1127" s="966">
        <v>0.95</v>
      </c>
      <c r="N1127" s="653">
        <v>4.2</v>
      </c>
      <c r="O1127" s="745" t="s">
        <v>3133</v>
      </c>
      <c r="P1127" s="545" t="s">
        <v>1588</v>
      </c>
      <c r="Q1127" s="862" t="s">
        <v>3123</v>
      </c>
      <c r="R1127" s="862" t="s">
        <v>3123</v>
      </c>
      <c r="S1127" s="862" t="s">
        <v>3123</v>
      </c>
      <c r="T1127" s="862" t="s">
        <v>3123</v>
      </c>
      <c r="U1127" s="545" t="s">
        <v>3125</v>
      </c>
      <c r="V1127" s="545" t="s">
        <v>6333</v>
      </c>
      <c r="W1127" s="658">
        <v>312</v>
      </c>
      <c r="X1127" s="545" t="s">
        <v>2193</v>
      </c>
      <c r="Y1127" s="545" t="s">
        <v>3161</v>
      </c>
      <c r="Z1127" s="545"/>
      <c r="AA1127" s="545"/>
      <c r="AB1127" s="546" t="s">
        <v>1934</v>
      </c>
    </row>
    <row r="1128" spans="1:28" ht="24" customHeight="1">
      <c r="A1128" s="604"/>
      <c r="B1128" s="544" t="s">
        <v>675</v>
      </c>
      <c r="C1128" s="743" t="s">
        <v>2425</v>
      </c>
      <c r="D1128" s="553" t="s">
        <v>6334</v>
      </c>
      <c r="E1128" s="554">
        <f t="shared" si="78"/>
        <v>50</v>
      </c>
      <c r="F1128" s="554" t="s">
        <v>3123</v>
      </c>
      <c r="G1128" s="554">
        <v>50</v>
      </c>
      <c r="H1128" s="554" t="s">
        <v>3123</v>
      </c>
      <c r="I1128" s="554">
        <f t="shared" si="77"/>
        <v>35</v>
      </c>
      <c r="J1128" s="554" t="s">
        <v>3123</v>
      </c>
      <c r="K1128" s="554">
        <v>35</v>
      </c>
      <c r="L1128" s="744" t="s">
        <v>3123</v>
      </c>
      <c r="M1128" s="966">
        <v>0.95</v>
      </c>
      <c r="N1128" s="653">
        <v>3.1</v>
      </c>
      <c r="O1128" s="745" t="s">
        <v>3129</v>
      </c>
      <c r="P1128" s="545" t="s">
        <v>1588</v>
      </c>
      <c r="Q1128" s="862" t="s">
        <v>3123</v>
      </c>
      <c r="R1128" s="862" t="s">
        <v>3123</v>
      </c>
      <c r="S1128" s="862" t="s">
        <v>3123</v>
      </c>
      <c r="T1128" s="862" t="s">
        <v>3123</v>
      </c>
      <c r="U1128" s="545" t="s">
        <v>3125</v>
      </c>
      <c r="V1128" s="545" t="s">
        <v>6335</v>
      </c>
      <c r="W1128" s="658">
        <v>200</v>
      </c>
      <c r="X1128" s="545" t="s">
        <v>2193</v>
      </c>
      <c r="Y1128" s="545" t="s">
        <v>1404</v>
      </c>
      <c r="Z1128" s="545"/>
      <c r="AA1128" s="545"/>
      <c r="AB1128" s="546" t="s">
        <v>1934</v>
      </c>
    </row>
    <row r="1129" spans="1:28" ht="24" customHeight="1">
      <c r="A1129" s="604"/>
      <c r="B1129" s="544" t="s">
        <v>675</v>
      </c>
      <c r="C1129" s="743" t="s">
        <v>6336</v>
      </c>
      <c r="D1129" s="553" t="s">
        <v>6337</v>
      </c>
      <c r="E1129" s="554">
        <f t="shared" si="78"/>
        <v>80</v>
      </c>
      <c r="F1129" s="554" t="s">
        <v>3123</v>
      </c>
      <c r="G1129" s="554">
        <v>80</v>
      </c>
      <c r="H1129" s="554" t="s">
        <v>3123</v>
      </c>
      <c r="I1129" s="554">
        <f t="shared" si="77"/>
        <v>65</v>
      </c>
      <c r="J1129" s="554" t="s">
        <v>3123</v>
      </c>
      <c r="K1129" s="554" t="s">
        <v>3123</v>
      </c>
      <c r="L1129" s="744">
        <v>65</v>
      </c>
      <c r="M1129" s="966">
        <v>0.95</v>
      </c>
      <c r="N1129" s="653">
        <v>5.7</v>
      </c>
      <c r="O1129" s="745" t="s">
        <v>3150</v>
      </c>
      <c r="P1129" s="545" t="s">
        <v>1588</v>
      </c>
      <c r="Q1129" s="862" t="s">
        <v>3123</v>
      </c>
      <c r="R1129" s="862" t="s">
        <v>3123</v>
      </c>
      <c r="S1129" s="862" t="s">
        <v>3123</v>
      </c>
      <c r="T1129" s="862" t="s">
        <v>3123</v>
      </c>
      <c r="U1129" s="545" t="s">
        <v>3125</v>
      </c>
      <c r="V1129" s="545" t="s">
        <v>6338</v>
      </c>
      <c r="W1129" s="658">
        <v>410</v>
      </c>
      <c r="X1129" s="545" t="s">
        <v>2193</v>
      </c>
      <c r="Y1129" s="545" t="s">
        <v>3161</v>
      </c>
      <c r="Z1129" s="545"/>
      <c r="AA1129" s="545"/>
      <c r="AB1129" s="546" t="s">
        <v>1934</v>
      </c>
    </row>
    <row r="1130" spans="1:28" ht="24" customHeight="1">
      <c r="A1130" s="604"/>
      <c r="B1130" s="544" t="s">
        <v>675</v>
      </c>
      <c r="C1130" s="743" t="s">
        <v>1224</v>
      </c>
      <c r="D1130" s="553" t="s">
        <v>6339</v>
      </c>
      <c r="E1130" s="554">
        <f t="shared" si="78"/>
        <v>100</v>
      </c>
      <c r="F1130" s="554" t="s">
        <v>3123</v>
      </c>
      <c r="G1130" s="554">
        <v>100</v>
      </c>
      <c r="H1130" s="554" t="s">
        <v>3123</v>
      </c>
      <c r="I1130" s="554">
        <f t="shared" si="77"/>
        <v>80</v>
      </c>
      <c r="J1130" s="554" t="s">
        <v>3123</v>
      </c>
      <c r="K1130" s="554">
        <v>80</v>
      </c>
      <c r="L1130" s="744" t="s">
        <v>3123</v>
      </c>
      <c r="M1130" s="966">
        <v>0.95</v>
      </c>
      <c r="N1130" s="653">
        <v>7</v>
      </c>
      <c r="O1130" s="745" t="s">
        <v>5635</v>
      </c>
      <c r="P1130" s="545" t="s">
        <v>1588</v>
      </c>
      <c r="Q1130" s="862" t="s">
        <v>3123</v>
      </c>
      <c r="R1130" s="862" t="s">
        <v>3123</v>
      </c>
      <c r="S1130" s="862" t="s">
        <v>3123</v>
      </c>
      <c r="T1130" s="862" t="s">
        <v>3123</v>
      </c>
      <c r="U1130" s="545" t="s">
        <v>3125</v>
      </c>
      <c r="V1130" s="545" t="s">
        <v>6340</v>
      </c>
      <c r="W1130" s="658">
        <v>498</v>
      </c>
      <c r="X1130" s="545" t="s">
        <v>2193</v>
      </c>
      <c r="Y1130" s="545" t="s">
        <v>1404</v>
      </c>
      <c r="Z1130" s="545"/>
      <c r="AA1130" s="545"/>
      <c r="AB1130" s="546" t="s">
        <v>1934</v>
      </c>
    </row>
    <row r="1131" spans="1:28" ht="24" customHeight="1">
      <c r="A1131" s="604"/>
      <c r="B1131" s="544" t="s">
        <v>675</v>
      </c>
      <c r="C1131" s="743" t="s">
        <v>6341</v>
      </c>
      <c r="D1131" s="553" t="s">
        <v>6342</v>
      </c>
      <c r="E1131" s="554">
        <f t="shared" si="78"/>
        <v>50</v>
      </c>
      <c r="F1131" s="554" t="s">
        <v>3123</v>
      </c>
      <c r="G1131" s="554">
        <v>50</v>
      </c>
      <c r="H1131" s="554" t="s">
        <v>3123</v>
      </c>
      <c r="I1131" s="554">
        <f t="shared" si="77"/>
        <v>34</v>
      </c>
      <c r="J1131" s="554" t="s">
        <v>3123</v>
      </c>
      <c r="K1131" s="554">
        <v>34</v>
      </c>
      <c r="L1131" s="744" t="s">
        <v>3123</v>
      </c>
      <c r="M1131" s="966">
        <v>0.65</v>
      </c>
      <c r="N1131" s="653">
        <v>3</v>
      </c>
      <c r="O1131" s="745" t="s">
        <v>3133</v>
      </c>
      <c r="P1131" s="545" t="s">
        <v>1588</v>
      </c>
      <c r="Q1131" s="862" t="s">
        <v>3123</v>
      </c>
      <c r="R1131" s="862" t="s">
        <v>3123</v>
      </c>
      <c r="S1131" s="862" t="s">
        <v>3123</v>
      </c>
      <c r="T1131" s="862" t="s">
        <v>3123</v>
      </c>
      <c r="U1131" s="545" t="s">
        <v>3125</v>
      </c>
      <c r="V1131" s="545" t="s">
        <v>6343</v>
      </c>
      <c r="W1131" s="658">
        <v>200</v>
      </c>
      <c r="X1131" s="545" t="s">
        <v>2193</v>
      </c>
      <c r="Y1131" s="545" t="s">
        <v>3161</v>
      </c>
      <c r="Z1131" s="545"/>
      <c r="AA1131" s="545"/>
      <c r="AB1131" s="546" t="s">
        <v>1934</v>
      </c>
    </row>
    <row r="1132" spans="1:28" ht="24" customHeight="1">
      <c r="A1132" s="605" t="s">
        <v>1875</v>
      </c>
      <c r="B1132" s="544" t="s">
        <v>2201</v>
      </c>
      <c r="C1132" s="551" t="s">
        <v>2429</v>
      </c>
      <c r="D1132" s="553" t="s">
        <v>6344</v>
      </c>
      <c r="E1132" s="658">
        <f t="shared" si="78"/>
        <v>130000</v>
      </c>
      <c r="F1132" s="563">
        <v>0</v>
      </c>
      <c r="G1132" s="563">
        <v>130000</v>
      </c>
      <c r="H1132" s="563">
        <v>0</v>
      </c>
      <c r="I1132" s="658">
        <f t="shared" si="77"/>
        <v>97486</v>
      </c>
      <c r="J1132" s="563">
        <v>0</v>
      </c>
      <c r="K1132" s="563">
        <v>97486</v>
      </c>
      <c r="L1132" s="741">
        <v>0</v>
      </c>
      <c r="M1132" s="966">
        <v>0.95138888888888884</v>
      </c>
      <c r="N1132" s="653">
        <v>9348.9073999999982</v>
      </c>
      <c r="O1132" s="746" t="s">
        <v>1535</v>
      </c>
      <c r="P1132" s="547" t="s">
        <v>1588</v>
      </c>
      <c r="Q1132" s="863">
        <v>96</v>
      </c>
      <c r="R1132" s="863">
        <v>34</v>
      </c>
      <c r="S1132" s="863">
        <v>0</v>
      </c>
      <c r="T1132" s="863">
        <v>0</v>
      </c>
      <c r="U1132" s="547" t="s">
        <v>6345</v>
      </c>
      <c r="V1132" s="548" t="s">
        <v>6346</v>
      </c>
      <c r="W1132" s="658">
        <v>110757</v>
      </c>
      <c r="X1132" s="547" t="s">
        <v>1532</v>
      </c>
      <c r="Y1132" s="547" t="s">
        <v>3336</v>
      </c>
      <c r="Z1132" s="547" t="s">
        <v>1906</v>
      </c>
      <c r="AA1132" s="547" t="s">
        <v>6347</v>
      </c>
      <c r="AB1132" s="550" t="s">
        <v>1686</v>
      </c>
    </row>
    <row r="1133" spans="1:28" ht="24" customHeight="1">
      <c r="A1133" s="606"/>
      <c r="B1133" s="544" t="s">
        <v>2201</v>
      </c>
      <c r="C1133" s="551" t="s">
        <v>1877</v>
      </c>
      <c r="D1133" s="553" t="s">
        <v>6348</v>
      </c>
      <c r="E1133" s="563">
        <f t="shared" si="78"/>
        <v>2500</v>
      </c>
      <c r="F1133" s="563">
        <v>0</v>
      </c>
      <c r="G1133" s="563">
        <v>2500</v>
      </c>
      <c r="H1133" s="563">
        <v>0</v>
      </c>
      <c r="I1133" s="563">
        <f t="shared" si="77"/>
        <v>1073</v>
      </c>
      <c r="J1133" s="563">
        <v>0</v>
      </c>
      <c r="K1133" s="563">
        <v>1073</v>
      </c>
      <c r="L1133" s="741">
        <v>0</v>
      </c>
      <c r="M1133" s="965">
        <v>0.95520231213872842</v>
      </c>
      <c r="N1133" s="653">
        <v>141.85060000000004</v>
      </c>
      <c r="O1133" s="746" t="s">
        <v>3173</v>
      </c>
      <c r="P1133" s="547" t="s">
        <v>1588</v>
      </c>
      <c r="Q1133" s="863">
        <v>0</v>
      </c>
      <c r="R1133" s="863">
        <v>0</v>
      </c>
      <c r="S1133" s="863">
        <v>0</v>
      </c>
      <c r="T1133" s="863">
        <v>0</v>
      </c>
      <c r="U1133" s="547" t="s">
        <v>6349</v>
      </c>
      <c r="V1133" s="548" t="s">
        <v>6350</v>
      </c>
      <c r="W1133" s="658">
        <v>14769</v>
      </c>
      <c r="X1133" s="547" t="s">
        <v>1532</v>
      </c>
      <c r="Y1133" s="547" t="s">
        <v>3336</v>
      </c>
      <c r="Z1133" s="547" t="s">
        <v>6351</v>
      </c>
      <c r="AA1133" s="547" t="s">
        <v>6352</v>
      </c>
      <c r="AB1133" s="550" t="s">
        <v>1686</v>
      </c>
    </row>
    <row r="1134" spans="1:28" ht="24" customHeight="1">
      <c r="A1134" s="606"/>
      <c r="B1134" s="544" t="s">
        <v>2201</v>
      </c>
      <c r="C1134" s="551" t="s">
        <v>485</v>
      </c>
      <c r="D1134" s="553" t="s">
        <v>6353</v>
      </c>
      <c r="E1134" s="563">
        <f t="shared" si="78"/>
        <v>700</v>
      </c>
      <c r="F1134" s="563">
        <v>0</v>
      </c>
      <c r="G1134" s="563">
        <v>0</v>
      </c>
      <c r="H1134" s="563">
        <v>700</v>
      </c>
      <c r="I1134" s="563">
        <f t="shared" si="77"/>
        <v>535</v>
      </c>
      <c r="J1134" s="563">
        <v>0</v>
      </c>
      <c r="K1134" s="563">
        <v>0</v>
      </c>
      <c r="L1134" s="741">
        <v>535</v>
      </c>
      <c r="M1134" s="965">
        <v>0.90196078431372539</v>
      </c>
      <c r="N1134" s="653">
        <v>10.336199999999998</v>
      </c>
      <c r="O1134" s="746" t="s">
        <v>3282</v>
      </c>
      <c r="P1134" s="547" t="s">
        <v>1588</v>
      </c>
      <c r="Q1134" s="863">
        <v>0</v>
      </c>
      <c r="R1134" s="863">
        <v>0</v>
      </c>
      <c r="S1134" s="863">
        <v>0</v>
      </c>
      <c r="T1134" s="863">
        <v>0</v>
      </c>
      <c r="U1134" s="547" t="s">
        <v>6354</v>
      </c>
      <c r="V1134" s="548" t="s">
        <v>6355</v>
      </c>
      <c r="W1134" s="658">
        <v>14769</v>
      </c>
      <c r="X1134" s="547" t="s">
        <v>1532</v>
      </c>
      <c r="Y1134" s="547" t="s">
        <v>3336</v>
      </c>
      <c r="Z1134" s="547" t="s">
        <v>6356</v>
      </c>
      <c r="AA1134" s="547" t="s">
        <v>1703</v>
      </c>
      <c r="AB1134" s="550" t="s">
        <v>1686</v>
      </c>
    </row>
    <row r="1135" spans="1:28" ht="24" customHeight="1">
      <c r="A1135" s="606"/>
      <c r="B1135" s="544" t="s">
        <v>2201</v>
      </c>
      <c r="C1135" s="551" t="s">
        <v>2070</v>
      </c>
      <c r="D1135" s="553" t="s">
        <v>6357</v>
      </c>
      <c r="E1135" s="563">
        <f t="shared" si="78"/>
        <v>800</v>
      </c>
      <c r="F1135" s="563">
        <v>0</v>
      </c>
      <c r="G1135" s="563">
        <v>0</v>
      </c>
      <c r="H1135" s="563">
        <v>800</v>
      </c>
      <c r="I1135" s="563">
        <f t="shared" si="77"/>
        <v>491</v>
      </c>
      <c r="J1135" s="563">
        <v>0</v>
      </c>
      <c r="K1135" s="563">
        <v>0</v>
      </c>
      <c r="L1135" s="741">
        <v>491</v>
      </c>
      <c r="M1135" s="965">
        <v>0.89236111111111105</v>
      </c>
      <c r="N1135" s="653">
        <v>12.6187</v>
      </c>
      <c r="O1135" s="746" t="s">
        <v>3282</v>
      </c>
      <c r="P1135" s="547" t="s">
        <v>1588</v>
      </c>
      <c r="Q1135" s="863">
        <v>0</v>
      </c>
      <c r="R1135" s="863">
        <v>0</v>
      </c>
      <c r="S1135" s="863">
        <v>0</v>
      </c>
      <c r="T1135" s="863">
        <v>0</v>
      </c>
      <c r="U1135" s="547" t="s">
        <v>6358</v>
      </c>
      <c r="V1135" s="548" t="s">
        <v>6355</v>
      </c>
      <c r="W1135" s="658">
        <v>6300</v>
      </c>
      <c r="X1135" s="547" t="s">
        <v>1532</v>
      </c>
      <c r="Y1135" s="547" t="s">
        <v>3336</v>
      </c>
      <c r="Z1135" s="547" t="s">
        <v>6356</v>
      </c>
      <c r="AA1135" s="547" t="s">
        <v>1703</v>
      </c>
      <c r="AB1135" s="550" t="s">
        <v>1686</v>
      </c>
    </row>
    <row r="1136" spans="1:28" ht="24" customHeight="1">
      <c r="A1136" s="606"/>
      <c r="B1136" s="544" t="s">
        <v>2201</v>
      </c>
      <c r="C1136" s="551" t="s">
        <v>1876</v>
      </c>
      <c r="D1136" s="553" t="s">
        <v>6359</v>
      </c>
      <c r="E1136" s="563">
        <f t="shared" si="78"/>
        <v>1200</v>
      </c>
      <c r="F1136" s="563">
        <v>0</v>
      </c>
      <c r="G1136" s="563">
        <v>0</v>
      </c>
      <c r="H1136" s="563">
        <v>1200</v>
      </c>
      <c r="I1136" s="563">
        <f t="shared" si="77"/>
        <v>259</v>
      </c>
      <c r="J1136" s="563">
        <v>0</v>
      </c>
      <c r="K1136" s="563">
        <v>0</v>
      </c>
      <c r="L1136" s="741">
        <v>259</v>
      </c>
      <c r="M1136" s="965">
        <v>0.88837209302325593</v>
      </c>
      <c r="N1136" s="653">
        <v>4.9469000000000003</v>
      </c>
      <c r="O1136" s="746" t="s">
        <v>3282</v>
      </c>
      <c r="P1136" s="547" t="s">
        <v>1588</v>
      </c>
      <c r="Q1136" s="863">
        <v>0</v>
      </c>
      <c r="R1136" s="863">
        <v>0</v>
      </c>
      <c r="S1136" s="863">
        <v>0</v>
      </c>
      <c r="T1136" s="863">
        <v>0</v>
      </c>
      <c r="U1136" s="547" t="s">
        <v>6360</v>
      </c>
      <c r="V1136" s="548" t="s">
        <v>4042</v>
      </c>
      <c r="W1136" s="658">
        <v>10079</v>
      </c>
      <c r="X1136" s="547" t="s">
        <v>1532</v>
      </c>
      <c r="Y1136" s="547" t="s">
        <v>3336</v>
      </c>
      <c r="Z1136" s="547" t="s">
        <v>6361</v>
      </c>
      <c r="AA1136" s="547" t="s">
        <v>6362</v>
      </c>
      <c r="AB1136" s="550" t="s">
        <v>1686</v>
      </c>
    </row>
    <row r="1137" spans="1:28" ht="24" customHeight="1">
      <c r="A1137" s="606"/>
      <c r="B1137" s="544" t="s">
        <v>2201</v>
      </c>
      <c r="C1137" s="551" t="s">
        <v>1878</v>
      </c>
      <c r="D1137" s="553" t="s">
        <v>6363</v>
      </c>
      <c r="E1137" s="563">
        <f t="shared" si="78"/>
        <v>600</v>
      </c>
      <c r="F1137" s="563">
        <v>0</v>
      </c>
      <c r="G1137" s="563">
        <v>0</v>
      </c>
      <c r="H1137" s="563">
        <v>600</v>
      </c>
      <c r="I1137" s="563">
        <f t="shared" si="77"/>
        <v>77</v>
      </c>
      <c r="J1137" s="563">
        <v>0</v>
      </c>
      <c r="K1137" s="563">
        <v>0</v>
      </c>
      <c r="L1137" s="741">
        <v>77</v>
      </c>
      <c r="M1137" s="965">
        <v>0.81333333333333324</v>
      </c>
      <c r="N1137" s="653">
        <v>0.9393999999999999</v>
      </c>
      <c r="O1137" s="746" t="s">
        <v>3282</v>
      </c>
      <c r="P1137" s="547" t="s">
        <v>1588</v>
      </c>
      <c r="Q1137" s="863">
        <v>0</v>
      </c>
      <c r="R1137" s="863">
        <v>0</v>
      </c>
      <c r="S1137" s="863">
        <v>0</v>
      </c>
      <c r="T1137" s="863">
        <v>0</v>
      </c>
      <c r="U1137" s="547" t="s">
        <v>6349</v>
      </c>
      <c r="V1137" s="548" t="s">
        <v>6364</v>
      </c>
      <c r="W1137" s="658">
        <v>10174</v>
      </c>
      <c r="X1137" s="547" t="s">
        <v>1532</v>
      </c>
      <c r="Y1137" s="547" t="s">
        <v>3336</v>
      </c>
      <c r="Z1137" s="547" t="s">
        <v>1705</v>
      </c>
      <c r="AA1137" s="547" t="s">
        <v>1686</v>
      </c>
      <c r="AB1137" s="550" t="s">
        <v>1686</v>
      </c>
    </row>
    <row r="1138" spans="1:28" ht="24" customHeight="1">
      <c r="A1138" s="606"/>
      <c r="B1138" s="544" t="s">
        <v>675</v>
      </c>
      <c r="C1138" s="551" t="s">
        <v>6365</v>
      </c>
      <c r="D1138" s="553" t="s">
        <v>6366</v>
      </c>
      <c r="E1138" s="563">
        <f t="shared" si="78"/>
        <v>90</v>
      </c>
      <c r="F1138" s="563">
        <v>0</v>
      </c>
      <c r="G1138" s="563">
        <v>0</v>
      </c>
      <c r="H1138" s="563">
        <v>90</v>
      </c>
      <c r="I1138" s="563">
        <f t="shared" si="77"/>
        <v>90</v>
      </c>
      <c r="J1138" s="563">
        <v>0</v>
      </c>
      <c r="K1138" s="563">
        <v>0</v>
      </c>
      <c r="L1138" s="741">
        <v>90</v>
      </c>
      <c r="M1138" s="966">
        <v>0.93697868396663575</v>
      </c>
      <c r="N1138" s="653">
        <v>9.1283399999999997</v>
      </c>
      <c r="O1138" s="746" t="s">
        <v>6367</v>
      </c>
      <c r="P1138" s="547" t="s">
        <v>1588</v>
      </c>
      <c r="Q1138" s="863">
        <v>0</v>
      </c>
      <c r="R1138" s="863">
        <v>0</v>
      </c>
      <c r="S1138" s="863">
        <v>0</v>
      </c>
      <c r="T1138" s="863">
        <v>0</v>
      </c>
      <c r="U1138" s="547" t="s">
        <v>6368</v>
      </c>
      <c r="V1138" s="551" t="s">
        <v>6369</v>
      </c>
      <c r="W1138" s="658">
        <v>441</v>
      </c>
      <c r="X1138" s="547" t="s">
        <v>2276</v>
      </c>
      <c r="Y1138" s="547" t="s">
        <v>1533</v>
      </c>
      <c r="Z1138" s="547"/>
      <c r="AA1138" s="547"/>
      <c r="AB1138" s="550" t="s">
        <v>1770</v>
      </c>
    </row>
    <row r="1139" spans="1:28" ht="24" customHeight="1">
      <c r="A1139" s="606"/>
      <c r="B1139" s="544" t="s">
        <v>675</v>
      </c>
      <c r="C1139" s="551" t="s">
        <v>6370</v>
      </c>
      <c r="D1139" s="553" t="s">
        <v>6371</v>
      </c>
      <c r="E1139" s="563">
        <f t="shared" si="78"/>
        <v>17</v>
      </c>
      <c r="F1139" s="563">
        <v>0</v>
      </c>
      <c r="G1139" s="563">
        <v>0</v>
      </c>
      <c r="H1139" s="563">
        <v>17</v>
      </c>
      <c r="I1139" s="563">
        <f t="shared" si="77"/>
        <v>17</v>
      </c>
      <c r="J1139" s="563">
        <v>0</v>
      </c>
      <c r="K1139" s="563">
        <v>0</v>
      </c>
      <c r="L1139" s="741">
        <v>17</v>
      </c>
      <c r="M1139" s="965">
        <v>0.89721421709894333</v>
      </c>
      <c r="N1139" s="653">
        <v>1.5877999999999999</v>
      </c>
      <c r="O1139" s="746" t="s">
        <v>6372</v>
      </c>
      <c r="P1139" s="547" t="s">
        <v>1588</v>
      </c>
      <c r="Q1139" s="863">
        <v>0</v>
      </c>
      <c r="R1139" s="863">
        <v>0</v>
      </c>
      <c r="S1139" s="863">
        <v>0</v>
      </c>
      <c r="T1139" s="863">
        <v>0</v>
      </c>
      <c r="U1139" s="547" t="s">
        <v>6368</v>
      </c>
      <c r="V1139" s="551" t="s">
        <v>6373</v>
      </c>
      <c r="W1139" s="658">
        <v>168</v>
      </c>
      <c r="X1139" s="547" t="s">
        <v>2276</v>
      </c>
      <c r="Y1139" s="547" t="s">
        <v>1533</v>
      </c>
      <c r="Z1139" s="547"/>
      <c r="AA1139" s="547"/>
      <c r="AB1139" s="550" t="s">
        <v>1770</v>
      </c>
    </row>
    <row r="1140" spans="1:28" ht="24" customHeight="1">
      <c r="A1140" s="606"/>
      <c r="B1140" s="544" t="s">
        <v>675</v>
      </c>
      <c r="C1140" s="551" t="s">
        <v>6374</v>
      </c>
      <c r="D1140" s="553" t="s">
        <v>6375</v>
      </c>
      <c r="E1140" s="563">
        <f t="shared" si="78"/>
        <v>10</v>
      </c>
      <c r="F1140" s="563">
        <v>0</v>
      </c>
      <c r="G1140" s="563">
        <v>0</v>
      </c>
      <c r="H1140" s="563">
        <v>10</v>
      </c>
      <c r="I1140" s="563">
        <f t="shared" si="77"/>
        <v>10</v>
      </c>
      <c r="J1140" s="563">
        <v>0</v>
      </c>
      <c r="K1140" s="563">
        <v>0</v>
      </c>
      <c r="L1140" s="741">
        <v>10</v>
      </c>
      <c r="M1140" s="965">
        <v>0.9285714285714286</v>
      </c>
      <c r="N1140" s="653">
        <v>1.0529999999999999</v>
      </c>
      <c r="O1140" s="746" t="s">
        <v>6376</v>
      </c>
      <c r="P1140" s="547" t="s">
        <v>1588</v>
      </c>
      <c r="Q1140" s="863">
        <v>0</v>
      </c>
      <c r="R1140" s="863">
        <v>0</v>
      </c>
      <c r="S1140" s="863">
        <v>0</v>
      </c>
      <c r="T1140" s="863">
        <v>0</v>
      </c>
      <c r="U1140" s="547" t="s">
        <v>6368</v>
      </c>
      <c r="V1140" s="551" t="s">
        <v>6377</v>
      </c>
      <c r="W1140" s="658">
        <v>100</v>
      </c>
      <c r="X1140" s="547" t="s">
        <v>2276</v>
      </c>
      <c r="Y1140" s="547" t="s">
        <v>1533</v>
      </c>
      <c r="Z1140" s="547"/>
      <c r="AA1140" s="547"/>
      <c r="AB1140" s="550" t="s">
        <v>1770</v>
      </c>
    </row>
    <row r="1141" spans="1:28" ht="24" customHeight="1">
      <c r="A1141" s="606"/>
      <c r="B1141" s="544" t="s">
        <v>675</v>
      </c>
      <c r="C1141" s="551" t="s">
        <v>6378</v>
      </c>
      <c r="D1141" s="553" t="s">
        <v>6379</v>
      </c>
      <c r="E1141" s="563">
        <f t="shared" si="78"/>
        <v>30</v>
      </c>
      <c r="F1141" s="563">
        <v>0</v>
      </c>
      <c r="G1141" s="563">
        <v>0</v>
      </c>
      <c r="H1141" s="563">
        <v>30</v>
      </c>
      <c r="I1141" s="563">
        <f t="shared" si="77"/>
        <v>30</v>
      </c>
      <c r="J1141" s="563">
        <v>0</v>
      </c>
      <c r="K1141" s="563">
        <v>0</v>
      </c>
      <c r="L1141" s="741">
        <v>30</v>
      </c>
      <c r="M1141" s="965">
        <v>0.91775700934579452</v>
      </c>
      <c r="N1141" s="653">
        <v>2.9460000000000006</v>
      </c>
      <c r="O1141" s="746" t="s">
        <v>2526</v>
      </c>
      <c r="P1141" s="547" t="s">
        <v>1588</v>
      </c>
      <c r="Q1141" s="863">
        <v>0</v>
      </c>
      <c r="R1141" s="863">
        <v>0</v>
      </c>
      <c r="S1141" s="863">
        <v>0</v>
      </c>
      <c r="T1141" s="863">
        <v>0</v>
      </c>
      <c r="U1141" s="547" t="s">
        <v>6368</v>
      </c>
      <c r="V1141" s="551" t="s">
        <v>6380</v>
      </c>
      <c r="W1141" s="658">
        <v>291</v>
      </c>
      <c r="X1141" s="547" t="s">
        <v>2276</v>
      </c>
      <c r="Y1141" s="547" t="s">
        <v>1533</v>
      </c>
      <c r="Z1141" s="547"/>
      <c r="AA1141" s="547"/>
      <c r="AB1141" s="550" t="s">
        <v>1770</v>
      </c>
    </row>
    <row r="1142" spans="1:28" ht="24" customHeight="1">
      <c r="A1142" s="606"/>
      <c r="B1142" s="544" t="s">
        <v>675</v>
      </c>
      <c r="C1142" s="551" t="s">
        <v>6381</v>
      </c>
      <c r="D1142" s="553" t="s">
        <v>6382</v>
      </c>
      <c r="E1142" s="563">
        <f t="shared" si="78"/>
        <v>30</v>
      </c>
      <c r="F1142" s="563">
        <v>0</v>
      </c>
      <c r="G1142" s="563">
        <v>0</v>
      </c>
      <c r="H1142" s="563">
        <v>30</v>
      </c>
      <c r="I1142" s="563">
        <f t="shared" si="77"/>
        <v>30</v>
      </c>
      <c r="J1142" s="563">
        <v>0</v>
      </c>
      <c r="K1142" s="563">
        <v>0</v>
      </c>
      <c r="L1142" s="741">
        <v>30</v>
      </c>
      <c r="M1142" s="965">
        <v>0.87671232876712324</v>
      </c>
      <c r="N1142" s="653">
        <v>3.0720000000000001</v>
      </c>
      <c r="O1142" s="746" t="s">
        <v>6383</v>
      </c>
      <c r="P1142" s="547" t="s">
        <v>1588</v>
      </c>
      <c r="Q1142" s="863">
        <v>0</v>
      </c>
      <c r="R1142" s="863">
        <v>0</v>
      </c>
      <c r="S1142" s="863">
        <v>0</v>
      </c>
      <c r="T1142" s="863">
        <v>0</v>
      </c>
      <c r="U1142" s="547" t="s">
        <v>6368</v>
      </c>
      <c r="V1142" s="551" t="s">
        <v>6384</v>
      </c>
      <c r="W1142" s="658">
        <v>150</v>
      </c>
      <c r="X1142" s="547" t="s">
        <v>2276</v>
      </c>
      <c r="Y1142" s="547" t="s">
        <v>1533</v>
      </c>
      <c r="Z1142" s="547"/>
      <c r="AA1142" s="547"/>
      <c r="AB1142" s="550" t="s">
        <v>1770</v>
      </c>
    </row>
    <row r="1143" spans="1:28" ht="24" customHeight="1">
      <c r="A1143" s="606"/>
      <c r="B1143" s="544" t="s">
        <v>675</v>
      </c>
      <c r="C1143" s="551" t="s">
        <v>6385</v>
      </c>
      <c r="D1143" s="553" t="s">
        <v>6379</v>
      </c>
      <c r="E1143" s="563">
        <f t="shared" si="78"/>
        <v>34</v>
      </c>
      <c r="F1143" s="563">
        <v>0</v>
      </c>
      <c r="G1143" s="563">
        <v>0</v>
      </c>
      <c r="H1143" s="563">
        <v>34</v>
      </c>
      <c r="I1143" s="563">
        <f t="shared" si="77"/>
        <v>34</v>
      </c>
      <c r="J1143" s="563">
        <v>0</v>
      </c>
      <c r="K1143" s="563">
        <v>0</v>
      </c>
      <c r="L1143" s="741">
        <v>34</v>
      </c>
      <c r="M1143" s="965">
        <v>0.91674290942360481</v>
      </c>
      <c r="N1143" s="653">
        <v>3.6685228253207387</v>
      </c>
      <c r="O1143" s="746" t="s">
        <v>2526</v>
      </c>
      <c r="P1143" s="547" t="s">
        <v>1588</v>
      </c>
      <c r="Q1143" s="863">
        <v>0</v>
      </c>
      <c r="R1143" s="863">
        <v>0</v>
      </c>
      <c r="S1143" s="863">
        <v>0</v>
      </c>
      <c r="T1143" s="863">
        <v>0</v>
      </c>
      <c r="U1143" s="547" t="s">
        <v>6368</v>
      </c>
      <c r="V1143" s="551" t="s">
        <v>6386</v>
      </c>
      <c r="W1143" s="658">
        <v>239</v>
      </c>
      <c r="X1143" s="547" t="s">
        <v>2276</v>
      </c>
      <c r="Y1143" s="547" t="s">
        <v>1533</v>
      </c>
      <c r="Z1143" s="547"/>
      <c r="AA1143" s="547"/>
      <c r="AB1143" s="550" t="s">
        <v>1770</v>
      </c>
    </row>
    <row r="1144" spans="1:28" ht="24" customHeight="1">
      <c r="A1144" s="606"/>
      <c r="B1144" s="544" t="s">
        <v>675</v>
      </c>
      <c r="C1144" s="551" t="s">
        <v>6387</v>
      </c>
      <c r="D1144" s="553" t="s">
        <v>6388</v>
      </c>
      <c r="E1144" s="563">
        <f t="shared" si="78"/>
        <v>60</v>
      </c>
      <c r="F1144" s="563">
        <v>0</v>
      </c>
      <c r="G1144" s="563">
        <v>0</v>
      </c>
      <c r="H1144" s="563">
        <v>60</v>
      </c>
      <c r="I1144" s="563">
        <f t="shared" si="77"/>
        <v>60</v>
      </c>
      <c r="J1144" s="563">
        <v>0</v>
      </c>
      <c r="K1144" s="563">
        <v>0</v>
      </c>
      <c r="L1144" s="741">
        <v>60</v>
      </c>
      <c r="M1144" s="965">
        <v>0.94781783681214415</v>
      </c>
      <c r="N1144" s="653">
        <v>5.9939999999999998</v>
      </c>
      <c r="O1144" s="746" t="s">
        <v>6389</v>
      </c>
      <c r="P1144" s="547" t="s">
        <v>1588</v>
      </c>
      <c r="Q1144" s="863">
        <v>0</v>
      </c>
      <c r="R1144" s="863">
        <v>0</v>
      </c>
      <c r="S1144" s="863">
        <v>0</v>
      </c>
      <c r="T1144" s="863">
        <v>0</v>
      </c>
      <c r="U1144" s="547" t="s">
        <v>6368</v>
      </c>
      <c r="V1144" s="551" t="s">
        <v>6390</v>
      </c>
      <c r="W1144" s="658">
        <v>285</v>
      </c>
      <c r="X1144" s="547" t="s">
        <v>2276</v>
      </c>
      <c r="Y1144" s="547" t="s">
        <v>1533</v>
      </c>
      <c r="Z1144" s="547"/>
      <c r="AA1144" s="547"/>
      <c r="AB1144" s="550" t="s">
        <v>1770</v>
      </c>
    </row>
    <row r="1145" spans="1:28" ht="24" customHeight="1">
      <c r="A1145" s="606"/>
      <c r="B1145" s="544" t="s">
        <v>675</v>
      </c>
      <c r="C1145" s="551" t="s">
        <v>6391</v>
      </c>
      <c r="D1145" s="553" t="s">
        <v>6392</v>
      </c>
      <c r="E1145" s="563">
        <f t="shared" si="78"/>
        <v>40</v>
      </c>
      <c r="F1145" s="563">
        <v>0</v>
      </c>
      <c r="G1145" s="563">
        <v>0</v>
      </c>
      <c r="H1145" s="563">
        <v>40</v>
      </c>
      <c r="I1145" s="563">
        <f t="shared" si="77"/>
        <v>40</v>
      </c>
      <c r="J1145" s="563">
        <v>0</v>
      </c>
      <c r="K1145" s="563">
        <v>0</v>
      </c>
      <c r="L1145" s="741">
        <v>40</v>
      </c>
      <c r="M1145" s="965">
        <v>0.93171608265947892</v>
      </c>
      <c r="N1145" s="653">
        <v>4.1480000000000006</v>
      </c>
      <c r="O1145" s="746" t="s">
        <v>6389</v>
      </c>
      <c r="P1145" s="547" t="s">
        <v>1588</v>
      </c>
      <c r="Q1145" s="863">
        <v>0</v>
      </c>
      <c r="R1145" s="863">
        <v>0</v>
      </c>
      <c r="S1145" s="863">
        <v>0</v>
      </c>
      <c r="T1145" s="863">
        <v>0</v>
      </c>
      <c r="U1145" s="547" t="s">
        <v>6368</v>
      </c>
      <c r="V1145" s="551" t="s">
        <v>6390</v>
      </c>
      <c r="W1145" s="658">
        <v>254</v>
      </c>
      <c r="X1145" s="547" t="s">
        <v>2276</v>
      </c>
      <c r="Y1145" s="547" t="s">
        <v>1533</v>
      </c>
      <c r="Z1145" s="547"/>
      <c r="AA1145" s="547"/>
      <c r="AB1145" s="550" t="s">
        <v>1770</v>
      </c>
    </row>
    <row r="1146" spans="1:28" ht="24" customHeight="1">
      <c r="A1146" s="606"/>
      <c r="B1146" s="544" t="s">
        <v>675</v>
      </c>
      <c r="C1146" s="551" t="s">
        <v>6393</v>
      </c>
      <c r="D1146" s="553" t="s">
        <v>6394</v>
      </c>
      <c r="E1146" s="563">
        <f t="shared" si="78"/>
        <v>70</v>
      </c>
      <c r="F1146" s="563">
        <v>0</v>
      </c>
      <c r="G1146" s="563">
        <v>0</v>
      </c>
      <c r="H1146" s="563">
        <v>70</v>
      </c>
      <c r="I1146" s="563">
        <f t="shared" si="77"/>
        <v>70</v>
      </c>
      <c r="J1146" s="563">
        <v>0</v>
      </c>
      <c r="K1146" s="563">
        <v>0</v>
      </c>
      <c r="L1146" s="741">
        <v>70</v>
      </c>
      <c r="M1146" s="965">
        <v>0.9233160621761658</v>
      </c>
      <c r="N1146" s="653">
        <v>6.2370000000000001</v>
      </c>
      <c r="O1146" s="746" t="s">
        <v>6395</v>
      </c>
      <c r="P1146" s="547" t="s">
        <v>1588</v>
      </c>
      <c r="Q1146" s="863">
        <v>0</v>
      </c>
      <c r="R1146" s="863">
        <v>0</v>
      </c>
      <c r="S1146" s="863">
        <v>0</v>
      </c>
      <c r="T1146" s="863">
        <v>0</v>
      </c>
      <c r="U1146" s="547" t="s">
        <v>6368</v>
      </c>
      <c r="V1146" s="551" t="s">
        <v>6396</v>
      </c>
      <c r="W1146" s="658">
        <v>351</v>
      </c>
      <c r="X1146" s="547" t="s">
        <v>2276</v>
      </c>
      <c r="Y1146" s="547" t="s">
        <v>3161</v>
      </c>
      <c r="Z1146" s="547"/>
      <c r="AA1146" s="547"/>
      <c r="AB1146" s="550" t="s">
        <v>1770</v>
      </c>
    </row>
    <row r="1147" spans="1:28" ht="24" customHeight="1">
      <c r="A1147" s="606"/>
      <c r="B1147" s="544" t="s">
        <v>675</v>
      </c>
      <c r="C1147" s="551" t="s">
        <v>6397</v>
      </c>
      <c r="D1147" s="553" t="s">
        <v>6375</v>
      </c>
      <c r="E1147" s="563">
        <f t="shared" si="78"/>
        <v>40</v>
      </c>
      <c r="F1147" s="563">
        <v>0</v>
      </c>
      <c r="G1147" s="563">
        <v>0</v>
      </c>
      <c r="H1147" s="563">
        <v>40</v>
      </c>
      <c r="I1147" s="563">
        <f t="shared" si="77"/>
        <v>40</v>
      </c>
      <c r="J1147" s="563">
        <v>0</v>
      </c>
      <c r="K1147" s="563">
        <v>0</v>
      </c>
      <c r="L1147" s="741">
        <v>40</v>
      </c>
      <c r="M1147" s="965">
        <v>0.91449999999999998</v>
      </c>
      <c r="N1147" s="653">
        <v>7.3160000000000007</v>
      </c>
      <c r="O1147" s="746" t="s">
        <v>3180</v>
      </c>
      <c r="P1147" s="547" t="s">
        <v>1588</v>
      </c>
      <c r="Q1147" s="863">
        <v>0</v>
      </c>
      <c r="R1147" s="863">
        <v>0</v>
      </c>
      <c r="S1147" s="863">
        <v>0</v>
      </c>
      <c r="T1147" s="863">
        <v>0</v>
      </c>
      <c r="U1147" s="547" t="s">
        <v>6368</v>
      </c>
      <c r="V1147" s="551" t="s">
        <v>6396</v>
      </c>
      <c r="W1147" s="658">
        <v>276</v>
      </c>
      <c r="X1147" s="547" t="s">
        <v>2276</v>
      </c>
      <c r="Y1147" s="547" t="s">
        <v>1533</v>
      </c>
      <c r="Z1147" s="547"/>
      <c r="AA1147" s="547"/>
      <c r="AB1147" s="550" t="s">
        <v>1770</v>
      </c>
    </row>
    <row r="1148" spans="1:28" ht="24" customHeight="1">
      <c r="A1148" s="606"/>
      <c r="B1148" s="544" t="s">
        <v>675</v>
      </c>
      <c r="C1148" s="551" t="s">
        <v>6398</v>
      </c>
      <c r="D1148" s="553" t="s">
        <v>6399</v>
      </c>
      <c r="E1148" s="563">
        <f t="shared" si="78"/>
        <v>25</v>
      </c>
      <c r="F1148" s="563">
        <v>0</v>
      </c>
      <c r="G1148" s="563">
        <v>0</v>
      </c>
      <c r="H1148" s="563">
        <v>25</v>
      </c>
      <c r="I1148" s="563">
        <f t="shared" si="77"/>
        <v>25</v>
      </c>
      <c r="J1148" s="563">
        <v>0</v>
      </c>
      <c r="K1148" s="563">
        <v>0</v>
      </c>
      <c r="L1148" s="741">
        <v>25</v>
      </c>
      <c r="M1148" s="965">
        <v>0.91431792559188285</v>
      </c>
      <c r="N1148" s="653">
        <v>2.0274999999999999</v>
      </c>
      <c r="O1148" s="746" t="s">
        <v>6400</v>
      </c>
      <c r="P1148" s="547" t="s">
        <v>1588</v>
      </c>
      <c r="Q1148" s="863">
        <v>0</v>
      </c>
      <c r="R1148" s="863">
        <v>0</v>
      </c>
      <c r="S1148" s="863">
        <v>0</v>
      </c>
      <c r="T1148" s="863">
        <v>0</v>
      </c>
      <c r="U1148" s="547" t="s">
        <v>6368</v>
      </c>
      <c r="V1148" s="551" t="s">
        <v>6401</v>
      </c>
      <c r="W1148" s="658">
        <v>367</v>
      </c>
      <c r="X1148" s="547" t="s">
        <v>2276</v>
      </c>
      <c r="Y1148" s="547" t="s">
        <v>3161</v>
      </c>
      <c r="Z1148" s="547"/>
      <c r="AA1148" s="547"/>
      <c r="AB1148" s="550" t="s">
        <v>6352</v>
      </c>
    </row>
    <row r="1149" spans="1:28" ht="24" customHeight="1">
      <c r="A1149" s="606"/>
      <c r="B1149" s="544" t="s">
        <v>675</v>
      </c>
      <c r="C1149" s="551" t="s">
        <v>6402</v>
      </c>
      <c r="D1149" s="553" t="s">
        <v>6403</v>
      </c>
      <c r="E1149" s="563">
        <f t="shared" si="78"/>
        <v>40</v>
      </c>
      <c r="F1149" s="563">
        <v>0</v>
      </c>
      <c r="G1149" s="563">
        <v>0</v>
      </c>
      <c r="H1149" s="563">
        <v>40</v>
      </c>
      <c r="I1149" s="563">
        <f t="shared" si="77"/>
        <v>40</v>
      </c>
      <c r="J1149" s="563">
        <v>0</v>
      </c>
      <c r="K1149" s="563">
        <v>0</v>
      </c>
      <c r="L1149" s="741">
        <v>40</v>
      </c>
      <c r="M1149" s="965">
        <v>0.91480298189563369</v>
      </c>
      <c r="N1149" s="653">
        <v>3.4359999999999999</v>
      </c>
      <c r="O1149" s="746" t="s">
        <v>6400</v>
      </c>
      <c r="P1149" s="547" t="s">
        <v>1588</v>
      </c>
      <c r="Q1149" s="863">
        <v>0</v>
      </c>
      <c r="R1149" s="863">
        <v>0</v>
      </c>
      <c r="S1149" s="863">
        <v>0</v>
      </c>
      <c r="T1149" s="863">
        <v>0</v>
      </c>
      <c r="U1149" s="547" t="s">
        <v>6368</v>
      </c>
      <c r="V1149" s="551" t="s">
        <v>6401</v>
      </c>
      <c r="W1149" s="658">
        <v>300</v>
      </c>
      <c r="X1149" s="547" t="s">
        <v>2276</v>
      </c>
      <c r="Y1149" s="547" t="s">
        <v>3161</v>
      </c>
      <c r="Z1149" s="547"/>
      <c r="AA1149" s="547"/>
      <c r="AB1149" s="550" t="s">
        <v>6352</v>
      </c>
    </row>
    <row r="1150" spans="1:28" ht="24" customHeight="1">
      <c r="A1150" s="606"/>
      <c r="B1150" s="544" t="s">
        <v>675</v>
      </c>
      <c r="C1150" s="551" t="s">
        <v>6404</v>
      </c>
      <c r="D1150" s="553" t="s">
        <v>6405</v>
      </c>
      <c r="E1150" s="563">
        <f t="shared" si="78"/>
        <v>30</v>
      </c>
      <c r="F1150" s="563">
        <v>0</v>
      </c>
      <c r="G1150" s="563">
        <v>0</v>
      </c>
      <c r="H1150" s="563">
        <v>30</v>
      </c>
      <c r="I1150" s="563">
        <f t="shared" si="77"/>
        <v>30</v>
      </c>
      <c r="J1150" s="563">
        <v>0</v>
      </c>
      <c r="K1150" s="563">
        <v>0</v>
      </c>
      <c r="L1150" s="741">
        <v>30</v>
      </c>
      <c r="M1150" s="965">
        <v>0.90605239385727188</v>
      </c>
      <c r="N1150" s="653">
        <v>3.0089999999999999</v>
      </c>
      <c r="O1150" s="746" t="s">
        <v>6406</v>
      </c>
      <c r="P1150" s="547" t="s">
        <v>1588</v>
      </c>
      <c r="Q1150" s="863">
        <v>0</v>
      </c>
      <c r="R1150" s="863">
        <v>0</v>
      </c>
      <c r="S1150" s="863">
        <v>0</v>
      </c>
      <c r="T1150" s="863">
        <v>0</v>
      </c>
      <c r="U1150" s="547" t="s">
        <v>6368</v>
      </c>
      <c r="V1150" s="551" t="s">
        <v>6407</v>
      </c>
      <c r="W1150" s="658">
        <v>213</v>
      </c>
      <c r="X1150" s="547" t="s">
        <v>2276</v>
      </c>
      <c r="Y1150" s="547" t="s">
        <v>3161</v>
      </c>
      <c r="Z1150" s="547"/>
      <c r="AA1150" s="547"/>
      <c r="AB1150" s="550" t="s">
        <v>1703</v>
      </c>
    </row>
    <row r="1151" spans="1:28" ht="24" customHeight="1">
      <c r="A1151" s="606"/>
      <c r="B1151" s="544" t="s">
        <v>675</v>
      </c>
      <c r="C1151" s="551" t="s">
        <v>6408</v>
      </c>
      <c r="D1151" s="553" t="s">
        <v>6405</v>
      </c>
      <c r="E1151" s="563">
        <f t="shared" si="78"/>
        <v>20</v>
      </c>
      <c r="F1151" s="563">
        <v>0</v>
      </c>
      <c r="G1151" s="563">
        <v>0</v>
      </c>
      <c r="H1151" s="563">
        <v>20</v>
      </c>
      <c r="I1151" s="563">
        <f t="shared" si="77"/>
        <v>20</v>
      </c>
      <c r="J1151" s="563">
        <v>0</v>
      </c>
      <c r="K1151" s="563">
        <v>0</v>
      </c>
      <c r="L1151" s="741">
        <v>20</v>
      </c>
      <c r="M1151" s="965">
        <v>0.94045174537987686</v>
      </c>
      <c r="N1151" s="653">
        <v>1.8320000000000003</v>
      </c>
      <c r="O1151" s="746" t="s">
        <v>6406</v>
      </c>
      <c r="P1151" s="547" t="s">
        <v>1588</v>
      </c>
      <c r="Q1151" s="863">
        <v>0</v>
      </c>
      <c r="R1151" s="863">
        <v>0</v>
      </c>
      <c r="S1151" s="863">
        <v>0</v>
      </c>
      <c r="T1151" s="863">
        <v>0</v>
      </c>
      <c r="U1151" s="547" t="s">
        <v>6368</v>
      </c>
      <c r="V1151" s="551" t="s">
        <v>6407</v>
      </c>
      <c r="W1151" s="658">
        <v>158</v>
      </c>
      <c r="X1151" s="547" t="s">
        <v>2276</v>
      </c>
      <c r="Y1151" s="547" t="s">
        <v>3161</v>
      </c>
      <c r="Z1151" s="547"/>
      <c r="AA1151" s="547"/>
      <c r="AB1151" s="550" t="s">
        <v>1703</v>
      </c>
    </row>
    <row r="1152" spans="1:28" ht="24" customHeight="1">
      <c r="A1152" s="606"/>
      <c r="B1152" s="544" t="s">
        <v>675</v>
      </c>
      <c r="C1152" s="551" t="s">
        <v>6409</v>
      </c>
      <c r="D1152" s="553" t="s">
        <v>6410</v>
      </c>
      <c r="E1152" s="563">
        <f t="shared" si="78"/>
        <v>15</v>
      </c>
      <c r="F1152" s="563">
        <v>0</v>
      </c>
      <c r="G1152" s="563">
        <v>0</v>
      </c>
      <c r="H1152" s="563">
        <v>15</v>
      </c>
      <c r="I1152" s="563">
        <f t="shared" si="77"/>
        <v>15</v>
      </c>
      <c r="J1152" s="563">
        <v>0</v>
      </c>
      <c r="K1152" s="563">
        <v>0</v>
      </c>
      <c r="L1152" s="741">
        <v>15</v>
      </c>
      <c r="M1152" s="965">
        <v>0.94664031620553357</v>
      </c>
      <c r="N1152" s="653">
        <v>1.4370000000000001</v>
      </c>
      <c r="O1152" s="746" t="s">
        <v>6411</v>
      </c>
      <c r="P1152" s="547" t="s">
        <v>1588</v>
      </c>
      <c r="Q1152" s="863">
        <v>0</v>
      </c>
      <c r="R1152" s="863">
        <v>0</v>
      </c>
      <c r="S1152" s="863">
        <v>0</v>
      </c>
      <c r="T1152" s="863">
        <v>0</v>
      </c>
      <c r="U1152" s="547" t="s">
        <v>6368</v>
      </c>
      <c r="V1152" s="551" t="s">
        <v>6412</v>
      </c>
      <c r="W1152" s="658">
        <v>144</v>
      </c>
      <c r="X1152" s="547" t="s">
        <v>2276</v>
      </c>
      <c r="Y1152" s="547" t="s">
        <v>3161</v>
      </c>
      <c r="Z1152" s="547"/>
      <c r="AA1152" s="547"/>
      <c r="AB1152" s="550" t="s">
        <v>1703</v>
      </c>
    </row>
    <row r="1153" spans="1:28" ht="24" customHeight="1">
      <c r="A1153" s="606"/>
      <c r="B1153" s="544" t="s">
        <v>675</v>
      </c>
      <c r="C1153" s="551" t="s">
        <v>6413</v>
      </c>
      <c r="D1153" s="553" t="s">
        <v>6414</v>
      </c>
      <c r="E1153" s="563">
        <f t="shared" si="78"/>
        <v>30</v>
      </c>
      <c r="F1153" s="563">
        <v>0</v>
      </c>
      <c r="G1153" s="563">
        <v>0</v>
      </c>
      <c r="H1153" s="563">
        <v>30</v>
      </c>
      <c r="I1153" s="563">
        <f t="shared" si="77"/>
        <v>30</v>
      </c>
      <c r="J1153" s="563">
        <v>0</v>
      </c>
      <c r="K1153" s="563">
        <v>0</v>
      </c>
      <c r="L1153" s="741">
        <v>30</v>
      </c>
      <c r="M1153" s="965">
        <v>0.94714587737843547</v>
      </c>
      <c r="N1153" s="653">
        <v>2.6880000000000002</v>
      </c>
      <c r="O1153" s="746" t="s">
        <v>6406</v>
      </c>
      <c r="P1153" s="547" t="s">
        <v>1588</v>
      </c>
      <c r="Q1153" s="863">
        <v>0</v>
      </c>
      <c r="R1153" s="863">
        <v>0</v>
      </c>
      <c r="S1153" s="863">
        <v>0</v>
      </c>
      <c r="T1153" s="863">
        <v>0</v>
      </c>
      <c r="U1153" s="547" t="s">
        <v>6368</v>
      </c>
      <c r="V1153" s="551" t="s">
        <v>6415</v>
      </c>
      <c r="W1153" s="658">
        <v>184</v>
      </c>
      <c r="X1153" s="547" t="s">
        <v>2276</v>
      </c>
      <c r="Y1153" s="547" t="s">
        <v>3161</v>
      </c>
      <c r="Z1153" s="547"/>
      <c r="AA1153" s="547"/>
      <c r="AB1153" s="550" t="s">
        <v>1703</v>
      </c>
    </row>
    <row r="1154" spans="1:28" ht="24" customHeight="1">
      <c r="A1154" s="606"/>
      <c r="B1154" s="544" t="s">
        <v>675</v>
      </c>
      <c r="C1154" s="551" t="s">
        <v>6416</v>
      </c>
      <c r="D1154" s="553" t="s">
        <v>6417</v>
      </c>
      <c r="E1154" s="563">
        <f t="shared" si="78"/>
        <v>50</v>
      </c>
      <c r="F1154" s="563">
        <v>0</v>
      </c>
      <c r="G1154" s="563">
        <v>0</v>
      </c>
      <c r="H1154" s="563">
        <v>50</v>
      </c>
      <c r="I1154" s="563">
        <f t="shared" si="77"/>
        <v>50</v>
      </c>
      <c r="J1154" s="563">
        <v>0</v>
      </c>
      <c r="K1154" s="563">
        <v>0</v>
      </c>
      <c r="L1154" s="741">
        <v>50</v>
      </c>
      <c r="M1154" s="965">
        <v>0.92572062084257201</v>
      </c>
      <c r="N1154" s="653">
        <v>4.1749999999999998</v>
      </c>
      <c r="O1154" s="746" t="s">
        <v>6411</v>
      </c>
      <c r="P1154" s="547" t="s">
        <v>1588</v>
      </c>
      <c r="Q1154" s="863">
        <v>0</v>
      </c>
      <c r="R1154" s="863">
        <v>0</v>
      </c>
      <c r="S1154" s="863">
        <v>0</v>
      </c>
      <c r="T1154" s="863">
        <v>0</v>
      </c>
      <c r="U1154" s="547" t="s">
        <v>6368</v>
      </c>
      <c r="V1154" s="551" t="s">
        <v>6412</v>
      </c>
      <c r="W1154" s="658">
        <v>187</v>
      </c>
      <c r="X1154" s="547" t="s">
        <v>2276</v>
      </c>
      <c r="Y1154" s="547" t="s">
        <v>3161</v>
      </c>
      <c r="Z1154" s="547"/>
      <c r="AA1154" s="547"/>
      <c r="AB1154" s="550" t="s">
        <v>1703</v>
      </c>
    </row>
    <row r="1155" spans="1:28" ht="24" customHeight="1">
      <c r="A1155" s="606"/>
      <c r="B1155" s="544" t="s">
        <v>675</v>
      </c>
      <c r="C1155" s="551" t="s">
        <v>6418</v>
      </c>
      <c r="D1155" s="553" t="s">
        <v>6419</v>
      </c>
      <c r="E1155" s="563">
        <f t="shared" si="78"/>
        <v>40</v>
      </c>
      <c r="F1155" s="563">
        <v>0</v>
      </c>
      <c r="G1155" s="563">
        <v>0</v>
      </c>
      <c r="H1155" s="563">
        <v>40</v>
      </c>
      <c r="I1155" s="563">
        <f t="shared" si="77"/>
        <v>40</v>
      </c>
      <c r="J1155" s="563">
        <v>0</v>
      </c>
      <c r="K1155" s="563">
        <v>0</v>
      </c>
      <c r="L1155" s="741">
        <v>40</v>
      </c>
      <c r="M1155" s="965">
        <v>0.95191451469278698</v>
      </c>
      <c r="N1155" s="653">
        <v>4.2759999999999998</v>
      </c>
      <c r="O1155" s="746" t="s">
        <v>6411</v>
      </c>
      <c r="P1155" s="547" t="s">
        <v>1588</v>
      </c>
      <c r="Q1155" s="863">
        <v>0</v>
      </c>
      <c r="R1155" s="863">
        <v>0</v>
      </c>
      <c r="S1155" s="863">
        <v>0</v>
      </c>
      <c r="T1155" s="863">
        <v>0</v>
      </c>
      <c r="U1155" s="547" t="s">
        <v>6368</v>
      </c>
      <c r="V1155" s="551" t="s">
        <v>6412</v>
      </c>
      <c r="W1155" s="658">
        <v>235</v>
      </c>
      <c r="X1155" s="547" t="s">
        <v>2276</v>
      </c>
      <c r="Y1155" s="547" t="s">
        <v>3161</v>
      </c>
      <c r="Z1155" s="547"/>
      <c r="AA1155" s="547"/>
      <c r="AB1155" s="550" t="s">
        <v>1703</v>
      </c>
    </row>
    <row r="1156" spans="1:28" ht="24" customHeight="1">
      <c r="A1156" s="606"/>
      <c r="B1156" s="544" t="s">
        <v>675</v>
      </c>
      <c r="C1156" s="551" t="s">
        <v>6420</v>
      </c>
      <c r="D1156" s="553" t="s">
        <v>6421</v>
      </c>
      <c r="E1156" s="563">
        <f t="shared" si="78"/>
        <v>40</v>
      </c>
      <c r="F1156" s="563">
        <v>0</v>
      </c>
      <c r="G1156" s="563">
        <v>0</v>
      </c>
      <c r="H1156" s="563">
        <v>40</v>
      </c>
      <c r="I1156" s="563">
        <f t="shared" si="77"/>
        <v>40</v>
      </c>
      <c r="J1156" s="563">
        <v>0</v>
      </c>
      <c r="K1156" s="563">
        <v>0</v>
      </c>
      <c r="L1156" s="741">
        <v>40</v>
      </c>
      <c r="M1156" s="965">
        <v>0.9252631578947369</v>
      </c>
      <c r="N1156" s="653">
        <v>3.516</v>
      </c>
      <c r="O1156" s="746" t="s">
        <v>6422</v>
      </c>
      <c r="P1156" s="547" t="s">
        <v>1588</v>
      </c>
      <c r="Q1156" s="863">
        <v>0</v>
      </c>
      <c r="R1156" s="863">
        <v>0</v>
      </c>
      <c r="S1156" s="863">
        <v>0</v>
      </c>
      <c r="T1156" s="863">
        <v>0</v>
      </c>
      <c r="U1156" s="547" t="s">
        <v>6368</v>
      </c>
      <c r="V1156" s="551" t="s">
        <v>6423</v>
      </c>
      <c r="W1156" s="658">
        <v>333</v>
      </c>
      <c r="X1156" s="547" t="s">
        <v>2276</v>
      </c>
      <c r="Y1156" s="547" t="s">
        <v>3161</v>
      </c>
      <c r="Z1156" s="547"/>
      <c r="AA1156" s="547"/>
      <c r="AB1156" s="550" t="s">
        <v>6352</v>
      </c>
    </row>
    <row r="1157" spans="1:28" ht="24" customHeight="1">
      <c r="A1157" s="606"/>
      <c r="B1157" s="544" t="s">
        <v>675</v>
      </c>
      <c r="C1157" s="551" t="s">
        <v>6424</v>
      </c>
      <c r="D1157" s="553" t="s">
        <v>6425</v>
      </c>
      <c r="E1157" s="563">
        <f t="shared" si="78"/>
        <v>40</v>
      </c>
      <c r="F1157" s="563">
        <v>0</v>
      </c>
      <c r="G1157" s="563">
        <v>0</v>
      </c>
      <c r="H1157" s="563">
        <v>40</v>
      </c>
      <c r="I1157" s="563">
        <f t="shared" si="77"/>
        <v>40</v>
      </c>
      <c r="J1157" s="563">
        <v>0</v>
      </c>
      <c r="K1157" s="563">
        <v>0</v>
      </c>
      <c r="L1157" s="741">
        <v>40</v>
      </c>
      <c r="M1157" s="965">
        <v>0.92702980472764651</v>
      </c>
      <c r="N1157" s="653">
        <v>3.6080000000000001</v>
      </c>
      <c r="O1157" s="746" t="s">
        <v>6400</v>
      </c>
      <c r="P1157" s="547" t="s">
        <v>1588</v>
      </c>
      <c r="Q1157" s="863">
        <v>0</v>
      </c>
      <c r="R1157" s="863">
        <v>0</v>
      </c>
      <c r="S1157" s="863">
        <v>0</v>
      </c>
      <c r="T1157" s="863">
        <v>0</v>
      </c>
      <c r="U1157" s="547" t="s">
        <v>6368</v>
      </c>
      <c r="V1157" s="551" t="s">
        <v>6401</v>
      </c>
      <c r="W1157" s="658">
        <v>267</v>
      </c>
      <c r="X1157" s="547" t="s">
        <v>2276</v>
      </c>
      <c r="Y1157" s="547" t="s">
        <v>1533</v>
      </c>
      <c r="Z1157" s="547"/>
      <c r="AA1157" s="547"/>
      <c r="AB1157" s="550" t="s">
        <v>6352</v>
      </c>
    </row>
    <row r="1158" spans="1:28" ht="24" customHeight="1">
      <c r="A1158" s="606"/>
      <c r="B1158" s="544" t="s">
        <v>675</v>
      </c>
      <c r="C1158" s="551" t="s">
        <v>6426</v>
      </c>
      <c r="D1158" s="553" t="s">
        <v>6427</v>
      </c>
      <c r="E1158" s="563">
        <f t="shared" si="78"/>
        <v>60</v>
      </c>
      <c r="F1158" s="563">
        <v>0</v>
      </c>
      <c r="G1158" s="563">
        <v>0</v>
      </c>
      <c r="H1158" s="563">
        <v>60</v>
      </c>
      <c r="I1158" s="563">
        <f t="shared" si="77"/>
        <v>60</v>
      </c>
      <c r="J1158" s="563">
        <v>0</v>
      </c>
      <c r="K1158" s="563">
        <v>0</v>
      </c>
      <c r="L1158" s="741">
        <v>60</v>
      </c>
      <c r="M1158" s="965">
        <v>0.92132505175983437</v>
      </c>
      <c r="N1158" s="653">
        <v>5.34</v>
      </c>
      <c r="O1158" s="746" t="s">
        <v>6400</v>
      </c>
      <c r="P1158" s="547" t="s">
        <v>1588</v>
      </c>
      <c r="Q1158" s="863">
        <v>0</v>
      </c>
      <c r="R1158" s="863">
        <v>0</v>
      </c>
      <c r="S1158" s="863">
        <v>0</v>
      </c>
      <c r="T1158" s="863">
        <v>0</v>
      </c>
      <c r="U1158" s="547" t="s">
        <v>6368</v>
      </c>
      <c r="V1158" s="551" t="s">
        <v>6428</v>
      </c>
      <c r="W1158" s="658">
        <v>291</v>
      </c>
      <c r="X1158" s="547" t="s">
        <v>2276</v>
      </c>
      <c r="Y1158" s="547" t="s">
        <v>3161</v>
      </c>
      <c r="Z1158" s="547"/>
      <c r="AA1158" s="547"/>
      <c r="AB1158" s="550" t="s">
        <v>1686</v>
      </c>
    </row>
    <row r="1159" spans="1:28" ht="24" customHeight="1">
      <c r="A1159" s="606"/>
      <c r="B1159" s="544" t="s">
        <v>675</v>
      </c>
      <c r="C1159" s="551" t="s">
        <v>6429</v>
      </c>
      <c r="D1159" s="553" t="s">
        <v>6430</v>
      </c>
      <c r="E1159" s="563">
        <f t="shared" si="78"/>
        <v>50</v>
      </c>
      <c r="F1159" s="563">
        <v>0</v>
      </c>
      <c r="G1159" s="563">
        <v>0</v>
      </c>
      <c r="H1159" s="563">
        <v>50</v>
      </c>
      <c r="I1159" s="563">
        <f t="shared" si="77"/>
        <v>50</v>
      </c>
      <c r="J1159" s="563">
        <v>0</v>
      </c>
      <c r="K1159" s="563">
        <v>0</v>
      </c>
      <c r="L1159" s="741">
        <v>50</v>
      </c>
      <c r="M1159" s="965">
        <v>0.92307692307692302</v>
      </c>
      <c r="N1159" s="653">
        <v>4.32</v>
      </c>
      <c r="O1159" s="746" t="s">
        <v>6431</v>
      </c>
      <c r="P1159" s="547" t="s">
        <v>1588</v>
      </c>
      <c r="Q1159" s="863">
        <v>0</v>
      </c>
      <c r="R1159" s="863">
        <v>0</v>
      </c>
      <c r="S1159" s="863">
        <v>0</v>
      </c>
      <c r="T1159" s="863">
        <v>0</v>
      </c>
      <c r="U1159" s="547" t="s">
        <v>6368</v>
      </c>
      <c r="V1159" s="551" t="s">
        <v>6432</v>
      </c>
      <c r="W1159" s="658">
        <v>150</v>
      </c>
      <c r="X1159" s="547" t="s">
        <v>2276</v>
      </c>
      <c r="Y1159" s="547" t="s">
        <v>3161</v>
      </c>
      <c r="Z1159" s="547"/>
      <c r="AA1159" s="547"/>
      <c r="AB1159" s="550" t="s">
        <v>1686</v>
      </c>
    </row>
    <row r="1160" spans="1:28" ht="24" customHeight="1">
      <c r="A1160" s="606"/>
      <c r="B1160" s="544" t="s">
        <v>675</v>
      </c>
      <c r="C1160" s="551" t="s">
        <v>6433</v>
      </c>
      <c r="D1160" s="553" t="s">
        <v>6427</v>
      </c>
      <c r="E1160" s="563">
        <f t="shared" si="78"/>
        <v>30</v>
      </c>
      <c r="F1160" s="563">
        <v>0</v>
      </c>
      <c r="G1160" s="563">
        <v>0</v>
      </c>
      <c r="H1160" s="563">
        <v>30</v>
      </c>
      <c r="I1160" s="563">
        <f t="shared" si="77"/>
        <v>30</v>
      </c>
      <c r="J1160" s="563">
        <v>0</v>
      </c>
      <c r="K1160" s="563">
        <v>0</v>
      </c>
      <c r="L1160" s="741">
        <v>30</v>
      </c>
      <c r="M1160" s="965">
        <v>0.91425509110396574</v>
      </c>
      <c r="N1160" s="653">
        <v>2.5590000000000002</v>
      </c>
      <c r="O1160" s="746" t="s">
        <v>6434</v>
      </c>
      <c r="P1160" s="547" t="s">
        <v>1588</v>
      </c>
      <c r="Q1160" s="863">
        <v>0</v>
      </c>
      <c r="R1160" s="863">
        <v>0</v>
      </c>
      <c r="S1160" s="863">
        <v>0</v>
      </c>
      <c r="T1160" s="863">
        <v>0</v>
      </c>
      <c r="U1160" s="547" t="s">
        <v>6368</v>
      </c>
      <c r="V1160" s="551" t="s">
        <v>6435</v>
      </c>
      <c r="W1160" s="658">
        <v>400</v>
      </c>
      <c r="X1160" s="547" t="s">
        <v>2276</v>
      </c>
      <c r="Y1160" s="547" t="s">
        <v>3161</v>
      </c>
      <c r="Z1160" s="547" t="s">
        <v>6436</v>
      </c>
      <c r="AA1160" s="547"/>
      <c r="AB1160" s="550" t="s">
        <v>1686</v>
      </c>
    </row>
    <row r="1161" spans="1:28" ht="24" customHeight="1">
      <c r="A1161" s="606"/>
      <c r="B1161" s="544" t="s">
        <v>675</v>
      </c>
      <c r="C1161" s="551" t="s">
        <v>6437</v>
      </c>
      <c r="D1161" s="553" t="s">
        <v>6427</v>
      </c>
      <c r="E1161" s="563">
        <f t="shared" si="78"/>
        <v>100</v>
      </c>
      <c r="F1161" s="563">
        <v>0</v>
      </c>
      <c r="G1161" s="563">
        <v>0</v>
      </c>
      <c r="H1161" s="563">
        <v>100</v>
      </c>
      <c r="I1161" s="563">
        <f t="shared" si="77"/>
        <v>100</v>
      </c>
      <c r="J1161" s="563">
        <v>0</v>
      </c>
      <c r="K1161" s="563">
        <v>0</v>
      </c>
      <c r="L1161" s="741">
        <v>100</v>
      </c>
      <c r="M1161" s="965">
        <v>0.95390898483080511</v>
      </c>
      <c r="N1161" s="653">
        <v>16.350000000000001</v>
      </c>
      <c r="O1161" s="746" t="s">
        <v>6434</v>
      </c>
      <c r="P1161" s="547" t="s">
        <v>1588</v>
      </c>
      <c r="Q1161" s="863">
        <v>0</v>
      </c>
      <c r="R1161" s="863">
        <v>0</v>
      </c>
      <c r="S1161" s="863">
        <v>0</v>
      </c>
      <c r="T1161" s="863">
        <v>0</v>
      </c>
      <c r="U1161" s="547" t="s">
        <v>6368</v>
      </c>
      <c r="V1161" s="551" t="s">
        <v>6438</v>
      </c>
      <c r="W1161" s="658">
        <v>369</v>
      </c>
      <c r="X1161" s="547" t="s">
        <v>2276</v>
      </c>
      <c r="Y1161" s="547" t="s">
        <v>3161</v>
      </c>
      <c r="Z1161" s="547"/>
      <c r="AA1161" s="547"/>
      <c r="AB1161" s="550" t="s">
        <v>1686</v>
      </c>
    </row>
    <row r="1162" spans="1:28" ht="24" customHeight="1">
      <c r="A1162" s="606"/>
      <c r="B1162" s="544" t="s">
        <v>675</v>
      </c>
      <c r="C1162" s="551" t="s">
        <v>6439</v>
      </c>
      <c r="D1162" s="553" t="s">
        <v>6440</v>
      </c>
      <c r="E1162" s="563">
        <f t="shared" si="78"/>
        <v>46</v>
      </c>
      <c r="F1162" s="563">
        <v>0</v>
      </c>
      <c r="G1162" s="563">
        <v>0</v>
      </c>
      <c r="H1162" s="563">
        <v>46</v>
      </c>
      <c r="I1162" s="563">
        <f t="shared" si="77"/>
        <v>46</v>
      </c>
      <c r="J1162" s="563">
        <v>0</v>
      </c>
      <c r="K1162" s="563">
        <v>0</v>
      </c>
      <c r="L1162" s="741">
        <v>46</v>
      </c>
      <c r="M1162" s="965">
        <v>0.92192513368983964</v>
      </c>
      <c r="N1162" s="653">
        <v>3.9652000000000003</v>
      </c>
      <c r="O1162" s="746" t="s">
        <v>2526</v>
      </c>
      <c r="P1162" s="547" t="s">
        <v>1588</v>
      </c>
      <c r="Q1162" s="863">
        <v>0</v>
      </c>
      <c r="R1162" s="863">
        <v>0</v>
      </c>
      <c r="S1162" s="863">
        <v>0</v>
      </c>
      <c r="T1162" s="863">
        <v>0</v>
      </c>
      <c r="U1162" s="547" t="s">
        <v>6368</v>
      </c>
      <c r="V1162" s="551" t="s">
        <v>6441</v>
      </c>
      <c r="W1162" s="658">
        <v>190</v>
      </c>
      <c r="X1162" s="547" t="s">
        <v>2276</v>
      </c>
      <c r="Y1162" s="547" t="s">
        <v>3161</v>
      </c>
      <c r="Z1162" s="547" t="s">
        <v>6436</v>
      </c>
      <c r="AA1162" s="547"/>
      <c r="AB1162" s="550" t="s">
        <v>1686</v>
      </c>
    </row>
    <row r="1163" spans="1:28" ht="24" customHeight="1">
      <c r="A1163" s="606"/>
      <c r="B1163" s="544" t="s">
        <v>675</v>
      </c>
      <c r="C1163" s="551" t="s">
        <v>6442</v>
      </c>
      <c r="D1163" s="553" t="s">
        <v>6443</v>
      </c>
      <c r="E1163" s="563">
        <f t="shared" si="78"/>
        <v>50</v>
      </c>
      <c r="F1163" s="563">
        <v>0</v>
      </c>
      <c r="G1163" s="563">
        <v>0</v>
      </c>
      <c r="H1163" s="563">
        <v>50</v>
      </c>
      <c r="I1163" s="563">
        <f t="shared" si="77"/>
        <v>50</v>
      </c>
      <c r="J1163" s="563">
        <v>0</v>
      </c>
      <c r="K1163" s="563">
        <v>0</v>
      </c>
      <c r="L1163" s="741">
        <v>50</v>
      </c>
      <c r="M1163" s="965">
        <v>0.91778006166495374</v>
      </c>
      <c r="N1163" s="653">
        <v>4.4649999999999999</v>
      </c>
      <c r="O1163" s="746" t="s">
        <v>6400</v>
      </c>
      <c r="P1163" s="547" t="s">
        <v>1588</v>
      </c>
      <c r="Q1163" s="863">
        <v>0</v>
      </c>
      <c r="R1163" s="863">
        <v>0</v>
      </c>
      <c r="S1163" s="863">
        <v>0</v>
      </c>
      <c r="T1163" s="863">
        <v>0</v>
      </c>
      <c r="U1163" s="547" t="s">
        <v>6368</v>
      </c>
      <c r="V1163" s="551" t="s">
        <v>6444</v>
      </c>
      <c r="W1163" s="658">
        <v>288</v>
      </c>
      <c r="X1163" s="547" t="s">
        <v>2276</v>
      </c>
      <c r="Y1163" s="547" t="s">
        <v>3161</v>
      </c>
      <c r="Z1163" s="547"/>
      <c r="AA1163" s="547"/>
      <c r="AB1163" s="550" t="s">
        <v>1686</v>
      </c>
    </row>
    <row r="1164" spans="1:28" ht="24" customHeight="1">
      <c r="A1164" s="606"/>
      <c r="B1164" s="544" t="s">
        <v>675</v>
      </c>
      <c r="C1164" s="551" t="s">
        <v>6445</v>
      </c>
      <c r="D1164" s="553" t="s">
        <v>6427</v>
      </c>
      <c r="E1164" s="563">
        <f t="shared" si="78"/>
        <v>12</v>
      </c>
      <c r="F1164" s="563">
        <v>0</v>
      </c>
      <c r="G1164" s="563">
        <v>0</v>
      </c>
      <c r="H1164" s="563">
        <v>12</v>
      </c>
      <c r="I1164" s="563">
        <f t="shared" si="77"/>
        <v>12</v>
      </c>
      <c r="J1164" s="563">
        <v>0</v>
      </c>
      <c r="K1164" s="563">
        <v>0</v>
      </c>
      <c r="L1164" s="741">
        <v>12</v>
      </c>
      <c r="M1164" s="965">
        <v>0.92604166666666676</v>
      </c>
      <c r="N1164" s="653">
        <v>1.0668000000000002</v>
      </c>
      <c r="O1164" s="746" t="s">
        <v>2526</v>
      </c>
      <c r="P1164" s="547" t="s">
        <v>1588</v>
      </c>
      <c r="Q1164" s="863">
        <v>0</v>
      </c>
      <c r="R1164" s="863">
        <v>0</v>
      </c>
      <c r="S1164" s="863">
        <v>0</v>
      </c>
      <c r="T1164" s="863">
        <v>0</v>
      </c>
      <c r="U1164" s="547" t="s">
        <v>6368</v>
      </c>
      <c r="V1164" s="551" t="s">
        <v>6428</v>
      </c>
      <c r="W1164" s="658">
        <v>69</v>
      </c>
      <c r="X1164" s="547" t="s">
        <v>2276</v>
      </c>
      <c r="Y1164" s="547" t="s">
        <v>3161</v>
      </c>
      <c r="Z1164" s="547"/>
      <c r="AA1164" s="547"/>
      <c r="AB1164" s="550" t="s">
        <v>1686</v>
      </c>
    </row>
    <row r="1165" spans="1:28" ht="24" customHeight="1">
      <c r="A1165" s="606"/>
      <c r="B1165" s="544" t="s">
        <v>675</v>
      </c>
      <c r="C1165" s="551" t="s">
        <v>6446</v>
      </c>
      <c r="D1165" s="553" t="s">
        <v>6447</v>
      </c>
      <c r="E1165" s="563">
        <f t="shared" si="78"/>
        <v>50</v>
      </c>
      <c r="F1165" s="563">
        <v>0</v>
      </c>
      <c r="G1165" s="563">
        <v>0</v>
      </c>
      <c r="H1165" s="563">
        <v>50</v>
      </c>
      <c r="I1165" s="563">
        <f t="shared" si="77"/>
        <v>50</v>
      </c>
      <c r="J1165" s="563">
        <v>0</v>
      </c>
      <c r="K1165" s="563">
        <v>0</v>
      </c>
      <c r="L1165" s="741">
        <v>50</v>
      </c>
      <c r="M1165" s="965">
        <v>0.92013129102844649</v>
      </c>
      <c r="N1165" s="653">
        <v>4.2050000000000001</v>
      </c>
      <c r="O1165" s="746" t="s">
        <v>780</v>
      </c>
      <c r="P1165" s="547" t="s">
        <v>1588</v>
      </c>
      <c r="Q1165" s="863">
        <v>0</v>
      </c>
      <c r="R1165" s="863">
        <v>0</v>
      </c>
      <c r="S1165" s="863">
        <v>0</v>
      </c>
      <c r="T1165" s="863">
        <v>0</v>
      </c>
      <c r="U1165" s="547" t="s">
        <v>6368</v>
      </c>
      <c r="V1165" s="551" t="s">
        <v>6448</v>
      </c>
      <c r="W1165" s="658">
        <v>534</v>
      </c>
      <c r="X1165" s="547" t="s">
        <v>2276</v>
      </c>
      <c r="Y1165" s="547" t="s">
        <v>3161</v>
      </c>
      <c r="Z1165" s="547"/>
      <c r="AA1165" s="547"/>
      <c r="AB1165" s="550" t="s">
        <v>1703</v>
      </c>
    </row>
    <row r="1166" spans="1:28" ht="24" customHeight="1">
      <c r="A1166" s="606"/>
      <c r="B1166" s="544" t="s">
        <v>675</v>
      </c>
      <c r="C1166" s="551" t="s">
        <v>6449</v>
      </c>
      <c r="D1166" s="553" t="s">
        <v>6450</v>
      </c>
      <c r="E1166" s="563">
        <f t="shared" si="78"/>
        <v>60</v>
      </c>
      <c r="F1166" s="563">
        <v>0</v>
      </c>
      <c r="G1166" s="563">
        <v>0</v>
      </c>
      <c r="H1166" s="563">
        <v>60</v>
      </c>
      <c r="I1166" s="563">
        <f t="shared" si="77"/>
        <v>60</v>
      </c>
      <c r="J1166" s="563">
        <v>0</v>
      </c>
      <c r="K1166" s="563">
        <v>0</v>
      </c>
      <c r="L1166" s="741">
        <v>60</v>
      </c>
      <c r="M1166" s="965">
        <v>0.91787941787941785</v>
      </c>
      <c r="N1166" s="653">
        <v>5.298</v>
      </c>
      <c r="O1166" s="746" t="s">
        <v>6451</v>
      </c>
      <c r="P1166" s="547" t="s">
        <v>1588</v>
      </c>
      <c r="Q1166" s="863">
        <v>0</v>
      </c>
      <c r="R1166" s="863">
        <v>0</v>
      </c>
      <c r="S1166" s="863">
        <v>0</v>
      </c>
      <c r="T1166" s="863">
        <v>0</v>
      </c>
      <c r="U1166" s="547" t="s">
        <v>6368</v>
      </c>
      <c r="V1166" s="551" t="s">
        <v>6452</v>
      </c>
      <c r="W1166" s="658">
        <v>300</v>
      </c>
      <c r="X1166" s="547" t="s">
        <v>2276</v>
      </c>
      <c r="Y1166" s="547" t="s">
        <v>1533</v>
      </c>
      <c r="Z1166" s="547" t="s">
        <v>6453</v>
      </c>
      <c r="AA1166" s="547"/>
      <c r="AB1166" s="550" t="s">
        <v>1770</v>
      </c>
    </row>
    <row r="1167" spans="1:28" ht="24" customHeight="1">
      <c r="A1167" s="606"/>
      <c r="B1167" s="544" t="s">
        <v>675</v>
      </c>
      <c r="C1167" s="551" t="s">
        <v>6454</v>
      </c>
      <c r="D1167" s="553" t="s">
        <v>6455</v>
      </c>
      <c r="E1167" s="563">
        <f t="shared" si="78"/>
        <v>70</v>
      </c>
      <c r="F1167" s="563">
        <v>0</v>
      </c>
      <c r="G1167" s="563">
        <v>0</v>
      </c>
      <c r="H1167" s="563">
        <v>70</v>
      </c>
      <c r="I1167" s="563">
        <f t="shared" si="77"/>
        <v>70</v>
      </c>
      <c r="J1167" s="563">
        <v>0</v>
      </c>
      <c r="K1167" s="563">
        <v>0</v>
      </c>
      <c r="L1167" s="741">
        <v>70</v>
      </c>
      <c r="M1167" s="965">
        <v>0.92636815920398008</v>
      </c>
      <c r="N1167" s="653">
        <v>6.5170000000000003</v>
      </c>
      <c r="O1167" s="746" t="s">
        <v>6400</v>
      </c>
      <c r="P1167" s="547" t="s">
        <v>1588</v>
      </c>
      <c r="Q1167" s="863">
        <v>0</v>
      </c>
      <c r="R1167" s="863">
        <v>0</v>
      </c>
      <c r="S1167" s="863">
        <v>0</v>
      </c>
      <c r="T1167" s="863">
        <v>0</v>
      </c>
      <c r="U1167" s="547" t="s">
        <v>6368</v>
      </c>
      <c r="V1167" s="551" t="s">
        <v>6456</v>
      </c>
      <c r="W1167" s="658">
        <v>642</v>
      </c>
      <c r="X1167" s="547" t="s">
        <v>2276</v>
      </c>
      <c r="Y1167" s="547" t="s">
        <v>3161</v>
      </c>
      <c r="Z1167" s="547"/>
      <c r="AA1167" s="547"/>
      <c r="AB1167" s="550" t="s">
        <v>1770</v>
      </c>
    </row>
    <row r="1168" spans="1:28" ht="24" customHeight="1">
      <c r="A1168" s="606"/>
      <c r="B1168" s="544" t="s">
        <v>675</v>
      </c>
      <c r="C1168" s="551" t="s">
        <v>6457</v>
      </c>
      <c r="D1168" s="553" t="s">
        <v>6458</v>
      </c>
      <c r="E1168" s="563">
        <f t="shared" si="78"/>
        <v>30</v>
      </c>
      <c r="F1168" s="563">
        <v>0</v>
      </c>
      <c r="G1168" s="563">
        <v>0</v>
      </c>
      <c r="H1168" s="563">
        <v>30</v>
      </c>
      <c r="I1168" s="563">
        <f t="shared" si="77"/>
        <v>30</v>
      </c>
      <c r="J1168" s="563">
        <v>0</v>
      </c>
      <c r="K1168" s="563">
        <v>0</v>
      </c>
      <c r="L1168" s="741">
        <v>30</v>
      </c>
      <c r="M1168" s="965">
        <v>0.91547861507128314</v>
      </c>
      <c r="N1168" s="653">
        <v>2.6970000000000001</v>
      </c>
      <c r="O1168" s="746" t="s">
        <v>2526</v>
      </c>
      <c r="P1168" s="547" t="s">
        <v>1588</v>
      </c>
      <c r="Q1168" s="863">
        <v>0</v>
      </c>
      <c r="R1168" s="863">
        <v>0</v>
      </c>
      <c r="S1168" s="863">
        <v>0</v>
      </c>
      <c r="T1168" s="863">
        <v>0</v>
      </c>
      <c r="U1168" s="547" t="s">
        <v>6368</v>
      </c>
      <c r="V1168" s="551" t="s">
        <v>6459</v>
      </c>
      <c r="W1168" s="658">
        <v>180</v>
      </c>
      <c r="X1168" s="547" t="s">
        <v>2276</v>
      </c>
      <c r="Y1168" s="547" t="s">
        <v>1533</v>
      </c>
      <c r="Z1168" s="547"/>
      <c r="AA1168" s="547"/>
      <c r="AB1168" s="550" t="s">
        <v>6460</v>
      </c>
    </row>
    <row r="1169" spans="1:28" ht="24" customHeight="1">
      <c r="A1169" s="606"/>
      <c r="B1169" s="544" t="s">
        <v>675</v>
      </c>
      <c r="C1169" s="551" t="s">
        <v>6461</v>
      </c>
      <c r="D1169" s="553" t="s">
        <v>6462</v>
      </c>
      <c r="E1169" s="563">
        <f t="shared" si="78"/>
        <v>15</v>
      </c>
      <c r="F1169" s="563">
        <v>0</v>
      </c>
      <c r="G1169" s="563">
        <v>0</v>
      </c>
      <c r="H1169" s="563">
        <v>15</v>
      </c>
      <c r="I1169" s="563">
        <f t="shared" si="77"/>
        <v>15</v>
      </c>
      <c r="J1169" s="563">
        <v>0</v>
      </c>
      <c r="K1169" s="563">
        <v>0</v>
      </c>
      <c r="L1169" s="741">
        <v>15</v>
      </c>
      <c r="M1169" s="965">
        <v>0.91371681415929207</v>
      </c>
      <c r="N1169" s="653">
        <v>1.2390000000000001</v>
      </c>
      <c r="O1169" s="746" t="s">
        <v>6463</v>
      </c>
      <c r="P1169" s="547" t="s">
        <v>1588</v>
      </c>
      <c r="Q1169" s="863">
        <v>0</v>
      </c>
      <c r="R1169" s="863">
        <v>0</v>
      </c>
      <c r="S1169" s="863">
        <v>0</v>
      </c>
      <c r="T1169" s="863">
        <v>0</v>
      </c>
      <c r="U1169" s="547" t="s">
        <v>6368</v>
      </c>
      <c r="V1169" s="551" t="s">
        <v>6464</v>
      </c>
      <c r="W1169" s="658">
        <v>79</v>
      </c>
      <c r="X1169" s="547" t="s">
        <v>2276</v>
      </c>
      <c r="Y1169" s="547" t="s">
        <v>1533</v>
      </c>
      <c r="Z1169" s="547"/>
      <c r="AA1169" s="547"/>
      <c r="AB1169" s="550" t="s">
        <v>6460</v>
      </c>
    </row>
    <row r="1170" spans="1:28" ht="24" customHeight="1">
      <c r="A1170" s="606"/>
      <c r="B1170" s="544" t="s">
        <v>675</v>
      </c>
      <c r="C1170" s="551" t="s">
        <v>6465</v>
      </c>
      <c r="D1170" s="553" t="s">
        <v>6466</v>
      </c>
      <c r="E1170" s="563">
        <f t="shared" si="78"/>
        <v>15</v>
      </c>
      <c r="F1170" s="563">
        <v>0</v>
      </c>
      <c r="G1170" s="563">
        <v>0</v>
      </c>
      <c r="H1170" s="563">
        <v>15</v>
      </c>
      <c r="I1170" s="563">
        <f t="shared" si="77"/>
        <v>15</v>
      </c>
      <c r="J1170" s="563">
        <v>0</v>
      </c>
      <c r="K1170" s="563">
        <v>0</v>
      </c>
      <c r="L1170" s="741">
        <v>15</v>
      </c>
      <c r="M1170" s="965">
        <v>0.90767519466073421</v>
      </c>
      <c r="N1170" s="653">
        <v>1.224</v>
      </c>
      <c r="O1170" s="746" t="s">
        <v>6463</v>
      </c>
      <c r="P1170" s="547" t="s">
        <v>1588</v>
      </c>
      <c r="Q1170" s="863">
        <v>0</v>
      </c>
      <c r="R1170" s="863">
        <v>0</v>
      </c>
      <c r="S1170" s="863">
        <v>0</v>
      </c>
      <c r="T1170" s="863">
        <v>0</v>
      </c>
      <c r="U1170" s="547" t="s">
        <v>6368</v>
      </c>
      <c r="V1170" s="551" t="s">
        <v>6467</v>
      </c>
      <c r="W1170" s="658">
        <v>79</v>
      </c>
      <c r="X1170" s="547" t="s">
        <v>2276</v>
      </c>
      <c r="Y1170" s="547" t="s">
        <v>1533</v>
      </c>
      <c r="Z1170" s="547"/>
      <c r="AA1170" s="547"/>
      <c r="AB1170" s="550" t="s">
        <v>6460</v>
      </c>
    </row>
    <row r="1171" spans="1:28" ht="24" customHeight="1">
      <c r="A1171" s="606"/>
      <c r="B1171" s="544" t="s">
        <v>675</v>
      </c>
      <c r="C1171" s="551" t="s">
        <v>6468</v>
      </c>
      <c r="D1171" s="553" t="s">
        <v>6469</v>
      </c>
      <c r="E1171" s="563">
        <f t="shared" si="78"/>
        <v>68</v>
      </c>
      <c r="F1171" s="563">
        <v>0</v>
      </c>
      <c r="G1171" s="563">
        <v>0</v>
      </c>
      <c r="H1171" s="563">
        <v>68</v>
      </c>
      <c r="I1171" s="563">
        <f t="shared" si="77"/>
        <v>68</v>
      </c>
      <c r="J1171" s="563">
        <v>0</v>
      </c>
      <c r="K1171" s="563">
        <v>0</v>
      </c>
      <c r="L1171" s="741">
        <v>68</v>
      </c>
      <c r="M1171" s="965">
        <v>0.91602209944751389</v>
      </c>
      <c r="N1171" s="653">
        <v>5.6372000000000018</v>
      </c>
      <c r="O1171" s="746" t="s">
        <v>2526</v>
      </c>
      <c r="P1171" s="547" t="s">
        <v>1588</v>
      </c>
      <c r="Q1171" s="863">
        <v>0</v>
      </c>
      <c r="R1171" s="863">
        <v>0</v>
      </c>
      <c r="S1171" s="863">
        <v>0</v>
      </c>
      <c r="T1171" s="863">
        <v>0</v>
      </c>
      <c r="U1171" s="547" t="s">
        <v>6368</v>
      </c>
      <c r="V1171" s="551" t="s">
        <v>6470</v>
      </c>
      <c r="W1171" s="658">
        <v>386</v>
      </c>
      <c r="X1171" s="547" t="s">
        <v>2276</v>
      </c>
      <c r="Y1171" s="547" t="s">
        <v>1533</v>
      </c>
      <c r="Z1171" s="547"/>
      <c r="AA1171" s="547"/>
      <c r="AB1171" s="550" t="s">
        <v>1686</v>
      </c>
    </row>
    <row r="1172" spans="1:28" ht="24" customHeight="1">
      <c r="A1172" s="606"/>
      <c r="B1172" s="544" t="s">
        <v>675</v>
      </c>
      <c r="C1172" s="551" t="s">
        <v>6471</v>
      </c>
      <c r="D1172" s="553" t="s">
        <v>6472</v>
      </c>
      <c r="E1172" s="563">
        <f t="shared" si="78"/>
        <v>60</v>
      </c>
      <c r="F1172" s="563">
        <v>0</v>
      </c>
      <c r="G1172" s="563">
        <v>0</v>
      </c>
      <c r="H1172" s="563">
        <v>60</v>
      </c>
      <c r="I1172" s="563">
        <f t="shared" si="77"/>
        <v>60</v>
      </c>
      <c r="J1172" s="563">
        <v>0</v>
      </c>
      <c r="K1172" s="563">
        <v>0</v>
      </c>
      <c r="L1172" s="741">
        <v>60</v>
      </c>
      <c r="M1172" s="965">
        <v>0.92138728323699426</v>
      </c>
      <c r="N1172" s="653">
        <v>4.782</v>
      </c>
      <c r="O1172" s="746" t="s">
        <v>6389</v>
      </c>
      <c r="P1172" s="547" t="s">
        <v>1588</v>
      </c>
      <c r="Q1172" s="863">
        <v>0</v>
      </c>
      <c r="R1172" s="863">
        <v>0</v>
      </c>
      <c r="S1172" s="863">
        <v>0</v>
      </c>
      <c r="T1172" s="863">
        <v>0</v>
      </c>
      <c r="U1172" s="547" t="s">
        <v>6368</v>
      </c>
      <c r="V1172" s="551" t="s">
        <v>6473</v>
      </c>
      <c r="W1172" s="658">
        <v>362</v>
      </c>
      <c r="X1172" s="547" t="s">
        <v>2276</v>
      </c>
      <c r="Y1172" s="547"/>
      <c r="Z1172" s="547"/>
      <c r="AA1172" s="547"/>
      <c r="AB1172" s="550" t="s">
        <v>1686</v>
      </c>
    </row>
    <row r="1173" spans="1:28" ht="24" customHeight="1">
      <c r="A1173" s="606"/>
      <c r="B1173" s="544" t="s">
        <v>675</v>
      </c>
      <c r="C1173" s="551" t="s">
        <v>6474</v>
      </c>
      <c r="D1173" s="553" t="s">
        <v>6475</v>
      </c>
      <c r="E1173" s="563">
        <f t="shared" si="78"/>
        <v>12</v>
      </c>
      <c r="F1173" s="563">
        <v>0</v>
      </c>
      <c r="G1173" s="563">
        <v>0</v>
      </c>
      <c r="H1173" s="563">
        <v>12</v>
      </c>
      <c r="I1173" s="563">
        <f t="shared" si="77"/>
        <v>12</v>
      </c>
      <c r="J1173" s="563">
        <v>0</v>
      </c>
      <c r="K1173" s="563">
        <v>0</v>
      </c>
      <c r="L1173" s="741">
        <v>12</v>
      </c>
      <c r="M1173" s="965">
        <v>0.94920318725099606</v>
      </c>
      <c r="N1173" s="653">
        <v>1.1436000000000002</v>
      </c>
      <c r="O1173" s="746" t="s">
        <v>2526</v>
      </c>
      <c r="P1173" s="547" t="s">
        <v>1588</v>
      </c>
      <c r="Q1173" s="863">
        <v>0</v>
      </c>
      <c r="R1173" s="863">
        <v>0</v>
      </c>
      <c r="S1173" s="863">
        <v>0</v>
      </c>
      <c r="T1173" s="863">
        <v>0</v>
      </c>
      <c r="U1173" s="547" t="s">
        <v>6368</v>
      </c>
      <c r="V1173" s="551" t="s">
        <v>6476</v>
      </c>
      <c r="W1173" s="658">
        <v>110</v>
      </c>
      <c r="X1173" s="547" t="s">
        <v>2276</v>
      </c>
      <c r="Y1173" s="547" t="s">
        <v>1533</v>
      </c>
      <c r="Z1173" s="547"/>
      <c r="AA1173" s="547"/>
      <c r="AB1173" s="550" t="s">
        <v>6477</v>
      </c>
    </row>
    <row r="1174" spans="1:28" ht="24" customHeight="1">
      <c r="A1174" s="605" t="s">
        <v>1879</v>
      </c>
      <c r="B1174" s="544" t="s">
        <v>2201</v>
      </c>
      <c r="C1174" s="551" t="s">
        <v>2430</v>
      </c>
      <c r="D1174" s="553" t="s">
        <v>6478</v>
      </c>
      <c r="E1174" s="563">
        <f t="shared" si="78"/>
        <v>22500</v>
      </c>
      <c r="F1174" s="563">
        <v>0</v>
      </c>
      <c r="G1174" s="563">
        <v>22500</v>
      </c>
      <c r="H1174" s="563">
        <v>0</v>
      </c>
      <c r="I1174" s="563">
        <f t="shared" si="77"/>
        <v>15720</v>
      </c>
      <c r="J1174" s="563">
        <v>0</v>
      </c>
      <c r="K1174" s="659">
        <v>15720</v>
      </c>
      <c r="L1174" s="741">
        <v>0</v>
      </c>
      <c r="M1174" s="965">
        <v>0.93014705882352944</v>
      </c>
      <c r="N1174" s="653">
        <v>397.71600000000001</v>
      </c>
      <c r="O1174" s="746" t="s">
        <v>1535</v>
      </c>
      <c r="P1174" s="547" t="s">
        <v>1588</v>
      </c>
      <c r="Q1174" s="863">
        <v>100.8</v>
      </c>
      <c r="R1174" s="863">
        <v>242.1</v>
      </c>
      <c r="S1174" s="863">
        <v>56.8</v>
      </c>
      <c r="T1174" s="863">
        <v>0</v>
      </c>
      <c r="U1174" s="547" t="s">
        <v>6479</v>
      </c>
      <c r="V1174" s="552">
        <v>91.4</v>
      </c>
      <c r="W1174" s="658">
        <v>17785</v>
      </c>
      <c r="X1174" s="547" t="s">
        <v>1532</v>
      </c>
      <c r="Y1174" s="547" t="s">
        <v>1404</v>
      </c>
      <c r="Z1174" s="547" t="s">
        <v>1888</v>
      </c>
      <c r="AA1174" s="547" t="s">
        <v>1888</v>
      </c>
      <c r="AB1174" s="550" t="s">
        <v>1596</v>
      </c>
    </row>
    <row r="1175" spans="1:28" ht="24" customHeight="1">
      <c r="A1175" s="606"/>
      <c r="B1175" s="544" t="s">
        <v>2201</v>
      </c>
      <c r="C1175" s="551" t="s">
        <v>1886</v>
      </c>
      <c r="D1175" s="553" t="s">
        <v>6480</v>
      </c>
      <c r="E1175" s="563">
        <f t="shared" si="78"/>
        <v>3000</v>
      </c>
      <c r="F1175" s="563">
        <v>0</v>
      </c>
      <c r="G1175" s="563">
        <v>3000</v>
      </c>
      <c r="H1175" s="563">
        <v>0</v>
      </c>
      <c r="I1175" s="563">
        <f t="shared" si="77"/>
        <v>1224</v>
      </c>
      <c r="J1175" s="563">
        <v>0</v>
      </c>
      <c r="K1175" s="563">
        <v>1224</v>
      </c>
      <c r="L1175" s="741">
        <v>0</v>
      </c>
      <c r="M1175" s="965">
        <v>0.8539325842696629</v>
      </c>
      <c r="N1175" s="653">
        <v>46.512</v>
      </c>
      <c r="O1175" s="746" t="s">
        <v>6481</v>
      </c>
      <c r="P1175" s="547" t="s">
        <v>1588</v>
      </c>
      <c r="Q1175" s="863">
        <v>0</v>
      </c>
      <c r="R1175" s="863">
        <v>0</v>
      </c>
      <c r="S1175" s="863">
        <v>0</v>
      </c>
      <c r="T1175" s="863">
        <v>0</v>
      </c>
      <c r="U1175" s="547" t="s">
        <v>6482</v>
      </c>
      <c r="V1175" s="552">
        <v>99.6</v>
      </c>
      <c r="W1175" s="658">
        <v>16095</v>
      </c>
      <c r="X1175" s="547" t="s">
        <v>1532</v>
      </c>
      <c r="Y1175" s="547" t="s">
        <v>3161</v>
      </c>
      <c r="Z1175" s="547" t="s">
        <v>6483</v>
      </c>
      <c r="AA1175" s="547" t="s">
        <v>1888</v>
      </c>
      <c r="AB1175" s="550" t="s">
        <v>1596</v>
      </c>
    </row>
    <row r="1176" spans="1:28" ht="24" customHeight="1">
      <c r="A1176" s="606"/>
      <c r="B1176" s="544" t="s">
        <v>2201</v>
      </c>
      <c r="C1176" s="551" t="s">
        <v>1884</v>
      </c>
      <c r="D1176" s="553" t="s">
        <v>6484</v>
      </c>
      <c r="E1176" s="563">
        <f t="shared" si="78"/>
        <v>500</v>
      </c>
      <c r="F1176" s="563">
        <v>0</v>
      </c>
      <c r="G1176" s="563">
        <v>500</v>
      </c>
      <c r="H1176" s="563">
        <v>0</v>
      </c>
      <c r="I1176" s="563">
        <f t="shared" si="77"/>
        <v>372</v>
      </c>
      <c r="J1176" s="563">
        <v>0</v>
      </c>
      <c r="K1176" s="563">
        <v>372</v>
      </c>
      <c r="L1176" s="741">
        <v>0</v>
      </c>
      <c r="M1176" s="965">
        <v>0.84236453201970451</v>
      </c>
      <c r="N1176" s="653">
        <v>12.722400000000002</v>
      </c>
      <c r="O1176" s="746" t="s">
        <v>6481</v>
      </c>
      <c r="P1176" s="547" t="s">
        <v>1588</v>
      </c>
      <c r="Q1176" s="863">
        <v>0</v>
      </c>
      <c r="R1176" s="863">
        <v>0</v>
      </c>
      <c r="S1176" s="863">
        <v>0</v>
      </c>
      <c r="T1176" s="863">
        <v>0</v>
      </c>
      <c r="U1176" s="547" t="s">
        <v>6485</v>
      </c>
      <c r="V1176" s="552">
        <v>99.6</v>
      </c>
      <c r="W1176" s="658">
        <v>5379</v>
      </c>
      <c r="X1176" s="547" t="s">
        <v>1532</v>
      </c>
      <c r="Y1176" s="547" t="s">
        <v>3161</v>
      </c>
      <c r="Z1176" s="547" t="s">
        <v>6486</v>
      </c>
      <c r="AA1176" s="547" t="s">
        <v>1888</v>
      </c>
      <c r="AB1176" s="550" t="s">
        <v>1596</v>
      </c>
    </row>
    <row r="1177" spans="1:28" ht="24" customHeight="1">
      <c r="A1177" s="604"/>
      <c r="B1177" s="553" t="s">
        <v>675</v>
      </c>
      <c r="C1177" s="743" t="s">
        <v>6487</v>
      </c>
      <c r="D1177" s="553" t="s">
        <v>6488</v>
      </c>
      <c r="E1177" s="554">
        <f t="shared" si="78"/>
        <v>15</v>
      </c>
      <c r="F1177" s="554">
        <v>0</v>
      </c>
      <c r="G1177" s="554">
        <v>0</v>
      </c>
      <c r="H1177" s="554">
        <v>15</v>
      </c>
      <c r="I1177" s="554">
        <f t="shared" si="77"/>
        <v>12</v>
      </c>
      <c r="J1177" s="661">
        <v>0</v>
      </c>
      <c r="K1177" s="661">
        <v>0</v>
      </c>
      <c r="L1177" s="744">
        <v>12</v>
      </c>
      <c r="M1177" s="965">
        <v>0.95</v>
      </c>
      <c r="N1177" s="653">
        <v>275.1542</v>
      </c>
      <c r="O1177" s="747" t="s">
        <v>6489</v>
      </c>
      <c r="P1177" s="547" t="s">
        <v>6490</v>
      </c>
      <c r="Q1177" s="863">
        <v>0</v>
      </c>
      <c r="R1177" s="863">
        <v>0</v>
      </c>
      <c r="S1177" s="863">
        <v>0</v>
      </c>
      <c r="T1177" s="863">
        <v>0</v>
      </c>
      <c r="U1177" s="545" t="s">
        <v>6491</v>
      </c>
      <c r="V1177" s="554" t="s">
        <v>6492</v>
      </c>
      <c r="W1177" s="658">
        <v>100</v>
      </c>
      <c r="X1177" s="545" t="s">
        <v>1532</v>
      </c>
      <c r="Y1177" s="555" t="s">
        <v>6493</v>
      </c>
      <c r="Z1177" s="545" t="s">
        <v>1591</v>
      </c>
      <c r="AA1177" s="554" t="s">
        <v>1591</v>
      </c>
      <c r="AB1177" s="556" t="s">
        <v>1591</v>
      </c>
    </row>
    <row r="1178" spans="1:28" ht="24" customHeight="1">
      <c r="A1178" s="604"/>
      <c r="B1178" s="553" t="s">
        <v>675</v>
      </c>
      <c r="C1178" s="743" t="s">
        <v>6494</v>
      </c>
      <c r="D1178" s="553" t="s">
        <v>6495</v>
      </c>
      <c r="E1178" s="554">
        <f t="shared" si="78"/>
        <v>30</v>
      </c>
      <c r="F1178" s="554">
        <v>0</v>
      </c>
      <c r="G1178" s="554">
        <v>0</v>
      </c>
      <c r="H1178" s="554">
        <v>30</v>
      </c>
      <c r="I1178" s="554">
        <f t="shared" ref="I1178:I1201" si="79">SUM(J1178:L1178)</f>
        <v>27</v>
      </c>
      <c r="J1178" s="661">
        <v>0</v>
      </c>
      <c r="K1178" s="661">
        <v>0</v>
      </c>
      <c r="L1178" s="744">
        <v>27</v>
      </c>
      <c r="M1178" s="966">
        <v>0.95</v>
      </c>
      <c r="N1178" s="653">
        <v>275.1542</v>
      </c>
      <c r="O1178" s="747" t="s">
        <v>6489</v>
      </c>
      <c r="P1178" s="547" t="s">
        <v>6490</v>
      </c>
      <c r="Q1178" s="863">
        <v>0</v>
      </c>
      <c r="R1178" s="863">
        <v>0</v>
      </c>
      <c r="S1178" s="863">
        <v>0</v>
      </c>
      <c r="T1178" s="863">
        <v>0</v>
      </c>
      <c r="U1178" s="545" t="s">
        <v>6491</v>
      </c>
      <c r="V1178" s="554" t="s">
        <v>6496</v>
      </c>
      <c r="W1178" s="658">
        <v>400</v>
      </c>
      <c r="X1178" s="545" t="s">
        <v>1532</v>
      </c>
      <c r="Y1178" s="555" t="s">
        <v>6493</v>
      </c>
      <c r="Z1178" s="545" t="s">
        <v>1880</v>
      </c>
      <c r="AA1178" s="554" t="s">
        <v>1591</v>
      </c>
      <c r="AB1178" s="556" t="s">
        <v>1591</v>
      </c>
    </row>
    <row r="1179" spans="1:28" ht="24" customHeight="1">
      <c r="A1179" s="604"/>
      <c r="B1179" s="553" t="s">
        <v>675</v>
      </c>
      <c r="C1179" s="743" t="s">
        <v>6497</v>
      </c>
      <c r="D1179" s="553" t="s">
        <v>6498</v>
      </c>
      <c r="E1179" s="554">
        <f t="shared" ref="E1179:E1201" si="80">SUM(F1179:H1179)</f>
        <v>20</v>
      </c>
      <c r="F1179" s="554">
        <v>20</v>
      </c>
      <c r="G1179" s="554">
        <v>0</v>
      </c>
      <c r="H1179" s="554">
        <v>0</v>
      </c>
      <c r="I1179" s="554">
        <f t="shared" si="79"/>
        <v>18</v>
      </c>
      <c r="J1179" s="661">
        <v>18</v>
      </c>
      <c r="K1179" s="661">
        <v>0</v>
      </c>
      <c r="L1179" s="744">
        <v>0</v>
      </c>
      <c r="M1179" s="966">
        <v>0.95</v>
      </c>
      <c r="N1179" s="653">
        <v>275.1542</v>
      </c>
      <c r="O1179" s="747" t="s">
        <v>6499</v>
      </c>
      <c r="P1179" s="547" t="s">
        <v>1588</v>
      </c>
      <c r="Q1179" s="863">
        <v>0</v>
      </c>
      <c r="R1179" s="863">
        <v>0</v>
      </c>
      <c r="S1179" s="863">
        <v>0</v>
      </c>
      <c r="T1179" s="863">
        <v>0</v>
      </c>
      <c r="U1179" s="545" t="s">
        <v>6491</v>
      </c>
      <c r="V1179" s="554" t="s">
        <v>6500</v>
      </c>
      <c r="W1179" s="658">
        <v>200</v>
      </c>
      <c r="X1179" s="545" t="s">
        <v>1532</v>
      </c>
      <c r="Y1179" s="555" t="s">
        <v>1935</v>
      </c>
      <c r="Z1179" s="545" t="s">
        <v>1885</v>
      </c>
      <c r="AA1179" s="554" t="s">
        <v>1591</v>
      </c>
      <c r="AB1179" s="556" t="s">
        <v>1591</v>
      </c>
    </row>
    <row r="1180" spans="1:28" ht="24" customHeight="1">
      <c r="A1180" s="604"/>
      <c r="B1180" s="553" t="s">
        <v>675</v>
      </c>
      <c r="C1180" s="743" t="s">
        <v>6501</v>
      </c>
      <c r="D1180" s="553" t="s">
        <v>6502</v>
      </c>
      <c r="E1180" s="554">
        <f t="shared" si="80"/>
        <v>80</v>
      </c>
      <c r="F1180" s="554">
        <v>0</v>
      </c>
      <c r="G1180" s="554">
        <v>80</v>
      </c>
      <c r="H1180" s="554">
        <v>0</v>
      </c>
      <c r="I1180" s="554">
        <f t="shared" si="79"/>
        <v>70</v>
      </c>
      <c r="J1180" s="554">
        <v>0</v>
      </c>
      <c r="K1180" s="661">
        <v>70</v>
      </c>
      <c r="L1180" s="744">
        <v>0</v>
      </c>
      <c r="M1180" s="966">
        <v>0.95</v>
      </c>
      <c r="N1180" s="653">
        <v>275.1542</v>
      </c>
      <c r="O1180" s="747" t="s">
        <v>1254</v>
      </c>
      <c r="P1180" s="547" t="s">
        <v>1588</v>
      </c>
      <c r="Q1180" s="863">
        <v>0</v>
      </c>
      <c r="R1180" s="863">
        <v>0</v>
      </c>
      <c r="S1180" s="863">
        <v>0</v>
      </c>
      <c r="T1180" s="863">
        <v>0</v>
      </c>
      <c r="U1180" s="545" t="s">
        <v>6491</v>
      </c>
      <c r="V1180" s="554" t="s">
        <v>6503</v>
      </c>
      <c r="W1180" s="658">
        <v>340</v>
      </c>
      <c r="X1180" s="545" t="s">
        <v>1532</v>
      </c>
      <c r="Y1180" s="555" t="s">
        <v>6493</v>
      </c>
      <c r="Z1180" s="545" t="s">
        <v>1885</v>
      </c>
      <c r="AA1180" s="554" t="s">
        <v>1591</v>
      </c>
      <c r="AB1180" s="556" t="s">
        <v>1591</v>
      </c>
    </row>
    <row r="1181" spans="1:28" ht="24" customHeight="1">
      <c r="A1181" s="604"/>
      <c r="B1181" s="553" t="s">
        <v>675</v>
      </c>
      <c r="C1181" s="743" t="s">
        <v>6504</v>
      </c>
      <c r="D1181" s="553" t="s">
        <v>6505</v>
      </c>
      <c r="E1181" s="554">
        <f t="shared" si="80"/>
        <v>30</v>
      </c>
      <c r="F1181" s="554">
        <v>0</v>
      </c>
      <c r="G1181" s="554">
        <v>0</v>
      </c>
      <c r="H1181" s="554">
        <v>30</v>
      </c>
      <c r="I1181" s="554">
        <f t="shared" si="79"/>
        <v>25</v>
      </c>
      <c r="J1181" s="661">
        <v>0</v>
      </c>
      <c r="K1181" s="661">
        <v>0</v>
      </c>
      <c r="L1181" s="744">
        <v>25</v>
      </c>
      <c r="M1181" s="966">
        <v>0.95</v>
      </c>
      <c r="N1181" s="653">
        <v>275.1542</v>
      </c>
      <c r="O1181" s="747" t="s">
        <v>6489</v>
      </c>
      <c r="P1181" s="547" t="s">
        <v>6490</v>
      </c>
      <c r="Q1181" s="863">
        <v>0</v>
      </c>
      <c r="R1181" s="863">
        <v>0</v>
      </c>
      <c r="S1181" s="863">
        <v>0</v>
      </c>
      <c r="T1181" s="863">
        <v>0</v>
      </c>
      <c r="U1181" s="545" t="s">
        <v>6491</v>
      </c>
      <c r="V1181" s="554" t="s">
        <v>6506</v>
      </c>
      <c r="W1181" s="658">
        <v>962</v>
      </c>
      <c r="X1181" s="545" t="s">
        <v>1532</v>
      </c>
      <c r="Y1181" s="555" t="s">
        <v>6493</v>
      </c>
      <c r="Z1181" s="545" t="s">
        <v>6507</v>
      </c>
      <c r="AA1181" s="554" t="s">
        <v>1591</v>
      </c>
      <c r="AB1181" s="556" t="s">
        <v>1591</v>
      </c>
    </row>
    <row r="1182" spans="1:28" ht="24" customHeight="1">
      <c r="A1182" s="604"/>
      <c r="B1182" s="553" t="s">
        <v>675</v>
      </c>
      <c r="C1182" s="743" t="s">
        <v>6508</v>
      </c>
      <c r="D1182" s="553" t="s">
        <v>6509</v>
      </c>
      <c r="E1182" s="554">
        <f t="shared" si="80"/>
        <v>30</v>
      </c>
      <c r="F1182" s="554">
        <v>30</v>
      </c>
      <c r="G1182" s="554">
        <v>0</v>
      </c>
      <c r="H1182" s="554">
        <v>0</v>
      </c>
      <c r="I1182" s="554">
        <f t="shared" si="79"/>
        <v>26</v>
      </c>
      <c r="J1182" s="661">
        <v>26</v>
      </c>
      <c r="K1182" s="661">
        <v>0</v>
      </c>
      <c r="L1182" s="744">
        <v>0</v>
      </c>
      <c r="M1182" s="966">
        <v>0.95</v>
      </c>
      <c r="N1182" s="653">
        <v>275.1542</v>
      </c>
      <c r="O1182" s="747" t="s">
        <v>6499</v>
      </c>
      <c r="P1182" s="547" t="s">
        <v>1588</v>
      </c>
      <c r="Q1182" s="863">
        <v>0</v>
      </c>
      <c r="R1182" s="863">
        <v>0</v>
      </c>
      <c r="S1182" s="863">
        <v>0</v>
      </c>
      <c r="T1182" s="863">
        <v>0</v>
      </c>
      <c r="U1182" s="545" t="s">
        <v>6491</v>
      </c>
      <c r="V1182" s="554" t="s">
        <v>6510</v>
      </c>
      <c r="W1182" s="658">
        <v>200</v>
      </c>
      <c r="X1182" s="545" t="s">
        <v>1532</v>
      </c>
      <c r="Y1182" s="555" t="s">
        <v>1935</v>
      </c>
      <c r="Z1182" s="545" t="s">
        <v>1881</v>
      </c>
      <c r="AA1182" s="554" t="s">
        <v>1591</v>
      </c>
      <c r="AB1182" s="556" t="s">
        <v>1591</v>
      </c>
    </row>
    <row r="1183" spans="1:28" ht="24" customHeight="1">
      <c r="A1183" s="604"/>
      <c r="B1183" s="553" t="s">
        <v>675</v>
      </c>
      <c r="C1183" s="743" t="s">
        <v>6511</v>
      </c>
      <c r="D1183" s="553" t="s">
        <v>6512</v>
      </c>
      <c r="E1183" s="554">
        <f t="shared" si="80"/>
        <v>23</v>
      </c>
      <c r="F1183" s="554">
        <v>0</v>
      </c>
      <c r="G1183" s="554">
        <v>23</v>
      </c>
      <c r="H1183" s="554">
        <v>0</v>
      </c>
      <c r="I1183" s="554">
        <f t="shared" si="79"/>
        <v>18</v>
      </c>
      <c r="J1183" s="554">
        <v>0</v>
      </c>
      <c r="K1183" s="661">
        <v>18</v>
      </c>
      <c r="L1183" s="744">
        <v>0</v>
      </c>
      <c r="M1183" s="966">
        <v>0.95</v>
      </c>
      <c r="N1183" s="653">
        <v>275.1542</v>
      </c>
      <c r="O1183" s="747" t="s">
        <v>6513</v>
      </c>
      <c r="P1183" s="547" t="s">
        <v>1588</v>
      </c>
      <c r="Q1183" s="863">
        <v>0</v>
      </c>
      <c r="R1183" s="863">
        <v>0</v>
      </c>
      <c r="S1183" s="863">
        <v>0</v>
      </c>
      <c r="T1183" s="863">
        <v>0</v>
      </c>
      <c r="U1183" s="545" t="s">
        <v>6491</v>
      </c>
      <c r="V1183" s="554" t="s">
        <v>6514</v>
      </c>
      <c r="W1183" s="658">
        <v>178</v>
      </c>
      <c r="X1183" s="545" t="s">
        <v>1532</v>
      </c>
      <c r="Y1183" s="555" t="s">
        <v>6493</v>
      </c>
      <c r="Z1183" s="545" t="s">
        <v>1591</v>
      </c>
      <c r="AA1183" s="554" t="s">
        <v>1591</v>
      </c>
      <c r="AB1183" s="556" t="s">
        <v>1591</v>
      </c>
    </row>
    <row r="1184" spans="1:28" ht="24" customHeight="1">
      <c r="A1184" s="604"/>
      <c r="B1184" s="553" t="s">
        <v>675</v>
      </c>
      <c r="C1184" s="743" t="s">
        <v>6515</v>
      </c>
      <c r="D1184" s="553" t="s">
        <v>6512</v>
      </c>
      <c r="E1184" s="554">
        <f t="shared" si="80"/>
        <v>16</v>
      </c>
      <c r="F1184" s="554">
        <v>0</v>
      </c>
      <c r="G1184" s="554">
        <v>16</v>
      </c>
      <c r="H1184" s="554">
        <v>0</v>
      </c>
      <c r="I1184" s="554">
        <f t="shared" si="79"/>
        <v>13</v>
      </c>
      <c r="J1184" s="554">
        <v>0</v>
      </c>
      <c r="K1184" s="661">
        <v>13</v>
      </c>
      <c r="L1184" s="744">
        <v>0</v>
      </c>
      <c r="M1184" s="966">
        <v>0.95</v>
      </c>
      <c r="N1184" s="653">
        <v>275.1542</v>
      </c>
      <c r="O1184" s="747" t="s">
        <v>6516</v>
      </c>
      <c r="P1184" s="547" t="s">
        <v>1588</v>
      </c>
      <c r="Q1184" s="863">
        <v>0</v>
      </c>
      <c r="R1184" s="863">
        <v>0</v>
      </c>
      <c r="S1184" s="863">
        <v>0</v>
      </c>
      <c r="T1184" s="863">
        <v>0</v>
      </c>
      <c r="U1184" s="545" t="s">
        <v>6491</v>
      </c>
      <c r="V1184" s="554" t="s">
        <v>6517</v>
      </c>
      <c r="W1184" s="658">
        <v>350</v>
      </c>
      <c r="X1184" s="545" t="s">
        <v>1532</v>
      </c>
      <c r="Y1184" s="555" t="s">
        <v>6493</v>
      </c>
      <c r="Z1184" s="545" t="s">
        <v>1591</v>
      </c>
      <c r="AA1184" s="554" t="s">
        <v>1591</v>
      </c>
      <c r="AB1184" s="556" t="s">
        <v>1591</v>
      </c>
    </row>
    <row r="1185" spans="1:28" ht="24" customHeight="1">
      <c r="A1185" s="604"/>
      <c r="B1185" s="553" t="s">
        <v>675</v>
      </c>
      <c r="C1185" s="743" t="s">
        <v>6518</v>
      </c>
      <c r="D1185" s="553" t="s">
        <v>6519</v>
      </c>
      <c r="E1185" s="554">
        <f t="shared" si="80"/>
        <v>46</v>
      </c>
      <c r="F1185" s="554">
        <v>0</v>
      </c>
      <c r="G1185" s="554">
        <v>46</v>
      </c>
      <c r="H1185" s="554">
        <v>0</v>
      </c>
      <c r="I1185" s="554">
        <f t="shared" si="79"/>
        <v>40</v>
      </c>
      <c r="J1185" s="554">
        <v>0</v>
      </c>
      <c r="K1185" s="661">
        <v>40</v>
      </c>
      <c r="L1185" s="744">
        <v>0</v>
      </c>
      <c r="M1185" s="966">
        <v>0.95</v>
      </c>
      <c r="N1185" s="653">
        <v>275.1542</v>
      </c>
      <c r="O1185" s="747" t="s">
        <v>1254</v>
      </c>
      <c r="P1185" s="547" t="s">
        <v>1588</v>
      </c>
      <c r="Q1185" s="863">
        <v>0</v>
      </c>
      <c r="R1185" s="863">
        <v>0</v>
      </c>
      <c r="S1185" s="863">
        <v>0</v>
      </c>
      <c r="T1185" s="863">
        <v>0</v>
      </c>
      <c r="U1185" s="545" t="s">
        <v>6491</v>
      </c>
      <c r="V1185" s="554" t="s">
        <v>6503</v>
      </c>
      <c r="W1185" s="658">
        <v>360</v>
      </c>
      <c r="X1185" s="545" t="s">
        <v>1532</v>
      </c>
      <c r="Y1185" s="555" t="s">
        <v>6493</v>
      </c>
      <c r="Z1185" s="545" t="s">
        <v>1591</v>
      </c>
      <c r="AA1185" s="554" t="s">
        <v>1591</v>
      </c>
      <c r="AB1185" s="556" t="s">
        <v>1591</v>
      </c>
    </row>
    <row r="1186" spans="1:28" ht="24" customHeight="1">
      <c r="A1186" s="604"/>
      <c r="B1186" s="553" t="s">
        <v>675</v>
      </c>
      <c r="C1186" s="743" t="s">
        <v>6520</v>
      </c>
      <c r="D1186" s="553" t="s">
        <v>6521</v>
      </c>
      <c r="E1186" s="554">
        <f t="shared" si="80"/>
        <v>39</v>
      </c>
      <c r="F1186" s="554">
        <v>0</v>
      </c>
      <c r="G1186" s="554">
        <v>39</v>
      </c>
      <c r="H1186" s="554">
        <v>0</v>
      </c>
      <c r="I1186" s="554">
        <f t="shared" si="79"/>
        <v>26</v>
      </c>
      <c r="J1186" s="554">
        <v>0</v>
      </c>
      <c r="K1186" s="661">
        <v>26</v>
      </c>
      <c r="L1186" s="744">
        <v>0</v>
      </c>
      <c r="M1186" s="966">
        <v>0.95</v>
      </c>
      <c r="N1186" s="653">
        <v>275.1542</v>
      </c>
      <c r="O1186" s="747" t="s">
        <v>1254</v>
      </c>
      <c r="P1186" s="547" t="s">
        <v>1588</v>
      </c>
      <c r="Q1186" s="863">
        <v>0</v>
      </c>
      <c r="R1186" s="863">
        <v>0</v>
      </c>
      <c r="S1186" s="863">
        <v>0</v>
      </c>
      <c r="T1186" s="863">
        <v>0</v>
      </c>
      <c r="U1186" s="545" t="s">
        <v>6491</v>
      </c>
      <c r="V1186" s="554" t="s">
        <v>6522</v>
      </c>
      <c r="W1186" s="658">
        <v>413</v>
      </c>
      <c r="X1186" s="545" t="s">
        <v>1532</v>
      </c>
      <c r="Y1186" s="555" t="s">
        <v>6493</v>
      </c>
      <c r="Z1186" s="545" t="s">
        <v>1591</v>
      </c>
      <c r="AA1186" s="554" t="s">
        <v>1591</v>
      </c>
      <c r="AB1186" s="556" t="s">
        <v>1591</v>
      </c>
    </row>
    <row r="1187" spans="1:28" ht="24" customHeight="1">
      <c r="A1187" s="604"/>
      <c r="B1187" s="553" t="s">
        <v>675</v>
      </c>
      <c r="C1187" s="743" t="s">
        <v>6523</v>
      </c>
      <c r="D1187" s="553" t="s">
        <v>6524</v>
      </c>
      <c r="E1187" s="554">
        <f t="shared" si="80"/>
        <v>40</v>
      </c>
      <c r="F1187" s="554">
        <v>0</v>
      </c>
      <c r="G1187" s="554">
        <v>0</v>
      </c>
      <c r="H1187" s="554">
        <v>40</v>
      </c>
      <c r="I1187" s="554">
        <f t="shared" si="79"/>
        <v>37</v>
      </c>
      <c r="J1187" s="661">
        <v>0</v>
      </c>
      <c r="K1187" s="661">
        <v>0</v>
      </c>
      <c r="L1187" s="744">
        <v>37</v>
      </c>
      <c r="M1187" s="966">
        <v>0.95</v>
      </c>
      <c r="N1187" s="653">
        <v>275.1542</v>
      </c>
      <c r="O1187" s="747" t="s">
        <v>6525</v>
      </c>
      <c r="P1187" s="547" t="s">
        <v>6490</v>
      </c>
      <c r="Q1187" s="863">
        <v>0</v>
      </c>
      <c r="R1187" s="863">
        <v>0</v>
      </c>
      <c r="S1187" s="863">
        <v>0</v>
      </c>
      <c r="T1187" s="863">
        <v>0</v>
      </c>
      <c r="U1187" s="545" t="s">
        <v>6491</v>
      </c>
      <c r="V1187" s="554" t="s">
        <v>6496</v>
      </c>
      <c r="W1187" s="658">
        <v>380</v>
      </c>
      <c r="X1187" s="545" t="s">
        <v>1532</v>
      </c>
      <c r="Y1187" s="555" t="s">
        <v>6493</v>
      </c>
      <c r="Z1187" s="545" t="s">
        <v>1591</v>
      </c>
      <c r="AA1187" s="554" t="s">
        <v>1591</v>
      </c>
      <c r="AB1187" s="556" t="s">
        <v>1591</v>
      </c>
    </row>
    <row r="1188" spans="1:28" ht="24" customHeight="1">
      <c r="A1188" s="604"/>
      <c r="B1188" s="553" t="s">
        <v>675</v>
      </c>
      <c r="C1188" s="743" t="s">
        <v>6526</v>
      </c>
      <c r="D1188" s="553" t="s">
        <v>6527</v>
      </c>
      <c r="E1188" s="554">
        <f t="shared" si="80"/>
        <v>30</v>
      </c>
      <c r="F1188" s="554">
        <v>0</v>
      </c>
      <c r="G1188" s="554">
        <v>0</v>
      </c>
      <c r="H1188" s="554">
        <v>30</v>
      </c>
      <c r="I1188" s="554">
        <f t="shared" si="79"/>
        <v>30</v>
      </c>
      <c r="J1188" s="661">
        <v>0</v>
      </c>
      <c r="K1188" s="661">
        <v>0</v>
      </c>
      <c r="L1188" s="744">
        <v>30</v>
      </c>
      <c r="M1188" s="966">
        <v>0.95</v>
      </c>
      <c r="N1188" s="653">
        <v>275.1542</v>
      </c>
      <c r="O1188" s="747" t="s">
        <v>6528</v>
      </c>
      <c r="P1188" s="547" t="s">
        <v>6490</v>
      </c>
      <c r="Q1188" s="863">
        <v>0</v>
      </c>
      <c r="R1188" s="863">
        <v>0</v>
      </c>
      <c r="S1188" s="863">
        <v>0</v>
      </c>
      <c r="T1188" s="863">
        <v>0</v>
      </c>
      <c r="U1188" s="545" t="s">
        <v>6491</v>
      </c>
      <c r="V1188" s="554" t="s">
        <v>6496</v>
      </c>
      <c r="W1188" s="658">
        <v>310</v>
      </c>
      <c r="X1188" s="545" t="s">
        <v>1532</v>
      </c>
      <c r="Y1188" s="555" t="s">
        <v>6529</v>
      </c>
      <c r="Z1188" s="545" t="s">
        <v>1591</v>
      </c>
      <c r="AA1188" s="554" t="s">
        <v>1591</v>
      </c>
      <c r="AB1188" s="556" t="s">
        <v>1591</v>
      </c>
    </row>
    <row r="1189" spans="1:28" ht="24" customHeight="1">
      <c r="A1189" s="604"/>
      <c r="B1189" s="553" t="s">
        <v>675</v>
      </c>
      <c r="C1189" s="743" t="s">
        <v>2054</v>
      </c>
      <c r="D1189" s="553" t="s">
        <v>6530</v>
      </c>
      <c r="E1189" s="554">
        <f t="shared" si="80"/>
        <v>40</v>
      </c>
      <c r="F1189" s="554">
        <v>40</v>
      </c>
      <c r="G1189" s="554">
        <v>0</v>
      </c>
      <c r="H1189" s="554">
        <v>0</v>
      </c>
      <c r="I1189" s="554">
        <f t="shared" si="79"/>
        <v>35</v>
      </c>
      <c r="J1189" s="661">
        <v>35</v>
      </c>
      <c r="K1189" s="661">
        <v>0</v>
      </c>
      <c r="L1189" s="744">
        <v>0</v>
      </c>
      <c r="M1189" s="966">
        <v>0.95</v>
      </c>
      <c r="N1189" s="653">
        <v>275.1542</v>
      </c>
      <c r="O1189" s="747" t="s">
        <v>6499</v>
      </c>
      <c r="P1189" s="547" t="s">
        <v>1588</v>
      </c>
      <c r="Q1189" s="863">
        <v>0</v>
      </c>
      <c r="R1189" s="863">
        <v>0</v>
      </c>
      <c r="S1189" s="863">
        <v>0</v>
      </c>
      <c r="T1189" s="863">
        <v>0</v>
      </c>
      <c r="U1189" s="545" t="s">
        <v>6491</v>
      </c>
      <c r="V1189" s="554" t="s">
        <v>6531</v>
      </c>
      <c r="W1189" s="658">
        <v>200</v>
      </c>
      <c r="X1189" s="545" t="s">
        <v>1532</v>
      </c>
      <c r="Y1189" s="555" t="s">
        <v>6493</v>
      </c>
      <c r="Z1189" s="545" t="s">
        <v>1591</v>
      </c>
      <c r="AA1189" s="554" t="s">
        <v>1591</v>
      </c>
      <c r="AB1189" s="556" t="s">
        <v>1591</v>
      </c>
    </row>
    <row r="1190" spans="1:28" ht="24" customHeight="1">
      <c r="A1190" s="604"/>
      <c r="B1190" s="553" t="s">
        <v>675</v>
      </c>
      <c r="C1190" s="743" t="s">
        <v>6532</v>
      </c>
      <c r="D1190" s="553" t="s">
        <v>6533</v>
      </c>
      <c r="E1190" s="554">
        <f t="shared" si="80"/>
        <v>20</v>
      </c>
      <c r="F1190" s="554">
        <v>20</v>
      </c>
      <c r="G1190" s="554">
        <v>0</v>
      </c>
      <c r="H1190" s="554">
        <v>0</v>
      </c>
      <c r="I1190" s="554">
        <f t="shared" si="79"/>
        <v>18</v>
      </c>
      <c r="J1190" s="661">
        <v>18</v>
      </c>
      <c r="K1190" s="661">
        <v>0</v>
      </c>
      <c r="L1190" s="744">
        <v>0</v>
      </c>
      <c r="M1190" s="966">
        <v>0.95</v>
      </c>
      <c r="N1190" s="653">
        <v>275.1542</v>
      </c>
      <c r="O1190" s="747" t="s">
        <v>6499</v>
      </c>
      <c r="P1190" s="547" t="s">
        <v>1588</v>
      </c>
      <c r="Q1190" s="863">
        <v>0</v>
      </c>
      <c r="R1190" s="863">
        <v>0</v>
      </c>
      <c r="S1190" s="863">
        <v>0</v>
      </c>
      <c r="T1190" s="863">
        <v>0</v>
      </c>
      <c r="U1190" s="545" t="s">
        <v>6491</v>
      </c>
      <c r="V1190" s="554" t="s">
        <v>6534</v>
      </c>
      <c r="W1190" s="658">
        <v>200</v>
      </c>
      <c r="X1190" s="545" t="s">
        <v>1532</v>
      </c>
      <c r="Y1190" s="555" t="s">
        <v>1935</v>
      </c>
      <c r="Z1190" s="545" t="s">
        <v>6535</v>
      </c>
      <c r="AA1190" s="554" t="s">
        <v>1591</v>
      </c>
      <c r="AB1190" s="556" t="s">
        <v>1591</v>
      </c>
    </row>
    <row r="1191" spans="1:28" ht="24" customHeight="1">
      <c r="A1191" s="604"/>
      <c r="B1191" s="553" t="s">
        <v>675</v>
      </c>
      <c r="C1191" s="743" t="s">
        <v>6536</v>
      </c>
      <c r="D1191" s="553" t="s">
        <v>6537</v>
      </c>
      <c r="E1191" s="554">
        <f t="shared" si="80"/>
        <v>68</v>
      </c>
      <c r="F1191" s="554">
        <v>0</v>
      </c>
      <c r="G1191" s="554">
        <v>68</v>
      </c>
      <c r="H1191" s="554">
        <v>0</v>
      </c>
      <c r="I1191" s="554">
        <f t="shared" si="79"/>
        <v>50</v>
      </c>
      <c r="J1191" s="554">
        <v>0</v>
      </c>
      <c r="K1191" s="661">
        <v>50</v>
      </c>
      <c r="L1191" s="744">
        <v>0</v>
      </c>
      <c r="M1191" s="966">
        <v>0.95</v>
      </c>
      <c r="N1191" s="653">
        <v>275.1542</v>
      </c>
      <c r="O1191" s="747" t="s">
        <v>1254</v>
      </c>
      <c r="P1191" s="547" t="s">
        <v>1588</v>
      </c>
      <c r="Q1191" s="863">
        <v>0</v>
      </c>
      <c r="R1191" s="863">
        <v>0</v>
      </c>
      <c r="S1191" s="863">
        <v>0</v>
      </c>
      <c r="T1191" s="863">
        <v>0</v>
      </c>
      <c r="U1191" s="545" t="s">
        <v>6491</v>
      </c>
      <c r="V1191" s="554" t="s">
        <v>6538</v>
      </c>
      <c r="W1191" s="658">
        <v>350</v>
      </c>
      <c r="X1191" s="545" t="s">
        <v>1532</v>
      </c>
      <c r="Y1191" s="555" t="s">
        <v>6493</v>
      </c>
      <c r="Z1191" s="545" t="s">
        <v>6535</v>
      </c>
      <c r="AA1191" s="554" t="s">
        <v>1591</v>
      </c>
      <c r="AB1191" s="556" t="s">
        <v>1591</v>
      </c>
    </row>
    <row r="1192" spans="1:28" ht="24" customHeight="1">
      <c r="A1192" s="604"/>
      <c r="B1192" s="553" t="s">
        <v>675</v>
      </c>
      <c r="C1192" s="743" t="s">
        <v>6539</v>
      </c>
      <c r="D1192" s="553" t="s">
        <v>6540</v>
      </c>
      <c r="E1192" s="554">
        <f t="shared" si="80"/>
        <v>64</v>
      </c>
      <c r="F1192" s="554">
        <v>0</v>
      </c>
      <c r="G1192" s="554">
        <v>64</v>
      </c>
      <c r="H1192" s="554">
        <v>0</v>
      </c>
      <c r="I1192" s="554">
        <f t="shared" si="79"/>
        <v>50</v>
      </c>
      <c r="J1192" s="554">
        <v>0</v>
      </c>
      <c r="K1192" s="661">
        <v>50</v>
      </c>
      <c r="L1192" s="744">
        <v>0</v>
      </c>
      <c r="M1192" s="966">
        <v>0.95</v>
      </c>
      <c r="N1192" s="653">
        <v>275.1542</v>
      </c>
      <c r="O1192" s="747" t="s">
        <v>1254</v>
      </c>
      <c r="P1192" s="547" t="s">
        <v>1588</v>
      </c>
      <c r="Q1192" s="863">
        <v>0</v>
      </c>
      <c r="R1192" s="863">
        <v>0</v>
      </c>
      <c r="S1192" s="863">
        <v>0</v>
      </c>
      <c r="T1192" s="863">
        <v>0</v>
      </c>
      <c r="U1192" s="545" t="s">
        <v>6491</v>
      </c>
      <c r="V1192" s="554" t="s">
        <v>6522</v>
      </c>
      <c r="W1192" s="658">
        <v>404</v>
      </c>
      <c r="X1192" s="545" t="s">
        <v>1532</v>
      </c>
      <c r="Y1192" s="555" t="s">
        <v>6493</v>
      </c>
      <c r="Z1192" s="545" t="s">
        <v>6535</v>
      </c>
      <c r="AA1192" s="554" t="s">
        <v>1591</v>
      </c>
      <c r="AB1192" s="556" t="s">
        <v>1591</v>
      </c>
    </row>
    <row r="1193" spans="1:28" ht="24" customHeight="1">
      <c r="A1193" s="604"/>
      <c r="B1193" s="553" t="s">
        <v>675</v>
      </c>
      <c r="C1193" s="743" t="s">
        <v>6541</v>
      </c>
      <c r="D1193" s="553" t="s">
        <v>6542</v>
      </c>
      <c r="E1193" s="554">
        <f t="shared" si="80"/>
        <v>23</v>
      </c>
      <c r="F1193" s="554">
        <v>0</v>
      </c>
      <c r="G1193" s="554">
        <v>23</v>
      </c>
      <c r="H1193" s="554">
        <v>0</v>
      </c>
      <c r="I1193" s="554">
        <f t="shared" si="79"/>
        <v>22</v>
      </c>
      <c r="J1193" s="554">
        <v>0</v>
      </c>
      <c r="K1193" s="661">
        <v>22</v>
      </c>
      <c r="L1193" s="744">
        <v>0</v>
      </c>
      <c r="M1193" s="966">
        <v>0.95</v>
      </c>
      <c r="N1193" s="653">
        <v>275.1542</v>
      </c>
      <c r="O1193" s="747" t="s">
        <v>6513</v>
      </c>
      <c r="P1193" s="547" t="s">
        <v>1588</v>
      </c>
      <c r="Q1193" s="863">
        <v>0</v>
      </c>
      <c r="R1193" s="863">
        <v>0</v>
      </c>
      <c r="S1193" s="863">
        <v>0</v>
      </c>
      <c r="T1193" s="863">
        <v>0</v>
      </c>
      <c r="U1193" s="545" t="s">
        <v>6491</v>
      </c>
      <c r="V1193" s="554" t="s">
        <v>6514</v>
      </c>
      <c r="W1193" s="658">
        <v>178</v>
      </c>
      <c r="X1193" s="545" t="s">
        <v>1532</v>
      </c>
      <c r="Y1193" s="555" t="s">
        <v>1935</v>
      </c>
      <c r="Z1193" s="545" t="s">
        <v>1591</v>
      </c>
      <c r="AA1193" s="554" t="s">
        <v>1591</v>
      </c>
      <c r="AB1193" s="556" t="s">
        <v>1591</v>
      </c>
    </row>
    <row r="1194" spans="1:28" ht="24" customHeight="1">
      <c r="A1194" s="604"/>
      <c r="B1194" s="553" t="s">
        <v>675</v>
      </c>
      <c r="C1194" s="743" t="s">
        <v>6543</v>
      </c>
      <c r="D1194" s="553" t="s">
        <v>6542</v>
      </c>
      <c r="E1194" s="554">
        <f t="shared" si="80"/>
        <v>30</v>
      </c>
      <c r="F1194" s="554">
        <v>0</v>
      </c>
      <c r="G1194" s="554">
        <v>0</v>
      </c>
      <c r="H1194" s="554">
        <v>30</v>
      </c>
      <c r="I1194" s="554">
        <f t="shared" si="79"/>
        <v>27</v>
      </c>
      <c r="J1194" s="661">
        <v>0</v>
      </c>
      <c r="K1194" s="661">
        <v>0</v>
      </c>
      <c r="L1194" s="744">
        <v>27</v>
      </c>
      <c r="M1194" s="966">
        <v>0.95</v>
      </c>
      <c r="N1194" s="653">
        <v>275.1542</v>
      </c>
      <c r="O1194" s="747" t="s">
        <v>6528</v>
      </c>
      <c r="P1194" s="547" t="s">
        <v>6490</v>
      </c>
      <c r="Q1194" s="863">
        <v>0</v>
      </c>
      <c r="R1194" s="863">
        <v>0</v>
      </c>
      <c r="S1194" s="863">
        <v>0</v>
      </c>
      <c r="T1194" s="863">
        <v>0</v>
      </c>
      <c r="U1194" s="545" t="s">
        <v>6491</v>
      </c>
      <c r="V1194" s="554" t="s">
        <v>6496</v>
      </c>
      <c r="W1194" s="658">
        <v>310</v>
      </c>
      <c r="X1194" s="545" t="s">
        <v>1532</v>
      </c>
      <c r="Y1194" s="555" t="s">
        <v>6529</v>
      </c>
      <c r="Z1194" s="545" t="s">
        <v>1591</v>
      </c>
      <c r="AA1194" s="554" t="s">
        <v>1591</v>
      </c>
      <c r="AB1194" s="556" t="s">
        <v>1591</v>
      </c>
    </row>
    <row r="1195" spans="1:28" ht="24" customHeight="1">
      <c r="A1195" s="604"/>
      <c r="B1195" s="553" t="s">
        <v>675</v>
      </c>
      <c r="C1195" s="743" t="s">
        <v>6487</v>
      </c>
      <c r="D1195" s="553" t="s">
        <v>6544</v>
      </c>
      <c r="E1195" s="554">
        <f t="shared" si="80"/>
        <v>34</v>
      </c>
      <c r="F1195" s="554">
        <v>0</v>
      </c>
      <c r="G1195" s="554">
        <v>34</v>
      </c>
      <c r="H1195" s="554">
        <v>0</v>
      </c>
      <c r="I1195" s="554">
        <f t="shared" si="79"/>
        <v>25</v>
      </c>
      <c r="J1195" s="554">
        <v>0</v>
      </c>
      <c r="K1195" s="661">
        <v>25</v>
      </c>
      <c r="L1195" s="744">
        <v>0</v>
      </c>
      <c r="M1195" s="966">
        <v>0.95</v>
      </c>
      <c r="N1195" s="653">
        <v>275.1542</v>
      </c>
      <c r="O1195" s="747" t="s">
        <v>1254</v>
      </c>
      <c r="P1195" s="547" t="s">
        <v>1588</v>
      </c>
      <c r="Q1195" s="863">
        <v>0</v>
      </c>
      <c r="R1195" s="863">
        <v>0</v>
      </c>
      <c r="S1195" s="863">
        <v>0</v>
      </c>
      <c r="T1195" s="863">
        <v>0</v>
      </c>
      <c r="U1195" s="545" t="s">
        <v>6491</v>
      </c>
      <c r="V1195" s="554" t="s">
        <v>6538</v>
      </c>
      <c r="W1195" s="658">
        <v>229</v>
      </c>
      <c r="X1195" s="545" t="s">
        <v>1532</v>
      </c>
      <c r="Y1195" s="555" t="s">
        <v>6493</v>
      </c>
      <c r="Z1195" s="545" t="s">
        <v>1591</v>
      </c>
      <c r="AA1195" s="554" t="s">
        <v>1591</v>
      </c>
      <c r="AB1195" s="556" t="s">
        <v>1591</v>
      </c>
    </row>
    <row r="1196" spans="1:28" ht="24" customHeight="1">
      <c r="A1196" s="604"/>
      <c r="B1196" s="553" t="s">
        <v>675</v>
      </c>
      <c r="C1196" s="743" t="s">
        <v>6545</v>
      </c>
      <c r="D1196" s="553" t="s">
        <v>6546</v>
      </c>
      <c r="E1196" s="554">
        <f t="shared" si="80"/>
        <v>68</v>
      </c>
      <c r="F1196" s="554">
        <v>0</v>
      </c>
      <c r="G1196" s="554">
        <v>68</v>
      </c>
      <c r="H1196" s="554">
        <v>0</v>
      </c>
      <c r="I1196" s="554">
        <f t="shared" si="79"/>
        <v>60</v>
      </c>
      <c r="J1196" s="554">
        <v>0</v>
      </c>
      <c r="K1196" s="661">
        <v>60</v>
      </c>
      <c r="L1196" s="744">
        <v>0</v>
      </c>
      <c r="M1196" s="966">
        <v>0.95</v>
      </c>
      <c r="N1196" s="653">
        <v>275.1542</v>
      </c>
      <c r="O1196" s="747" t="s">
        <v>1254</v>
      </c>
      <c r="P1196" s="547" t="s">
        <v>1588</v>
      </c>
      <c r="Q1196" s="863">
        <v>0</v>
      </c>
      <c r="R1196" s="863">
        <v>0</v>
      </c>
      <c r="S1196" s="863">
        <v>0</v>
      </c>
      <c r="T1196" s="863">
        <v>0</v>
      </c>
      <c r="U1196" s="545" t="s">
        <v>6491</v>
      </c>
      <c r="V1196" s="554" t="s">
        <v>6503</v>
      </c>
      <c r="W1196" s="658">
        <v>490</v>
      </c>
      <c r="X1196" s="545" t="s">
        <v>1532</v>
      </c>
      <c r="Y1196" s="555" t="s">
        <v>6493</v>
      </c>
      <c r="Z1196" s="545" t="s">
        <v>1591</v>
      </c>
      <c r="AA1196" s="554" t="s">
        <v>1591</v>
      </c>
      <c r="AB1196" s="556" t="s">
        <v>1591</v>
      </c>
    </row>
    <row r="1197" spans="1:28" ht="24" customHeight="1">
      <c r="A1197" s="604"/>
      <c r="B1197" s="553" t="s">
        <v>675</v>
      </c>
      <c r="C1197" s="743" t="s">
        <v>6547</v>
      </c>
      <c r="D1197" s="553" t="s">
        <v>6548</v>
      </c>
      <c r="E1197" s="554">
        <f t="shared" si="80"/>
        <v>40</v>
      </c>
      <c r="F1197" s="554">
        <v>0</v>
      </c>
      <c r="G1197" s="554">
        <v>40</v>
      </c>
      <c r="H1197" s="554">
        <v>0</v>
      </c>
      <c r="I1197" s="554">
        <f t="shared" si="79"/>
        <v>35</v>
      </c>
      <c r="J1197" s="554">
        <v>0</v>
      </c>
      <c r="K1197" s="661">
        <v>35</v>
      </c>
      <c r="L1197" s="744">
        <v>0</v>
      </c>
      <c r="M1197" s="966">
        <v>0.95</v>
      </c>
      <c r="N1197" s="653">
        <v>275.1542</v>
      </c>
      <c r="O1197" s="747" t="s">
        <v>1254</v>
      </c>
      <c r="P1197" s="547" t="s">
        <v>1588</v>
      </c>
      <c r="Q1197" s="863">
        <v>0</v>
      </c>
      <c r="R1197" s="863">
        <v>0</v>
      </c>
      <c r="S1197" s="863">
        <v>0</v>
      </c>
      <c r="T1197" s="863">
        <v>0</v>
      </c>
      <c r="U1197" s="545" t="s">
        <v>6491</v>
      </c>
      <c r="V1197" s="554" t="s">
        <v>6549</v>
      </c>
      <c r="W1197" s="658">
        <v>400</v>
      </c>
      <c r="X1197" s="545" t="s">
        <v>1532</v>
      </c>
      <c r="Y1197" s="555" t="s">
        <v>1935</v>
      </c>
      <c r="Z1197" s="545" t="s">
        <v>1656</v>
      </c>
      <c r="AA1197" s="554" t="s">
        <v>1591</v>
      </c>
      <c r="AB1197" s="556" t="s">
        <v>1591</v>
      </c>
    </row>
    <row r="1198" spans="1:28" ht="24" customHeight="1">
      <c r="A1198" s="604"/>
      <c r="B1198" s="553" t="s">
        <v>675</v>
      </c>
      <c r="C1198" s="743" t="s">
        <v>6550</v>
      </c>
      <c r="D1198" s="553" t="s">
        <v>6551</v>
      </c>
      <c r="E1198" s="554">
        <f t="shared" si="80"/>
        <v>60</v>
      </c>
      <c r="F1198" s="554">
        <v>0</v>
      </c>
      <c r="G1198" s="554">
        <v>0</v>
      </c>
      <c r="H1198" s="554">
        <v>60</v>
      </c>
      <c r="I1198" s="554">
        <f t="shared" si="79"/>
        <v>53</v>
      </c>
      <c r="J1198" s="661">
        <v>0</v>
      </c>
      <c r="K1198" s="661">
        <v>0</v>
      </c>
      <c r="L1198" s="744">
        <v>53</v>
      </c>
      <c r="M1198" s="966">
        <v>0.95</v>
      </c>
      <c r="N1198" s="653">
        <v>275.1542</v>
      </c>
      <c r="O1198" s="747" t="s">
        <v>6552</v>
      </c>
      <c r="P1198" s="547" t="s">
        <v>6490</v>
      </c>
      <c r="Q1198" s="863">
        <v>0</v>
      </c>
      <c r="R1198" s="863">
        <v>0</v>
      </c>
      <c r="S1198" s="863">
        <v>0</v>
      </c>
      <c r="T1198" s="863">
        <v>0</v>
      </c>
      <c r="U1198" s="545" t="s">
        <v>6491</v>
      </c>
      <c r="V1198" s="554" t="s">
        <v>6553</v>
      </c>
      <c r="W1198" s="658">
        <v>720</v>
      </c>
      <c r="X1198" s="545" t="s">
        <v>1532</v>
      </c>
      <c r="Y1198" s="555" t="s">
        <v>6493</v>
      </c>
      <c r="Z1198" s="545" t="s">
        <v>1880</v>
      </c>
      <c r="AA1198" s="554" t="s">
        <v>1591</v>
      </c>
      <c r="AB1198" s="556" t="s">
        <v>1591</v>
      </c>
    </row>
    <row r="1199" spans="1:28" ht="24" customHeight="1">
      <c r="A1199" s="604"/>
      <c r="B1199" s="553" t="s">
        <v>675</v>
      </c>
      <c r="C1199" s="743" t="s">
        <v>6554</v>
      </c>
      <c r="D1199" s="553" t="s">
        <v>6555</v>
      </c>
      <c r="E1199" s="554">
        <f t="shared" si="80"/>
        <v>30</v>
      </c>
      <c r="F1199" s="554">
        <v>0</v>
      </c>
      <c r="G1199" s="554">
        <v>30</v>
      </c>
      <c r="H1199" s="554">
        <v>0</v>
      </c>
      <c r="I1199" s="554">
        <f t="shared" si="79"/>
        <v>25</v>
      </c>
      <c r="J1199" s="554">
        <v>0</v>
      </c>
      <c r="K1199" s="661">
        <v>25</v>
      </c>
      <c r="L1199" s="744">
        <v>0</v>
      </c>
      <c r="M1199" s="966">
        <v>0.95</v>
      </c>
      <c r="N1199" s="653">
        <v>275.1542</v>
      </c>
      <c r="O1199" s="747" t="s">
        <v>1254</v>
      </c>
      <c r="P1199" s="547" t="s">
        <v>1588</v>
      </c>
      <c r="Q1199" s="863">
        <v>0</v>
      </c>
      <c r="R1199" s="863">
        <v>0</v>
      </c>
      <c r="S1199" s="863">
        <v>0</v>
      </c>
      <c r="T1199" s="863">
        <v>0</v>
      </c>
      <c r="U1199" s="545" t="s">
        <v>6491</v>
      </c>
      <c r="V1199" s="554" t="s">
        <v>6549</v>
      </c>
      <c r="W1199" s="658">
        <v>380</v>
      </c>
      <c r="X1199" s="545" t="s">
        <v>1532</v>
      </c>
      <c r="Y1199" s="555" t="s">
        <v>1935</v>
      </c>
      <c r="Z1199" s="545" t="s">
        <v>1656</v>
      </c>
      <c r="AA1199" s="554" t="s">
        <v>1591</v>
      </c>
      <c r="AB1199" s="556" t="s">
        <v>1591</v>
      </c>
    </row>
    <row r="1200" spans="1:28" ht="24" customHeight="1">
      <c r="A1200" s="604"/>
      <c r="B1200" s="553" t="s">
        <v>675</v>
      </c>
      <c r="C1200" s="743" t="s">
        <v>6556</v>
      </c>
      <c r="D1200" s="553" t="s">
        <v>6557</v>
      </c>
      <c r="E1200" s="554">
        <f t="shared" si="80"/>
        <v>35</v>
      </c>
      <c r="F1200" s="554">
        <v>0</v>
      </c>
      <c r="G1200" s="554">
        <v>0</v>
      </c>
      <c r="H1200" s="554">
        <v>35</v>
      </c>
      <c r="I1200" s="554">
        <f t="shared" si="79"/>
        <v>32</v>
      </c>
      <c r="J1200" s="661">
        <v>0</v>
      </c>
      <c r="K1200" s="661">
        <v>0</v>
      </c>
      <c r="L1200" s="744">
        <v>32</v>
      </c>
      <c r="M1200" s="966">
        <v>0.95</v>
      </c>
      <c r="N1200" s="653">
        <v>275.1542</v>
      </c>
      <c r="O1200" s="747" t="s">
        <v>6489</v>
      </c>
      <c r="P1200" s="547" t="s">
        <v>6490</v>
      </c>
      <c r="Q1200" s="863">
        <v>0</v>
      </c>
      <c r="R1200" s="863">
        <v>0</v>
      </c>
      <c r="S1200" s="863">
        <v>0</v>
      </c>
      <c r="T1200" s="863">
        <v>0</v>
      </c>
      <c r="U1200" s="545" t="s">
        <v>6491</v>
      </c>
      <c r="V1200" s="554" t="s">
        <v>6492</v>
      </c>
      <c r="W1200" s="658">
        <v>100</v>
      </c>
      <c r="X1200" s="545" t="s">
        <v>1532</v>
      </c>
      <c r="Y1200" s="555" t="s">
        <v>6493</v>
      </c>
      <c r="Z1200" s="545" t="s">
        <v>1591</v>
      </c>
      <c r="AA1200" s="554" t="s">
        <v>1591</v>
      </c>
      <c r="AB1200" s="556" t="s">
        <v>1591</v>
      </c>
    </row>
    <row r="1201" spans="1:28" ht="24" customHeight="1">
      <c r="A1201" s="604"/>
      <c r="B1201" s="553" t="s">
        <v>675</v>
      </c>
      <c r="C1201" s="743" t="s">
        <v>6558</v>
      </c>
      <c r="D1201" s="553" t="s">
        <v>6559</v>
      </c>
      <c r="E1201" s="554">
        <f t="shared" si="80"/>
        <v>50</v>
      </c>
      <c r="F1201" s="554">
        <v>0</v>
      </c>
      <c r="G1201" s="554">
        <v>0</v>
      </c>
      <c r="H1201" s="554">
        <v>50</v>
      </c>
      <c r="I1201" s="554">
        <f t="shared" si="79"/>
        <v>45</v>
      </c>
      <c r="J1201" s="661">
        <v>0</v>
      </c>
      <c r="K1201" s="661">
        <v>0</v>
      </c>
      <c r="L1201" s="744">
        <v>45</v>
      </c>
      <c r="M1201" s="966">
        <v>0.95</v>
      </c>
      <c r="N1201" s="653">
        <v>275.1542</v>
      </c>
      <c r="O1201" s="747" t="s">
        <v>6489</v>
      </c>
      <c r="P1201" s="547" t="s">
        <v>6490</v>
      </c>
      <c r="Q1201" s="863">
        <v>0</v>
      </c>
      <c r="R1201" s="863">
        <v>0</v>
      </c>
      <c r="S1201" s="863">
        <v>0</v>
      </c>
      <c r="T1201" s="863">
        <v>0</v>
      </c>
      <c r="U1201" s="545" t="s">
        <v>6491</v>
      </c>
      <c r="V1201" s="554" t="s">
        <v>6506</v>
      </c>
      <c r="W1201" s="658">
        <v>1000</v>
      </c>
      <c r="X1201" s="545" t="s">
        <v>1532</v>
      </c>
      <c r="Y1201" s="555" t="s">
        <v>6493</v>
      </c>
      <c r="Z1201" s="545" t="s">
        <v>6560</v>
      </c>
      <c r="AA1201" s="554" t="s">
        <v>1591</v>
      </c>
      <c r="AB1201" s="556" t="s">
        <v>1591</v>
      </c>
    </row>
    <row r="1202" spans="1:28" ht="24" customHeight="1">
      <c r="A1202" s="605" t="s">
        <v>6561</v>
      </c>
      <c r="B1202" s="544" t="s">
        <v>2201</v>
      </c>
      <c r="C1202" s="551" t="s">
        <v>2146</v>
      </c>
      <c r="D1202" s="553" t="s">
        <v>6562</v>
      </c>
      <c r="E1202" s="563">
        <f>SUM(F1202:H1202)</f>
        <v>25000</v>
      </c>
      <c r="F1202" s="563">
        <v>0</v>
      </c>
      <c r="G1202" s="563">
        <v>0</v>
      </c>
      <c r="H1202" s="563">
        <v>25000</v>
      </c>
      <c r="I1202" s="563">
        <f>SUM(J1202:L1202)</f>
        <v>10494</v>
      </c>
      <c r="J1202" s="563">
        <v>0</v>
      </c>
      <c r="K1202" s="563">
        <v>0</v>
      </c>
      <c r="L1202" s="741">
        <v>10494</v>
      </c>
      <c r="M1202" s="965">
        <v>0.83692307692307688</v>
      </c>
      <c r="N1202" s="653">
        <v>285.43680000000001</v>
      </c>
      <c r="O1202" s="746" t="s">
        <v>3215</v>
      </c>
      <c r="P1202" s="547" t="s">
        <v>1588</v>
      </c>
      <c r="Q1202" s="863">
        <v>0</v>
      </c>
      <c r="R1202" s="863">
        <v>0</v>
      </c>
      <c r="S1202" s="863">
        <v>0</v>
      </c>
      <c r="T1202" s="863">
        <v>0</v>
      </c>
      <c r="U1202" s="547" t="s">
        <v>6563</v>
      </c>
      <c r="V1202" s="547" t="s">
        <v>6564</v>
      </c>
      <c r="W1202" s="658">
        <v>52064</v>
      </c>
      <c r="X1202" s="547" t="s">
        <v>1532</v>
      </c>
      <c r="Y1202" s="547" t="s">
        <v>4034</v>
      </c>
      <c r="Z1202" s="547"/>
      <c r="AA1202" s="547"/>
      <c r="AB1202" s="550" t="s">
        <v>1934</v>
      </c>
    </row>
    <row r="1203" spans="1:28" ht="24" customHeight="1">
      <c r="A1203" s="606"/>
      <c r="B1203" s="544" t="s">
        <v>2201</v>
      </c>
      <c r="C1203" s="551" t="s">
        <v>475</v>
      </c>
      <c r="D1203" s="553" t="s">
        <v>6565</v>
      </c>
      <c r="E1203" s="563">
        <f>SUM(F1203:H1203)</f>
        <v>24000</v>
      </c>
      <c r="F1203" s="563">
        <v>0</v>
      </c>
      <c r="G1203" s="563">
        <v>0</v>
      </c>
      <c r="H1203" s="563">
        <v>24000</v>
      </c>
      <c r="I1203" s="563">
        <f>SUM(J1203:L1203)</f>
        <v>23209</v>
      </c>
      <c r="J1203" s="563">
        <v>0</v>
      </c>
      <c r="K1203" s="563">
        <v>0</v>
      </c>
      <c r="L1203" s="741">
        <v>23209</v>
      </c>
      <c r="M1203" s="965">
        <v>0.99248982173208422</v>
      </c>
      <c r="N1203" s="653">
        <v>5827.54781</v>
      </c>
      <c r="O1203" s="746" t="s">
        <v>6566</v>
      </c>
      <c r="P1203" s="547" t="s">
        <v>1588</v>
      </c>
      <c r="Q1203" s="863">
        <v>0</v>
      </c>
      <c r="R1203" s="863">
        <v>0</v>
      </c>
      <c r="S1203" s="863">
        <v>0</v>
      </c>
      <c r="T1203" s="863">
        <v>0</v>
      </c>
      <c r="U1203" s="547" t="s">
        <v>6567</v>
      </c>
      <c r="V1203" s="547" t="s">
        <v>6568</v>
      </c>
      <c r="W1203" s="658">
        <v>32657</v>
      </c>
      <c r="X1203" s="547" t="s">
        <v>1532</v>
      </c>
      <c r="Y1203" s="547" t="s">
        <v>4034</v>
      </c>
      <c r="Z1203" s="547"/>
      <c r="AA1203" s="547"/>
      <c r="AB1203" s="550" t="s">
        <v>1934</v>
      </c>
    </row>
    <row r="1204" spans="1:28" ht="24" customHeight="1">
      <c r="A1204" s="606"/>
      <c r="B1204" s="544" t="s">
        <v>2201</v>
      </c>
      <c r="C1204" s="551" t="s">
        <v>476</v>
      </c>
      <c r="D1204" s="553" t="s">
        <v>6569</v>
      </c>
      <c r="E1204" s="563">
        <f>SUM(F1204:H1204)</f>
        <v>5500</v>
      </c>
      <c r="F1204" s="563">
        <v>0</v>
      </c>
      <c r="G1204" s="563">
        <v>5500</v>
      </c>
      <c r="H1204" s="563">
        <v>0</v>
      </c>
      <c r="I1204" s="563">
        <f>SUM(J1204:L1204)</f>
        <v>2721</v>
      </c>
      <c r="J1204" s="563">
        <v>0</v>
      </c>
      <c r="K1204" s="563">
        <v>2721</v>
      </c>
      <c r="L1204" s="741">
        <v>0</v>
      </c>
      <c r="M1204" s="965">
        <v>0.96120150187734676</v>
      </c>
      <c r="N1204" s="653">
        <v>208.97280000000003</v>
      </c>
      <c r="O1204" s="746" t="s">
        <v>6570</v>
      </c>
      <c r="P1204" s="547" t="s">
        <v>1588</v>
      </c>
      <c r="Q1204" s="863">
        <v>0</v>
      </c>
      <c r="R1204" s="863">
        <v>0</v>
      </c>
      <c r="S1204" s="863">
        <v>0</v>
      </c>
      <c r="T1204" s="863">
        <v>0</v>
      </c>
      <c r="U1204" s="547" t="s">
        <v>6571</v>
      </c>
      <c r="V1204" s="547" t="s">
        <v>6572</v>
      </c>
      <c r="W1204" s="658">
        <v>4134</v>
      </c>
      <c r="X1204" s="547" t="s">
        <v>1532</v>
      </c>
      <c r="Y1204" s="547" t="s">
        <v>1533</v>
      </c>
      <c r="Z1204" s="547"/>
      <c r="AA1204" s="547"/>
      <c r="AB1204" s="550" t="s">
        <v>1934</v>
      </c>
    </row>
    <row r="1205" spans="1:28" ht="24" customHeight="1">
      <c r="A1205" s="606"/>
      <c r="B1205" s="544" t="s">
        <v>675</v>
      </c>
      <c r="C1205" s="551" t="s">
        <v>4832</v>
      </c>
      <c r="D1205" s="553" t="s">
        <v>6573</v>
      </c>
      <c r="E1205" s="554">
        <f>SUM(F1205:H1205)</f>
        <v>60</v>
      </c>
      <c r="F1205" s="563">
        <v>0</v>
      </c>
      <c r="G1205" s="563">
        <v>0</v>
      </c>
      <c r="H1205" s="563">
        <v>60</v>
      </c>
      <c r="I1205" s="554">
        <f>SUM(J1205:L1205)</f>
        <v>44</v>
      </c>
      <c r="J1205" s="563">
        <v>0</v>
      </c>
      <c r="K1205" s="563">
        <v>0</v>
      </c>
      <c r="L1205" s="741">
        <v>44</v>
      </c>
      <c r="M1205" s="966">
        <v>0</v>
      </c>
      <c r="N1205" s="653">
        <v>0</v>
      </c>
      <c r="O1205" s="746" t="s">
        <v>6574</v>
      </c>
      <c r="P1205" s="547" t="s">
        <v>1588</v>
      </c>
      <c r="Q1205" s="863">
        <v>0</v>
      </c>
      <c r="R1205" s="863">
        <v>0</v>
      </c>
      <c r="S1205" s="863">
        <v>0</v>
      </c>
      <c r="T1205" s="863">
        <v>0</v>
      </c>
      <c r="U1205" s="547" t="s">
        <v>6575</v>
      </c>
      <c r="V1205" s="547">
        <v>1999.04</v>
      </c>
      <c r="W1205" s="658">
        <v>243</v>
      </c>
      <c r="X1205" s="547" t="s">
        <v>2199</v>
      </c>
      <c r="Y1205" s="547" t="s">
        <v>1533</v>
      </c>
      <c r="Z1205" s="547" t="s">
        <v>6576</v>
      </c>
      <c r="AA1205" s="547" t="s">
        <v>6577</v>
      </c>
      <c r="AB1205" s="550" t="s">
        <v>1934</v>
      </c>
    </row>
    <row r="1206" spans="1:28" ht="24" customHeight="1">
      <c r="A1206" s="606"/>
      <c r="B1206" s="544" t="s">
        <v>675</v>
      </c>
      <c r="C1206" s="551" t="s">
        <v>2049</v>
      </c>
      <c r="D1206" s="553" t="s">
        <v>6578</v>
      </c>
      <c r="E1206" s="563">
        <f t="shared" ref="E1206:E1217" si="81">SUM(F1206:H1206)</f>
        <v>40</v>
      </c>
      <c r="F1206" s="563">
        <v>0</v>
      </c>
      <c r="G1206" s="563">
        <v>0</v>
      </c>
      <c r="H1206" s="563">
        <v>40</v>
      </c>
      <c r="I1206" s="563">
        <f t="shared" ref="I1206:I1226" si="82">SUM(J1206:L1206)</f>
        <v>36</v>
      </c>
      <c r="J1206" s="563">
        <v>0</v>
      </c>
      <c r="K1206" s="563">
        <v>0</v>
      </c>
      <c r="L1206" s="741">
        <v>36</v>
      </c>
      <c r="M1206" s="965">
        <v>0</v>
      </c>
      <c r="N1206" s="653">
        <v>0</v>
      </c>
      <c r="O1206" s="746" t="s">
        <v>3517</v>
      </c>
      <c r="P1206" s="547" t="s">
        <v>1588</v>
      </c>
      <c r="Q1206" s="863">
        <v>0</v>
      </c>
      <c r="R1206" s="863">
        <v>0</v>
      </c>
      <c r="S1206" s="863">
        <v>0</v>
      </c>
      <c r="T1206" s="863">
        <v>0</v>
      </c>
      <c r="U1206" s="547" t="s">
        <v>6575</v>
      </c>
      <c r="V1206" s="547">
        <v>1996.03</v>
      </c>
      <c r="W1206" s="658">
        <v>210</v>
      </c>
      <c r="X1206" s="547" t="s">
        <v>2199</v>
      </c>
      <c r="Y1206" s="547" t="s">
        <v>1533</v>
      </c>
      <c r="Z1206" s="547" t="s">
        <v>6576</v>
      </c>
      <c r="AA1206" s="547" t="s">
        <v>6577</v>
      </c>
      <c r="AB1206" s="550" t="s">
        <v>1934</v>
      </c>
    </row>
    <row r="1207" spans="1:28" ht="24" customHeight="1">
      <c r="A1207" s="606"/>
      <c r="B1207" s="544" t="s">
        <v>675</v>
      </c>
      <c r="C1207" s="551" t="s">
        <v>6579</v>
      </c>
      <c r="D1207" s="553" t="s">
        <v>6580</v>
      </c>
      <c r="E1207" s="563">
        <f t="shared" si="81"/>
        <v>60</v>
      </c>
      <c r="F1207" s="563">
        <v>0</v>
      </c>
      <c r="G1207" s="563">
        <v>0</v>
      </c>
      <c r="H1207" s="563">
        <v>60</v>
      </c>
      <c r="I1207" s="563">
        <f t="shared" si="82"/>
        <v>40</v>
      </c>
      <c r="J1207" s="563">
        <v>0</v>
      </c>
      <c r="K1207" s="563">
        <v>0</v>
      </c>
      <c r="L1207" s="741">
        <v>40</v>
      </c>
      <c r="M1207" s="965">
        <v>0</v>
      </c>
      <c r="N1207" s="653">
        <v>0</v>
      </c>
      <c r="O1207" s="746" t="s">
        <v>6574</v>
      </c>
      <c r="P1207" s="547" t="s">
        <v>1588</v>
      </c>
      <c r="Q1207" s="863">
        <v>0</v>
      </c>
      <c r="R1207" s="863">
        <v>0</v>
      </c>
      <c r="S1207" s="863">
        <v>0</v>
      </c>
      <c r="T1207" s="863">
        <v>0</v>
      </c>
      <c r="U1207" s="547" t="s">
        <v>6575</v>
      </c>
      <c r="V1207" s="547">
        <v>1999.04</v>
      </c>
      <c r="W1207" s="658">
        <v>237</v>
      </c>
      <c r="X1207" s="547" t="s">
        <v>2199</v>
      </c>
      <c r="Y1207" s="547" t="s">
        <v>1533</v>
      </c>
      <c r="Z1207" s="547" t="s">
        <v>6576</v>
      </c>
      <c r="AA1207" s="547" t="s">
        <v>6577</v>
      </c>
      <c r="AB1207" s="550" t="s">
        <v>1934</v>
      </c>
    </row>
    <row r="1208" spans="1:28" ht="24" customHeight="1">
      <c r="A1208" s="606"/>
      <c r="B1208" s="544" t="s">
        <v>675</v>
      </c>
      <c r="C1208" s="551" t="s">
        <v>6581</v>
      </c>
      <c r="D1208" s="553" t="s">
        <v>6578</v>
      </c>
      <c r="E1208" s="563">
        <f t="shared" si="81"/>
        <v>45</v>
      </c>
      <c r="F1208" s="563">
        <v>0</v>
      </c>
      <c r="G1208" s="563">
        <v>0</v>
      </c>
      <c r="H1208" s="563">
        <v>45</v>
      </c>
      <c r="I1208" s="563">
        <f t="shared" si="82"/>
        <v>34</v>
      </c>
      <c r="J1208" s="563">
        <v>0</v>
      </c>
      <c r="K1208" s="563">
        <v>0</v>
      </c>
      <c r="L1208" s="741">
        <v>34</v>
      </c>
      <c r="M1208" s="965">
        <v>0</v>
      </c>
      <c r="N1208" s="653">
        <v>0</v>
      </c>
      <c r="O1208" s="746" t="s">
        <v>3447</v>
      </c>
      <c r="P1208" s="547" t="s">
        <v>1588</v>
      </c>
      <c r="Q1208" s="863">
        <v>0</v>
      </c>
      <c r="R1208" s="863">
        <v>0</v>
      </c>
      <c r="S1208" s="863">
        <v>0</v>
      </c>
      <c r="T1208" s="863">
        <v>0</v>
      </c>
      <c r="U1208" s="547" t="s">
        <v>6575</v>
      </c>
      <c r="V1208" s="547">
        <v>2004.07</v>
      </c>
      <c r="W1208" s="658">
        <v>492</v>
      </c>
      <c r="X1208" s="547" t="s">
        <v>2199</v>
      </c>
      <c r="Y1208" s="547" t="s">
        <v>1533</v>
      </c>
      <c r="Z1208" s="547" t="s">
        <v>6576</v>
      </c>
      <c r="AA1208" s="547" t="s">
        <v>6577</v>
      </c>
      <c r="AB1208" s="550" t="s">
        <v>1934</v>
      </c>
    </row>
    <row r="1209" spans="1:28" ht="24" customHeight="1">
      <c r="A1209" s="606"/>
      <c r="B1209" s="544" t="s">
        <v>675</v>
      </c>
      <c r="C1209" s="551" t="s">
        <v>2251</v>
      </c>
      <c r="D1209" s="553" t="s">
        <v>6582</v>
      </c>
      <c r="E1209" s="563">
        <f t="shared" si="81"/>
        <v>110</v>
      </c>
      <c r="F1209" s="563">
        <v>0</v>
      </c>
      <c r="G1209" s="563">
        <v>0</v>
      </c>
      <c r="H1209" s="563">
        <v>110</v>
      </c>
      <c r="I1209" s="563">
        <f t="shared" si="82"/>
        <v>88</v>
      </c>
      <c r="J1209" s="563">
        <v>0</v>
      </c>
      <c r="K1209" s="563">
        <v>0</v>
      </c>
      <c r="L1209" s="741">
        <v>88</v>
      </c>
      <c r="M1209" s="965">
        <v>0</v>
      </c>
      <c r="N1209" s="653">
        <v>0</v>
      </c>
      <c r="O1209" s="746" t="s">
        <v>3451</v>
      </c>
      <c r="P1209" s="547" t="s">
        <v>1588</v>
      </c>
      <c r="Q1209" s="863">
        <v>0</v>
      </c>
      <c r="R1209" s="863">
        <v>0</v>
      </c>
      <c r="S1209" s="863">
        <v>0</v>
      </c>
      <c r="T1209" s="863">
        <v>0</v>
      </c>
      <c r="U1209" s="547" t="s">
        <v>6575</v>
      </c>
      <c r="V1209" s="547">
        <v>2003.01</v>
      </c>
      <c r="W1209" s="658">
        <v>544</v>
      </c>
      <c r="X1209" s="547" t="s">
        <v>2199</v>
      </c>
      <c r="Y1209" s="547" t="s">
        <v>1533</v>
      </c>
      <c r="Z1209" s="547" t="s">
        <v>6576</v>
      </c>
      <c r="AA1209" s="547" t="s">
        <v>6577</v>
      </c>
      <c r="AB1209" s="550" t="s">
        <v>1934</v>
      </c>
    </row>
    <row r="1210" spans="1:28" ht="24" customHeight="1">
      <c r="A1210" s="606"/>
      <c r="B1210" s="544" t="s">
        <v>675</v>
      </c>
      <c r="C1210" s="551" t="s">
        <v>6583</v>
      </c>
      <c r="D1210" s="553" t="s">
        <v>6584</v>
      </c>
      <c r="E1210" s="563">
        <f t="shared" si="81"/>
        <v>45</v>
      </c>
      <c r="F1210" s="563">
        <v>0</v>
      </c>
      <c r="G1210" s="563">
        <v>0</v>
      </c>
      <c r="H1210" s="563">
        <v>45</v>
      </c>
      <c r="I1210" s="563">
        <f t="shared" si="82"/>
        <v>35</v>
      </c>
      <c r="J1210" s="563">
        <v>0</v>
      </c>
      <c r="K1210" s="563">
        <v>0</v>
      </c>
      <c r="L1210" s="741">
        <v>35</v>
      </c>
      <c r="M1210" s="965">
        <v>0</v>
      </c>
      <c r="N1210" s="653">
        <v>0</v>
      </c>
      <c r="O1210" s="746" t="s">
        <v>6585</v>
      </c>
      <c r="P1210" s="547" t="s">
        <v>1588</v>
      </c>
      <c r="Q1210" s="863">
        <v>0</v>
      </c>
      <c r="R1210" s="863">
        <v>0</v>
      </c>
      <c r="S1210" s="863">
        <v>0</v>
      </c>
      <c r="T1210" s="863">
        <v>0</v>
      </c>
      <c r="U1210" s="547" t="s">
        <v>6575</v>
      </c>
      <c r="V1210" s="547">
        <v>2003.01</v>
      </c>
      <c r="W1210" s="658">
        <v>499</v>
      </c>
      <c r="X1210" s="547" t="s">
        <v>2199</v>
      </c>
      <c r="Y1210" s="547" t="s">
        <v>1533</v>
      </c>
      <c r="Z1210" s="547" t="s">
        <v>6576</v>
      </c>
      <c r="AA1210" s="547" t="s">
        <v>6577</v>
      </c>
      <c r="AB1210" s="550" t="s">
        <v>1934</v>
      </c>
    </row>
    <row r="1211" spans="1:28" ht="24" customHeight="1">
      <c r="A1211" s="606"/>
      <c r="B1211" s="544" t="s">
        <v>675</v>
      </c>
      <c r="C1211" s="551" t="s">
        <v>2186</v>
      </c>
      <c r="D1211" s="553" t="s">
        <v>6586</v>
      </c>
      <c r="E1211" s="563">
        <f t="shared" si="81"/>
        <v>60</v>
      </c>
      <c r="F1211" s="563">
        <v>0</v>
      </c>
      <c r="G1211" s="563">
        <v>0</v>
      </c>
      <c r="H1211" s="563">
        <v>60</v>
      </c>
      <c r="I1211" s="563">
        <f t="shared" si="82"/>
        <v>30</v>
      </c>
      <c r="J1211" s="563">
        <v>0</v>
      </c>
      <c r="K1211" s="563">
        <v>0</v>
      </c>
      <c r="L1211" s="741">
        <v>30</v>
      </c>
      <c r="M1211" s="965">
        <v>0</v>
      </c>
      <c r="N1211" s="653">
        <v>0</v>
      </c>
      <c r="O1211" s="746" t="s">
        <v>6587</v>
      </c>
      <c r="P1211" s="547" t="s">
        <v>1588</v>
      </c>
      <c r="Q1211" s="863">
        <v>0</v>
      </c>
      <c r="R1211" s="863">
        <v>0</v>
      </c>
      <c r="S1211" s="863">
        <v>0</v>
      </c>
      <c r="T1211" s="863">
        <v>0</v>
      </c>
      <c r="U1211" s="547" t="s">
        <v>6575</v>
      </c>
      <c r="V1211" s="547">
        <v>2006.04</v>
      </c>
      <c r="W1211" s="658">
        <v>179</v>
      </c>
      <c r="X1211" s="547" t="s">
        <v>1532</v>
      </c>
      <c r="Y1211" s="547" t="s">
        <v>3336</v>
      </c>
      <c r="Z1211" s="547" t="s">
        <v>6576</v>
      </c>
      <c r="AA1211" s="547" t="s">
        <v>6577</v>
      </c>
      <c r="AB1211" s="550" t="s">
        <v>1934</v>
      </c>
    </row>
    <row r="1212" spans="1:28" ht="24" customHeight="1">
      <c r="A1212" s="606"/>
      <c r="B1212" s="544" t="s">
        <v>675</v>
      </c>
      <c r="C1212" s="551" t="s">
        <v>6588</v>
      </c>
      <c r="D1212" s="553" t="s">
        <v>6589</v>
      </c>
      <c r="E1212" s="563">
        <f t="shared" si="81"/>
        <v>60</v>
      </c>
      <c r="F1212" s="563">
        <v>0</v>
      </c>
      <c r="G1212" s="563">
        <v>0</v>
      </c>
      <c r="H1212" s="563">
        <v>60</v>
      </c>
      <c r="I1212" s="563">
        <f t="shared" si="82"/>
        <v>39</v>
      </c>
      <c r="J1212" s="563">
        <v>0</v>
      </c>
      <c r="K1212" s="563">
        <v>0</v>
      </c>
      <c r="L1212" s="741">
        <v>39</v>
      </c>
      <c r="M1212" s="965">
        <v>0</v>
      </c>
      <c r="N1212" s="653">
        <v>0</v>
      </c>
      <c r="O1212" s="746" t="s">
        <v>6590</v>
      </c>
      <c r="P1212" s="547" t="s">
        <v>1588</v>
      </c>
      <c r="Q1212" s="863">
        <v>0</v>
      </c>
      <c r="R1212" s="863">
        <v>0</v>
      </c>
      <c r="S1212" s="863">
        <v>0</v>
      </c>
      <c r="T1212" s="863">
        <v>0</v>
      </c>
      <c r="U1212" s="547" t="s">
        <v>6575</v>
      </c>
      <c r="V1212" s="547">
        <v>2000.03</v>
      </c>
      <c r="W1212" s="658">
        <v>290</v>
      </c>
      <c r="X1212" s="547" t="s">
        <v>2199</v>
      </c>
      <c r="Y1212" s="547" t="s">
        <v>1533</v>
      </c>
      <c r="Z1212" s="547" t="s">
        <v>6591</v>
      </c>
      <c r="AA1212" s="547" t="s">
        <v>6577</v>
      </c>
      <c r="AB1212" s="550" t="s">
        <v>1934</v>
      </c>
    </row>
    <row r="1213" spans="1:28" ht="24" customHeight="1">
      <c r="A1213" s="606"/>
      <c r="B1213" s="544" t="s">
        <v>675</v>
      </c>
      <c r="C1213" s="551" t="s">
        <v>2116</v>
      </c>
      <c r="D1213" s="553" t="s">
        <v>6592</v>
      </c>
      <c r="E1213" s="563">
        <f t="shared" si="81"/>
        <v>40</v>
      </c>
      <c r="F1213" s="563">
        <v>0</v>
      </c>
      <c r="G1213" s="563">
        <v>0</v>
      </c>
      <c r="H1213" s="563">
        <v>40</v>
      </c>
      <c r="I1213" s="563">
        <f t="shared" si="82"/>
        <v>35</v>
      </c>
      <c r="J1213" s="563">
        <v>0</v>
      </c>
      <c r="K1213" s="563">
        <v>0</v>
      </c>
      <c r="L1213" s="741">
        <v>35</v>
      </c>
      <c r="M1213" s="965">
        <v>0</v>
      </c>
      <c r="N1213" s="653">
        <v>0</v>
      </c>
      <c r="O1213" s="746" t="s">
        <v>6590</v>
      </c>
      <c r="P1213" s="547" t="s">
        <v>1588</v>
      </c>
      <c r="Q1213" s="863">
        <v>0</v>
      </c>
      <c r="R1213" s="863">
        <v>0</v>
      </c>
      <c r="S1213" s="863">
        <v>0</v>
      </c>
      <c r="T1213" s="863">
        <v>0</v>
      </c>
      <c r="U1213" s="547" t="s">
        <v>6575</v>
      </c>
      <c r="V1213" s="547">
        <v>2002.04</v>
      </c>
      <c r="W1213" s="658">
        <v>340</v>
      </c>
      <c r="X1213" s="547" t="s">
        <v>2199</v>
      </c>
      <c r="Y1213" s="547" t="s">
        <v>1533</v>
      </c>
      <c r="Z1213" s="547" t="s">
        <v>6591</v>
      </c>
      <c r="AA1213" s="547" t="s">
        <v>6577</v>
      </c>
      <c r="AB1213" s="550" t="s">
        <v>1934</v>
      </c>
    </row>
    <row r="1214" spans="1:28" ht="24" customHeight="1">
      <c r="A1214" s="606"/>
      <c r="B1214" s="544" t="s">
        <v>675</v>
      </c>
      <c r="C1214" s="551" t="s">
        <v>6593</v>
      </c>
      <c r="D1214" s="553" t="s">
        <v>6594</v>
      </c>
      <c r="E1214" s="563">
        <f t="shared" si="81"/>
        <v>48</v>
      </c>
      <c r="F1214" s="563">
        <v>0</v>
      </c>
      <c r="G1214" s="563">
        <v>0</v>
      </c>
      <c r="H1214" s="563">
        <v>48</v>
      </c>
      <c r="I1214" s="563">
        <f t="shared" si="82"/>
        <v>38</v>
      </c>
      <c r="J1214" s="563">
        <v>0</v>
      </c>
      <c r="K1214" s="563">
        <v>0</v>
      </c>
      <c r="L1214" s="741">
        <v>38</v>
      </c>
      <c r="M1214" s="965">
        <v>0</v>
      </c>
      <c r="N1214" s="653">
        <v>0</v>
      </c>
      <c r="O1214" s="746" t="s">
        <v>3447</v>
      </c>
      <c r="P1214" s="547" t="s">
        <v>1588</v>
      </c>
      <c r="Q1214" s="863">
        <v>0</v>
      </c>
      <c r="R1214" s="863">
        <v>0</v>
      </c>
      <c r="S1214" s="863">
        <v>0</v>
      </c>
      <c r="T1214" s="863">
        <v>0</v>
      </c>
      <c r="U1214" s="547" t="s">
        <v>6575</v>
      </c>
      <c r="V1214" s="547">
        <v>2004.03</v>
      </c>
      <c r="W1214" s="658">
        <v>517</v>
      </c>
      <c r="X1214" s="547" t="s">
        <v>2199</v>
      </c>
      <c r="Y1214" s="547" t="s">
        <v>1533</v>
      </c>
      <c r="Z1214" s="547" t="s">
        <v>6591</v>
      </c>
      <c r="AA1214" s="547" t="s">
        <v>6577</v>
      </c>
      <c r="AB1214" s="550" t="s">
        <v>1934</v>
      </c>
    </row>
    <row r="1215" spans="1:28" ht="24" customHeight="1">
      <c r="A1215" s="606"/>
      <c r="B1215" s="544" t="s">
        <v>675</v>
      </c>
      <c r="C1215" s="551" t="s">
        <v>6595</v>
      </c>
      <c r="D1215" s="553" t="s">
        <v>6596</v>
      </c>
      <c r="E1215" s="563">
        <f t="shared" si="81"/>
        <v>40</v>
      </c>
      <c r="F1215" s="563">
        <v>0</v>
      </c>
      <c r="G1215" s="563">
        <v>0</v>
      </c>
      <c r="H1215" s="563">
        <v>40</v>
      </c>
      <c r="I1215" s="563">
        <f t="shared" si="82"/>
        <v>40</v>
      </c>
      <c r="J1215" s="563">
        <v>0</v>
      </c>
      <c r="K1215" s="563">
        <v>0</v>
      </c>
      <c r="L1215" s="741">
        <v>40</v>
      </c>
      <c r="M1215" s="965">
        <v>0</v>
      </c>
      <c r="N1215" s="653">
        <v>0</v>
      </c>
      <c r="O1215" s="746" t="s">
        <v>3517</v>
      </c>
      <c r="P1215" s="547" t="s">
        <v>1588</v>
      </c>
      <c r="Q1215" s="863">
        <v>0</v>
      </c>
      <c r="R1215" s="863">
        <v>0</v>
      </c>
      <c r="S1215" s="863">
        <v>0</v>
      </c>
      <c r="T1215" s="863">
        <v>0</v>
      </c>
      <c r="U1215" s="547" t="s">
        <v>6575</v>
      </c>
      <c r="V1215" s="547">
        <v>1996.02</v>
      </c>
      <c r="W1215" s="658">
        <v>210</v>
      </c>
      <c r="X1215" s="547" t="s">
        <v>2199</v>
      </c>
      <c r="Y1215" s="547" t="s">
        <v>1533</v>
      </c>
      <c r="Z1215" s="547" t="s">
        <v>6597</v>
      </c>
      <c r="AA1215" s="547" t="s">
        <v>6577</v>
      </c>
      <c r="AB1215" s="550" t="s">
        <v>1934</v>
      </c>
    </row>
    <row r="1216" spans="1:28" ht="24" customHeight="1">
      <c r="A1216" s="606"/>
      <c r="B1216" s="544" t="s">
        <v>675</v>
      </c>
      <c r="C1216" s="551" t="s">
        <v>6598</v>
      </c>
      <c r="D1216" s="553" t="s">
        <v>6599</v>
      </c>
      <c r="E1216" s="563">
        <v>50</v>
      </c>
      <c r="F1216" s="563">
        <v>0</v>
      </c>
      <c r="G1216" s="563">
        <v>0</v>
      </c>
      <c r="H1216" s="563">
        <v>50</v>
      </c>
      <c r="I1216" s="563">
        <f t="shared" si="82"/>
        <v>44</v>
      </c>
      <c r="J1216" s="563">
        <v>0</v>
      </c>
      <c r="K1216" s="563">
        <v>0</v>
      </c>
      <c r="L1216" s="741">
        <v>44</v>
      </c>
      <c r="M1216" s="965">
        <v>0</v>
      </c>
      <c r="N1216" s="653">
        <v>0</v>
      </c>
      <c r="O1216" s="746" t="s">
        <v>2964</v>
      </c>
      <c r="P1216" s="547" t="s">
        <v>1588</v>
      </c>
      <c r="Q1216" s="863">
        <v>0</v>
      </c>
      <c r="R1216" s="863">
        <v>0</v>
      </c>
      <c r="S1216" s="863">
        <v>0</v>
      </c>
      <c r="T1216" s="863">
        <v>0</v>
      </c>
      <c r="U1216" s="547" t="s">
        <v>6575</v>
      </c>
      <c r="V1216" s="547">
        <v>2001.04</v>
      </c>
      <c r="W1216" s="658">
        <v>351</v>
      </c>
      <c r="X1216" s="547" t="s">
        <v>2199</v>
      </c>
      <c r="Y1216" s="547" t="s">
        <v>1533</v>
      </c>
      <c r="Z1216" s="547" t="s">
        <v>6597</v>
      </c>
      <c r="AA1216" s="547" t="s">
        <v>6577</v>
      </c>
      <c r="AB1216" s="550" t="s">
        <v>1934</v>
      </c>
    </row>
    <row r="1217" spans="1:28" ht="24" customHeight="1">
      <c r="A1217" s="606"/>
      <c r="B1217" s="544" t="s">
        <v>675</v>
      </c>
      <c r="C1217" s="551" t="s">
        <v>6600</v>
      </c>
      <c r="D1217" s="553" t="s">
        <v>6601</v>
      </c>
      <c r="E1217" s="563">
        <f t="shared" si="81"/>
        <v>60</v>
      </c>
      <c r="F1217" s="563">
        <v>0</v>
      </c>
      <c r="G1217" s="563">
        <v>0</v>
      </c>
      <c r="H1217" s="563">
        <v>60</v>
      </c>
      <c r="I1217" s="563">
        <f t="shared" si="82"/>
        <v>54</v>
      </c>
      <c r="J1217" s="563">
        <v>0</v>
      </c>
      <c r="K1217" s="563">
        <v>0</v>
      </c>
      <c r="L1217" s="741">
        <v>54</v>
      </c>
      <c r="M1217" s="965">
        <v>0</v>
      </c>
      <c r="N1217" s="653">
        <v>0</v>
      </c>
      <c r="O1217" s="746" t="s">
        <v>2964</v>
      </c>
      <c r="P1217" s="547" t="s">
        <v>1588</v>
      </c>
      <c r="Q1217" s="863">
        <v>0</v>
      </c>
      <c r="R1217" s="863">
        <v>0</v>
      </c>
      <c r="S1217" s="863">
        <v>0</v>
      </c>
      <c r="T1217" s="863">
        <v>0</v>
      </c>
      <c r="U1217" s="547" t="s">
        <v>6575</v>
      </c>
      <c r="V1217" s="547">
        <v>2002.03</v>
      </c>
      <c r="W1217" s="658">
        <v>449</v>
      </c>
      <c r="X1217" s="547" t="s">
        <v>2199</v>
      </c>
      <c r="Y1217" s="547" t="s">
        <v>1533</v>
      </c>
      <c r="Z1217" s="547" t="s">
        <v>6597</v>
      </c>
      <c r="AA1217" s="547" t="s">
        <v>6577</v>
      </c>
      <c r="AB1217" s="550" t="s">
        <v>1934</v>
      </c>
    </row>
    <row r="1218" spans="1:28" ht="24" customHeight="1">
      <c r="A1218" s="606"/>
      <c r="B1218" s="544" t="s">
        <v>675</v>
      </c>
      <c r="C1218" s="551" t="s">
        <v>6602</v>
      </c>
      <c r="D1218" s="553" t="s">
        <v>6603</v>
      </c>
      <c r="E1218" s="563">
        <v>10</v>
      </c>
      <c r="F1218" s="563">
        <v>0</v>
      </c>
      <c r="G1218" s="563">
        <v>0</v>
      </c>
      <c r="H1218" s="563">
        <v>10</v>
      </c>
      <c r="I1218" s="563">
        <f t="shared" si="82"/>
        <v>7</v>
      </c>
      <c r="J1218" s="563">
        <v>0</v>
      </c>
      <c r="K1218" s="563">
        <v>0</v>
      </c>
      <c r="L1218" s="741">
        <v>7</v>
      </c>
      <c r="M1218" s="965">
        <v>0</v>
      </c>
      <c r="N1218" s="653">
        <v>0</v>
      </c>
      <c r="O1218" s="746" t="s">
        <v>2964</v>
      </c>
      <c r="P1218" s="547" t="s">
        <v>1588</v>
      </c>
      <c r="Q1218" s="863">
        <v>0</v>
      </c>
      <c r="R1218" s="863">
        <v>0</v>
      </c>
      <c r="S1218" s="863">
        <v>0</v>
      </c>
      <c r="T1218" s="863">
        <v>0</v>
      </c>
      <c r="U1218" s="547" t="s">
        <v>6575</v>
      </c>
      <c r="V1218" s="547">
        <v>2002.03</v>
      </c>
      <c r="W1218" s="658"/>
      <c r="X1218" s="547" t="s">
        <v>2199</v>
      </c>
      <c r="Y1218" s="547" t="s">
        <v>1533</v>
      </c>
      <c r="Z1218" s="547" t="s">
        <v>6597</v>
      </c>
      <c r="AA1218" s="547" t="s">
        <v>6577</v>
      </c>
      <c r="AB1218" s="550" t="s">
        <v>1934</v>
      </c>
    </row>
    <row r="1219" spans="1:28" ht="24" customHeight="1">
      <c r="A1219" s="606"/>
      <c r="B1219" s="544" t="s">
        <v>675</v>
      </c>
      <c r="C1219" s="551" t="s">
        <v>6604</v>
      </c>
      <c r="D1219" s="553" t="s">
        <v>6605</v>
      </c>
      <c r="E1219" s="563">
        <v>60</v>
      </c>
      <c r="F1219" s="563">
        <v>0</v>
      </c>
      <c r="G1219" s="563">
        <v>0</v>
      </c>
      <c r="H1219" s="563">
        <v>60</v>
      </c>
      <c r="I1219" s="563">
        <f t="shared" si="82"/>
        <v>35</v>
      </c>
      <c r="J1219" s="563">
        <v>0</v>
      </c>
      <c r="K1219" s="563">
        <v>0</v>
      </c>
      <c r="L1219" s="741">
        <v>35</v>
      </c>
      <c r="M1219" s="965">
        <v>0</v>
      </c>
      <c r="N1219" s="653">
        <v>0</v>
      </c>
      <c r="O1219" s="746" t="s">
        <v>6574</v>
      </c>
      <c r="P1219" s="547" t="s">
        <v>1588</v>
      </c>
      <c r="Q1219" s="863">
        <v>0</v>
      </c>
      <c r="R1219" s="863">
        <v>0</v>
      </c>
      <c r="S1219" s="863">
        <v>0</v>
      </c>
      <c r="T1219" s="863">
        <v>0</v>
      </c>
      <c r="U1219" s="547" t="s">
        <v>6575</v>
      </c>
      <c r="V1219" s="547">
        <v>2000.03</v>
      </c>
      <c r="W1219" s="658">
        <v>280</v>
      </c>
      <c r="X1219" s="547" t="s">
        <v>2199</v>
      </c>
      <c r="Y1219" s="547" t="s">
        <v>1533</v>
      </c>
      <c r="Z1219" s="547" t="s">
        <v>1686</v>
      </c>
      <c r="AA1219" s="547" t="s">
        <v>6577</v>
      </c>
      <c r="AB1219" s="550" t="s">
        <v>1934</v>
      </c>
    </row>
    <row r="1220" spans="1:28" ht="24" customHeight="1">
      <c r="A1220" s="606"/>
      <c r="B1220" s="544" t="s">
        <v>675</v>
      </c>
      <c r="C1220" s="551" t="s">
        <v>6606</v>
      </c>
      <c r="D1220" s="553" t="s">
        <v>6607</v>
      </c>
      <c r="E1220" s="563">
        <v>75</v>
      </c>
      <c r="F1220" s="563">
        <v>0</v>
      </c>
      <c r="G1220" s="563">
        <v>0</v>
      </c>
      <c r="H1220" s="563">
        <v>75</v>
      </c>
      <c r="I1220" s="563">
        <f t="shared" si="82"/>
        <v>68</v>
      </c>
      <c r="J1220" s="563">
        <v>0</v>
      </c>
      <c r="K1220" s="563">
        <v>0</v>
      </c>
      <c r="L1220" s="741">
        <v>68</v>
      </c>
      <c r="M1220" s="965">
        <v>0</v>
      </c>
      <c r="N1220" s="653">
        <v>0</v>
      </c>
      <c r="O1220" s="746" t="s">
        <v>2964</v>
      </c>
      <c r="P1220" s="547" t="s">
        <v>1588</v>
      </c>
      <c r="Q1220" s="863">
        <v>0</v>
      </c>
      <c r="R1220" s="863">
        <v>0</v>
      </c>
      <c r="S1220" s="863">
        <v>0</v>
      </c>
      <c r="T1220" s="863">
        <v>0</v>
      </c>
      <c r="U1220" s="547" t="s">
        <v>6575</v>
      </c>
      <c r="V1220" s="547">
        <v>2001.03</v>
      </c>
      <c r="W1220" s="658">
        <v>478</v>
      </c>
      <c r="X1220" s="547" t="s">
        <v>2199</v>
      </c>
      <c r="Y1220" s="547" t="s">
        <v>1533</v>
      </c>
      <c r="Z1220" s="547" t="s">
        <v>1686</v>
      </c>
      <c r="AA1220" s="547" t="s">
        <v>6577</v>
      </c>
      <c r="AB1220" s="550" t="s">
        <v>1934</v>
      </c>
    </row>
    <row r="1221" spans="1:28" ht="24" customHeight="1">
      <c r="A1221" s="606"/>
      <c r="B1221" s="544" t="s">
        <v>675</v>
      </c>
      <c r="C1221" s="551" t="s">
        <v>6608</v>
      </c>
      <c r="D1221" s="553" t="s">
        <v>6609</v>
      </c>
      <c r="E1221" s="563">
        <v>25</v>
      </c>
      <c r="F1221" s="563">
        <v>0</v>
      </c>
      <c r="G1221" s="563">
        <v>0</v>
      </c>
      <c r="H1221" s="563">
        <v>25</v>
      </c>
      <c r="I1221" s="563">
        <f t="shared" si="82"/>
        <v>20</v>
      </c>
      <c r="J1221" s="563">
        <v>0</v>
      </c>
      <c r="K1221" s="563">
        <v>0</v>
      </c>
      <c r="L1221" s="741">
        <v>20</v>
      </c>
      <c r="M1221" s="965">
        <v>0</v>
      </c>
      <c r="N1221" s="653">
        <v>0</v>
      </c>
      <c r="O1221" s="746" t="s">
        <v>2964</v>
      </c>
      <c r="P1221" s="547" t="s">
        <v>1588</v>
      </c>
      <c r="Q1221" s="863">
        <v>0</v>
      </c>
      <c r="R1221" s="863">
        <v>0</v>
      </c>
      <c r="S1221" s="863">
        <v>0</v>
      </c>
      <c r="T1221" s="863">
        <v>0</v>
      </c>
      <c r="U1221" s="547" t="s">
        <v>6575</v>
      </c>
      <c r="V1221" s="547">
        <v>2001.03</v>
      </c>
      <c r="W1221" s="658"/>
      <c r="X1221" s="547" t="s">
        <v>2199</v>
      </c>
      <c r="Y1221" s="547" t="s">
        <v>1533</v>
      </c>
      <c r="Z1221" s="547" t="s">
        <v>1686</v>
      </c>
      <c r="AA1221" s="547" t="s">
        <v>6577</v>
      </c>
      <c r="AB1221" s="550" t="s">
        <v>1934</v>
      </c>
    </row>
    <row r="1222" spans="1:28" ht="24" customHeight="1">
      <c r="A1222" s="606"/>
      <c r="B1222" s="544" t="s">
        <v>675</v>
      </c>
      <c r="C1222" s="551" t="s">
        <v>6610</v>
      </c>
      <c r="D1222" s="553" t="s">
        <v>6611</v>
      </c>
      <c r="E1222" s="563">
        <v>60</v>
      </c>
      <c r="F1222" s="563">
        <v>0</v>
      </c>
      <c r="G1222" s="563">
        <v>0</v>
      </c>
      <c r="H1222" s="563">
        <v>60</v>
      </c>
      <c r="I1222" s="563">
        <f t="shared" si="82"/>
        <v>41</v>
      </c>
      <c r="J1222" s="563">
        <v>0</v>
      </c>
      <c r="K1222" s="563">
        <v>0</v>
      </c>
      <c r="L1222" s="741">
        <v>41</v>
      </c>
      <c r="M1222" s="965">
        <v>0</v>
      </c>
      <c r="N1222" s="653">
        <v>0</v>
      </c>
      <c r="O1222" s="746" t="s">
        <v>2964</v>
      </c>
      <c r="P1222" s="547" t="s">
        <v>1588</v>
      </c>
      <c r="Q1222" s="863">
        <v>0</v>
      </c>
      <c r="R1222" s="863">
        <v>0</v>
      </c>
      <c r="S1222" s="863">
        <v>0</v>
      </c>
      <c r="T1222" s="863">
        <v>0</v>
      </c>
      <c r="U1222" s="547" t="s">
        <v>6575</v>
      </c>
      <c r="V1222" s="547">
        <v>2000.03</v>
      </c>
      <c r="W1222" s="658">
        <v>483</v>
      </c>
      <c r="X1222" s="547" t="s">
        <v>2199</v>
      </c>
      <c r="Y1222" s="547" t="s">
        <v>1533</v>
      </c>
      <c r="Z1222" s="547" t="s">
        <v>1686</v>
      </c>
      <c r="AA1222" s="547" t="s">
        <v>6577</v>
      </c>
      <c r="AB1222" s="550" t="s">
        <v>1934</v>
      </c>
    </row>
    <row r="1223" spans="1:28" ht="24" customHeight="1">
      <c r="A1223" s="606"/>
      <c r="B1223" s="544" t="s">
        <v>675</v>
      </c>
      <c r="C1223" s="551" t="s">
        <v>6612</v>
      </c>
      <c r="D1223" s="743" t="s">
        <v>6613</v>
      </c>
      <c r="E1223" s="563">
        <v>50</v>
      </c>
      <c r="F1223" s="563">
        <v>0</v>
      </c>
      <c r="G1223" s="563">
        <v>0</v>
      </c>
      <c r="H1223" s="563">
        <v>50</v>
      </c>
      <c r="I1223" s="563">
        <f t="shared" si="82"/>
        <v>38</v>
      </c>
      <c r="J1223" s="563">
        <v>0</v>
      </c>
      <c r="K1223" s="563">
        <v>0</v>
      </c>
      <c r="L1223" s="741">
        <v>38</v>
      </c>
      <c r="M1223" s="965">
        <v>0</v>
      </c>
      <c r="N1223" s="653">
        <v>0</v>
      </c>
      <c r="O1223" s="746" t="s">
        <v>3451</v>
      </c>
      <c r="P1223" s="547" t="s">
        <v>1588</v>
      </c>
      <c r="Q1223" s="863">
        <v>0</v>
      </c>
      <c r="R1223" s="863">
        <v>0</v>
      </c>
      <c r="S1223" s="863">
        <v>0</v>
      </c>
      <c r="T1223" s="863">
        <v>0</v>
      </c>
      <c r="U1223" s="547" t="s">
        <v>6575</v>
      </c>
      <c r="V1223" s="547">
        <v>2003.06</v>
      </c>
      <c r="W1223" s="658">
        <v>394</v>
      </c>
      <c r="X1223" s="547" t="s">
        <v>2199</v>
      </c>
      <c r="Y1223" s="547" t="s">
        <v>1533</v>
      </c>
      <c r="Z1223" s="547" t="s">
        <v>1686</v>
      </c>
      <c r="AA1223" s="547" t="s">
        <v>6577</v>
      </c>
      <c r="AB1223" s="550" t="s">
        <v>1934</v>
      </c>
    </row>
    <row r="1224" spans="1:28" ht="24" customHeight="1">
      <c r="A1224" s="606"/>
      <c r="B1224" s="544" t="s">
        <v>675</v>
      </c>
      <c r="C1224" s="551" t="s">
        <v>338</v>
      </c>
      <c r="D1224" s="553" t="s">
        <v>6614</v>
      </c>
      <c r="E1224" s="563">
        <v>45</v>
      </c>
      <c r="F1224" s="563">
        <v>0</v>
      </c>
      <c r="G1224" s="563">
        <v>0</v>
      </c>
      <c r="H1224" s="563">
        <v>45</v>
      </c>
      <c r="I1224" s="563">
        <f t="shared" si="82"/>
        <v>41</v>
      </c>
      <c r="J1224" s="563">
        <v>0</v>
      </c>
      <c r="K1224" s="563">
        <v>0</v>
      </c>
      <c r="L1224" s="741">
        <v>41</v>
      </c>
      <c r="M1224" s="965">
        <v>0</v>
      </c>
      <c r="N1224" s="653">
        <v>0</v>
      </c>
      <c r="O1224" s="746" t="s">
        <v>6615</v>
      </c>
      <c r="P1224" s="547" t="s">
        <v>1588</v>
      </c>
      <c r="Q1224" s="863">
        <v>0</v>
      </c>
      <c r="R1224" s="863">
        <v>0</v>
      </c>
      <c r="S1224" s="863">
        <v>0</v>
      </c>
      <c r="T1224" s="863">
        <v>0</v>
      </c>
      <c r="U1224" s="547" t="s">
        <v>6575</v>
      </c>
      <c r="V1224" s="547">
        <v>2004.04</v>
      </c>
      <c r="W1224" s="658">
        <v>384</v>
      </c>
      <c r="X1224" s="547" t="s">
        <v>2199</v>
      </c>
      <c r="Y1224" s="547" t="s">
        <v>1533</v>
      </c>
      <c r="Z1224" s="547" t="s">
        <v>1686</v>
      </c>
      <c r="AA1224" s="547" t="s">
        <v>6577</v>
      </c>
      <c r="AB1224" s="550" t="s">
        <v>1934</v>
      </c>
    </row>
    <row r="1225" spans="1:28" ht="24" customHeight="1">
      <c r="A1225" s="606"/>
      <c r="B1225" s="544" t="s">
        <v>675</v>
      </c>
      <c r="C1225" s="551" t="s">
        <v>6616</v>
      </c>
      <c r="D1225" s="553" t="s">
        <v>6617</v>
      </c>
      <c r="E1225" s="563">
        <v>50</v>
      </c>
      <c r="F1225" s="563">
        <v>0</v>
      </c>
      <c r="G1225" s="563">
        <v>0</v>
      </c>
      <c r="H1225" s="563">
        <v>50</v>
      </c>
      <c r="I1225" s="563">
        <f t="shared" si="82"/>
        <v>25</v>
      </c>
      <c r="J1225" s="563">
        <v>0</v>
      </c>
      <c r="K1225" s="563">
        <v>0</v>
      </c>
      <c r="L1225" s="741">
        <v>25</v>
      </c>
      <c r="M1225" s="965">
        <v>0</v>
      </c>
      <c r="N1225" s="653">
        <v>0</v>
      </c>
      <c r="O1225" s="746" t="s">
        <v>6587</v>
      </c>
      <c r="P1225" s="547" t="s">
        <v>1588</v>
      </c>
      <c r="Q1225" s="863">
        <v>0</v>
      </c>
      <c r="R1225" s="863">
        <v>0</v>
      </c>
      <c r="S1225" s="863">
        <v>0</v>
      </c>
      <c r="T1225" s="863">
        <v>0</v>
      </c>
      <c r="U1225" s="547" t="s">
        <v>6575</v>
      </c>
      <c r="V1225" s="547">
        <v>2006.04</v>
      </c>
      <c r="W1225" s="658">
        <v>141</v>
      </c>
      <c r="X1225" s="547" t="s">
        <v>1532</v>
      </c>
      <c r="Y1225" s="547" t="s">
        <v>3336</v>
      </c>
      <c r="Z1225" s="547" t="s">
        <v>6618</v>
      </c>
      <c r="AA1225" s="547" t="s">
        <v>6577</v>
      </c>
      <c r="AB1225" s="550" t="s">
        <v>1934</v>
      </c>
    </row>
    <row r="1226" spans="1:28" ht="24" customHeight="1">
      <c r="A1226" s="602"/>
      <c r="B1226" s="544" t="s">
        <v>675</v>
      </c>
      <c r="C1226" s="551" t="s">
        <v>6619</v>
      </c>
      <c r="D1226" s="553" t="s">
        <v>6620</v>
      </c>
      <c r="E1226" s="563">
        <v>50</v>
      </c>
      <c r="F1226" s="563">
        <v>0</v>
      </c>
      <c r="G1226" s="563">
        <v>0</v>
      </c>
      <c r="H1226" s="563">
        <v>50</v>
      </c>
      <c r="I1226" s="563">
        <f t="shared" si="82"/>
        <v>25</v>
      </c>
      <c r="J1226" s="563">
        <v>0</v>
      </c>
      <c r="K1226" s="563">
        <v>0</v>
      </c>
      <c r="L1226" s="741">
        <v>25</v>
      </c>
      <c r="M1226" s="965">
        <v>0</v>
      </c>
      <c r="N1226" s="653">
        <v>0</v>
      </c>
      <c r="O1226" s="746" t="s">
        <v>6587</v>
      </c>
      <c r="P1226" s="547" t="s">
        <v>1588</v>
      </c>
      <c r="Q1226" s="863">
        <v>0</v>
      </c>
      <c r="R1226" s="863">
        <v>0</v>
      </c>
      <c r="S1226" s="863">
        <v>0</v>
      </c>
      <c r="T1226" s="863">
        <v>0</v>
      </c>
      <c r="U1226" s="547" t="s">
        <v>6575</v>
      </c>
      <c r="V1226" s="547">
        <v>2006.09</v>
      </c>
      <c r="W1226" s="658">
        <v>159</v>
      </c>
      <c r="X1226" s="547" t="s">
        <v>1532</v>
      </c>
      <c r="Y1226" s="547" t="s">
        <v>3336</v>
      </c>
      <c r="Z1226" s="547" t="s">
        <v>1686</v>
      </c>
      <c r="AA1226" s="547" t="s">
        <v>6577</v>
      </c>
      <c r="AB1226" s="550" t="s">
        <v>1934</v>
      </c>
    </row>
    <row r="1227" spans="1:28" ht="24" customHeight="1">
      <c r="A1227" s="584" t="s">
        <v>1616</v>
      </c>
      <c r="B1227" s="458" t="s">
        <v>6043</v>
      </c>
      <c r="C1227" s="579"/>
      <c r="D1227" s="579"/>
      <c r="E1227" s="498" t="s">
        <v>6233</v>
      </c>
      <c r="F1227" s="498">
        <v>0</v>
      </c>
      <c r="G1227" s="498" t="s">
        <v>6234</v>
      </c>
      <c r="H1227" s="498" t="s">
        <v>6235</v>
      </c>
      <c r="I1227" s="498" t="s">
        <v>6236</v>
      </c>
      <c r="J1227" s="498">
        <v>0</v>
      </c>
      <c r="K1227" s="498" t="s">
        <v>6237</v>
      </c>
      <c r="L1227" s="668" t="s">
        <v>6238</v>
      </c>
      <c r="M1227" s="956"/>
      <c r="N1227" s="498" t="s">
        <v>6239</v>
      </c>
      <c r="O1227" s="669" t="s">
        <v>1588</v>
      </c>
      <c r="P1227" s="463" t="s">
        <v>1588</v>
      </c>
      <c r="Q1227" s="852">
        <f>SUM(Q1228:Q1619)</f>
        <v>448.79999999999995</v>
      </c>
      <c r="R1227" s="852">
        <f>SUM(R1228:R1619)</f>
        <v>307.7</v>
      </c>
      <c r="S1227" s="852">
        <f>SUM(S1228:S1619)</f>
        <v>75</v>
      </c>
      <c r="T1227" s="852">
        <f>SUM(T1228:T1619)</f>
        <v>0</v>
      </c>
      <c r="U1227" s="463"/>
      <c r="V1227" s="463"/>
      <c r="W1227" s="498">
        <f>SUM(W1228:W1619)</f>
        <v>776958</v>
      </c>
      <c r="X1227" s="463"/>
      <c r="Y1227" s="463"/>
      <c r="Z1227" s="463"/>
      <c r="AA1227" s="463"/>
      <c r="AB1227" s="459"/>
    </row>
    <row r="1228" spans="1:28" ht="24" customHeight="1">
      <c r="A1228" s="605" t="s">
        <v>1890</v>
      </c>
      <c r="B1228" s="544" t="s">
        <v>6621</v>
      </c>
      <c r="C1228" s="551" t="s">
        <v>2313</v>
      </c>
      <c r="D1228" s="553" t="s">
        <v>6622</v>
      </c>
      <c r="E1228" s="563">
        <f t="shared" ref="E1228:E1233" si="83">F1228+G1228+H1228</f>
        <v>7000</v>
      </c>
      <c r="F1228" s="563">
        <v>0</v>
      </c>
      <c r="G1228" s="563">
        <v>0</v>
      </c>
      <c r="H1228" s="563">
        <v>7000</v>
      </c>
      <c r="I1228" s="563">
        <f t="shared" ref="I1228:I1233" si="84">J1228+K1228+L1228</f>
        <v>6452</v>
      </c>
      <c r="J1228" s="563">
        <v>0</v>
      </c>
      <c r="K1228" s="563">
        <v>0</v>
      </c>
      <c r="L1228" s="741">
        <v>6452</v>
      </c>
      <c r="M1228" s="965">
        <v>0.97279411764705892</v>
      </c>
      <c r="N1228" s="653">
        <v>853.59960000000012</v>
      </c>
      <c r="O1228" s="746" t="s">
        <v>3173</v>
      </c>
      <c r="P1228" s="547" t="s">
        <v>1588</v>
      </c>
      <c r="Q1228" s="863">
        <v>67</v>
      </c>
      <c r="R1228" s="863">
        <v>52</v>
      </c>
      <c r="S1228" s="863">
        <v>13</v>
      </c>
      <c r="T1228" s="863">
        <v>0</v>
      </c>
      <c r="U1228" s="547" t="s">
        <v>2314</v>
      </c>
      <c r="V1228" s="548" t="s">
        <v>6623</v>
      </c>
      <c r="W1228" s="658">
        <v>18755</v>
      </c>
      <c r="X1228" s="547" t="s">
        <v>2193</v>
      </c>
      <c r="Y1228" s="547" t="s">
        <v>720</v>
      </c>
      <c r="Z1228" s="547" t="s">
        <v>1591</v>
      </c>
      <c r="AA1228" s="547" t="s">
        <v>1591</v>
      </c>
      <c r="AB1228" s="550" t="s">
        <v>1591</v>
      </c>
    </row>
    <row r="1229" spans="1:28" ht="24" customHeight="1">
      <c r="A1229" s="606"/>
      <c r="B1229" s="544" t="s">
        <v>675</v>
      </c>
      <c r="C1229" s="551" t="s">
        <v>6624</v>
      </c>
      <c r="D1229" s="553" t="s">
        <v>6625</v>
      </c>
      <c r="E1229" s="563">
        <f t="shared" si="83"/>
        <v>70</v>
      </c>
      <c r="F1229" s="563">
        <v>0</v>
      </c>
      <c r="G1229" s="563">
        <v>0</v>
      </c>
      <c r="H1229" s="563">
        <v>70</v>
      </c>
      <c r="I1229" s="563">
        <f t="shared" si="84"/>
        <v>64</v>
      </c>
      <c r="J1229" s="563">
        <v>0</v>
      </c>
      <c r="K1229" s="563">
        <v>0</v>
      </c>
      <c r="L1229" s="741">
        <v>64</v>
      </c>
      <c r="M1229" s="965">
        <v>0.91</v>
      </c>
      <c r="N1229" s="653">
        <v>11</v>
      </c>
      <c r="O1229" s="746" t="s">
        <v>6626</v>
      </c>
      <c r="P1229" s="547" t="s">
        <v>1588</v>
      </c>
      <c r="Q1229" s="863">
        <v>0</v>
      </c>
      <c r="R1229" s="863">
        <v>0</v>
      </c>
      <c r="S1229" s="863">
        <v>0</v>
      </c>
      <c r="T1229" s="863">
        <v>0</v>
      </c>
      <c r="U1229" s="547" t="s">
        <v>2314</v>
      </c>
      <c r="V1229" s="548" t="s">
        <v>6627</v>
      </c>
      <c r="W1229" s="658">
        <v>410</v>
      </c>
      <c r="X1229" s="547" t="s">
        <v>2193</v>
      </c>
      <c r="Y1229" s="547" t="s">
        <v>3161</v>
      </c>
      <c r="Z1229" s="547" t="s">
        <v>6628</v>
      </c>
      <c r="AA1229" s="547" t="s">
        <v>1591</v>
      </c>
      <c r="AB1229" s="550" t="s">
        <v>1591</v>
      </c>
    </row>
    <row r="1230" spans="1:28" ht="24" customHeight="1">
      <c r="A1230" s="606"/>
      <c r="B1230" s="544" t="s">
        <v>675</v>
      </c>
      <c r="C1230" s="551" t="s">
        <v>6629</v>
      </c>
      <c r="D1230" s="553" t="s">
        <v>6630</v>
      </c>
      <c r="E1230" s="563">
        <f t="shared" si="83"/>
        <v>40</v>
      </c>
      <c r="F1230" s="563">
        <v>0</v>
      </c>
      <c r="G1230" s="563">
        <v>0</v>
      </c>
      <c r="H1230" s="563">
        <v>40</v>
      </c>
      <c r="I1230" s="563">
        <f t="shared" si="84"/>
        <v>36</v>
      </c>
      <c r="J1230" s="563">
        <v>0</v>
      </c>
      <c r="K1230" s="563">
        <v>0</v>
      </c>
      <c r="L1230" s="741">
        <v>36</v>
      </c>
      <c r="M1230" s="965">
        <v>0.9</v>
      </c>
      <c r="N1230" s="653">
        <v>4</v>
      </c>
      <c r="O1230" s="746" t="s">
        <v>6631</v>
      </c>
      <c r="P1230" s="547" t="s">
        <v>1588</v>
      </c>
      <c r="Q1230" s="863">
        <v>0</v>
      </c>
      <c r="R1230" s="863">
        <v>0</v>
      </c>
      <c r="S1230" s="863">
        <v>0</v>
      </c>
      <c r="T1230" s="863">
        <v>0</v>
      </c>
      <c r="U1230" s="547" t="s">
        <v>2314</v>
      </c>
      <c r="V1230" s="548" t="s">
        <v>6632</v>
      </c>
      <c r="W1230" s="658">
        <v>300</v>
      </c>
      <c r="X1230" s="547" t="s">
        <v>2193</v>
      </c>
      <c r="Y1230" s="547" t="s">
        <v>3161</v>
      </c>
      <c r="Z1230" s="547" t="s">
        <v>6633</v>
      </c>
      <c r="AA1230" s="547" t="s">
        <v>1591</v>
      </c>
      <c r="AB1230" s="550" t="s">
        <v>1591</v>
      </c>
    </row>
    <row r="1231" spans="1:28" ht="24" customHeight="1">
      <c r="A1231" s="606"/>
      <c r="B1231" s="544" t="s">
        <v>675</v>
      </c>
      <c r="C1231" s="551" t="s">
        <v>6634</v>
      </c>
      <c r="D1231" s="553" t="s">
        <v>6635</v>
      </c>
      <c r="E1231" s="563">
        <f t="shared" si="83"/>
        <v>40</v>
      </c>
      <c r="F1231" s="563">
        <v>0</v>
      </c>
      <c r="G1231" s="563">
        <v>0</v>
      </c>
      <c r="H1231" s="563">
        <v>40</v>
      </c>
      <c r="I1231" s="563">
        <f t="shared" si="84"/>
        <v>35</v>
      </c>
      <c r="J1231" s="563">
        <v>0</v>
      </c>
      <c r="K1231" s="563">
        <v>0</v>
      </c>
      <c r="L1231" s="741">
        <v>35</v>
      </c>
      <c r="M1231" s="965">
        <v>0.88</v>
      </c>
      <c r="N1231" s="653">
        <v>3</v>
      </c>
      <c r="O1231" s="746" t="s">
        <v>6631</v>
      </c>
      <c r="P1231" s="547" t="s">
        <v>1588</v>
      </c>
      <c r="Q1231" s="863">
        <v>0</v>
      </c>
      <c r="R1231" s="863">
        <v>0</v>
      </c>
      <c r="S1231" s="863">
        <v>0</v>
      </c>
      <c r="T1231" s="863">
        <v>0</v>
      </c>
      <c r="U1231" s="547" t="s">
        <v>2314</v>
      </c>
      <c r="V1231" s="548" t="s">
        <v>6632</v>
      </c>
      <c r="W1231" s="658">
        <v>300</v>
      </c>
      <c r="X1231" s="547" t="s">
        <v>2193</v>
      </c>
      <c r="Y1231" s="547" t="s">
        <v>3161</v>
      </c>
      <c r="Z1231" s="547" t="s">
        <v>6633</v>
      </c>
      <c r="AA1231" s="547" t="s">
        <v>1591</v>
      </c>
      <c r="AB1231" s="550" t="s">
        <v>1591</v>
      </c>
    </row>
    <row r="1232" spans="1:28" ht="24" customHeight="1">
      <c r="A1232" s="606"/>
      <c r="B1232" s="544" t="s">
        <v>675</v>
      </c>
      <c r="C1232" s="551" t="s">
        <v>1073</v>
      </c>
      <c r="D1232" s="553" t="s">
        <v>6636</v>
      </c>
      <c r="E1232" s="563">
        <f t="shared" si="83"/>
        <v>50</v>
      </c>
      <c r="F1232" s="563">
        <v>0</v>
      </c>
      <c r="G1232" s="563">
        <v>0</v>
      </c>
      <c r="H1232" s="563">
        <v>50</v>
      </c>
      <c r="I1232" s="563">
        <f t="shared" si="84"/>
        <v>39</v>
      </c>
      <c r="J1232" s="563">
        <v>0</v>
      </c>
      <c r="K1232" s="563">
        <v>0</v>
      </c>
      <c r="L1232" s="741">
        <v>39</v>
      </c>
      <c r="M1232" s="965">
        <v>0.87</v>
      </c>
      <c r="N1232" s="653">
        <v>4</v>
      </c>
      <c r="O1232" s="746" t="s">
        <v>6637</v>
      </c>
      <c r="P1232" s="547" t="s">
        <v>1588</v>
      </c>
      <c r="Q1232" s="863">
        <v>0</v>
      </c>
      <c r="R1232" s="863">
        <v>0</v>
      </c>
      <c r="S1232" s="863">
        <v>0</v>
      </c>
      <c r="T1232" s="863">
        <v>0</v>
      </c>
      <c r="U1232" s="547" t="s">
        <v>2314</v>
      </c>
      <c r="V1232" s="548" t="s">
        <v>2092</v>
      </c>
      <c r="W1232" s="658">
        <v>322</v>
      </c>
      <c r="X1232" s="547" t="s">
        <v>2193</v>
      </c>
      <c r="Y1232" s="547" t="s">
        <v>3161</v>
      </c>
      <c r="Z1232" s="547" t="s">
        <v>6633</v>
      </c>
      <c r="AA1232" s="547" t="s">
        <v>1591</v>
      </c>
      <c r="AB1232" s="550" t="s">
        <v>1591</v>
      </c>
    </row>
    <row r="1233" spans="1:28" ht="24" customHeight="1">
      <c r="A1233" s="606"/>
      <c r="B1233" s="544" t="s">
        <v>675</v>
      </c>
      <c r="C1233" s="551" t="s">
        <v>6638</v>
      </c>
      <c r="D1233" s="553" t="s">
        <v>6639</v>
      </c>
      <c r="E1233" s="563">
        <f t="shared" si="83"/>
        <v>30</v>
      </c>
      <c r="F1233" s="563">
        <v>0</v>
      </c>
      <c r="G1233" s="563">
        <v>0</v>
      </c>
      <c r="H1233" s="563">
        <v>30</v>
      </c>
      <c r="I1233" s="563">
        <f t="shared" si="84"/>
        <v>28</v>
      </c>
      <c r="J1233" s="563">
        <v>0</v>
      </c>
      <c r="K1233" s="563">
        <v>0</v>
      </c>
      <c r="L1233" s="741">
        <v>28</v>
      </c>
      <c r="M1233" s="965">
        <v>0.93</v>
      </c>
      <c r="N1233" s="653">
        <v>5</v>
      </c>
      <c r="O1233" s="746" t="s">
        <v>6631</v>
      </c>
      <c r="P1233" s="547" t="s">
        <v>1588</v>
      </c>
      <c r="Q1233" s="863">
        <v>0</v>
      </c>
      <c r="R1233" s="863">
        <v>0</v>
      </c>
      <c r="S1233" s="863">
        <v>0</v>
      </c>
      <c r="T1233" s="863">
        <v>0</v>
      </c>
      <c r="U1233" s="547" t="s">
        <v>2314</v>
      </c>
      <c r="V1233" s="548" t="s">
        <v>6640</v>
      </c>
      <c r="W1233" s="658">
        <v>299</v>
      </c>
      <c r="X1233" s="547" t="s">
        <v>2193</v>
      </c>
      <c r="Y1233" s="547" t="s">
        <v>3161</v>
      </c>
      <c r="Z1233" s="547" t="s">
        <v>2078</v>
      </c>
      <c r="AA1233" s="547" t="s">
        <v>1703</v>
      </c>
      <c r="AB1233" s="550" t="s">
        <v>1686</v>
      </c>
    </row>
    <row r="1234" spans="1:28" ht="24" customHeight="1">
      <c r="A1234" s="606"/>
      <c r="B1234" s="544" t="s">
        <v>675</v>
      </c>
      <c r="C1234" s="551" t="s">
        <v>6641</v>
      </c>
      <c r="D1234" s="553" t="s">
        <v>6642</v>
      </c>
      <c r="E1234" s="563">
        <f>F1234+G1234+H1234</f>
        <v>40</v>
      </c>
      <c r="F1234" s="563">
        <v>0</v>
      </c>
      <c r="G1234" s="563">
        <v>0</v>
      </c>
      <c r="H1234" s="563">
        <v>40</v>
      </c>
      <c r="I1234" s="563">
        <f>J1234+K1234+L1234</f>
        <v>34</v>
      </c>
      <c r="J1234" s="563">
        <v>0</v>
      </c>
      <c r="K1234" s="563">
        <v>0</v>
      </c>
      <c r="L1234" s="741">
        <v>34</v>
      </c>
      <c r="M1234" s="965">
        <v>0.85</v>
      </c>
      <c r="N1234" s="653">
        <v>3</v>
      </c>
      <c r="O1234" s="746" t="s">
        <v>6643</v>
      </c>
      <c r="P1234" s="547" t="s">
        <v>1588</v>
      </c>
      <c r="Q1234" s="863">
        <v>0</v>
      </c>
      <c r="R1234" s="863">
        <v>0</v>
      </c>
      <c r="S1234" s="863">
        <v>0</v>
      </c>
      <c r="T1234" s="863">
        <v>0</v>
      </c>
      <c r="U1234" s="547" t="s">
        <v>2314</v>
      </c>
      <c r="V1234" s="548" t="s">
        <v>2158</v>
      </c>
      <c r="W1234" s="658">
        <v>180</v>
      </c>
      <c r="X1234" s="547" t="s">
        <v>2193</v>
      </c>
      <c r="Y1234" s="547" t="s">
        <v>3161</v>
      </c>
      <c r="Z1234" s="547" t="s">
        <v>1591</v>
      </c>
      <c r="AA1234" s="547" t="s">
        <v>1591</v>
      </c>
      <c r="AB1234" s="550" t="s">
        <v>1591</v>
      </c>
    </row>
    <row r="1235" spans="1:28" ht="24" customHeight="1">
      <c r="A1235" s="606"/>
      <c r="B1235" s="544" t="s">
        <v>675</v>
      </c>
      <c r="C1235" s="551" t="s">
        <v>6644</v>
      </c>
      <c r="D1235" s="553" t="s">
        <v>6645</v>
      </c>
      <c r="E1235" s="563">
        <f>F1235+G1235+H1235</f>
        <v>45</v>
      </c>
      <c r="F1235" s="563">
        <v>0</v>
      </c>
      <c r="G1235" s="563">
        <v>0</v>
      </c>
      <c r="H1235" s="563">
        <v>45</v>
      </c>
      <c r="I1235" s="563">
        <f>J1235+K1235+L1235</f>
        <v>42</v>
      </c>
      <c r="J1235" s="563">
        <v>0</v>
      </c>
      <c r="K1235" s="563">
        <v>0</v>
      </c>
      <c r="L1235" s="741">
        <v>42</v>
      </c>
      <c r="M1235" s="965">
        <v>0.95</v>
      </c>
      <c r="N1235" s="653">
        <v>4</v>
      </c>
      <c r="O1235" s="746" t="s">
        <v>2211</v>
      </c>
      <c r="P1235" s="547" t="s">
        <v>1588</v>
      </c>
      <c r="Q1235" s="863">
        <v>0</v>
      </c>
      <c r="R1235" s="863">
        <v>0</v>
      </c>
      <c r="S1235" s="863">
        <v>0</v>
      </c>
      <c r="T1235" s="863">
        <v>0</v>
      </c>
      <c r="U1235" s="547" t="s">
        <v>2314</v>
      </c>
      <c r="V1235" s="548" t="s">
        <v>6646</v>
      </c>
      <c r="W1235" s="658">
        <v>1017</v>
      </c>
      <c r="X1235" s="547" t="s">
        <v>2193</v>
      </c>
      <c r="Y1235" s="547" t="s">
        <v>3161</v>
      </c>
      <c r="Z1235" s="547" t="s">
        <v>6647</v>
      </c>
      <c r="AA1235" s="547" t="s">
        <v>1591</v>
      </c>
      <c r="AB1235" s="550" t="s">
        <v>1591</v>
      </c>
    </row>
    <row r="1236" spans="1:28" ht="24" customHeight="1">
      <c r="A1236" s="606"/>
      <c r="B1236" s="544" t="s">
        <v>675</v>
      </c>
      <c r="C1236" s="551" t="s">
        <v>6648</v>
      </c>
      <c r="D1236" s="553" t="s">
        <v>6649</v>
      </c>
      <c r="E1236" s="563">
        <f>F1236+G1236+H1236</f>
        <v>40</v>
      </c>
      <c r="F1236" s="563">
        <v>0</v>
      </c>
      <c r="G1236" s="563">
        <v>0</v>
      </c>
      <c r="H1236" s="563">
        <v>40</v>
      </c>
      <c r="I1236" s="563">
        <f>J1236+K1236+L1236</f>
        <v>36</v>
      </c>
      <c r="J1236" s="563">
        <v>0</v>
      </c>
      <c r="K1236" s="563">
        <v>0</v>
      </c>
      <c r="L1236" s="741">
        <v>36</v>
      </c>
      <c r="M1236" s="965">
        <v>0.9</v>
      </c>
      <c r="N1236" s="653">
        <v>4</v>
      </c>
      <c r="O1236" s="746" t="s">
        <v>6643</v>
      </c>
      <c r="P1236" s="547" t="s">
        <v>1588</v>
      </c>
      <c r="Q1236" s="863">
        <v>0</v>
      </c>
      <c r="R1236" s="863">
        <v>0</v>
      </c>
      <c r="S1236" s="863">
        <v>0</v>
      </c>
      <c r="T1236" s="863">
        <v>0</v>
      </c>
      <c r="U1236" s="547" t="s">
        <v>2314</v>
      </c>
      <c r="V1236" s="548" t="s">
        <v>6650</v>
      </c>
      <c r="W1236" s="658">
        <v>301</v>
      </c>
      <c r="X1236" s="547" t="s">
        <v>2193</v>
      </c>
      <c r="Y1236" s="547" t="s">
        <v>3161</v>
      </c>
      <c r="Z1236" s="547" t="s">
        <v>6651</v>
      </c>
      <c r="AA1236" s="547" t="s">
        <v>1591</v>
      </c>
      <c r="AB1236" s="550" t="s">
        <v>1591</v>
      </c>
    </row>
    <row r="1237" spans="1:28" ht="24" customHeight="1">
      <c r="A1237" s="606"/>
      <c r="B1237" s="544" t="s">
        <v>675</v>
      </c>
      <c r="C1237" s="551" t="s">
        <v>6652</v>
      </c>
      <c r="D1237" s="553" t="s">
        <v>6653</v>
      </c>
      <c r="E1237" s="563">
        <f t="shared" ref="E1237:E1254" si="85">F1237+G1237+H1237</f>
        <v>150</v>
      </c>
      <c r="F1237" s="563">
        <v>0</v>
      </c>
      <c r="G1237" s="563">
        <v>0</v>
      </c>
      <c r="H1237" s="563">
        <v>150</v>
      </c>
      <c r="I1237" s="563">
        <f t="shared" ref="I1237:I1254" si="86">J1237+K1237+L1237</f>
        <v>150</v>
      </c>
      <c r="J1237" s="563">
        <v>0</v>
      </c>
      <c r="K1237" s="563">
        <v>0</v>
      </c>
      <c r="L1237" s="741">
        <v>150</v>
      </c>
      <c r="M1237" s="965">
        <v>0.93</v>
      </c>
      <c r="N1237" s="653">
        <v>27</v>
      </c>
      <c r="O1237" s="746" t="s">
        <v>6626</v>
      </c>
      <c r="P1237" s="547" t="s">
        <v>1588</v>
      </c>
      <c r="Q1237" s="863">
        <v>0</v>
      </c>
      <c r="R1237" s="863">
        <v>0</v>
      </c>
      <c r="S1237" s="863">
        <v>0</v>
      </c>
      <c r="T1237" s="863">
        <v>0</v>
      </c>
      <c r="U1237" s="547" t="s">
        <v>2314</v>
      </c>
      <c r="V1237" s="548" t="s">
        <v>6654</v>
      </c>
      <c r="W1237" s="658">
        <v>400</v>
      </c>
      <c r="X1237" s="547" t="s">
        <v>2193</v>
      </c>
      <c r="Y1237" s="547" t="s">
        <v>3161</v>
      </c>
      <c r="Z1237" s="547" t="s">
        <v>1591</v>
      </c>
      <c r="AA1237" s="547" t="s">
        <v>1591</v>
      </c>
      <c r="AB1237" s="550" t="s">
        <v>1591</v>
      </c>
    </row>
    <row r="1238" spans="1:28" ht="24" customHeight="1">
      <c r="A1238" s="606"/>
      <c r="B1238" s="544" t="s">
        <v>675</v>
      </c>
      <c r="C1238" s="551" t="s">
        <v>6655</v>
      </c>
      <c r="D1238" s="553" t="s">
        <v>6656</v>
      </c>
      <c r="E1238" s="563">
        <f t="shared" si="85"/>
        <v>50</v>
      </c>
      <c r="F1238" s="563">
        <v>0</v>
      </c>
      <c r="G1238" s="563">
        <v>0</v>
      </c>
      <c r="H1238" s="563">
        <v>50</v>
      </c>
      <c r="I1238" s="563">
        <f t="shared" si="86"/>
        <v>45</v>
      </c>
      <c r="J1238" s="563">
        <v>0</v>
      </c>
      <c r="K1238" s="563">
        <v>0</v>
      </c>
      <c r="L1238" s="741">
        <v>45</v>
      </c>
      <c r="M1238" s="965">
        <v>0.9</v>
      </c>
      <c r="N1238" s="653">
        <v>4</v>
      </c>
      <c r="O1238" s="746" t="s">
        <v>6643</v>
      </c>
      <c r="P1238" s="547" t="s">
        <v>1588</v>
      </c>
      <c r="Q1238" s="863">
        <v>0</v>
      </c>
      <c r="R1238" s="863">
        <v>0</v>
      </c>
      <c r="S1238" s="863">
        <v>0</v>
      </c>
      <c r="T1238" s="863">
        <v>0</v>
      </c>
      <c r="U1238" s="547" t="s">
        <v>2314</v>
      </c>
      <c r="V1238" s="548" t="s">
        <v>6657</v>
      </c>
      <c r="W1238" s="658">
        <v>500</v>
      </c>
      <c r="X1238" s="547" t="s">
        <v>2193</v>
      </c>
      <c r="Y1238" s="547" t="s">
        <v>3161</v>
      </c>
      <c r="Z1238" s="547" t="s">
        <v>6658</v>
      </c>
      <c r="AA1238" s="547" t="s">
        <v>1591</v>
      </c>
      <c r="AB1238" s="550" t="s">
        <v>1591</v>
      </c>
    </row>
    <row r="1239" spans="1:28" ht="24" customHeight="1">
      <c r="A1239" s="606"/>
      <c r="B1239" s="544" t="s">
        <v>675</v>
      </c>
      <c r="C1239" s="551" t="s">
        <v>6659</v>
      </c>
      <c r="D1239" s="553" t="s">
        <v>6660</v>
      </c>
      <c r="E1239" s="563">
        <f t="shared" si="85"/>
        <v>40</v>
      </c>
      <c r="F1239" s="563">
        <v>0</v>
      </c>
      <c r="G1239" s="563">
        <v>0</v>
      </c>
      <c r="H1239" s="563">
        <v>40</v>
      </c>
      <c r="I1239" s="563">
        <f t="shared" si="86"/>
        <v>31</v>
      </c>
      <c r="J1239" s="563">
        <v>0</v>
      </c>
      <c r="K1239" s="563">
        <v>0</v>
      </c>
      <c r="L1239" s="741">
        <v>31</v>
      </c>
      <c r="M1239" s="965">
        <v>0.78</v>
      </c>
      <c r="N1239" s="653">
        <v>4</v>
      </c>
      <c r="O1239" s="746" t="s">
        <v>2770</v>
      </c>
      <c r="P1239" s="547" t="s">
        <v>1588</v>
      </c>
      <c r="Q1239" s="863">
        <v>0</v>
      </c>
      <c r="R1239" s="863">
        <v>0</v>
      </c>
      <c r="S1239" s="863">
        <v>0</v>
      </c>
      <c r="T1239" s="863">
        <v>0</v>
      </c>
      <c r="U1239" s="547" t="s">
        <v>2314</v>
      </c>
      <c r="V1239" s="548" t="s">
        <v>6661</v>
      </c>
      <c r="W1239" s="658">
        <v>329</v>
      </c>
      <c r="X1239" s="547" t="s">
        <v>2193</v>
      </c>
      <c r="Y1239" s="547" t="s">
        <v>3161</v>
      </c>
      <c r="Z1239" s="547" t="s">
        <v>6658</v>
      </c>
      <c r="AA1239" s="547" t="s">
        <v>1591</v>
      </c>
      <c r="AB1239" s="550" t="s">
        <v>1591</v>
      </c>
    </row>
    <row r="1240" spans="1:28" ht="24" customHeight="1">
      <c r="A1240" s="606"/>
      <c r="B1240" s="544" t="s">
        <v>675</v>
      </c>
      <c r="C1240" s="551" t="s">
        <v>6662</v>
      </c>
      <c r="D1240" s="553" t="s">
        <v>6663</v>
      </c>
      <c r="E1240" s="563">
        <f t="shared" si="85"/>
        <v>40</v>
      </c>
      <c r="F1240" s="563">
        <v>0</v>
      </c>
      <c r="G1240" s="563">
        <v>0</v>
      </c>
      <c r="H1240" s="563">
        <v>40</v>
      </c>
      <c r="I1240" s="563">
        <f t="shared" si="86"/>
        <v>34</v>
      </c>
      <c r="J1240" s="563">
        <v>0</v>
      </c>
      <c r="K1240" s="563">
        <v>0</v>
      </c>
      <c r="L1240" s="741">
        <v>34</v>
      </c>
      <c r="M1240" s="965">
        <v>0.85</v>
      </c>
      <c r="N1240" s="653">
        <v>5</v>
      </c>
      <c r="O1240" s="746" t="s">
        <v>2197</v>
      </c>
      <c r="P1240" s="547" t="s">
        <v>1588</v>
      </c>
      <c r="Q1240" s="863">
        <v>0</v>
      </c>
      <c r="R1240" s="863">
        <v>0</v>
      </c>
      <c r="S1240" s="863">
        <v>0</v>
      </c>
      <c r="T1240" s="863">
        <v>0</v>
      </c>
      <c r="U1240" s="547" t="s">
        <v>2314</v>
      </c>
      <c r="V1240" s="548" t="s">
        <v>6664</v>
      </c>
      <c r="W1240" s="658">
        <v>437</v>
      </c>
      <c r="X1240" s="547" t="s">
        <v>2193</v>
      </c>
      <c r="Y1240" s="547" t="s">
        <v>3161</v>
      </c>
      <c r="Z1240" s="547" t="s">
        <v>6658</v>
      </c>
      <c r="AA1240" s="547" t="s">
        <v>1591</v>
      </c>
      <c r="AB1240" s="550" t="s">
        <v>1591</v>
      </c>
    </row>
    <row r="1241" spans="1:28" ht="24" customHeight="1">
      <c r="A1241" s="606"/>
      <c r="B1241" s="544" t="s">
        <v>675</v>
      </c>
      <c r="C1241" s="551" t="s">
        <v>6665</v>
      </c>
      <c r="D1241" s="553" t="s">
        <v>6666</v>
      </c>
      <c r="E1241" s="563">
        <f t="shared" si="85"/>
        <v>30</v>
      </c>
      <c r="F1241" s="563">
        <v>0</v>
      </c>
      <c r="G1241" s="563">
        <v>0</v>
      </c>
      <c r="H1241" s="563">
        <v>30</v>
      </c>
      <c r="I1241" s="563">
        <f t="shared" si="86"/>
        <v>26</v>
      </c>
      <c r="J1241" s="563">
        <v>0</v>
      </c>
      <c r="K1241" s="563">
        <v>0</v>
      </c>
      <c r="L1241" s="741">
        <v>26</v>
      </c>
      <c r="M1241" s="965">
        <v>0.87</v>
      </c>
      <c r="N1241" s="653">
        <v>2</v>
      </c>
      <c r="O1241" s="746" t="s">
        <v>6631</v>
      </c>
      <c r="P1241" s="547" t="s">
        <v>1588</v>
      </c>
      <c r="Q1241" s="863">
        <v>0</v>
      </c>
      <c r="R1241" s="863">
        <v>0</v>
      </c>
      <c r="S1241" s="863">
        <v>0</v>
      </c>
      <c r="T1241" s="863">
        <v>0</v>
      </c>
      <c r="U1241" s="547" t="s">
        <v>2314</v>
      </c>
      <c r="V1241" s="548" t="s">
        <v>6640</v>
      </c>
      <c r="W1241" s="658">
        <v>345</v>
      </c>
      <c r="X1241" s="547" t="s">
        <v>2193</v>
      </c>
      <c r="Y1241" s="547" t="s">
        <v>3161</v>
      </c>
      <c r="Z1241" s="547" t="s">
        <v>6667</v>
      </c>
      <c r="AA1241" s="547" t="s">
        <v>1591</v>
      </c>
      <c r="AB1241" s="550" t="s">
        <v>1591</v>
      </c>
    </row>
    <row r="1242" spans="1:28" ht="24" customHeight="1">
      <c r="A1242" s="606"/>
      <c r="B1242" s="544" t="s">
        <v>675</v>
      </c>
      <c r="C1242" s="551" t="s">
        <v>2985</v>
      </c>
      <c r="D1242" s="553" t="s">
        <v>6668</v>
      </c>
      <c r="E1242" s="563">
        <f t="shared" si="85"/>
        <v>30</v>
      </c>
      <c r="F1242" s="563">
        <v>0</v>
      </c>
      <c r="G1242" s="563">
        <v>0</v>
      </c>
      <c r="H1242" s="563">
        <v>30</v>
      </c>
      <c r="I1242" s="563">
        <f t="shared" si="86"/>
        <v>28</v>
      </c>
      <c r="J1242" s="563">
        <v>0</v>
      </c>
      <c r="K1242" s="563">
        <v>0</v>
      </c>
      <c r="L1242" s="741">
        <v>28</v>
      </c>
      <c r="M1242" s="965">
        <v>0.93</v>
      </c>
      <c r="N1242" s="653">
        <v>7</v>
      </c>
      <c r="O1242" s="746" t="s">
        <v>6631</v>
      </c>
      <c r="P1242" s="547" t="s">
        <v>1588</v>
      </c>
      <c r="Q1242" s="863">
        <v>0</v>
      </c>
      <c r="R1242" s="863">
        <v>0</v>
      </c>
      <c r="S1242" s="863">
        <v>0</v>
      </c>
      <c r="T1242" s="863">
        <v>0</v>
      </c>
      <c r="U1242" s="547" t="s">
        <v>2314</v>
      </c>
      <c r="V1242" s="548" t="s">
        <v>6650</v>
      </c>
      <c r="W1242" s="658">
        <v>208</v>
      </c>
      <c r="X1242" s="547" t="s">
        <v>2193</v>
      </c>
      <c r="Y1242" s="547" t="s">
        <v>3161</v>
      </c>
      <c r="Z1242" s="547" t="s">
        <v>6669</v>
      </c>
      <c r="AA1242" s="547" t="s">
        <v>1591</v>
      </c>
      <c r="AB1242" s="550" t="s">
        <v>1591</v>
      </c>
    </row>
    <row r="1243" spans="1:28" ht="24" customHeight="1">
      <c r="A1243" s="606"/>
      <c r="B1243" s="544" t="s">
        <v>675</v>
      </c>
      <c r="C1243" s="551" t="s">
        <v>6670</v>
      </c>
      <c r="D1243" s="553" t="s">
        <v>6671</v>
      </c>
      <c r="E1243" s="563">
        <f t="shared" si="85"/>
        <v>40</v>
      </c>
      <c r="F1243" s="563">
        <v>0</v>
      </c>
      <c r="G1243" s="563">
        <v>0</v>
      </c>
      <c r="H1243" s="563">
        <v>40</v>
      </c>
      <c r="I1243" s="563">
        <f t="shared" si="86"/>
        <v>32</v>
      </c>
      <c r="J1243" s="563">
        <v>0</v>
      </c>
      <c r="K1243" s="563">
        <v>0</v>
      </c>
      <c r="L1243" s="741">
        <v>32</v>
      </c>
      <c r="M1243" s="965">
        <v>0.8</v>
      </c>
      <c r="N1243" s="653">
        <v>3</v>
      </c>
      <c r="O1243" s="746" t="s">
        <v>6672</v>
      </c>
      <c r="P1243" s="547" t="s">
        <v>1588</v>
      </c>
      <c r="Q1243" s="863">
        <v>0</v>
      </c>
      <c r="R1243" s="863">
        <v>0</v>
      </c>
      <c r="S1243" s="863">
        <v>0</v>
      </c>
      <c r="T1243" s="863">
        <v>0</v>
      </c>
      <c r="U1243" s="547" t="s">
        <v>2314</v>
      </c>
      <c r="V1243" s="548" t="s">
        <v>6673</v>
      </c>
      <c r="W1243" s="658">
        <v>398</v>
      </c>
      <c r="X1243" s="547" t="s">
        <v>2193</v>
      </c>
      <c r="Y1243" s="547" t="s">
        <v>3161</v>
      </c>
      <c r="Z1243" s="547" t="s">
        <v>6669</v>
      </c>
      <c r="AA1243" s="547" t="s">
        <v>1591</v>
      </c>
      <c r="AB1243" s="550" t="s">
        <v>1591</v>
      </c>
    </row>
    <row r="1244" spans="1:28" ht="24" customHeight="1">
      <c r="A1244" s="606"/>
      <c r="B1244" s="544" t="s">
        <v>675</v>
      </c>
      <c r="C1244" s="551" t="s">
        <v>2043</v>
      </c>
      <c r="D1244" s="553" t="s">
        <v>6674</v>
      </c>
      <c r="E1244" s="563">
        <f t="shared" si="85"/>
        <v>40</v>
      </c>
      <c r="F1244" s="563">
        <v>0</v>
      </c>
      <c r="G1244" s="563">
        <v>0</v>
      </c>
      <c r="H1244" s="563">
        <v>40</v>
      </c>
      <c r="I1244" s="563">
        <f t="shared" si="86"/>
        <v>36</v>
      </c>
      <c r="J1244" s="563">
        <v>0</v>
      </c>
      <c r="K1244" s="563">
        <v>0</v>
      </c>
      <c r="L1244" s="741">
        <v>36</v>
      </c>
      <c r="M1244" s="965">
        <v>0.9</v>
      </c>
      <c r="N1244" s="653">
        <v>5</v>
      </c>
      <c r="O1244" s="746" t="s">
        <v>2770</v>
      </c>
      <c r="P1244" s="547" t="s">
        <v>1588</v>
      </c>
      <c r="Q1244" s="863">
        <v>0</v>
      </c>
      <c r="R1244" s="863">
        <v>0</v>
      </c>
      <c r="S1244" s="863">
        <v>0</v>
      </c>
      <c r="T1244" s="863">
        <v>0</v>
      </c>
      <c r="U1244" s="547" t="s">
        <v>2314</v>
      </c>
      <c r="V1244" s="548" t="s">
        <v>6673</v>
      </c>
      <c r="W1244" s="658">
        <v>423</v>
      </c>
      <c r="X1244" s="547" t="s">
        <v>2193</v>
      </c>
      <c r="Y1244" s="547" t="s">
        <v>3161</v>
      </c>
      <c r="Z1244" s="547" t="s">
        <v>3070</v>
      </c>
      <c r="AA1244" s="547" t="s">
        <v>1591</v>
      </c>
      <c r="AB1244" s="550" t="s">
        <v>1591</v>
      </c>
    </row>
    <row r="1245" spans="1:28" ht="24" customHeight="1">
      <c r="A1245" s="606"/>
      <c r="B1245" s="544" t="s">
        <v>675</v>
      </c>
      <c r="C1245" s="551" t="s">
        <v>2164</v>
      </c>
      <c r="D1245" s="553" t="s">
        <v>6675</v>
      </c>
      <c r="E1245" s="563">
        <f t="shared" si="85"/>
        <v>40</v>
      </c>
      <c r="F1245" s="563">
        <v>0</v>
      </c>
      <c r="G1245" s="563">
        <v>0</v>
      </c>
      <c r="H1245" s="563">
        <v>40</v>
      </c>
      <c r="I1245" s="563">
        <f t="shared" si="86"/>
        <v>39</v>
      </c>
      <c r="J1245" s="563">
        <v>0</v>
      </c>
      <c r="K1245" s="563">
        <v>0</v>
      </c>
      <c r="L1245" s="741">
        <v>39</v>
      </c>
      <c r="M1245" s="965">
        <v>0.87</v>
      </c>
      <c r="N1245" s="653">
        <v>4</v>
      </c>
      <c r="O1245" s="746" t="s">
        <v>6637</v>
      </c>
      <c r="P1245" s="547" t="s">
        <v>1588</v>
      </c>
      <c r="Q1245" s="863">
        <v>0</v>
      </c>
      <c r="R1245" s="863">
        <v>0</v>
      </c>
      <c r="S1245" s="863">
        <v>0</v>
      </c>
      <c r="T1245" s="863">
        <v>0</v>
      </c>
      <c r="U1245" s="547" t="s">
        <v>2314</v>
      </c>
      <c r="V1245" s="548" t="s">
        <v>6657</v>
      </c>
      <c r="W1245" s="658">
        <v>456</v>
      </c>
      <c r="X1245" s="547" t="s">
        <v>2193</v>
      </c>
      <c r="Y1245" s="547" t="s">
        <v>3161</v>
      </c>
      <c r="Z1245" s="547" t="s">
        <v>3070</v>
      </c>
      <c r="AA1245" s="547" t="s">
        <v>1591</v>
      </c>
      <c r="AB1245" s="550" t="s">
        <v>1591</v>
      </c>
    </row>
    <row r="1246" spans="1:28" ht="24" customHeight="1">
      <c r="A1246" s="606"/>
      <c r="B1246" s="544" t="s">
        <v>675</v>
      </c>
      <c r="C1246" s="551" t="s">
        <v>2105</v>
      </c>
      <c r="D1246" s="553" t="s">
        <v>6676</v>
      </c>
      <c r="E1246" s="563">
        <f t="shared" si="85"/>
        <v>40</v>
      </c>
      <c r="F1246" s="563">
        <v>0</v>
      </c>
      <c r="G1246" s="563">
        <v>0</v>
      </c>
      <c r="H1246" s="563">
        <v>40</v>
      </c>
      <c r="I1246" s="563">
        <f t="shared" si="86"/>
        <v>35</v>
      </c>
      <c r="J1246" s="563">
        <v>0</v>
      </c>
      <c r="K1246" s="563">
        <v>0</v>
      </c>
      <c r="L1246" s="741">
        <v>35</v>
      </c>
      <c r="M1246" s="965">
        <v>0.88</v>
      </c>
      <c r="N1246" s="653">
        <v>6</v>
      </c>
      <c r="O1246" s="746" t="s">
        <v>6637</v>
      </c>
      <c r="P1246" s="547" t="s">
        <v>1588</v>
      </c>
      <c r="Q1246" s="863">
        <v>0</v>
      </c>
      <c r="R1246" s="863">
        <v>0</v>
      </c>
      <c r="S1246" s="863">
        <v>0</v>
      </c>
      <c r="T1246" s="863">
        <v>0</v>
      </c>
      <c r="U1246" s="547" t="s">
        <v>2314</v>
      </c>
      <c r="V1246" s="548" t="s">
        <v>6677</v>
      </c>
      <c r="W1246" s="658">
        <v>143</v>
      </c>
      <c r="X1246" s="547" t="s">
        <v>2193</v>
      </c>
      <c r="Y1246" s="547" t="s">
        <v>3161</v>
      </c>
      <c r="Z1246" s="547" t="s">
        <v>3070</v>
      </c>
      <c r="AA1246" s="547" t="s">
        <v>1591</v>
      </c>
      <c r="AB1246" s="550" t="s">
        <v>1591</v>
      </c>
    </row>
    <row r="1247" spans="1:28" ht="24" customHeight="1">
      <c r="A1247" s="606"/>
      <c r="B1247" s="544" t="s">
        <v>675</v>
      </c>
      <c r="C1247" s="551" t="s">
        <v>4996</v>
      </c>
      <c r="D1247" s="553" t="s">
        <v>6678</v>
      </c>
      <c r="E1247" s="563">
        <f t="shared" si="85"/>
        <v>50</v>
      </c>
      <c r="F1247" s="563">
        <v>0</v>
      </c>
      <c r="G1247" s="563">
        <v>0</v>
      </c>
      <c r="H1247" s="563">
        <v>50</v>
      </c>
      <c r="I1247" s="563">
        <f t="shared" si="86"/>
        <v>44</v>
      </c>
      <c r="J1247" s="563">
        <v>0</v>
      </c>
      <c r="K1247" s="563">
        <v>0</v>
      </c>
      <c r="L1247" s="741">
        <v>44</v>
      </c>
      <c r="M1247" s="965">
        <v>0.88</v>
      </c>
      <c r="N1247" s="653">
        <v>4</v>
      </c>
      <c r="O1247" s="746" t="s">
        <v>6679</v>
      </c>
      <c r="P1247" s="547" t="s">
        <v>1588</v>
      </c>
      <c r="Q1247" s="863">
        <v>0</v>
      </c>
      <c r="R1247" s="863">
        <v>0</v>
      </c>
      <c r="S1247" s="863">
        <v>0</v>
      </c>
      <c r="T1247" s="863">
        <v>0</v>
      </c>
      <c r="U1247" s="547" t="s">
        <v>2314</v>
      </c>
      <c r="V1247" s="548" t="s">
        <v>6680</v>
      </c>
      <c r="W1247" s="658">
        <v>484</v>
      </c>
      <c r="X1247" s="547" t="s">
        <v>2193</v>
      </c>
      <c r="Y1247" s="547" t="s">
        <v>3161</v>
      </c>
      <c r="Z1247" s="547" t="s">
        <v>3070</v>
      </c>
      <c r="AA1247" s="547" t="s">
        <v>1591</v>
      </c>
      <c r="AB1247" s="550" t="s">
        <v>1591</v>
      </c>
    </row>
    <row r="1248" spans="1:28" ht="24" customHeight="1">
      <c r="A1248" s="606"/>
      <c r="B1248" s="544" t="s">
        <v>675</v>
      </c>
      <c r="C1248" s="551" t="s">
        <v>6681</v>
      </c>
      <c r="D1248" s="553" t="s">
        <v>6682</v>
      </c>
      <c r="E1248" s="563">
        <f t="shared" si="85"/>
        <v>45</v>
      </c>
      <c r="F1248" s="563">
        <v>0</v>
      </c>
      <c r="G1248" s="563">
        <v>0</v>
      </c>
      <c r="H1248" s="563">
        <v>45</v>
      </c>
      <c r="I1248" s="563">
        <f t="shared" si="86"/>
        <v>55</v>
      </c>
      <c r="J1248" s="563">
        <v>0</v>
      </c>
      <c r="K1248" s="563">
        <v>0</v>
      </c>
      <c r="L1248" s="741">
        <v>55</v>
      </c>
      <c r="M1248" s="965">
        <v>0.92</v>
      </c>
      <c r="N1248" s="653">
        <v>9</v>
      </c>
      <c r="O1248" s="746" t="s">
        <v>6626</v>
      </c>
      <c r="P1248" s="547" t="s">
        <v>1588</v>
      </c>
      <c r="Q1248" s="863">
        <v>0</v>
      </c>
      <c r="R1248" s="863">
        <v>0</v>
      </c>
      <c r="S1248" s="863">
        <v>0</v>
      </c>
      <c r="T1248" s="863">
        <v>0</v>
      </c>
      <c r="U1248" s="547" t="s">
        <v>2314</v>
      </c>
      <c r="V1248" s="548" t="s">
        <v>6683</v>
      </c>
      <c r="W1248" s="658">
        <v>249</v>
      </c>
      <c r="X1248" s="547" t="s">
        <v>2193</v>
      </c>
      <c r="Y1248" s="547" t="s">
        <v>3161</v>
      </c>
      <c r="Z1248" s="547" t="s">
        <v>6684</v>
      </c>
      <c r="AA1248" s="547" t="s">
        <v>1591</v>
      </c>
      <c r="AB1248" s="550" t="s">
        <v>1591</v>
      </c>
    </row>
    <row r="1249" spans="1:28" ht="24" customHeight="1">
      <c r="A1249" s="606"/>
      <c r="B1249" s="544" t="s">
        <v>675</v>
      </c>
      <c r="C1249" s="551" t="s">
        <v>6685</v>
      </c>
      <c r="D1249" s="553" t="s">
        <v>6686</v>
      </c>
      <c r="E1249" s="563">
        <f t="shared" si="85"/>
        <v>30</v>
      </c>
      <c r="F1249" s="563">
        <v>0</v>
      </c>
      <c r="G1249" s="563">
        <v>0</v>
      </c>
      <c r="H1249" s="563">
        <v>30</v>
      </c>
      <c r="I1249" s="563">
        <f t="shared" si="86"/>
        <v>25</v>
      </c>
      <c r="J1249" s="563">
        <v>0</v>
      </c>
      <c r="K1249" s="563">
        <v>0</v>
      </c>
      <c r="L1249" s="741">
        <v>25</v>
      </c>
      <c r="M1249" s="965">
        <v>0.83</v>
      </c>
      <c r="N1249" s="653">
        <v>2</v>
      </c>
      <c r="O1249" s="746" t="s">
        <v>6643</v>
      </c>
      <c r="P1249" s="547" t="s">
        <v>1588</v>
      </c>
      <c r="Q1249" s="863">
        <v>0</v>
      </c>
      <c r="R1249" s="863">
        <v>0</v>
      </c>
      <c r="S1249" s="863">
        <v>0</v>
      </c>
      <c r="T1249" s="863">
        <v>0</v>
      </c>
      <c r="U1249" s="547" t="s">
        <v>2314</v>
      </c>
      <c r="V1249" s="548" t="s">
        <v>2191</v>
      </c>
      <c r="W1249" s="658">
        <v>188</v>
      </c>
      <c r="X1249" s="547" t="s">
        <v>2193</v>
      </c>
      <c r="Y1249" s="547" t="s">
        <v>3161</v>
      </c>
      <c r="Z1249" s="547" t="s">
        <v>6684</v>
      </c>
      <c r="AA1249" s="547" t="s">
        <v>1591</v>
      </c>
      <c r="AB1249" s="550" t="s">
        <v>1591</v>
      </c>
    </row>
    <row r="1250" spans="1:28" ht="24" customHeight="1">
      <c r="A1250" s="606"/>
      <c r="B1250" s="544" t="s">
        <v>675</v>
      </c>
      <c r="C1250" s="551" t="s">
        <v>2157</v>
      </c>
      <c r="D1250" s="553" t="s">
        <v>6687</v>
      </c>
      <c r="E1250" s="563">
        <f t="shared" si="85"/>
        <v>30</v>
      </c>
      <c r="F1250" s="563">
        <v>0</v>
      </c>
      <c r="G1250" s="563">
        <v>0</v>
      </c>
      <c r="H1250" s="563">
        <v>30</v>
      </c>
      <c r="I1250" s="563">
        <f t="shared" si="86"/>
        <v>27</v>
      </c>
      <c r="J1250" s="563">
        <v>0</v>
      </c>
      <c r="K1250" s="563">
        <v>0</v>
      </c>
      <c r="L1250" s="741">
        <v>27</v>
      </c>
      <c r="M1250" s="965">
        <v>0.9</v>
      </c>
      <c r="N1250" s="653">
        <v>2</v>
      </c>
      <c r="O1250" s="746" t="s">
        <v>6688</v>
      </c>
      <c r="P1250" s="547" t="s">
        <v>1588</v>
      </c>
      <c r="Q1250" s="863">
        <v>0</v>
      </c>
      <c r="R1250" s="863">
        <v>0</v>
      </c>
      <c r="S1250" s="863">
        <v>0</v>
      </c>
      <c r="T1250" s="863">
        <v>0</v>
      </c>
      <c r="U1250" s="547" t="s">
        <v>2314</v>
      </c>
      <c r="V1250" s="548" t="s">
        <v>6673</v>
      </c>
      <c r="W1250" s="658">
        <v>341</v>
      </c>
      <c r="X1250" s="547" t="s">
        <v>2193</v>
      </c>
      <c r="Y1250" s="547" t="s">
        <v>3161</v>
      </c>
      <c r="Z1250" s="547" t="s">
        <v>6684</v>
      </c>
      <c r="AA1250" s="547" t="s">
        <v>1591</v>
      </c>
      <c r="AB1250" s="550" t="s">
        <v>1591</v>
      </c>
    </row>
    <row r="1251" spans="1:28" ht="24" customHeight="1">
      <c r="A1251" s="606"/>
      <c r="B1251" s="544" t="s">
        <v>675</v>
      </c>
      <c r="C1251" s="551" t="s">
        <v>6689</v>
      </c>
      <c r="D1251" s="553" t="s">
        <v>6686</v>
      </c>
      <c r="E1251" s="563">
        <f t="shared" si="85"/>
        <v>20</v>
      </c>
      <c r="F1251" s="563">
        <v>0</v>
      </c>
      <c r="G1251" s="563">
        <v>0</v>
      </c>
      <c r="H1251" s="563">
        <v>20</v>
      </c>
      <c r="I1251" s="563">
        <f t="shared" si="86"/>
        <v>15</v>
      </c>
      <c r="J1251" s="563">
        <v>0</v>
      </c>
      <c r="K1251" s="563">
        <v>0</v>
      </c>
      <c r="L1251" s="741">
        <v>15</v>
      </c>
      <c r="M1251" s="965">
        <v>0.75</v>
      </c>
      <c r="N1251" s="653">
        <v>2</v>
      </c>
      <c r="O1251" s="746" t="s">
        <v>6688</v>
      </c>
      <c r="P1251" s="547" t="s">
        <v>1588</v>
      </c>
      <c r="Q1251" s="863">
        <v>0</v>
      </c>
      <c r="R1251" s="863">
        <v>0</v>
      </c>
      <c r="S1251" s="863">
        <v>0</v>
      </c>
      <c r="T1251" s="863">
        <v>0</v>
      </c>
      <c r="U1251" s="547" t="s">
        <v>2314</v>
      </c>
      <c r="V1251" s="548" t="s">
        <v>6690</v>
      </c>
      <c r="W1251" s="658">
        <v>258</v>
      </c>
      <c r="X1251" s="547" t="s">
        <v>2193</v>
      </c>
      <c r="Y1251" s="547" t="s">
        <v>3161</v>
      </c>
      <c r="Z1251" s="547" t="s">
        <v>6684</v>
      </c>
      <c r="AA1251" s="547" t="s">
        <v>1591</v>
      </c>
      <c r="AB1251" s="550" t="s">
        <v>1591</v>
      </c>
    </row>
    <row r="1252" spans="1:28" ht="24" customHeight="1">
      <c r="A1252" s="606"/>
      <c r="B1252" s="544" t="s">
        <v>675</v>
      </c>
      <c r="C1252" s="551" t="s">
        <v>6691</v>
      </c>
      <c r="D1252" s="553" t="s">
        <v>6692</v>
      </c>
      <c r="E1252" s="563">
        <f t="shared" si="85"/>
        <v>40</v>
      </c>
      <c r="F1252" s="563">
        <v>0</v>
      </c>
      <c r="G1252" s="563">
        <v>0</v>
      </c>
      <c r="H1252" s="563">
        <v>40</v>
      </c>
      <c r="I1252" s="563">
        <f t="shared" si="86"/>
        <v>37</v>
      </c>
      <c r="J1252" s="563">
        <v>0</v>
      </c>
      <c r="K1252" s="563">
        <v>0</v>
      </c>
      <c r="L1252" s="741">
        <v>37</v>
      </c>
      <c r="M1252" s="965">
        <v>0.93</v>
      </c>
      <c r="N1252" s="653">
        <v>6</v>
      </c>
      <c r="O1252" s="746" t="s">
        <v>6693</v>
      </c>
      <c r="P1252" s="547" t="s">
        <v>1588</v>
      </c>
      <c r="Q1252" s="863">
        <v>0</v>
      </c>
      <c r="R1252" s="863">
        <v>0</v>
      </c>
      <c r="S1252" s="863">
        <v>0</v>
      </c>
      <c r="T1252" s="863">
        <v>0</v>
      </c>
      <c r="U1252" s="547" t="s">
        <v>2314</v>
      </c>
      <c r="V1252" s="548" t="s">
        <v>6694</v>
      </c>
      <c r="W1252" s="658">
        <v>379</v>
      </c>
      <c r="X1252" s="547" t="s">
        <v>2193</v>
      </c>
      <c r="Y1252" s="547" t="s">
        <v>3161</v>
      </c>
      <c r="Z1252" s="547" t="s">
        <v>6684</v>
      </c>
      <c r="AA1252" s="547" t="s">
        <v>1591</v>
      </c>
      <c r="AB1252" s="550" t="s">
        <v>1591</v>
      </c>
    </row>
    <row r="1253" spans="1:28" ht="24" customHeight="1">
      <c r="A1253" s="606"/>
      <c r="B1253" s="544" t="s">
        <v>675</v>
      </c>
      <c r="C1253" s="551" t="s">
        <v>6695</v>
      </c>
      <c r="D1253" s="553" t="s">
        <v>6696</v>
      </c>
      <c r="E1253" s="563">
        <f t="shared" si="85"/>
        <v>90</v>
      </c>
      <c r="F1253" s="563">
        <v>0</v>
      </c>
      <c r="G1253" s="563">
        <v>0</v>
      </c>
      <c r="H1253" s="563">
        <v>90</v>
      </c>
      <c r="I1253" s="563">
        <f t="shared" si="86"/>
        <v>82</v>
      </c>
      <c r="J1253" s="563">
        <v>0</v>
      </c>
      <c r="K1253" s="563">
        <v>0</v>
      </c>
      <c r="L1253" s="741">
        <v>82</v>
      </c>
      <c r="M1253" s="965">
        <v>0.91</v>
      </c>
      <c r="N1253" s="653">
        <v>15</v>
      </c>
      <c r="O1253" s="746" t="s">
        <v>6697</v>
      </c>
      <c r="P1253" s="547" t="s">
        <v>1588</v>
      </c>
      <c r="Q1253" s="863">
        <v>0</v>
      </c>
      <c r="R1253" s="863">
        <v>0</v>
      </c>
      <c r="S1253" s="863">
        <v>0</v>
      </c>
      <c r="T1253" s="863">
        <v>0</v>
      </c>
      <c r="U1253" s="547" t="s">
        <v>2314</v>
      </c>
      <c r="V1253" s="548" t="s">
        <v>6698</v>
      </c>
      <c r="W1253" s="658">
        <v>400</v>
      </c>
      <c r="X1253" s="547" t="s">
        <v>2193</v>
      </c>
      <c r="Y1253" s="547" t="s">
        <v>3161</v>
      </c>
      <c r="Z1253" s="547" t="s">
        <v>6684</v>
      </c>
      <c r="AA1253" s="547" t="s">
        <v>1591</v>
      </c>
      <c r="AB1253" s="550" t="s">
        <v>1591</v>
      </c>
    </row>
    <row r="1254" spans="1:28" ht="24" customHeight="1">
      <c r="A1254" s="606"/>
      <c r="B1254" s="544" t="s">
        <v>675</v>
      </c>
      <c r="C1254" s="551" t="s">
        <v>6699</v>
      </c>
      <c r="D1254" s="553" t="s">
        <v>6700</v>
      </c>
      <c r="E1254" s="563">
        <f t="shared" si="85"/>
        <v>40</v>
      </c>
      <c r="F1254" s="563">
        <v>0</v>
      </c>
      <c r="G1254" s="563">
        <v>0</v>
      </c>
      <c r="H1254" s="563">
        <v>40</v>
      </c>
      <c r="I1254" s="563">
        <f t="shared" si="86"/>
        <v>35</v>
      </c>
      <c r="J1254" s="563">
        <v>0</v>
      </c>
      <c r="K1254" s="563">
        <v>0</v>
      </c>
      <c r="L1254" s="741">
        <v>35</v>
      </c>
      <c r="M1254" s="965">
        <v>0.88</v>
      </c>
      <c r="N1254" s="653">
        <v>6</v>
      </c>
      <c r="O1254" s="746" t="s">
        <v>6631</v>
      </c>
      <c r="P1254" s="547" t="s">
        <v>1588</v>
      </c>
      <c r="Q1254" s="863">
        <v>0</v>
      </c>
      <c r="R1254" s="863">
        <v>0</v>
      </c>
      <c r="S1254" s="863">
        <v>0</v>
      </c>
      <c r="T1254" s="863">
        <v>0</v>
      </c>
      <c r="U1254" s="547" t="s">
        <v>2314</v>
      </c>
      <c r="V1254" s="548" t="s">
        <v>6701</v>
      </c>
      <c r="W1254" s="658">
        <v>251</v>
      </c>
      <c r="X1254" s="547" t="s">
        <v>2193</v>
      </c>
      <c r="Y1254" s="547" t="s">
        <v>3161</v>
      </c>
      <c r="Z1254" s="547" t="s">
        <v>1804</v>
      </c>
      <c r="AA1254" s="547" t="s">
        <v>1591</v>
      </c>
      <c r="AB1254" s="550" t="s">
        <v>1591</v>
      </c>
    </row>
    <row r="1255" spans="1:28" ht="24" customHeight="1">
      <c r="A1255" s="606"/>
      <c r="B1255" s="544" t="s">
        <v>675</v>
      </c>
      <c r="C1255" s="551" t="s">
        <v>319</v>
      </c>
      <c r="D1255" s="553" t="s">
        <v>6702</v>
      </c>
      <c r="E1255" s="563">
        <f>F1255+G1255+H1255</f>
        <v>50</v>
      </c>
      <c r="F1255" s="563">
        <v>0</v>
      </c>
      <c r="G1255" s="563">
        <v>0</v>
      </c>
      <c r="H1255" s="563">
        <v>50</v>
      </c>
      <c r="I1255" s="563">
        <f>J1255+K1255+L1255</f>
        <v>42</v>
      </c>
      <c r="J1255" s="563">
        <v>0</v>
      </c>
      <c r="K1255" s="563">
        <v>0</v>
      </c>
      <c r="L1255" s="741">
        <v>42</v>
      </c>
      <c r="M1255" s="965">
        <v>0.84</v>
      </c>
      <c r="N1255" s="653">
        <v>6</v>
      </c>
      <c r="O1255" s="746" t="s">
        <v>6688</v>
      </c>
      <c r="P1255" s="547" t="s">
        <v>1588</v>
      </c>
      <c r="Q1255" s="863">
        <v>0</v>
      </c>
      <c r="R1255" s="863">
        <v>0</v>
      </c>
      <c r="S1255" s="863">
        <v>0</v>
      </c>
      <c r="T1255" s="863">
        <v>0</v>
      </c>
      <c r="U1255" s="547" t="s">
        <v>2314</v>
      </c>
      <c r="V1255" s="548" t="s">
        <v>6703</v>
      </c>
      <c r="W1255" s="658">
        <v>512</v>
      </c>
      <c r="X1255" s="547" t="s">
        <v>2193</v>
      </c>
      <c r="Y1255" s="547" t="s">
        <v>3161</v>
      </c>
      <c r="Z1255" s="547" t="s">
        <v>1804</v>
      </c>
      <c r="AA1255" s="547" t="s">
        <v>1591</v>
      </c>
      <c r="AB1255" s="550" t="s">
        <v>1591</v>
      </c>
    </row>
    <row r="1256" spans="1:28" ht="24" customHeight="1">
      <c r="A1256" s="606"/>
      <c r="B1256" s="544" t="s">
        <v>675</v>
      </c>
      <c r="C1256" s="551" t="s">
        <v>6704</v>
      </c>
      <c r="D1256" s="553" t="s">
        <v>6705</v>
      </c>
      <c r="E1256" s="563">
        <f>F1256+G1256+H1256</f>
        <v>70</v>
      </c>
      <c r="F1256" s="563">
        <v>0</v>
      </c>
      <c r="G1256" s="563">
        <v>0</v>
      </c>
      <c r="H1256" s="563">
        <v>70</v>
      </c>
      <c r="I1256" s="563">
        <f>J1256+K1256+L1256</f>
        <v>62</v>
      </c>
      <c r="J1256" s="563">
        <v>0</v>
      </c>
      <c r="K1256" s="563">
        <v>0</v>
      </c>
      <c r="L1256" s="741">
        <v>62</v>
      </c>
      <c r="M1256" s="965">
        <v>0.89</v>
      </c>
      <c r="N1256" s="653">
        <v>6</v>
      </c>
      <c r="O1256" s="746" t="s">
        <v>6688</v>
      </c>
      <c r="P1256" s="547" t="s">
        <v>1588</v>
      </c>
      <c r="Q1256" s="863">
        <v>0</v>
      </c>
      <c r="R1256" s="863">
        <v>0</v>
      </c>
      <c r="S1256" s="863">
        <v>0</v>
      </c>
      <c r="T1256" s="863">
        <v>0</v>
      </c>
      <c r="U1256" s="547" t="s">
        <v>2314</v>
      </c>
      <c r="V1256" s="548" t="s">
        <v>6706</v>
      </c>
      <c r="W1256" s="658">
        <v>481</v>
      </c>
      <c r="X1256" s="547" t="s">
        <v>2193</v>
      </c>
      <c r="Y1256" s="547" t="s">
        <v>3161</v>
      </c>
      <c r="Z1256" s="547" t="s">
        <v>1804</v>
      </c>
      <c r="AA1256" s="547" t="s">
        <v>1591</v>
      </c>
      <c r="AB1256" s="550" t="s">
        <v>1591</v>
      </c>
    </row>
    <row r="1257" spans="1:28" ht="24" customHeight="1">
      <c r="A1257" s="606"/>
      <c r="B1257" s="544" t="s">
        <v>675</v>
      </c>
      <c r="C1257" s="551" t="s">
        <v>6707</v>
      </c>
      <c r="D1257" s="553" t="s">
        <v>6708</v>
      </c>
      <c r="E1257" s="563">
        <f>F1257+G1257+H1257</f>
        <v>45</v>
      </c>
      <c r="F1257" s="563">
        <v>0</v>
      </c>
      <c r="G1257" s="563">
        <v>0</v>
      </c>
      <c r="H1257" s="563">
        <v>45</v>
      </c>
      <c r="I1257" s="563">
        <f>J1257+K1257+L1257</f>
        <v>36</v>
      </c>
      <c r="J1257" s="563">
        <v>0</v>
      </c>
      <c r="K1257" s="563">
        <v>0</v>
      </c>
      <c r="L1257" s="741">
        <v>36</v>
      </c>
      <c r="M1257" s="965">
        <v>0.8</v>
      </c>
      <c r="N1257" s="653">
        <v>3</v>
      </c>
      <c r="O1257" s="746" t="s">
        <v>6709</v>
      </c>
      <c r="P1257" s="547" t="s">
        <v>1588</v>
      </c>
      <c r="Q1257" s="863">
        <v>0</v>
      </c>
      <c r="R1257" s="863">
        <v>0</v>
      </c>
      <c r="S1257" s="863">
        <v>0</v>
      </c>
      <c r="T1257" s="863">
        <v>0</v>
      </c>
      <c r="U1257" s="547" t="s">
        <v>2314</v>
      </c>
      <c r="V1257" s="548" t="s">
        <v>2092</v>
      </c>
      <c r="W1257" s="658">
        <v>333</v>
      </c>
      <c r="X1257" s="547" t="s">
        <v>2193</v>
      </c>
      <c r="Y1257" s="547" t="s">
        <v>3161</v>
      </c>
      <c r="Z1257" s="547" t="s">
        <v>1804</v>
      </c>
      <c r="AA1257" s="547" t="s">
        <v>1591</v>
      </c>
      <c r="AB1257" s="550" t="s">
        <v>1591</v>
      </c>
    </row>
    <row r="1258" spans="1:28" ht="24" customHeight="1">
      <c r="A1258" s="606"/>
      <c r="B1258" s="544" t="s">
        <v>675</v>
      </c>
      <c r="C1258" s="551" t="s">
        <v>6710</v>
      </c>
      <c r="D1258" s="553" t="s">
        <v>6711</v>
      </c>
      <c r="E1258" s="563">
        <f>F1258+G1258+H1258</f>
        <v>45</v>
      </c>
      <c r="F1258" s="563">
        <v>0</v>
      </c>
      <c r="G1258" s="563">
        <v>0</v>
      </c>
      <c r="H1258" s="563">
        <v>45</v>
      </c>
      <c r="I1258" s="563">
        <f>J1258+K1258+L1258</f>
        <v>41</v>
      </c>
      <c r="J1258" s="563">
        <v>0</v>
      </c>
      <c r="K1258" s="563">
        <v>0</v>
      </c>
      <c r="L1258" s="741">
        <v>41</v>
      </c>
      <c r="M1258" s="965">
        <v>0.92</v>
      </c>
      <c r="N1258" s="653">
        <v>4</v>
      </c>
      <c r="O1258" s="746" t="s">
        <v>6712</v>
      </c>
      <c r="P1258" s="547" t="s">
        <v>1588</v>
      </c>
      <c r="Q1258" s="863">
        <v>0</v>
      </c>
      <c r="R1258" s="863">
        <v>0</v>
      </c>
      <c r="S1258" s="863">
        <v>0</v>
      </c>
      <c r="T1258" s="863">
        <v>0</v>
      </c>
      <c r="U1258" s="547" t="s">
        <v>2314</v>
      </c>
      <c r="V1258" s="548" t="s">
        <v>6713</v>
      </c>
      <c r="W1258" s="658">
        <v>841</v>
      </c>
      <c r="X1258" s="547" t="s">
        <v>2193</v>
      </c>
      <c r="Y1258" s="547" t="s">
        <v>3161</v>
      </c>
      <c r="Z1258" s="547" t="s">
        <v>1591</v>
      </c>
      <c r="AA1258" s="547" t="s">
        <v>1591</v>
      </c>
      <c r="AB1258" s="550" t="s">
        <v>1591</v>
      </c>
    </row>
    <row r="1259" spans="1:28" ht="24" customHeight="1">
      <c r="A1259" s="605" t="s">
        <v>1891</v>
      </c>
      <c r="B1259" s="544" t="s">
        <v>2201</v>
      </c>
      <c r="C1259" s="551" t="s">
        <v>2431</v>
      </c>
      <c r="D1259" s="553" t="s">
        <v>6714</v>
      </c>
      <c r="E1259" s="563">
        <v>4500</v>
      </c>
      <c r="F1259" s="563">
        <v>0</v>
      </c>
      <c r="G1259" s="563">
        <v>0</v>
      </c>
      <c r="H1259" s="563">
        <v>4500</v>
      </c>
      <c r="I1259" s="563">
        <v>2061</v>
      </c>
      <c r="J1259" s="563">
        <v>0</v>
      </c>
      <c r="K1259" s="563">
        <v>0</v>
      </c>
      <c r="L1259" s="741">
        <v>2061</v>
      </c>
      <c r="M1259" s="965">
        <v>0.97244094488188981</v>
      </c>
      <c r="N1259" s="653">
        <v>152.7201</v>
      </c>
      <c r="O1259" s="746" t="s">
        <v>1535</v>
      </c>
      <c r="P1259" s="547" t="s">
        <v>3347</v>
      </c>
      <c r="Q1259" s="863">
        <v>24.5</v>
      </c>
      <c r="R1259" s="863">
        <v>0</v>
      </c>
      <c r="S1259" s="863">
        <v>30</v>
      </c>
      <c r="T1259" s="863">
        <v>0</v>
      </c>
      <c r="U1259" s="547" t="s">
        <v>1531</v>
      </c>
      <c r="V1259" s="548" t="s">
        <v>2098</v>
      </c>
      <c r="W1259" s="658">
        <v>13000</v>
      </c>
      <c r="X1259" s="547" t="s">
        <v>1532</v>
      </c>
      <c r="Y1259" s="547" t="s">
        <v>4034</v>
      </c>
      <c r="Z1259" s="547" t="s">
        <v>1892</v>
      </c>
      <c r="AA1259" s="547" t="s">
        <v>1686</v>
      </c>
      <c r="AB1259" s="550" t="s">
        <v>1686</v>
      </c>
    </row>
    <row r="1260" spans="1:28" ht="24" customHeight="1">
      <c r="A1260" s="606"/>
      <c r="B1260" s="544" t="s">
        <v>2201</v>
      </c>
      <c r="C1260" s="551" t="s">
        <v>486</v>
      </c>
      <c r="D1260" s="553" t="s">
        <v>6715</v>
      </c>
      <c r="E1260" s="563">
        <v>2000</v>
      </c>
      <c r="F1260" s="563">
        <v>0</v>
      </c>
      <c r="G1260" s="563">
        <v>0</v>
      </c>
      <c r="H1260" s="563">
        <v>2000</v>
      </c>
      <c r="I1260" s="563">
        <v>1274</v>
      </c>
      <c r="J1260" s="563">
        <v>0</v>
      </c>
      <c r="K1260" s="563">
        <v>0</v>
      </c>
      <c r="L1260" s="741">
        <v>1274</v>
      </c>
      <c r="M1260" s="965">
        <v>0.94117647058823539</v>
      </c>
      <c r="N1260" s="653">
        <v>83.574400000000011</v>
      </c>
      <c r="O1260" s="746" t="s">
        <v>3347</v>
      </c>
      <c r="P1260" s="547" t="s">
        <v>3538</v>
      </c>
      <c r="Q1260" s="863">
        <v>0</v>
      </c>
      <c r="R1260" s="863">
        <v>0</v>
      </c>
      <c r="S1260" s="863">
        <v>0</v>
      </c>
      <c r="T1260" s="863">
        <v>0</v>
      </c>
      <c r="U1260" s="547" t="s">
        <v>7484</v>
      </c>
      <c r="V1260" s="547" t="s">
        <v>6716</v>
      </c>
      <c r="W1260" s="658">
        <v>7854</v>
      </c>
      <c r="X1260" s="547" t="s">
        <v>6717</v>
      </c>
      <c r="Y1260" s="547" t="s">
        <v>4034</v>
      </c>
      <c r="Z1260" s="547" t="s">
        <v>1706</v>
      </c>
      <c r="AA1260" s="547" t="s">
        <v>1686</v>
      </c>
      <c r="AB1260" s="550" t="s">
        <v>1686</v>
      </c>
    </row>
    <row r="1261" spans="1:28" ht="24" customHeight="1">
      <c r="A1261" s="606"/>
      <c r="B1261" s="544" t="s">
        <v>2201</v>
      </c>
      <c r="C1261" s="551" t="s">
        <v>2126</v>
      </c>
      <c r="D1261" s="553" t="s">
        <v>6718</v>
      </c>
      <c r="E1261" s="563">
        <v>700</v>
      </c>
      <c r="F1261" s="563">
        <v>0</v>
      </c>
      <c r="G1261" s="563">
        <v>0</v>
      </c>
      <c r="H1261" s="563">
        <v>700</v>
      </c>
      <c r="I1261" s="563">
        <v>518</v>
      </c>
      <c r="J1261" s="563">
        <v>0</v>
      </c>
      <c r="K1261" s="563">
        <v>0</v>
      </c>
      <c r="L1261" s="741">
        <v>518</v>
      </c>
      <c r="M1261" s="965">
        <v>0.87675070028011215</v>
      </c>
      <c r="N1261" s="653">
        <v>16.213400000000004</v>
      </c>
      <c r="O1261" s="746" t="s">
        <v>3347</v>
      </c>
      <c r="P1261" s="547" t="s">
        <v>3538</v>
      </c>
      <c r="Q1261" s="863">
        <v>0</v>
      </c>
      <c r="R1261" s="863">
        <v>0</v>
      </c>
      <c r="S1261" s="863">
        <v>0</v>
      </c>
      <c r="T1261" s="863">
        <v>0</v>
      </c>
      <c r="U1261" s="547" t="s">
        <v>7484</v>
      </c>
      <c r="V1261" s="547" t="s">
        <v>6716</v>
      </c>
      <c r="W1261" s="658">
        <v>4401</v>
      </c>
      <c r="X1261" s="547" t="s">
        <v>6717</v>
      </c>
      <c r="Y1261" s="547" t="s">
        <v>4034</v>
      </c>
      <c r="Z1261" s="547" t="s">
        <v>1893</v>
      </c>
      <c r="AA1261" s="547" t="s">
        <v>1705</v>
      </c>
      <c r="AB1261" s="550" t="s">
        <v>1686</v>
      </c>
    </row>
    <row r="1262" spans="1:28" ht="24" customHeight="1">
      <c r="A1262" s="605" t="s">
        <v>1707</v>
      </c>
      <c r="B1262" s="544" t="s">
        <v>2201</v>
      </c>
      <c r="C1262" s="551" t="s">
        <v>2432</v>
      </c>
      <c r="D1262" s="553" t="s">
        <v>6719</v>
      </c>
      <c r="E1262" s="563">
        <f>F1262+G1262+H1262</f>
        <v>5500</v>
      </c>
      <c r="F1262" s="563">
        <v>0</v>
      </c>
      <c r="G1262" s="563">
        <v>0</v>
      </c>
      <c r="H1262" s="563">
        <v>5500</v>
      </c>
      <c r="I1262" s="563">
        <f t="shared" ref="I1262:I1282" si="87">J1262+K1262+L1262</f>
        <v>4599</v>
      </c>
      <c r="J1262" s="563">
        <v>0</v>
      </c>
      <c r="K1262" s="563">
        <v>0</v>
      </c>
      <c r="L1262" s="741">
        <v>4599</v>
      </c>
      <c r="M1262" s="965">
        <v>0.86942675159235661</v>
      </c>
      <c r="N1262" s="653">
        <v>125.5527</v>
      </c>
      <c r="O1262" s="748" t="s">
        <v>6720</v>
      </c>
      <c r="P1262" s="547" t="s">
        <v>6721</v>
      </c>
      <c r="Q1262" s="863">
        <v>42.7</v>
      </c>
      <c r="R1262" s="863">
        <v>0</v>
      </c>
      <c r="S1262" s="863">
        <v>0</v>
      </c>
      <c r="T1262" s="863">
        <v>0</v>
      </c>
      <c r="U1262" s="549" t="s">
        <v>7485</v>
      </c>
      <c r="V1262" s="557" t="s">
        <v>6722</v>
      </c>
      <c r="W1262" s="658">
        <v>26980</v>
      </c>
      <c r="X1262" s="549" t="s">
        <v>1532</v>
      </c>
      <c r="Y1262" s="549" t="s">
        <v>3161</v>
      </c>
      <c r="Z1262" s="549"/>
      <c r="AA1262" s="549" t="s">
        <v>1686</v>
      </c>
      <c r="AB1262" s="558" t="s">
        <v>1686</v>
      </c>
    </row>
    <row r="1263" spans="1:28" ht="24" customHeight="1">
      <c r="A1263" s="606"/>
      <c r="B1263" s="544" t="s">
        <v>2201</v>
      </c>
      <c r="C1263" s="551" t="s">
        <v>266</v>
      </c>
      <c r="D1263" s="553" t="s">
        <v>6723</v>
      </c>
      <c r="E1263" s="563">
        <f>F1263+G1263+H1263</f>
        <v>4000</v>
      </c>
      <c r="F1263" s="563">
        <v>0</v>
      </c>
      <c r="G1263" s="563">
        <v>0</v>
      </c>
      <c r="H1263" s="563">
        <v>4000</v>
      </c>
      <c r="I1263" s="563">
        <f t="shared" si="87"/>
        <v>2422</v>
      </c>
      <c r="J1263" s="563">
        <v>0</v>
      </c>
      <c r="K1263" s="563">
        <v>0</v>
      </c>
      <c r="L1263" s="741">
        <v>2422</v>
      </c>
      <c r="M1263" s="965">
        <v>0.95852017937219725</v>
      </c>
      <c r="N1263" s="653">
        <v>207.08099999999996</v>
      </c>
      <c r="O1263" s="748" t="s">
        <v>1535</v>
      </c>
      <c r="P1263" s="547" t="s">
        <v>3176</v>
      </c>
      <c r="Q1263" s="863">
        <v>0</v>
      </c>
      <c r="R1263" s="863">
        <v>0</v>
      </c>
      <c r="S1263" s="863">
        <v>0</v>
      </c>
      <c r="T1263" s="863">
        <v>0</v>
      </c>
      <c r="U1263" s="549" t="s">
        <v>7485</v>
      </c>
      <c r="V1263" s="557" t="s">
        <v>6724</v>
      </c>
      <c r="W1263" s="658">
        <v>4798</v>
      </c>
      <c r="X1263" s="549" t="s">
        <v>1532</v>
      </c>
      <c r="Y1263" s="549" t="s">
        <v>3161</v>
      </c>
      <c r="Z1263" s="549" t="s">
        <v>1708</v>
      </c>
      <c r="AA1263" s="549" t="s">
        <v>1686</v>
      </c>
      <c r="AB1263" s="558" t="s">
        <v>1686</v>
      </c>
    </row>
    <row r="1264" spans="1:28" ht="24" customHeight="1">
      <c r="A1264" s="606"/>
      <c r="B1264" s="544" t="s">
        <v>675</v>
      </c>
      <c r="C1264" s="551" t="s">
        <v>6725</v>
      </c>
      <c r="D1264" s="553" t="s">
        <v>6726</v>
      </c>
      <c r="E1264" s="563">
        <f t="shared" ref="E1264:E1282" si="88">F1264+G1264+H1264</f>
        <v>32</v>
      </c>
      <c r="F1264" s="563">
        <v>0</v>
      </c>
      <c r="G1264" s="660">
        <v>32</v>
      </c>
      <c r="H1264" s="563">
        <v>0</v>
      </c>
      <c r="I1264" s="563">
        <f t="shared" si="87"/>
        <v>28</v>
      </c>
      <c r="J1264" s="563">
        <v>0</v>
      </c>
      <c r="K1264" s="660">
        <v>28</v>
      </c>
      <c r="L1264" s="741">
        <v>0</v>
      </c>
      <c r="M1264" s="965">
        <v>0.875</v>
      </c>
      <c r="N1264" s="653">
        <v>253.4315</v>
      </c>
      <c r="O1264" s="746" t="s">
        <v>6463</v>
      </c>
      <c r="P1264" s="547" t="s">
        <v>1588</v>
      </c>
      <c r="Q1264" s="863">
        <v>0</v>
      </c>
      <c r="R1264" s="863">
        <v>0</v>
      </c>
      <c r="S1264" s="863">
        <v>0</v>
      </c>
      <c r="T1264" s="863">
        <v>0</v>
      </c>
      <c r="U1264" s="549" t="s">
        <v>7485</v>
      </c>
      <c r="V1264" s="559" t="s">
        <v>6727</v>
      </c>
      <c r="W1264" s="658">
        <v>355</v>
      </c>
      <c r="X1264" s="549" t="s">
        <v>1532</v>
      </c>
      <c r="Y1264" s="549" t="s">
        <v>3161</v>
      </c>
      <c r="Z1264" s="549"/>
      <c r="AA1264" s="549" t="s">
        <v>1686</v>
      </c>
      <c r="AB1264" s="558" t="s">
        <v>1686</v>
      </c>
    </row>
    <row r="1265" spans="1:28" ht="24" customHeight="1">
      <c r="A1265" s="606"/>
      <c r="B1265" s="544" t="s">
        <v>675</v>
      </c>
      <c r="C1265" s="551" t="s">
        <v>6728</v>
      </c>
      <c r="D1265" s="553" t="s">
        <v>6729</v>
      </c>
      <c r="E1265" s="563">
        <f t="shared" si="88"/>
        <v>46</v>
      </c>
      <c r="F1265" s="563">
        <v>0</v>
      </c>
      <c r="G1265" s="660">
        <v>46</v>
      </c>
      <c r="H1265" s="563">
        <v>0</v>
      </c>
      <c r="I1265" s="563">
        <f t="shared" si="87"/>
        <v>39</v>
      </c>
      <c r="J1265" s="563">
        <v>0</v>
      </c>
      <c r="K1265" s="660">
        <v>39</v>
      </c>
      <c r="L1265" s="741">
        <v>0</v>
      </c>
      <c r="M1265" s="965">
        <v>0.84782608695652173</v>
      </c>
      <c r="N1265" s="653">
        <v>245.56095652173914</v>
      </c>
      <c r="O1265" s="746" t="s">
        <v>6730</v>
      </c>
      <c r="P1265" s="547" t="s">
        <v>1588</v>
      </c>
      <c r="Q1265" s="863">
        <v>0</v>
      </c>
      <c r="R1265" s="863">
        <v>0</v>
      </c>
      <c r="S1265" s="863">
        <v>0</v>
      </c>
      <c r="T1265" s="863">
        <v>0</v>
      </c>
      <c r="U1265" s="549" t="s">
        <v>7485</v>
      </c>
      <c r="V1265" s="559" t="s">
        <v>6731</v>
      </c>
      <c r="W1265" s="658">
        <v>355</v>
      </c>
      <c r="X1265" s="549" t="s">
        <v>1532</v>
      </c>
      <c r="Y1265" s="549" t="s">
        <v>3161</v>
      </c>
      <c r="Z1265" s="549"/>
      <c r="AA1265" s="549" t="s">
        <v>1686</v>
      </c>
      <c r="AB1265" s="558" t="s">
        <v>1686</v>
      </c>
    </row>
    <row r="1266" spans="1:28" ht="24" customHeight="1">
      <c r="A1266" s="606"/>
      <c r="B1266" s="544" t="s">
        <v>675</v>
      </c>
      <c r="C1266" s="551" t="s">
        <v>6732</v>
      </c>
      <c r="D1266" s="553" t="s">
        <v>6733</v>
      </c>
      <c r="E1266" s="563">
        <f t="shared" si="88"/>
        <v>30</v>
      </c>
      <c r="F1266" s="563">
        <v>0</v>
      </c>
      <c r="G1266" s="660">
        <v>30</v>
      </c>
      <c r="H1266" s="563">
        <v>0</v>
      </c>
      <c r="I1266" s="563">
        <f t="shared" si="87"/>
        <v>25</v>
      </c>
      <c r="J1266" s="563">
        <v>0</v>
      </c>
      <c r="K1266" s="660">
        <v>25</v>
      </c>
      <c r="L1266" s="741">
        <v>0</v>
      </c>
      <c r="M1266" s="965">
        <v>0.83333333333333348</v>
      </c>
      <c r="N1266" s="653">
        <v>241.36333333333337</v>
      </c>
      <c r="O1266" s="746" t="s">
        <v>6734</v>
      </c>
      <c r="P1266" s="547" t="s">
        <v>1588</v>
      </c>
      <c r="Q1266" s="863">
        <v>0</v>
      </c>
      <c r="R1266" s="863">
        <v>0</v>
      </c>
      <c r="S1266" s="863">
        <v>0</v>
      </c>
      <c r="T1266" s="863">
        <v>0</v>
      </c>
      <c r="U1266" s="549" t="s">
        <v>7485</v>
      </c>
      <c r="V1266" s="559" t="s">
        <v>6735</v>
      </c>
      <c r="W1266" s="658">
        <v>210</v>
      </c>
      <c r="X1266" s="549" t="s">
        <v>1532</v>
      </c>
      <c r="Y1266" s="549" t="s">
        <v>3161</v>
      </c>
      <c r="Z1266" s="549" t="s">
        <v>1708</v>
      </c>
      <c r="AA1266" s="549" t="s">
        <v>1686</v>
      </c>
      <c r="AB1266" s="558" t="s">
        <v>1686</v>
      </c>
    </row>
    <row r="1267" spans="1:28" ht="24" customHeight="1">
      <c r="A1267" s="606"/>
      <c r="B1267" s="544" t="s">
        <v>675</v>
      </c>
      <c r="C1267" s="551" t="s">
        <v>6736</v>
      </c>
      <c r="D1267" s="553" t="s">
        <v>6737</v>
      </c>
      <c r="E1267" s="563">
        <f t="shared" si="88"/>
        <v>30</v>
      </c>
      <c r="F1267" s="563">
        <v>0</v>
      </c>
      <c r="G1267" s="660">
        <v>30</v>
      </c>
      <c r="H1267" s="563">
        <v>0</v>
      </c>
      <c r="I1267" s="563">
        <f t="shared" si="87"/>
        <v>24</v>
      </c>
      <c r="J1267" s="563">
        <v>0</v>
      </c>
      <c r="K1267" s="660">
        <v>24</v>
      </c>
      <c r="L1267" s="741">
        <v>0</v>
      </c>
      <c r="M1267" s="965">
        <v>0.8</v>
      </c>
      <c r="N1267" s="653">
        <v>231.70880000000002</v>
      </c>
      <c r="O1267" s="746" t="s">
        <v>1862</v>
      </c>
      <c r="P1267" s="547" t="s">
        <v>1588</v>
      </c>
      <c r="Q1267" s="863">
        <v>0</v>
      </c>
      <c r="R1267" s="863">
        <v>0</v>
      </c>
      <c r="S1267" s="863">
        <v>0</v>
      </c>
      <c r="T1267" s="863">
        <v>0</v>
      </c>
      <c r="U1267" s="549" t="s">
        <v>7485</v>
      </c>
      <c r="V1267" s="559" t="s">
        <v>6738</v>
      </c>
      <c r="W1267" s="658">
        <v>276</v>
      </c>
      <c r="X1267" s="549" t="s">
        <v>1532</v>
      </c>
      <c r="Y1267" s="549" t="s">
        <v>3161</v>
      </c>
      <c r="Z1267" s="549" t="s">
        <v>1708</v>
      </c>
      <c r="AA1267" s="549" t="s">
        <v>1686</v>
      </c>
      <c r="AB1267" s="558" t="s">
        <v>1686</v>
      </c>
    </row>
    <row r="1268" spans="1:28" ht="24" customHeight="1">
      <c r="A1268" s="606"/>
      <c r="B1268" s="544" t="s">
        <v>675</v>
      </c>
      <c r="C1268" s="551" t="s">
        <v>6739</v>
      </c>
      <c r="D1268" s="553" t="s">
        <v>6740</v>
      </c>
      <c r="E1268" s="563">
        <f t="shared" si="88"/>
        <v>24</v>
      </c>
      <c r="F1268" s="563">
        <v>0</v>
      </c>
      <c r="G1268" s="660">
        <v>24</v>
      </c>
      <c r="H1268" s="563">
        <v>0</v>
      </c>
      <c r="I1268" s="563">
        <f t="shared" si="87"/>
        <v>20</v>
      </c>
      <c r="J1268" s="563">
        <v>0</v>
      </c>
      <c r="K1268" s="660">
        <v>20</v>
      </c>
      <c r="L1268" s="741">
        <v>0</v>
      </c>
      <c r="M1268" s="965">
        <v>0.83333333333333348</v>
      </c>
      <c r="N1268" s="653">
        <v>241.36333333333337</v>
      </c>
      <c r="O1268" s="746" t="s">
        <v>6730</v>
      </c>
      <c r="P1268" s="547" t="s">
        <v>1588</v>
      </c>
      <c r="Q1268" s="863">
        <v>0</v>
      </c>
      <c r="R1268" s="863">
        <v>0</v>
      </c>
      <c r="S1268" s="863">
        <v>0</v>
      </c>
      <c r="T1268" s="863">
        <v>0</v>
      </c>
      <c r="U1268" s="549" t="s">
        <v>7485</v>
      </c>
      <c r="V1268" s="559" t="s">
        <v>6741</v>
      </c>
      <c r="W1268" s="658">
        <v>327</v>
      </c>
      <c r="X1268" s="549" t="s">
        <v>1532</v>
      </c>
      <c r="Y1268" s="549" t="s">
        <v>3161</v>
      </c>
      <c r="Z1268" s="549"/>
      <c r="AA1268" s="549" t="s">
        <v>1686</v>
      </c>
      <c r="AB1268" s="558" t="s">
        <v>1686</v>
      </c>
    </row>
    <row r="1269" spans="1:28" ht="24" customHeight="1">
      <c r="A1269" s="606"/>
      <c r="B1269" s="544" t="s">
        <v>675</v>
      </c>
      <c r="C1269" s="551" t="s">
        <v>6742</v>
      </c>
      <c r="D1269" s="553" t="s">
        <v>6743</v>
      </c>
      <c r="E1269" s="563">
        <f t="shared" si="88"/>
        <v>30</v>
      </c>
      <c r="F1269" s="563">
        <v>0</v>
      </c>
      <c r="G1269" s="660">
        <v>30</v>
      </c>
      <c r="H1269" s="563">
        <v>0</v>
      </c>
      <c r="I1269" s="563">
        <f t="shared" si="87"/>
        <v>22</v>
      </c>
      <c r="J1269" s="563">
        <v>0</v>
      </c>
      <c r="K1269" s="660">
        <v>22</v>
      </c>
      <c r="L1269" s="741">
        <v>0</v>
      </c>
      <c r="M1269" s="965">
        <v>0.73333333333333328</v>
      </c>
      <c r="N1269" s="653">
        <v>212.3997333333333</v>
      </c>
      <c r="O1269" s="746" t="s">
        <v>6744</v>
      </c>
      <c r="P1269" s="547" t="s">
        <v>1588</v>
      </c>
      <c r="Q1269" s="863">
        <v>0</v>
      </c>
      <c r="R1269" s="863">
        <v>0</v>
      </c>
      <c r="S1269" s="863">
        <v>0</v>
      </c>
      <c r="T1269" s="863">
        <v>0</v>
      </c>
      <c r="U1269" s="549" t="s">
        <v>7485</v>
      </c>
      <c r="V1269" s="559" t="s">
        <v>6735</v>
      </c>
      <c r="W1269" s="658">
        <v>226</v>
      </c>
      <c r="X1269" s="549" t="s">
        <v>1532</v>
      </c>
      <c r="Y1269" s="549" t="s">
        <v>3161</v>
      </c>
      <c r="Z1269" s="549"/>
      <c r="AA1269" s="549" t="s">
        <v>1686</v>
      </c>
      <c r="AB1269" s="558" t="s">
        <v>1686</v>
      </c>
    </row>
    <row r="1270" spans="1:28" ht="24" customHeight="1">
      <c r="A1270" s="606"/>
      <c r="B1270" s="544" t="s">
        <v>675</v>
      </c>
      <c r="C1270" s="551" t="s">
        <v>6745</v>
      </c>
      <c r="D1270" s="553" t="s">
        <v>6746</v>
      </c>
      <c r="E1270" s="563">
        <f t="shared" si="88"/>
        <v>85</v>
      </c>
      <c r="F1270" s="563">
        <v>0</v>
      </c>
      <c r="G1270" s="660">
        <v>85</v>
      </c>
      <c r="H1270" s="563">
        <v>0</v>
      </c>
      <c r="I1270" s="563">
        <f t="shared" si="87"/>
        <v>77</v>
      </c>
      <c r="J1270" s="563">
        <v>0</v>
      </c>
      <c r="K1270" s="660">
        <v>77</v>
      </c>
      <c r="L1270" s="741">
        <v>0</v>
      </c>
      <c r="M1270" s="965">
        <v>0.90588235294117647</v>
      </c>
      <c r="N1270" s="653">
        <v>262.37614117647064</v>
      </c>
      <c r="O1270" s="746" t="s">
        <v>6747</v>
      </c>
      <c r="P1270" s="547" t="s">
        <v>1588</v>
      </c>
      <c r="Q1270" s="863">
        <v>0</v>
      </c>
      <c r="R1270" s="863">
        <v>0</v>
      </c>
      <c r="S1270" s="863">
        <v>0</v>
      </c>
      <c r="T1270" s="863">
        <v>0</v>
      </c>
      <c r="U1270" s="549" t="s">
        <v>7485</v>
      </c>
      <c r="V1270" s="559" t="s">
        <v>6748</v>
      </c>
      <c r="W1270" s="658">
        <v>397</v>
      </c>
      <c r="X1270" s="549" t="s">
        <v>1532</v>
      </c>
      <c r="Y1270" s="549" t="s">
        <v>3161</v>
      </c>
      <c r="Z1270" s="549"/>
      <c r="AA1270" s="549" t="s">
        <v>1686</v>
      </c>
      <c r="AB1270" s="558" t="s">
        <v>1686</v>
      </c>
    </row>
    <row r="1271" spans="1:28" ht="24" customHeight="1">
      <c r="A1271" s="606"/>
      <c r="B1271" s="544" t="s">
        <v>675</v>
      </c>
      <c r="C1271" s="551" t="s">
        <v>1915</v>
      </c>
      <c r="D1271" s="553" t="s">
        <v>6749</v>
      </c>
      <c r="E1271" s="563">
        <f t="shared" si="88"/>
        <v>30</v>
      </c>
      <c r="F1271" s="563">
        <v>0</v>
      </c>
      <c r="G1271" s="660">
        <v>30</v>
      </c>
      <c r="H1271" s="563">
        <v>0</v>
      </c>
      <c r="I1271" s="563">
        <f t="shared" si="87"/>
        <v>23</v>
      </c>
      <c r="J1271" s="563">
        <v>0</v>
      </c>
      <c r="K1271" s="660">
        <v>23</v>
      </c>
      <c r="L1271" s="741">
        <v>0</v>
      </c>
      <c r="M1271" s="965">
        <v>0.76666666666666672</v>
      </c>
      <c r="N1271" s="653">
        <v>222.05426666666671</v>
      </c>
      <c r="O1271" s="746" t="s">
        <v>6750</v>
      </c>
      <c r="P1271" s="547" t="s">
        <v>1588</v>
      </c>
      <c r="Q1271" s="863">
        <v>0</v>
      </c>
      <c r="R1271" s="863">
        <v>0</v>
      </c>
      <c r="S1271" s="863">
        <v>0</v>
      </c>
      <c r="T1271" s="863">
        <v>0</v>
      </c>
      <c r="U1271" s="549" t="s">
        <v>7485</v>
      </c>
      <c r="V1271" s="559" t="s">
        <v>6751</v>
      </c>
      <c r="W1271" s="658">
        <v>290</v>
      </c>
      <c r="X1271" s="549" t="s">
        <v>1532</v>
      </c>
      <c r="Y1271" s="549" t="s">
        <v>3161</v>
      </c>
      <c r="Z1271" s="549"/>
      <c r="AA1271" s="549" t="s">
        <v>1686</v>
      </c>
      <c r="AB1271" s="558" t="s">
        <v>1686</v>
      </c>
    </row>
    <row r="1272" spans="1:28" ht="24" customHeight="1">
      <c r="A1272" s="606"/>
      <c r="B1272" s="544" t="s">
        <v>675</v>
      </c>
      <c r="C1272" s="551" t="s">
        <v>2043</v>
      </c>
      <c r="D1272" s="553" t="s">
        <v>6752</v>
      </c>
      <c r="E1272" s="563">
        <f>F1272+G1272+H1272</f>
        <v>28</v>
      </c>
      <c r="F1272" s="563">
        <v>0</v>
      </c>
      <c r="G1272" s="660">
        <v>28</v>
      </c>
      <c r="H1272" s="563">
        <v>0</v>
      </c>
      <c r="I1272" s="563">
        <f>J1272+K1272+L1272</f>
        <v>24</v>
      </c>
      <c r="J1272" s="563">
        <v>0</v>
      </c>
      <c r="K1272" s="660">
        <v>24</v>
      </c>
      <c r="L1272" s="741">
        <v>0</v>
      </c>
      <c r="M1272" s="965">
        <v>0.8571428571428571</v>
      </c>
      <c r="N1272" s="653">
        <v>248.25942857142854</v>
      </c>
      <c r="O1272" s="746" t="s">
        <v>6747</v>
      </c>
      <c r="P1272" s="547" t="s">
        <v>1588</v>
      </c>
      <c r="Q1272" s="863">
        <v>0</v>
      </c>
      <c r="R1272" s="863">
        <v>0</v>
      </c>
      <c r="S1272" s="863">
        <v>0</v>
      </c>
      <c r="T1272" s="863">
        <v>0</v>
      </c>
      <c r="U1272" s="549" t="s">
        <v>7485</v>
      </c>
      <c r="V1272" s="559" t="s">
        <v>6753</v>
      </c>
      <c r="W1272" s="658">
        <v>446</v>
      </c>
      <c r="X1272" s="549" t="s">
        <v>1532</v>
      </c>
      <c r="Y1272" s="549" t="s">
        <v>3161</v>
      </c>
      <c r="Z1272" s="549"/>
      <c r="AA1272" s="549" t="s">
        <v>1686</v>
      </c>
      <c r="AB1272" s="558" t="s">
        <v>1686</v>
      </c>
    </row>
    <row r="1273" spans="1:28" ht="24" customHeight="1">
      <c r="A1273" s="606"/>
      <c r="B1273" s="544" t="s">
        <v>675</v>
      </c>
      <c r="C1273" s="551" t="s">
        <v>6754</v>
      </c>
      <c r="D1273" s="553" t="s">
        <v>6755</v>
      </c>
      <c r="E1273" s="563">
        <f>F1273+G1273+H1273</f>
        <v>15</v>
      </c>
      <c r="F1273" s="563">
        <v>0</v>
      </c>
      <c r="G1273" s="660">
        <v>15</v>
      </c>
      <c r="H1273" s="563">
        <v>0</v>
      </c>
      <c r="I1273" s="563">
        <f>J1273+K1273+L1273</f>
        <v>13</v>
      </c>
      <c r="J1273" s="563">
        <v>0</v>
      </c>
      <c r="K1273" s="660">
        <v>13</v>
      </c>
      <c r="L1273" s="741">
        <v>0</v>
      </c>
      <c r="M1273" s="965">
        <v>0.8666666666666667</v>
      </c>
      <c r="N1273" s="653">
        <v>251.01786666666666</v>
      </c>
      <c r="O1273" s="746" t="s">
        <v>6756</v>
      </c>
      <c r="P1273" s="547" t="s">
        <v>1588</v>
      </c>
      <c r="Q1273" s="863">
        <v>0</v>
      </c>
      <c r="R1273" s="863">
        <v>0</v>
      </c>
      <c r="S1273" s="863">
        <v>0</v>
      </c>
      <c r="T1273" s="863">
        <v>0</v>
      </c>
      <c r="U1273" s="549" t="s">
        <v>7485</v>
      </c>
      <c r="V1273" s="559" t="s">
        <v>2101</v>
      </c>
      <c r="W1273" s="658">
        <v>524</v>
      </c>
      <c r="X1273" s="549" t="s">
        <v>1532</v>
      </c>
      <c r="Y1273" s="549" t="s">
        <v>3161</v>
      </c>
      <c r="Z1273" s="549"/>
      <c r="AA1273" s="549" t="s">
        <v>1686</v>
      </c>
      <c r="AB1273" s="558" t="s">
        <v>1686</v>
      </c>
    </row>
    <row r="1274" spans="1:28" ht="24" customHeight="1">
      <c r="A1274" s="606"/>
      <c r="B1274" s="544" t="s">
        <v>675</v>
      </c>
      <c r="C1274" s="551" t="s">
        <v>2006</v>
      </c>
      <c r="D1274" s="553" t="s">
        <v>6757</v>
      </c>
      <c r="E1274" s="563">
        <f>F1274+G1274+H1274</f>
        <v>28</v>
      </c>
      <c r="F1274" s="563">
        <v>0</v>
      </c>
      <c r="G1274" s="660">
        <v>28</v>
      </c>
      <c r="H1274" s="563">
        <v>0</v>
      </c>
      <c r="I1274" s="563">
        <f>J1274+K1274+L1274</f>
        <v>25</v>
      </c>
      <c r="J1274" s="563">
        <v>0</v>
      </c>
      <c r="K1274" s="660">
        <v>25</v>
      </c>
      <c r="L1274" s="741">
        <v>0</v>
      </c>
      <c r="M1274" s="965">
        <v>0.8928571428571429</v>
      </c>
      <c r="N1274" s="653">
        <v>258.60357142857146</v>
      </c>
      <c r="O1274" s="746" t="s">
        <v>6747</v>
      </c>
      <c r="P1274" s="547" t="s">
        <v>1588</v>
      </c>
      <c r="Q1274" s="863">
        <v>0</v>
      </c>
      <c r="R1274" s="863">
        <v>0</v>
      </c>
      <c r="S1274" s="863">
        <v>0</v>
      </c>
      <c r="T1274" s="863">
        <v>0</v>
      </c>
      <c r="U1274" s="549" t="s">
        <v>7485</v>
      </c>
      <c r="V1274" s="559" t="s">
        <v>6758</v>
      </c>
      <c r="W1274" s="658">
        <v>545</v>
      </c>
      <c r="X1274" s="549" t="s">
        <v>1532</v>
      </c>
      <c r="Y1274" s="549" t="s">
        <v>3161</v>
      </c>
      <c r="Z1274" s="549"/>
      <c r="AA1274" s="549" t="s">
        <v>1686</v>
      </c>
      <c r="AB1274" s="558" t="s">
        <v>1686</v>
      </c>
    </row>
    <row r="1275" spans="1:28" ht="24" customHeight="1">
      <c r="A1275" s="606"/>
      <c r="B1275" s="544" t="s">
        <v>675</v>
      </c>
      <c r="C1275" s="551" t="s">
        <v>6759</v>
      </c>
      <c r="D1275" s="553" t="s">
        <v>6760</v>
      </c>
      <c r="E1275" s="563">
        <f t="shared" si="88"/>
        <v>90</v>
      </c>
      <c r="F1275" s="563">
        <v>0</v>
      </c>
      <c r="G1275" s="660">
        <v>90</v>
      </c>
      <c r="H1275" s="563">
        <v>0</v>
      </c>
      <c r="I1275" s="563">
        <f t="shared" si="87"/>
        <v>84</v>
      </c>
      <c r="J1275" s="563">
        <v>0</v>
      </c>
      <c r="K1275" s="660">
        <v>84</v>
      </c>
      <c r="L1275" s="741">
        <v>0</v>
      </c>
      <c r="M1275" s="965">
        <v>0.93333333333333324</v>
      </c>
      <c r="N1275" s="653">
        <v>270.32693333333327</v>
      </c>
      <c r="O1275" s="746" t="s">
        <v>6761</v>
      </c>
      <c r="P1275" s="547" t="s">
        <v>1588</v>
      </c>
      <c r="Q1275" s="863">
        <v>0</v>
      </c>
      <c r="R1275" s="863">
        <v>0</v>
      </c>
      <c r="S1275" s="863">
        <v>0</v>
      </c>
      <c r="T1275" s="863">
        <v>0</v>
      </c>
      <c r="U1275" s="549" t="s">
        <v>7485</v>
      </c>
      <c r="V1275" s="559" t="s">
        <v>2155</v>
      </c>
      <c r="W1275" s="658">
        <v>514</v>
      </c>
      <c r="X1275" s="549" t="s">
        <v>1532</v>
      </c>
      <c r="Y1275" s="549" t="s">
        <v>3161</v>
      </c>
      <c r="Z1275" s="549" t="s">
        <v>1704</v>
      </c>
      <c r="AA1275" s="549" t="s">
        <v>1589</v>
      </c>
      <c r="AB1275" s="558" t="s">
        <v>1589</v>
      </c>
    </row>
    <row r="1276" spans="1:28" ht="24" customHeight="1">
      <c r="A1276" s="606"/>
      <c r="B1276" s="544" t="s">
        <v>675</v>
      </c>
      <c r="C1276" s="551" t="s">
        <v>6762</v>
      </c>
      <c r="D1276" s="553" t="s">
        <v>6763</v>
      </c>
      <c r="E1276" s="563">
        <f t="shared" si="88"/>
        <v>38</v>
      </c>
      <c r="F1276" s="563">
        <v>0</v>
      </c>
      <c r="G1276" s="660">
        <v>38</v>
      </c>
      <c r="H1276" s="563">
        <v>0</v>
      </c>
      <c r="I1276" s="563">
        <f t="shared" si="87"/>
        <v>25</v>
      </c>
      <c r="J1276" s="563">
        <v>0</v>
      </c>
      <c r="K1276" s="660">
        <v>25</v>
      </c>
      <c r="L1276" s="741">
        <v>0</v>
      </c>
      <c r="M1276" s="965">
        <v>0.65789473684210531</v>
      </c>
      <c r="N1276" s="653">
        <v>190.55</v>
      </c>
      <c r="O1276" s="746" t="s">
        <v>6764</v>
      </c>
      <c r="P1276" s="547" t="s">
        <v>1588</v>
      </c>
      <c r="Q1276" s="863">
        <v>0</v>
      </c>
      <c r="R1276" s="863">
        <v>0</v>
      </c>
      <c r="S1276" s="863">
        <v>0</v>
      </c>
      <c r="T1276" s="863">
        <v>0</v>
      </c>
      <c r="U1276" s="549" t="s">
        <v>7485</v>
      </c>
      <c r="V1276" s="559" t="s">
        <v>6765</v>
      </c>
      <c r="W1276" s="658">
        <v>559</v>
      </c>
      <c r="X1276" s="549" t="s">
        <v>1532</v>
      </c>
      <c r="Y1276" s="549" t="s">
        <v>3161</v>
      </c>
      <c r="Z1276" s="549"/>
      <c r="AA1276" s="549" t="s">
        <v>1686</v>
      </c>
      <c r="AB1276" s="558" t="s">
        <v>1686</v>
      </c>
    </row>
    <row r="1277" spans="1:28" ht="24" customHeight="1">
      <c r="A1277" s="606"/>
      <c r="B1277" s="544" t="s">
        <v>675</v>
      </c>
      <c r="C1277" s="551" t="s">
        <v>6766</v>
      </c>
      <c r="D1277" s="553" t="s">
        <v>6767</v>
      </c>
      <c r="E1277" s="563">
        <f>F1277+G1277+H1277</f>
        <v>44</v>
      </c>
      <c r="F1277" s="563">
        <v>0</v>
      </c>
      <c r="G1277" s="660">
        <v>44</v>
      </c>
      <c r="H1277" s="563">
        <v>0</v>
      </c>
      <c r="I1277" s="563">
        <f>J1277+K1277+L1277</f>
        <v>39</v>
      </c>
      <c r="J1277" s="563">
        <v>0</v>
      </c>
      <c r="K1277" s="660">
        <v>39</v>
      </c>
      <c r="L1277" s="741">
        <v>0</v>
      </c>
      <c r="M1277" s="965">
        <v>0.88636363636363635</v>
      </c>
      <c r="N1277" s="653">
        <v>256.72281818181818</v>
      </c>
      <c r="O1277" s="749" t="s">
        <v>2770</v>
      </c>
      <c r="P1277" s="547" t="s">
        <v>1588</v>
      </c>
      <c r="Q1277" s="863">
        <v>0</v>
      </c>
      <c r="R1277" s="863">
        <v>0</v>
      </c>
      <c r="S1277" s="863">
        <v>0</v>
      </c>
      <c r="T1277" s="863">
        <v>0</v>
      </c>
      <c r="U1277" s="549" t="s">
        <v>7485</v>
      </c>
      <c r="V1277" s="560" t="s">
        <v>6768</v>
      </c>
      <c r="W1277" s="658">
        <v>906</v>
      </c>
      <c r="X1277" s="549" t="s">
        <v>1532</v>
      </c>
      <c r="Y1277" s="549" t="s">
        <v>3161</v>
      </c>
      <c r="Z1277" s="549" t="s">
        <v>6769</v>
      </c>
      <c r="AA1277" s="549" t="s">
        <v>1686</v>
      </c>
      <c r="AB1277" s="558" t="s">
        <v>1686</v>
      </c>
    </row>
    <row r="1278" spans="1:28" ht="24" customHeight="1">
      <c r="A1278" s="606"/>
      <c r="B1278" s="544" t="s">
        <v>675</v>
      </c>
      <c r="C1278" s="551" t="s">
        <v>6770</v>
      </c>
      <c r="D1278" s="553" t="s">
        <v>6771</v>
      </c>
      <c r="E1278" s="563">
        <f t="shared" si="88"/>
        <v>36</v>
      </c>
      <c r="F1278" s="563">
        <v>0</v>
      </c>
      <c r="G1278" s="660">
        <v>36</v>
      </c>
      <c r="H1278" s="563">
        <v>0</v>
      </c>
      <c r="I1278" s="563">
        <f t="shared" si="87"/>
        <v>32</v>
      </c>
      <c r="J1278" s="563">
        <v>0</v>
      </c>
      <c r="K1278" s="660">
        <v>32</v>
      </c>
      <c r="L1278" s="741">
        <v>0</v>
      </c>
      <c r="M1278" s="965">
        <v>0.88888888888888884</v>
      </c>
      <c r="N1278" s="653">
        <v>257.4542222222222</v>
      </c>
      <c r="O1278" s="746" t="s">
        <v>6761</v>
      </c>
      <c r="P1278" s="547" t="s">
        <v>1588</v>
      </c>
      <c r="Q1278" s="863">
        <v>0</v>
      </c>
      <c r="R1278" s="863">
        <v>0</v>
      </c>
      <c r="S1278" s="863">
        <v>0</v>
      </c>
      <c r="T1278" s="863">
        <v>0</v>
      </c>
      <c r="U1278" s="549" t="s">
        <v>7485</v>
      </c>
      <c r="V1278" s="559" t="s">
        <v>6765</v>
      </c>
      <c r="W1278" s="658">
        <v>406</v>
      </c>
      <c r="X1278" s="549" t="s">
        <v>1532</v>
      </c>
      <c r="Y1278" s="549" t="s">
        <v>3161</v>
      </c>
      <c r="Z1278" s="549"/>
      <c r="AA1278" s="549" t="s">
        <v>1686</v>
      </c>
      <c r="AB1278" s="558" t="s">
        <v>1686</v>
      </c>
    </row>
    <row r="1279" spans="1:28" ht="24" customHeight="1">
      <c r="A1279" s="606"/>
      <c r="B1279" s="544" t="s">
        <v>675</v>
      </c>
      <c r="C1279" s="551" t="s">
        <v>6772</v>
      </c>
      <c r="D1279" s="553" t="s">
        <v>6773</v>
      </c>
      <c r="E1279" s="563">
        <f t="shared" si="88"/>
        <v>60</v>
      </c>
      <c r="F1279" s="563">
        <v>0</v>
      </c>
      <c r="G1279" s="660">
        <v>60</v>
      </c>
      <c r="H1279" s="563">
        <v>0</v>
      </c>
      <c r="I1279" s="563">
        <f t="shared" si="87"/>
        <v>57</v>
      </c>
      <c r="J1279" s="563">
        <v>0</v>
      </c>
      <c r="K1279" s="660">
        <v>57</v>
      </c>
      <c r="L1279" s="741">
        <v>0</v>
      </c>
      <c r="M1279" s="965">
        <v>0.95</v>
      </c>
      <c r="N1279" s="653">
        <v>275.1542</v>
      </c>
      <c r="O1279" s="746" t="s">
        <v>6756</v>
      </c>
      <c r="P1279" s="547" t="s">
        <v>1588</v>
      </c>
      <c r="Q1279" s="863">
        <v>0</v>
      </c>
      <c r="R1279" s="863">
        <v>0</v>
      </c>
      <c r="S1279" s="863">
        <v>0</v>
      </c>
      <c r="T1279" s="863">
        <v>0</v>
      </c>
      <c r="U1279" s="549" t="s">
        <v>7485</v>
      </c>
      <c r="V1279" s="559" t="s">
        <v>6774</v>
      </c>
      <c r="W1279" s="658">
        <v>358</v>
      </c>
      <c r="X1279" s="549" t="s">
        <v>1532</v>
      </c>
      <c r="Y1279" s="549" t="s">
        <v>3161</v>
      </c>
      <c r="Z1279" s="549" t="s">
        <v>6775</v>
      </c>
      <c r="AA1279" s="549" t="s">
        <v>1686</v>
      </c>
      <c r="AB1279" s="558" t="s">
        <v>1686</v>
      </c>
    </row>
    <row r="1280" spans="1:28" ht="24" customHeight="1">
      <c r="A1280" s="606"/>
      <c r="B1280" s="544" t="s">
        <v>675</v>
      </c>
      <c r="C1280" s="551" t="s">
        <v>6776</v>
      </c>
      <c r="D1280" s="553" t="s">
        <v>6777</v>
      </c>
      <c r="E1280" s="563">
        <f>F1280+G1280+H1280</f>
        <v>33</v>
      </c>
      <c r="F1280" s="563">
        <v>0</v>
      </c>
      <c r="G1280" s="660">
        <v>33</v>
      </c>
      <c r="H1280" s="563">
        <v>0</v>
      </c>
      <c r="I1280" s="563">
        <f>J1280+K1280+L1280</f>
        <v>28</v>
      </c>
      <c r="J1280" s="563">
        <v>0</v>
      </c>
      <c r="K1280" s="660">
        <v>28</v>
      </c>
      <c r="L1280" s="741">
        <v>0</v>
      </c>
      <c r="M1280" s="965">
        <v>0.8484848484848484</v>
      </c>
      <c r="N1280" s="653">
        <v>245.75175757575755</v>
      </c>
      <c r="O1280" s="746" t="s">
        <v>6761</v>
      </c>
      <c r="P1280" s="547" t="s">
        <v>1588</v>
      </c>
      <c r="Q1280" s="863">
        <v>0</v>
      </c>
      <c r="R1280" s="863">
        <v>0</v>
      </c>
      <c r="S1280" s="863">
        <v>0</v>
      </c>
      <c r="T1280" s="863">
        <v>0</v>
      </c>
      <c r="U1280" s="549" t="s">
        <v>7485</v>
      </c>
      <c r="V1280" s="559" t="s">
        <v>6778</v>
      </c>
      <c r="W1280" s="658">
        <v>469</v>
      </c>
      <c r="X1280" s="549" t="s">
        <v>1532</v>
      </c>
      <c r="Y1280" s="549" t="s">
        <v>3161</v>
      </c>
      <c r="Z1280" s="549"/>
      <c r="AA1280" s="549" t="s">
        <v>1686</v>
      </c>
      <c r="AB1280" s="558" t="s">
        <v>1686</v>
      </c>
    </row>
    <row r="1281" spans="1:28" ht="24" customHeight="1">
      <c r="A1281" s="606"/>
      <c r="B1281" s="544" t="s">
        <v>675</v>
      </c>
      <c r="C1281" s="551" t="s">
        <v>6779</v>
      </c>
      <c r="D1281" s="553" t="s">
        <v>6780</v>
      </c>
      <c r="E1281" s="563">
        <f>F1281+G1281+H1281</f>
        <v>50</v>
      </c>
      <c r="F1281" s="563">
        <v>0</v>
      </c>
      <c r="G1281" s="660">
        <v>50</v>
      </c>
      <c r="H1281" s="563">
        <v>0</v>
      </c>
      <c r="I1281" s="563">
        <f>J1281+K1281+L1281</f>
        <v>42</v>
      </c>
      <c r="J1281" s="563">
        <v>0</v>
      </c>
      <c r="K1281" s="660">
        <v>42</v>
      </c>
      <c r="L1281" s="741">
        <v>0</v>
      </c>
      <c r="M1281" s="965">
        <v>0.84</v>
      </c>
      <c r="N1281" s="653">
        <v>243.29424</v>
      </c>
      <c r="O1281" s="746" t="s">
        <v>6747</v>
      </c>
      <c r="P1281" s="547" t="s">
        <v>1588</v>
      </c>
      <c r="Q1281" s="863">
        <v>0</v>
      </c>
      <c r="R1281" s="863">
        <v>0</v>
      </c>
      <c r="S1281" s="863">
        <v>0</v>
      </c>
      <c r="T1281" s="863">
        <v>0</v>
      </c>
      <c r="U1281" s="549" t="s">
        <v>7485</v>
      </c>
      <c r="V1281" s="559" t="s">
        <v>6781</v>
      </c>
      <c r="W1281" s="658">
        <v>355</v>
      </c>
      <c r="X1281" s="549" t="s">
        <v>1532</v>
      </c>
      <c r="Y1281" s="549" t="s">
        <v>3161</v>
      </c>
      <c r="Z1281" s="549" t="s">
        <v>6775</v>
      </c>
      <c r="AA1281" s="549" t="s">
        <v>1686</v>
      </c>
      <c r="AB1281" s="558" t="s">
        <v>1686</v>
      </c>
    </row>
    <row r="1282" spans="1:28" ht="24" customHeight="1">
      <c r="A1282" s="606"/>
      <c r="B1282" s="544" t="s">
        <v>675</v>
      </c>
      <c r="C1282" s="551" t="s">
        <v>6782</v>
      </c>
      <c r="D1282" s="553" t="s">
        <v>6783</v>
      </c>
      <c r="E1282" s="563">
        <f t="shared" si="88"/>
        <v>40</v>
      </c>
      <c r="F1282" s="563">
        <v>0</v>
      </c>
      <c r="G1282" s="660">
        <v>40</v>
      </c>
      <c r="H1282" s="563">
        <v>0</v>
      </c>
      <c r="I1282" s="563">
        <f t="shared" si="87"/>
        <v>29</v>
      </c>
      <c r="J1282" s="563">
        <v>0</v>
      </c>
      <c r="K1282" s="660">
        <v>29</v>
      </c>
      <c r="L1282" s="741">
        <v>0</v>
      </c>
      <c r="M1282" s="965">
        <v>0.72499999999999998</v>
      </c>
      <c r="N1282" s="653">
        <v>209.98610000000002</v>
      </c>
      <c r="O1282" s="746" t="s">
        <v>6784</v>
      </c>
      <c r="P1282" s="547" t="s">
        <v>1588</v>
      </c>
      <c r="Q1282" s="863">
        <v>0</v>
      </c>
      <c r="R1282" s="863">
        <v>0</v>
      </c>
      <c r="S1282" s="863">
        <v>0</v>
      </c>
      <c r="T1282" s="863">
        <v>0</v>
      </c>
      <c r="U1282" s="549" t="s">
        <v>7485</v>
      </c>
      <c r="V1282" s="559" t="s">
        <v>6785</v>
      </c>
      <c r="W1282" s="658">
        <v>603</v>
      </c>
      <c r="X1282" s="549" t="s">
        <v>1532</v>
      </c>
      <c r="Y1282" s="549" t="s">
        <v>3161</v>
      </c>
      <c r="Z1282" s="549" t="s">
        <v>1708</v>
      </c>
      <c r="AA1282" s="549" t="s">
        <v>1686</v>
      </c>
      <c r="AB1282" s="558" t="s">
        <v>1686</v>
      </c>
    </row>
    <row r="1283" spans="1:28" ht="24" customHeight="1">
      <c r="A1283" s="606"/>
      <c r="B1283" s="544" t="s">
        <v>675</v>
      </c>
      <c r="C1283" s="551" t="s">
        <v>6786</v>
      </c>
      <c r="D1283" s="553" t="s">
        <v>6787</v>
      </c>
      <c r="E1283" s="563">
        <f>F1283+G1283+H1283</f>
        <v>48</v>
      </c>
      <c r="F1283" s="563">
        <v>0</v>
      </c>
      <c r="G1283" s="563">
        <v>48</v>
      </c>
      <c r="H1283" s="563">
        <v>0</v>
      </c>
      <c r="I1283" s="563">
        <f>J1283+K1283+L1283</f>
        <v>43</v>
      </c>
      <c r="J1283" s="563">
        <v>0</v>
      </c>
      <c r="K1283" s="563">
        <v>43</v>
      </c>
      <c r="L1283" s="741">
        <v>0</v>
      </c>
      <c r="M1283" s="965">
        <v>0.89583333333333348</v>
      </c>
      <c r="N1283" s="653">
        <v>259.46558333333337</v>
      </c>
      <c r="O1283" s="746" t="s">
        <v>6788</v>
      </c>
      <c r="P1283" s="547" t="s">
        <v>1588</v>
      </c>
      <c r="Q1283" s="863">
        <v>0</v>
      </c>
      <c r="R1283" s="863">
        <v>0</v>
      </c>
      <c r="S1283" s="863">
        <v>0</v>
      </c>
      <c r="T1283" s="863">
        <v>0</v>
      </c>
      <c r="U1283" s="549" t="s">
        <v>7485</v>
      </c>
      <c r="V1283" s="548" t="s">
        <v>6789</v>
      </c>
      <c r="W1283" s="658">
        <v>1000</v>
      </c>
      <c r="X1283" s="547" t="s">
        <v>1532</v>
      </c>
      <c r="Y1283" s="547" t="s">
        <v>3161</v>
      </c>
      <c r="Z1283" s="547" t="s">
        <v>1708</v>
      </c>
      <c r="AA1283" s="547" t="s">
        <v>1686</v>
      </c>
      <c r="AB1283" s="550" t="s">
        <v>1686</v>
      </c>
    </row>
    <row r="1284" spans="1:28" ht="24" customHeight="1">
      <c r="A1284" s="606"/>
      <c r="B1284" s="544" t="s">
        <v>675</v>
      </c>
      <c r="C1284" s="551" t="s">
        <v>6790</v>
      </c>
      <c r="D1284" s="553" t="s">
        <v>6791</v>
      </c>
      <c r="E1284" s="563">
        <f>F1284+G1284+H1284</f>
        <v>100</v>
      </c>
      <c r="F1284" s="563">
        <v>0</v>
      </c>
      <c r="G1284" s="563">
        <v>100</v>
      </c>
      <c r="H1284" s="563">
        <v>0</v>
      </c>
      <c r="I1284" s="563">
        <f>J1284+K1284+L1284</f>
        <v>90</v>
      </c>
      <c r="J1284" s="563">
        <v>0</v>
      </c>
      <c r="K1284" s="563">
        <v>90</v>
      </c>
      <c r="L1284" s="741">
        <v>0</v>
      </c>
      <c r="M1284" s="965">
        <v>0.9</v>
      </c>
      <c r="N1284" s="653">
        <v>260.67239999999998</v>
      </c>
      <c r="O1284" s="749" t="s">
        <v>2770</v>
      </c>
      <c r="P1284" s="547" t="s">
        <v>1588</v>
      </c>
      <c r="Q1284" s="863">
        <v>0</v>
      </c>
      <c r="R1284" s="863">
        <v>0</v>
      </c>
      <c r="S1284" s="863">
        <v>0</v>
      </c>
      <c r="T1284" s="863">
        <v>0</v>
      </c>
      <c r="U1284" s="549" t="s">
        <v>7485</v>
      </c>
      <c r="V1284" s="548" t="s">
        <v>6792</v>
      </c>
      <c r="W1284" s="658">
        <v>1484</v>
      </c>
      <c r="X1284" s="547" t="s">
        <v>1532</v>
      </c>
      <c r="Y1284" s="547" t="s">
        <v>3161</v>
      </c>
      <c r="Z1284" s="547" t="s">
        <v>1708</v>
      </c>
      <c r="AA1284" s="547" t="s">
        <v>1686</v>
      </c>
      <c r="AB1284" s="550" t="s">
        <v>1686</v>
      </c>
    </row>
    <row r="1285" spans="1:28" ht="24" customHeight="1">
      <c r="A1285" s="605" t="s">
        <v>1709</v>
      </c>
      <c r="B1285" s="544" t="s">
        <v>2201</v>
      </c>
      <c r="C1285" s="551" t="s">
        <v>2433</v>
      </c>
      <c r="D1285" s="553" t="s">
        <v>6793</v>
      </c>
      <c r="E1285" s="563">
        <f t="shared" ref="E1285:E1339" si="89">F1285+G1285+H1285</f>
        <v>4000</v>
      </c>
      <c r="F1285" s="563">
        <v>0</v>
      </c>
      <c r="G1285" s="563">
        <v>0</v>
      </c>
      <c r="H1285" s="563">
        <v>4000</v>
      </c>
      <c r="I1285" s="563">
        <f t="shared" ref="I1285:I1339" si="90">J1285+K1285+L1285</f>
        <v>4000</v>
      </c>
      <c r="J1285" s="563">
        <v>0</v>
      </c>
      <c r="K1285" s="563">
        <v>0</v>
      </c>
      <c r="L1285" s="741">
        <v>4000</v>
      </c>
      <c r="M1285" s="965">
        <v>0.95930949445129476</v>
      </c>
      <c r="N1285" s="653">
        <v>311.2</v>
      </c>
      <c r="O1285" s="746" t="s">
        <v>3347</v>
      </c>
      <c r="P1285" s="547" t="s">
        <v>1588</v>
      </c>
      <c r="Q1285" s="863">
        <v>0</v>
      </c>
      <c r="R1285" s="863">
        <v>0</v>
      </c>
      <c r="S1285" s="863">
        <v>0</v>
      </c>
      <c r="T1285" s="863">
        <v>0</v>
      </c>
      <c r="U1285" s="547" t="s">
        <v>6794</v>
      </c>
      <c r="V1285" s="548" t="s">
        <v>2889</v>
      </c>
      <c r="W1285" s="658">
        <v>22308</v>
      </c>
      <c r="X1285" s="547" t="s">
        <v>2193</v>
      </c>
      <c r="Y1285" s="547" t="s">
        <v>6795</v>
      </c>
      <c r="Z1285" s="547"/>
      <c r="AA1285" s="547"/>
      <c r="AB1285" s="550" t="s">
        <v>2318</v>
      </c>
    </row>
    <row r="1286" spans="1:28" ht="24" customHeight="1">
      <c r="A1286" s="606"/>
      <c r="B1286" s="544" t="s">
        <v>2201</v>
      </c>
      <c r="C1286" s="551" t="s">
        <v>2051</v>
      </c>
      <c r="D1286" s="553" t="s">
        <v>6796</v>
      </c>
      <c r="E1286" s="563">
        <f t="shared" si="89"/>
        <v>4000</v>
      </c>
      <c r="F1286" s="563">
        <v>0</v>
      </c>
      <c r="G1286" s="563">
        <v>0</v>
      </c>
      <c r="H1286" s="563">
        <v>4000</v>
      </c>
      <c r="I1286" s="563">
        <f t="shared" si="90"/>
        <v>4000</v>
      </c>
      <c r="J1286" s="563">
        <v>0</v>
      </c>
      <c r="K1286" s="563">
        <v>0</v>
      </c>
      <c r="L1286" s="741">
        <v>4000</v>
      </c>
      <c r="M1286" s="965">
        <v>0.91679273827534036</v>
      </c>
      <c r="N1286" s="653">
        <v>242.4</v>
      </c>
      <c r="O1286" s="746" t="s">
        <v>6797</v>
      </c>
      <c r="P1286" s="547" t="s">
        <v>1588</v>
      </c>
      <c r="Q1286" s="863">
        <v>0</v>
      </c>
      <c r="R1286" s="863">
        <v>0</v>
      </c>
      <c r="S1286" s="863">
        <v>0</v>
      </c>
      <c r="T1286" s="863">
        <v>0</v>
      </c>
      <c r="U1286" s="547" t="s">
        <v>6798</v>
      </c>
      <c r="V1286" s="547">
        <v>5.5</v>
      </c>
      <c r="W1286" s="658">
        <v>18706</v>
      </c>
      <c r="X1286" s="547" t="s">
        <v>2276</v>
      </c>
      <c r="Y1286" s="547" t="s">
        <v>6795</v>
      </c>
      <c r="Z1286" s="547"/>
      <c r="AA1286" s="547"/>
      <c r="AB1286" s="550" t="s">
        <v>2318</v>
      </c>
    </row>
    <row r="1287" spans="1:28" ht="24" customHeight="1">
      <c r="A1287" s="606"/>
      <c r="B1287" s="544" t="s">
        <v>675</v>
      </c>
      <c r="C1287" s="551" t="s">
        <v>6799</v>
      </c>
      <c r="D1287" s="553" t="s">
        <v>6800</v>
      </c>
      <c r="E1287" s="660">
        <f t="shared" si="89"/>
        <v>50</v>
      </c>
      <c r="F1287" s="563">
        <v>0</v>
      </c>
      <c r="G1287" s="563">
        <v>0</v>
      </c>
      <c r="H1287" s="660">
        <v>50</v>
      </c>
      <c r="I1287" s="660">
        <f t="shared" si="90"/>
        <v>50</v>
      </c>
      <c r="J1287" s="563">
        <v>0</v>
      </c>
      <c r="K1287" s="563">
        <v>0</v>
      </c>
      <c r="L1287" s="750">
        <v>50</v>
      </c>
      <c r="M1287" s="965">
        <v>0</v>
      </c>
      <c r="N1287" s="653">
        <v>0</v>
      </c>
      <c r="O1287" s="746" t="s">
        <v>6801</v>
      </c>
      <c r="P1287" s="547" t="s">
        <v>1588</v>
      </c>
      <c r="Q1287" s="863">
        <v>0</v>
      </c>
      <c r="R1287" s="863">
        <v>0</v>
      </c>
      <c r="S1287" s="863">
        <v>0</v>
      </c>
      <c r="T1287" s="863">
        <v>0</v>
      </c>
      <c r="U1287" s="547" t="s">
        <v>6794</v>
      </c>
      <c r="V1287" s="560" t="s">
        <v>6802</v>
      </c>
      <c r="W1287" s="658">
        <v>240</v>
      </c>
      <c r="X1287" s="547" t="s">
        <v>2193</v>
      </c>
      <c r="Y1287" s="547" t="s">
        <v>6795</v>
      </c>
      <c r="Z1287" s="547"/>
      <c r="AA1287" s="547"/>
      <c r="AB1287" s="550" t="s">
        <v>2318</v>
      </c>
    </row>
    <row r="1288" spans="1:28" ht="24" customHeight="1">
      <c r="A1288" s="606"/>
      <c r="B1288" s="544" t="s">
        <v>675</v>
      </c>
      <c r="C1288" s="551" t="s">
        <v>1987</v>
      </c>
      <c r="D1288" s="553" t="s">
        <v>6803</v>
      </c>
      <c r="E1288" s="660">
        <f t="shared" si="89"/>
        <v>20</v>
      </c>
      <c r="F1288" s="563">
        <v>0</v>
      </c>
      <c r="G1288" s="563">
        <v>0</v>
      </c>
      <c r="H1288" s="660">
        <v>20</v>
      </c>
      <c r="I1288" s="660">
        <f t="shared" si="90"/>
        <v>20</v>
      </c>
      <c r="J1288" s="563">
        <v>0</v>
      </c>
      <c r="K1288" s="563">
        <v>0</v>
      </c>
      <c r="L1288" s="750">
        <v>20</v>
      </c>
      <c r="M1288" s="965">
        <v>0</v>
      </c>
      <c r="N1288" s="653">
        <v>0</v>
      </c>
      <c r="O1288" s="746" t="s">
        <v>3451</v>
      </c>
      <c r="P1288" s="547" t="s">
        <v>1588</v>
      </c>
      <c r="Q1288" s="863">
        <v>0</v>
      </c>
      <c r="R1288" s="863">
        <v>0</v>
      </c>
      <c r="S1288" s="863">
        <v>0</v>
      </c>
      <c r="T1288" s="863">
        <v>0</v>
      </c>
      <c r="U1288" s="547" t="s">
        <v>6794</v>
      </c>
      <c r="V1288" s="559" t="s">
        <v>6804</v>
      </c>
      <c r="W1288" s="658">
        <v>193</v>
      </c>
      <c r="X1288" s="547" t="s">
        <v>2193</v>
      </c>
      <c r="Y1288" s="547" t="s">
        <v>6795</v>
      </c>
      <c r="Z1288" s="547"/>
      <c r="AA1288" s="547"/>
      <c r="AB1288" s="550" t="s">
        <v>2318</v>
      </c>
    </row>
    <row r="1289" spans="1:28" ht="24" customHeight="1">
      <c r="A1289" s="606"/>
      <c r="B1289" s="544" t="s">
        <v>675</v>
      </c>
      <c r="C1289" s="551" t="s">
        <v>6805</v>
      </c>
      <c r="D1289" s="553" t="s">
        <v>6806</v>
      </c>
      <c r="E1289" s="660">
        <f t="shared" si="89"/>
        <v>40</v>
      </c>
      <c r="F1289" s="563">
        <v>0</v>
      </c>
      <c r="G1289" s="563">
        <v>0</v>
      </c>
      <c r="H1289" s="660">
        <v>40</v>
      </c>
      <c r="I1289" s="660">
        <f t="shared" si="90"/>
        <v>40</v>
      </c>
      <c r="J1289" s="563">
        <v>0</v>
      </c>
      <c r="K1289" s="563">
        <v>0</v>
      </c>
      <c r="L1289" s="750">
        <v>40</v>
      </c>
      <c r="M1289" s="965">
        <v>0</v>
      </c>
      <c r="N1289" s="653">
        <v>0</v>
      </c>
      <c r="O1289" s="746" t="s">
        <v>6807</v>
      </c>
      <c r="P1289" s="547" t="s">
        <v>1588</v>
      </c>
      <c r="Q1289" s="863">
        <v>0</v>
      </c>
      <c r="R1289" s="863">
        <v>0</v>
      </c>
      <c r="S1289" s="863">
        <v>0</v>
      </c>
      <c r="T1289" s="863">
        <v>0</v>
      </c>
      <c r="U1289" s="547" t="s">
        <v>6794</v>
      </c>
      <c r="V1289" s="559" t="s">
        <v>6808</v>
      </c>
      <c r="W1289" s="658">
        <v>115</v>
      </c>
      <c r="X1289" s="547" t="s">
        <v>2193</v>
      </c>
      <c r="Y1289" s="547" t="s">
        <v>6795</v>
      </c>
      <c r="Z1289" s="547"/>
      <c r="AA1289" s="547"/>
      <c r="AB1289" s="550" t="s">
        <v>2318</v>
      </c>
    </row>
    <row r="1290" spans="1:28" ht="24" customHeight="1">
      <c r="A1290" s="606"/>
      <c r="B1290" s="544" t="s">
        <v>675</v>
      </c>
      <c r="C1290" s="551" t="s">
        <v>2017</v>
      </c>
      <c r="D1290" s="553" t="s">
        <v>6809</v>
      </c>
      <c r="E1290" s="660">
        <f t="shared" si="89"/>
        <v>40</v>
      </c>
      <c r="F1290" s="563">
        <v>0</v>
      </c>
      <c r="G1290" s="563">
        <v>0</v>
      </c>
      <c r="H1290" s="660">
        <v>40</v>
      </c>
      <c r="I1290" s="660">
        <f t="shared" si="90"/>
        <v>40</v>
      </c>
      <c r="J1290" s="563">
        <v>0</v>
      </c>
      <c r="K1290" s="563">
        <v>0</v>
      </c>
      <c r="L1290" s="750">
        <v>40</v>
      </c>
      <c r="M1290" s="965">
        <v>0</v>
      </c>
      <c r="N1290" s="653">
        <v>0</v>
      </c>
      <c r="O1290" s="746" t="s">
        <v>3451</v>
      </c>
      <c r="P1290" s="547" t="s">
        <v>1588</v>
      </c>
      <c r="Q1290" s="863">
        <v>0</v>
      </c>
      <c r="R1290" s="863">
        <v>0</v>
      </c>
      <c r="S1290" s="863">
        <v>0</v>
      </c>
      <c r="T1290" s="863">
        <v>0</v>
      </c>
      <c r="U1290" s="547" t="s">
        <v>6794</v>
      </c>
      <c r="V1290" s="559" t="s">
        <v>6810</v>
      </c>
      <c r="W1290" s="658">
        <v>251</v>
      </c>
      <c r="X1290" s="547" t="s">
        <v>2193</v>
      </c>
      <c r="Y1290" s="547" t="s">
        <v>6795</v>
      </c>
      <c r="Z1290" s="547"/>
      <c r="AA1290" s="547"/>
      <c r="AB1290" s="550" t="s">
        <v>2318</v>
      </c>
    </row>
    <row r="1291" spans="1:28" ht="24" customHeight="1">
      <c r="A1291" s="606"/>
      <c r="B1291" s="544" t="s">
        <v>675</v>
      </c>
      <c r="C1291" s="551" t="s">
        <v>6811</v>
      </c>
      <c r="D1291" s="553" t="s">
        <v>6812</v>
      </c>
      <c r="E1291" s="660">
        <f t="shared" si="89"/>
        <v>80</v>
      </c>
      <c r="F1291" s="563">
        <v>0</v>
      </c>
      <c r="G1291" s="563">
        <v>0</v>
      </c>
      <c r="H1291" s="660">
        <v>80</v>
      </c>
      <c r="I1291" s="660">
        <f t="shared" si="90"/>
        <v>80</v>
      </c>
      <c r="J1291" s="563">
        <v>0</v>
      </c>
      <c r="K1291" s="563">
        <v>0</v>
      </c>
      <c r="L1291" s="750">
        <v>80</v>
      </c>
      <c r="M1291" s="965">
        <v>0</v>
      </c>
      <c r="N1291" s="653">
        <v>0</v>
      </c>
      <c r="O1291" s="746" t="s">
        <v>5783</v>
      </c>
      <c r="P1291" s="547" t="s">
        <v>1588</v>
      </c>
      <c r="Q1291" s="863">
        <v>0</v>
      </c>
      <c r="R1291" s="863">
        <v>0</v>
      </c>
      <c r="S1291" s="863">
        <v>0</v>
      </c>
      <c r="T1291" s="863">
        <v>0</v>
      </c>
      <c r="U1291" s="547" t="s">
        <v>6794</v>
      </c>
      <c r="V1291" s="559" t="s">
        <v>6813</v>
      </c>
      <c r="W1291" s="658">
        <v>294</v>
      </c>
      <c r="X1291" s="547" t="s">
        <v>2193</v>
      </c>
      <c r="Y1291" s="547" t="s">
        <v>6795</v>
      </c>
      <c r="Z1291" s="547"/>
      <c r="AA1291" s="547"/>
      <c r="AB1291" s="550" t="s">
        <v>2318</v>
      </c>
    </row>
    <row r="1292" spans="1:28" ht="24" customHeight="1">
      <c r="A1292" s="606"/>
      <c r="B1292" s="544" t="s">
        <v>675</v>
      </c>
      <c r="C1292" s="551" t="s">
        <v>6814</v>
      </c>
      <c r="D1292" s="553" t="s">
        <v>6812</v>
      </c>
      <c r="E1292" s="660">
        <f t="shared" si="89"/>
        <v>80</v>
      </c>
      <c r="F1292" s="563">
        <v>0</v>
      </c>
      <c r="G1292" s="563">
        <v>0</v>
      </c>
      <c r="H1292" s="660">
        <v>80</v>
      </c>
      <c r="I1292" s="660">
        <f t="shared" si="90"/>
        <v>80</v>
      </c>
      <c r="J1292" s="563">
        <v>0</v>
      </c>
      <c r="K1292" s="563">
        <v>0</v>
      </c>
      <c r="L1292" s="750">
        <v>80</v>
      </c>
      <c r="M1292" s="965">
        <v>0</v>
      </c>
      <c r="N1292" s="653">
        <v>0</v>
      </c>
      <c r="O1292" s="746" t="s">
        <v>6815</v>
      </c>
      <c r="P1292" s="547" t="s">
        <v>1588</v>
      </c>
      <c r="Q1292" s="863">
        <v>0</v>
      </c>
      <c r="R1292" s="863">
        <v>0</v>
      </c>
      <c r="S1292" s="863">
        <v>0</v>
      </c>
      <c r="T1292" s="863">
        <v>0</v>
      </c>
      <c r="U1292" s="547" t="s">
        <v>6794</v>
      </c>
      <c r="V1292" s="559" t="s">
        <v>6816</v>
      </c>
      <c r="W1292" s="658">
        <v>380</v>
      </c>
      <c r="X1292" s="547" t="s">
        <v>2193</v>
      </c>
      <c r="Y1292" s="547" t="s">
        <v>6795</v>
      </c>
      <c r="Z1292" s="547"/>
      <c r="AA1292" s="547"/>
      <c r="AB1292" s="550" t="s">
        <v>2318</v>
      </c>
    </row>
    <row r="1293" spans="1:28" ht="24" customHeight="1">
      <c r="A1293" s="606"/>
      <c r="B1293" s="544" t="s">
        <v>675</v>
      </c>
      <c r="C1293" s="551" t="s">
        <v>6817</v>
      </c>
      <c r="D1293" s="553" t="s">
        <v>6818</v>
      </c>
      <c r="E1293" s="660">
        <f t="shared" si="89"/>
        <v>60</v>
      </c>
      <c r="F1293" s="563">
        <v>0</v>
      </c>
      <c r="G1293" s="563">
        <v>0</v>
      </c>
      <c r="H1293" s="660">
        <v>60</v>
      </c>
      <c r="I1293" s="660">
        <f t="shared" si="90"/>
        <v>60</v>
      </c>
      <c r="J1293" s="563">
        <v>0</v>
      </c>
      <c r="K1293" s="563">
        <v>0</v>
      </c>
      <c r="L1293" s="750">
        <v>60</v>
      </c>
      <c r="M1293" s="965">
        <v>0</v>
      </c>
      <c r="N1293" s="653">
        <v>0</v>
      </c>
      <c r="O1293" s="746" t="s">
        <v>6819</v>
      </c>
      <c r="P1293" s="547" t="s">
        <v>1588</v>
      </c>
      <c r="Q1293" s="863">
        <v>0</v>
      </c>
      <c r="R1293" s="863">
        <v>0</v>
      </c>
      <c r="S1293" s="863">
        <v>0</v>
      </c>
      <c r="T1293" s="863">
        <v>0</v>
      </c>
      <c r="U1293" s="547" t="s">
        <v>6794</v>
      </c>
      <c r="V1293" s="559" t="s">
        <v>6820</v>
      </c>
      <c r="W1293" s="658">
        <v>383</v>
      </c>
      <c r="X1293" s="547" t="s">
        <v>2193</v>
      </c>
      <c r="Y1293" s="547" t="s">
        <v>6795</v>
      </c>
      <c r="Z1293" s="547"/>
      <c r="AA1293" s="547"/>
      <c r="AB1293" s="550" t="s">
        <v>2318</v>
      </c>
    </row>
    <row r="1294" spans="1:28" ht="24" customHeight="1">
      <c r="A1294" s="606"/>
      <c r="B1294" s="544" t="s">
        <v>675</v>
      </c>
      <c r="C1294" s="551" t="s">
        <v>6821</v>
      </c>
      <c r="D1294" s="553" t="s">
        <v>6822</v>
      </c>
      <c r="E1294" s="660">
        <f t="shared" si="89"/>
        <v>80</v>
      </c>
      <c r="F1294" s="563">
        <v>0</v>
      </c>
      <c r="G1294" s="563">
        <v>0</v>
      </c>
      <c r="H1294" s="660">
        <v>80</v>
      </c>
      <c r="I1294" s="660">
        <f t="shared" si="90"/>
        <v>80</v>
      </c>
      <c r="J1294" s="563">
        <v>0</v>
      </c>
      <c r="K1294" s="563">
        <v>0</v>
      </c>
      <c r="L1294" s="750">
        <v>80</v>
      </c>
      <c r="M1294" s="965">
        <v>0</v>
      </c>
      <c r="N1294" s="653">
        <v>0</v>
      </c>
      <c r="O1294" s="746" t="s">
        <v>6823</v>
      </c>
      <c r="P1294" s="547" t="s">
        <v>1588</v>
      </c>
      <c r="Q1294" s="863">
        <v>0</v>
      </c>
      <c r="R1294" s="863">
        <v>0</v>
      </c>
      <c r="S1294" s="863">
        <v>0</v>
      </c>
      <c r="T1294" s="863">
        <v>0</v>
      </c>
      <c r="U1294" s="547" t="s">
        <v>6794</v>
      </c>
      <c r="V1294" s="559" t="s">
        <v>6824</v>
      </c>
      <c r="W1294" s="658">
        <v>394</v>
      </c>
      <c r="X1294" s="547" t="s">
        <v>2193</v>
      </c>
      <c r="Y1294" s="547" t="s">
        <v>6795</v>
      </c>
      <c r="Z1294" s="547"/>
      <c r="AA1294" s="547"/>
      <c r="AB1294" s="550" t="s">
        <v>2318</v>
      </c>
    </row>
    <row r="1295" spans="1:28" ht="24" customHeight="1">
      <c r="A1295" s="606"/>
      <c r="B1295" s="544" t="s">
        <v>675</v>
      </c>
      <c r="C1295" s="551" t="s">
        <v>6825</v>
      </c>
      <c r="D1295" s="553" t="s">
        <v>6826</v>
      </c>
      <c r="E1295" s="660">
        <f t="shared" si="89"/>
        <v>35</v>
      </c>
      <c r="F1295" s="563">
        <v>0</v>
      </c>
      <c r="G1295" s="563">
        <v>0</v>
      </c>
      <c r="H1295" s="660">
        <v>35</v>
      </c>
      <c r="I1295" s="660">
        <f t="shared" si="90"/>
        <v>35</v>
      </c>
      <c r="J1295" s="563">
        <v>0</v>
      </c>
      <c r="K1295" s="563">
        <v>0</v>
      </c>
      <c r="L1295" s="750">
        <v>35</v>
      </c>
      <c r="M1295" s="965">
        <v>0</v>
      </c>
      <c r="N1295" s="653">
        <v>0</v>
      </c>
      <c r="O1295" s="746" t="s">
        <v>2777</v>
      </c>
      <c r="P1295" s="547" t="s">
        <v>1588</v>
      </c>
      <c r="Q1295" s="863">
        <v>0</v>
      </c>
      <c r="R1295" s="863">
        <v>0</v>
      </c>
      <c r="S1295" s="863">
        <v>0</v>
      </c>
      <c r="T1295" s="863">
        <v>0</v>
      </c>
      <c r="U1295" s="547" t="s">
        <v>6794</v>
      </c>
      <c r="V1295" s="559" t="s">
        <v>6827</v>
      </c>
      <c r="W1295" s="658">
        <v>302</v>
      </c>
      <c r="X1295" s="547" t="s">
        <v>2193</v>
      </c>
      <c r="Y1295" s="547" t="s">
        <v>6795</v>
      </c>
      <c r="Z1295" s="547"/>
      <c r="AA1295" s="547"/>
      <c r="AB1295" s="550" t="s">
        <v>2318</v>
      </c>
    </row>
    <row r="1296" spans="1:28" ht="24" customHeight="1">
      <c r="A1296" s="606"/>
      <c r="B1296" s="544" t="s">
        <v>675</v>
      </c>
      <c r="C1296" s="551" t="s">
        <v>6828</v>
      </c>
      <c r="D1296" s="553" t="s">
        <v>6829</v>
      </c>
      <c r="E1296" s="660">
        <f t="shared" si="89"/>
        <v>45</v>
      </c>
      <c r="F1296" s="563">
        <v>0</v>
      </c>
      <c r="G1296" s="563">
        <v>0</v>
      </c>
      <c r="H1296" s="660">
        <v>45</v>
      </c>
      <c r="I1296" s="660">
        <f t="shared" si="90"/>
        <v>45</v>
      </c>
      <c r="J1296" s="563">
        <v>0</v>
      </c>
      <c r="K1296" s="563">
        <v>0</v>
      </c>
      <c r="L1296" s="750">
        <v>45</v>
      </c>
      <c r="M1296" s="965">
        <v>0</v>
      </c>
      <c r="N1296" s="653">
        <v>0</v>
      </c>
      <c r="O1296" s="746" t="s">
        <v>6830</v>
      </c>
      <c r="P1296" s="547" t="s">
        <v>1588</v>
      </c>
      <c r="Q1296" s="863">
        <v>0</v>
      </c>
      <c r="R1296" s="863">
        <v>0</v>
      </c>
      <c r="S1296" s="863">
        <v>0</v>
      </c>
      <c r="T1296" s="863">
        <v>0</v>
      </c>
      <c r="U1296" s="547" t="s">
        <v>6794</v>
      </c>
      <c r="V1296" s="559" t="s">
        <v>6804</v>
      </c>
      <c r="W1296" s="658">
        <v>572</v>
      </c>
      <c r="X1296" s="547" t="s">
        <v>2193</v>
      </c>
      <c r="Y1296" s="547" t="s">
        <v>6795</v>
      </c>
      <c r="Z1296" s="547"/>
      <c r="AA1296" s="547"/>
      <c r="AB1296" s="550" t="s">
        <v>2318</v>
      </c>
    </row>
    <row r="1297" spans="1:28" ht="24" customHeight="1">
      <c r="A1297" s="606"/>
      <c r="B1297" s="544" t="s">
        <v>675</v>
      </c>
      <c r="C1297" s="551" t="s">
        <v>4957</v>
      </c>
      <c r="D1297" s="553" t="s">
        <v>6831</v>
      </c>
      <c r="E1297" s="660">
        <f t="shared" si="89"/>
        <v>40</v>
      </c>
      <c r="F1297" s="563">
        <v>0</v>
      </c>
      <c r="G1297" s="563">
        <v>0</v>
      </c>
      <c r="H1297" s="660">
        <v>40</v>
      </c>
      <c r="I1297" s="660">
        <f t="shared" si="90"/>
        <v>40</v>
      </c>
      <c r="J1297" s="563">
        <v>0</v>
      </c>
      <c r="K1297" s="563">
        <v>0</v>
      </c>
      <c r="L1297" s="750">
        <v>40</v>
      </c>
      <c r="M1297" s="965">
        <v>0</v>
      </c>
      <c r="N1297" s="653">
        <v>0</v>
      </c>
      <c r="O1297" s="746" t="s">
        <v>6832</v>
      </c>
      <c r="P1297" s="547" t="s">
        <v>1588</v>
      </c>
      <c r="Q1297" s="863">
        <v>0</v>
      </c>
      <c r="R1297" s="863">
        <v>0</v>
      </c>
      <c r="S1297" s="863">
        <v>0</v>
      </c>
      <c r="T1297" s="863">
        <v>0</v>
      </c>
      <c r="U1297" s="547" t="s">
        <v>6794</v>
      </c>
      <c r="V1297" s="559" t="s">
        <v>6833</v>
      </c>
      <c r="W1297" s="658">
        <v>238</v>
      </c>
      <c r="X1297" s="547" t="s">
        <v>2193</v>
      </c>
      <c r="Y1297" s="547" t="s">
        <v>6795</v>
      </c>
      <c r="Z1297" s="547"/>
      <c r="AA1297" s="547"/>
      <c r="AB1297" s="550" t="s">
        <v>2318</v>
      </c>
    </row>
    <row r="1298" spans="1:28" ht="24" customHeight="1">
      <c r="A1298" s="606"/>
      <c r="B1298" s="544" t="s">
        <v>675</v>
      </c>
      <c r="C1298" s="551" t="s">
        <v>6834</v>
      </c>
      <c r="D1298" s="553" t="s">
        <v>6835</v>
      </c>
      <c r="E1298" s="660">
        <f t="shared" si="89"/>
        <v>140</v>
      </c>
      <c r="F1298" s="563">
        <v>0</v>
      </c>
      <c r="G1298" s="563">
        <v>0</v>
      </c>
      <c r="H1298" s="660">
        <v>140</v>
      </c>
      <c r="I1298" s="660">
        <f t="shared" si="90"/>
        <v>140</v>
      </c>
      <c r="J1298" s="563">
        <v>0</v>
      </c>
      <c r="K1298" s="563">
        <v>0</v>
      </c>
      <c r="L1298" s="750">
        <v>140</v>
      </c>
      <c r="M1298" s="965">
        <v>0</v>
      </c>
      <c r="N1298" s="653">
        <v>0</v>
      </c>
      <c r="O1298" s="746" t="s">
        <v>6823</v>
      </c>
      <c r="P1298" s="547" t="s">
        <v>1588</v>
      </c>
      <c r="Q1298" s="863">
        <v>0</v>
      </c>
      <c r="R1298" s="863">
        <v>0</v>
      </c>
      <c r="S1298" s="863">
        <v>0</v>
      </c>
      <c r="T1298" s="863">
        <v>0</v>
      </c>
      <c r="U1298" s="547" t="s">
        <v>6794</v>
      </c>
      <c r="V1298" s="559" t="s">
        <v>6836</v>
      </c>
      <c r="W1298" s="658">
        <v>720</v>
      </c>
      <c r="X1298" s="547" t="s">
        <v>2193</v>
      </c>
      <c r="Y1298" s="547" t="s">
        <v>6795</v>
      </c>
      <c r="Z1298" s="547"/>
      <c r="AA1298" s="547"/>
      <c r="AB1298" s="550" t="s">
        <v>2318</v>
      </c>
    </row>
    <row r="1299" spans="1:28" ht="24" customHeight="1">
      <c r="A1299" s="606"/>
      <c r="B1299" s="544" t="s">
        <v>675</v>
      </c>
      <c r="C1299" s="551" t="s">
        <v>6837</v>
      </c>
      <c r="D1299" s="553" t="s">
        <v>6838</v>
      </c>
      <c r="E1299" s="660">
        <f t="shared" si="89"/>
        <v>100</v>
      </c>
      <c r="F1299" s="563">
        <v>0</v>
      </c>
      <c r="G1299" s="563">
        <v>0</v>
      </c>
      <c r="H1299" s="660">
        <v>100</v>
      </c>
      <c r="I1299" s="660">
        <f t="shared" si="90"/>
        <v>100</v>
      </c>
      <c r="J1299" s="563">
        <v>0</v>
      </c>
      <c r="K1299" s="563">
        <v>0</v>
      </c>
      <c r="L1299" s="750">
        <v>100</v>
      </c>
      <c r="M1299" s="965">
        <v>0</v>
      </c>
      <c r="N1299" s="653">
        <v>0</v>
      </c>
      <c r="O1299" s="746" t="s">
        <v>6839</v>
      </c>
      <c r="P1299" s="547" t="s">
        <v>1588</v>
      </c>
      <c r="Q1299" s="863">
        <v>0</v>
      </c>
      <c r="R1299" s="863">
        <v>0</v>
      </c>
      <c r="S1299" s="863">
        <v>0</v>
      </c>
      <c r="T1299" s="863">
        <v>0</v>
      </c>
      <c r="U1299" s="547" t="s">
        <v>6794</v>
      </c>
      <c r="V1299" s="559" t="s">
        <v>6840</v>
      </c>
      <c r="W1299" s="658">
        <v>648</v>
      </c>
      <c r="X1299" s="547" t="s">
        <v>2193</v>
      </c>
      <c r="Y1299" s="547" t="s">
        <v>6795</v>
      </c>
      <c r="Z1299" s="547"/>
      <c r="AA1299" s="547"/>
      <c r="AB1299" s="550" t="s">
        <v>2318</v>
      </c>
    </row>
    <row r="1300" spans="1:28" ht="24" customHeight="1">
      <c r="A1300" s="606"/>
      <c r="B1300" s="544" t="s">
        <v>675</v>
      </c>
      <c r="C1300" s="551" t="s">
        <v>6776</v>
      </c>
      <c r="D1300" s="553" t="s">
        <v>6841</v>
      </c>
      <c r="E1300" s="660">
        <f t="shared" si="89"/>
        <v>50</v>
      </c>
      <c r="F1300" s="563">
        <v>0</v>
      </c>
      <c r="G1300" s="563">
        <v>0</v>
      </c>
      <c r="H1300" s="660">
        <v>50</v>
      </c>
      <c r="I1300" s="660">
        <f t="shared" si="90"/>
        <v>50</v>
      </c>
      <c r="J1300" s="563">
        <v>0</v>
      </c>
      <c r="K1300" s="563">
        <v>0</v>
      </c>
      <c r="L1300" s="750">
        <v>50</v>
      </c>
      <c r="M1300" s="965">
        <v>0</v>
      </c>
      <c r="N1300" s="653">
        <v>0</v>
      </c>
      <c r="O1300" s="746" t="s">
        <v>6807</v>
      </c>
      <c r="P1300" s="547" t="s">
        <v>1588</v>
      </c>
      <c r="Q1300" s="863">
        <v>0</v>
      </c>
      <c r="R1300" s="863">
        <v>0</v>
      </c>
      <c r="S1300" s="863">
        <v>0</v>
      </c>
      <c r="T1300" s="863">
        <v>0</v>
      </c>
      <c r="U1300" s="547" t="s">
        <v>6794</v>
      </c>
      <c r="V1300" s="559" t="s">
        <v>6810</v>
      </c>
      <c r="W1300" s="658">
        <v>130</v>
      </c>
      <c r="X1300" s="547" t="s">
        <v>2193</v>
      </c>
      <c r="Y1300" s="547" t="s">
        <v>6795</v>
      </c>
      <c r="Z1300" s="547"/>
      <c r="AA1300" s="547"/>
      <c r="AB1300" s="550" t="s">
        <v>2318</v>
      </c>
    </row>
    <row r="1301" spans="1:28" ht="24" customHeight="1">
      <c r="A1301" s="606"/>
      <c r="B1301" s="544" t="s">
        <v>675</v>
      </c>
      <c r="C1301" s="551" t="s">
        <v>2109</v>
      </c>
      <c r="D1301" s="553" t="s">
        <v>6842</v>
      </c>
      <c r="E1301" s="660">
        <f t="shared" si="89"/>
        <v>50</v>
      </c>
      <c r="F1301" s="563">
        <v>0</v>
      </c>
      <c r="G1301" s="563">
        <v>0</v>
      </c>
      <c r="H1301" s="660">
        <v>50</v>
      </c>
      <c r="I1301" s="660">
        <f t="shared" si="90"/>
        <v>50</v>
      </c>
      <c r="J1301" s="563">
        <v>0</v>
      </c>
      <c r="K1301" s="563">
        <v>0</v>
      </c>
      <c r="L1301" s="750">
        <v>50</v>
      </c>
      <c r="M1301" s="965">
        <v>0</v>
      </c>
      <c r="N1301" s="653">
        <v>0</v>
      </c>
      <c r="O1301" s="746" t="s">
        <v>6843</v>
      </c>
      <c r="P1301" s="547" t="s">
        <v>1588</v>
      </c>
      <c r="Q1301" s="863">
        <v>0</v>
      </c>
      <c r="R1301" s="863">
        <v>0</v>
      </c>
      <c r="S1301" s="863">
        <v>0</v>
      </c>
      <c r="T1301" s="863">
        <v>0</v>
      </c>
      <c r="U1301" s="547" t="s">
        <v>6794</v>
      </c>
      <c r="V1301" s="559" t="s">
        <v>6844</v>
      </c>
      <c r="W1301" s="658">
        <v>210</v>
      </c>
      <c r="X1301" s="547" t="s">
        <v>2193</v>
      </c>
      <c r="Y1301" s="547" t="s">
        <v>6795</v>
      </c>
      <c r="Z1301" s="547"/>
      <c r="AA1301" s="547"/>
      <c r="AB1301" s="550" t="s">
        <v>2318</v>
      </c>
    </row>
    <row r="1302" spans="1:28" ht="24" customHeight="1">
      <c r="A1302" s="606"/>
      <c r="B1302" s="544" t="s">
        <v>675</v>
      </c>
      <c r="C1302" s="551" t="s">
        <v>6845</v>
      </c>
      <c r="D1302" s="553" t="s">
        <v>6846</v>
      </c>
      <c r="E1302" s="660">
        <f t="shared" si="89"/>
        <v>49</v>
      </c>
      <c r="F1302" s="563">
        <v>0</v>
      </c>
      <c r="G1302" s="563">
        <v>0</v>
      </c>
      <c r="H1302" s="660">
        <v>49</v>
      </c>
      <c r="I1302" s="660">
        <f t="shared" si="90"/>
        <v>49</v>
      </c>
      <c r="J1302" s="563">
        <v>0</v>
      </c>
      <c r="K1302" s="563">
        <v>0</v>
      </c>
      <c r="L1302" s="750">
        <v>49</v>
      </c>
      <c r="M1302" s="965">
        <v>0</v>
      </c>
      <c r="N1302" s="653">
        <v>0</v>
      </c>
      <c r="O1302" s="746" t="s">
        <v>3014</v>
      </c>
      <c r="P1302" s="547" t="s">
        <v>1588</v>
      </c>
      <c r="Q1302" s="863">
        <v>0</v>
      </c>
      <c r="R1302" s="863">
        <v>0</v>
      </c>
      <c r="S1302" s="863">
        <v>0</v>
      </c>
      <c r="T1302" s="863">
        <v>0</v>
      </c>
      <c r="U1302" s="547" t="s">
        <v>6794</v>
      </c>
      <c r="V1302" s="559" t="s">
        <v>2072</v>
      </c>
      <c r="W1302" s="658">
        <v>585</v>
      </c>
      <c r="X1302" s="547" t="s">
        <v>2193</v>
      </c>
      <c r="Y1302" s="547" t="s">
        <v>6795</v>
      </c>
      <c r="Z1302" s="547"/>
      <c r="AA1302" s="547"/>
      <c r="AB1302" s="550" t="s">
        <v>2318</v>
      </c>
    </row>
    <row r="1303" spans="1:28" ht="24" customHeight="1">
      <c r="A1303" s="606"/>
      <c r="B1303" s="544" t="s">
        <v>675</v>
      </c>
      <c r="C1303" s="551" t="s">
        <v>6644</v>
      </c>
      <c r="D1303" s="553" t="s">
        <v>6847</v>
      </c>
      <c r="E1303" s="660">
        <f t="shared" si="89"/>
        <v>45</v>
      </c>
      <c r="F1303" s="563">
        <v>0</v>
      </c>
      <c r="G1303" s="563">
        <v>0</v>
      </c>
      <c r="H1303" s="660">
        <v>45</v>
      </c>
      <c r="I1303" s="660">
        <f t="shared" si="90"/>
        <v>45</v>
      </c>
      <c r="J1303" s="563">
        <v>0</v>
      </c>
      <c r="K1303" s="563">
        <v>0</v>
      </c>
      <c r="L1303" s="750">
        <v>45</v>
      </c>
      <c r="M1303" s="965">
        <v>0</v>
      </c>
      <c r="N1303" s="653">
        <v>0</v>
      </c>
      <c r="O1303" s="746" t="s">
        <v>5783</v>
      </c>
      <c r="P1303" s="547" t="s">
        <v>1588</v>
      </c>
      <c r="Q1303" s="863">
        <v>0</v>
      </c>
      <c r="R1303" s="863">
        <v>0</v>
      </c>
      <c r="S1303" s="863">
        <v>0</v>
      </c>
      <c r="T1303" s="863">
        <v>0</v>
      </c>
      <c r="U1303" s="547" t="s">
        <v>6794</v>
      </c>
      <c r="V1303" s="559" t="s">
        <v>6848</v>
      </c>
      <c r="W1303" s="658">
        <v>490</v>
      </c>
      <c r="X1303" s="547" t="s">
        <v>2193</v>
      </c>
      <c r="Y1303" s="547" t="s">
        <v>6795</v>
      </c>
      <c r="Z1303" s="547"/>
      <c r="AA1303" s="547"/>
      <c r="AB1303" s="550" t="s">
        <v>2318</v>
      </c>
    </row>
    <row r="1304" spans="1:28" ht="24" customHeight="1">
      <c r="A1304" s="606"/>
      <c r="B1304" s="544" t="s">
        <v>675</v>
      </c>
      <c r="C1304" s="551" t="s">
        <v>6849</v>
      </c>
      <c r="D1304" s="553" t="s">
        <v>6850</v>
      </c>
      <c r="E1304" s="660">
        <f t="shared" si="89"/>
        <v>80</v>
      </c>
      <c r="F1304" s="563">
        <v>0</v>
      </c>
      <c r="G1304" s="563">
        <v>0</v>
      </c>
      <c r="H1304" s="660">
        <v>80</v>
      </c>
      <c r="I1304" s="660">
        <f t="shared" si="90"/>
        <v>80</v>
      </c>
      <c r="J1304" s="563">
        <v>0</v>
      </c>
      <c r="K1304" s="563">
        <v>0</v>
      </c>
      <c r="L1304" s="750">
        <v>80</v>
      </c>
      <c r="M1304" s="965">
        <v>0</v>
      </c>
      <c r="N1304" s="653">
        <v>0</v>
      </c>
      <c r="O1304" s="746" t="s">
        <v>1019</v>
      </c>
      <c r="P1304" s="547" t="s">
        <v>1588</v>
      </c>
      <c r="Q1304" s="863">
        <v>0</v>
      </c>
      <c r="R1304" s="863">
        <v>0</v>
      </c>
      <c r="S1304" s="863">
        <v>0</v>
      </c>
      <c r="T1304" s="863">
        <v>0</v>
      </c>
      <c r="U1304" s="547" t="s">
        <v>6794</v>
      </c>
      <c r="V1304" s="559" t="s">
        <v>6851</v>
      </c>
      <c r="W1304" s="658">
        <v>561</v>
      </c>
      <c r="X1304" s="547" t="s">
        <v>2193</v>
      </c>
      <c r="Y1304" s="547" t="s">
        <v>6795</v>
      </c>
      <c r="Z1304" s="547"/>
      <c r="AA1304" s="547"/>
      <c r="AB1304" s="550" t="s">
        <v>2318</v>
      </c>
    </row>
    <row r="1305" spans="1:28" ht="24" customHeight="1">
      <c r="A1305" s="606"/>
      <c r="B1305" s="544" t="s">
        <v>675</v>
      </c>
      <c r="C1305" s="551" t="s">
        <v>6852</v>
      </c>
      <c r="D1305" s="553" t="s">
        <v>6853</v>
      </c>
      <c r="E1305" s="660">
        <f t="shared" si="89"/>
        <v>70</v>
      </c>
      <c r="F1305" s="563">
        <v>0</v>
      </c>
      <c r="G1305" s="563">
        <v>0</v>
      </c>
      <c r="H1305" s="660">
        <v>70</v>
      </c>
      <c r="I1305" s="660">
        <f t="shared" si="90"/>
        <v>70</v>
      </c>
      <c r="J1305" s="563">
        <v>0</v>
      </c>
      <c r="K1305" s="563">
        <v>0</v>
      </c>
      <c r="L1305" s="750">
        <v>70</v>
      </c>
      <c r="M1305" s="965">
        <v>0</v>
      </c>
      <c r="N1305" s="653">
        <v>0</v>
      </c>
      <c r="O1305" s="746" t="s">
        <v>3451</v>
      </c>
      <c r="P1305" s="547" t="s">
        <v>1588</v>
      </c>
      <c r="Q1305" s="863">
        <v>0</v>
      </c>
      <c r="R1305" s="863">
        <v>0</v>
      </c>
      <c r="S1305" s="863">
        <v>0</v>
      </c>
      <c r="T1305" s="863">
        <v>0</v>
      </c>
      <c r="U1305" s="547" t="s">
        <v>6794</v>
      </c>
      <c r="V1305" s="559" t="s">
        <v>6854</v>
      </c>
      <c r="W1305" s="658">
        <v>741</v>
      </c>
      <c r="X1305" s="547" t="s">
        <v>2193</v>
      </c>
      <c r="Y1305" s="547" t="s">
        <v>6795</v>
      </c>
      <c r="Z1305" s="547"/>
      <c r="AA1305" s="547"/>
      <c r="AB1305" s="550" t="s">
        <v>2318</v>
      </c>
    </row>
    <row r="1306" spans="1:28" ht="24" customHeight="1">
      <c r="A1306" s="606"/>
      <c r="B1306" s="544" t="s">
        <v>675</v>
      </c>
      <c r="C1306" s="551" t="s">
        <v>6855</v>
      </c>
      <c r="D1306" s="553" t="s">
        <v>6856</v>
      </c>
      <c r="E1306" s="660">
        <f t="shared" si="89"/>
        <v>40</v>
      </c>
      <c r="F1306" s="563">
        <v>0</v>
      </c>
      <c r="G1306" s="563">
        <v>0</v>
      </c>
      <c r="H1306" s="660">
        <v>40</v>
      </c>
      <c r="I1306" s="660">
        <f t="shared" si="90"/>
        <v>40</v>
      </c>
      <c r="J1306" s="563">
        <v>0</v>
      </c>
      <c r="K1306" s="563">
        <v>0</v>
      </c>
      <c r="L1306" s="750">
        <v>40</v>
      </c>
      <c r="M1306" s="965">
        <v>0</v>
      </c>
      <c r="N1306" s="653">
        <v>0</v>
      </c>
      <c r="O1306" s="746" t="s">
        <v>6857</v>
      </c>
      <c r="P1306" s="547" t="s">
        <v>1588</v>
      </c>
      <c r="Q1306" s="863">
        <v>0</v>
      </c>
      <c r="R1306" s="863">
        <v>0</v>
      </c>
      <c r="S1306" s="863">
        <v>0</v>
      </c>
      <c r="T1306" s="863">
        <v>0</v>
      </c>
      <c r="U1306" s="547" t="s">
        <v>6794</v>
      </c>
      <c r="V1306" s="559" t="s">
        <v>6824</v>
      </c>
      <c r="W1306" s="658">
        <v>296</v>
      </c>
      <c r="X1306" s="547" t="s">
        <v>2193</v>
      </c>
      <c r="Y1306" s="547" t="s">
        <v>6795</v>
      </c>
      <c r="Z1306" s="547"/>
      <c r="AA1306" s="547"/>
      <c r="AB1306" s="550" t="s">
        <v>2318</v>
      </c>
    </row>
    <row r="1307" spans="1:28" ht="24" customHeight="1">
      <c r="A1307" s="606"/>
      <c r="B1307" s="544" t="s">
        <v>675</v>
      </c>
      <c r="C1307" s="551" t="s">
        <v>6858</v>
      </c>
      <c r="D1307" s="553" t="s">
        <v>6859</v>
      </c>
      <c r="E1307" s="660">
        <f t="shared" si="89"/>
        <v>90</v>
      </c>
      <c r="F1307" s="563">
        <v>0</v>
      </c>
      <c r="G1307" s="563">
        <v>0</v>
      </c>
      <c r="H1307" s="660">
        <v>90</v>
      </c>
      <c r="I1307" s="660">
        <f t="shared" si="90"/>
        <v>90</v>
      </c>
      <c r="J1307" s="563">
        <v>0</v>
      </c>
      <c r="K1307" s="563">
        <v>0</v>
      </c>
      <c r="L1307" s="750">
        <v>90</v>
      </c>
      <c r="M1307" s="965">
        <v>0</v>
      </c>
      <c r="N1307" s="653">
        <v>0</v>
      </c>
      <c r="O1307" s="746" t="s">
        <v>1019</v>
      </c>
      <c r="P1307" s="547" t="s">
        <v>1588</v>
      </c>
      <c r="Q1307" s="863">
        <v>0</v>
      </c>
      <c r="R1307" s="863">
        <v>0</v>
      </c>
      <c r="S1307" s="863">
        <v>0</v>
      </c>
      <c r="T1307" s="863">
        <v>0</v>
      </c>
      <c r="U1307" s="547" t="s">
        <v>6794</v>
      </c>
      <c r="V1307" s="559" t="s">
        <v>6860</v>
      </c>
      <c r="W1307" s="658">
        <v>445</v>
      </c>
      <c r="X1307" s="547" t="s">
        <v>2193</v>
      </c>
      <c r="Y1307" s="547" t="s">
        <v>6795</v>
      </c>
      <c r="Z1307" s="547"/>
      <c r="AA1307" s="547"/>
      <c r="AB1307" s="550" t="s">
        <v>2318</v>
      </c>
    </row>
    <row r="1308" spans="1:28" ht="24" customHeight="1">
      <c r="A1308" s="606"/>
      <c r="B1308" s="544" t="s">
        <v>675</v>
      </c>
      <c r="C1308" s="551" t="s">
        <v>6817</v>
      </c>
      <c r="D1308" s="553" t="s">
        <v>6861</v>
      </c>
      <c r="E1308" s="660">
        <f t="shared" si="89"/>
        <v>50</v>
      </c>
      <c r="F1308" s="563">
        <v>0</v>
      </c>
      <c r="G1308" s="563">
        <v>0</v>
      </c>
      <c r="H1308" s="660">
        <v>50</v>
      </c>
      <c r="I1308" s="660">
        <f t="shared" si="90"/>
        <v>50</v>
      </c>
      <c r="J1308" s="563">
        <v>0</v>
      </c>
      <c r="K1308" s="563">
        <v>0</v>
      </c>
      <c r="L1308" s="750">
        <v>50</v>
      </c>
      <c r="M1308" s="965">
        <v>0</v>
      </c>
      <c r="N1308" s="653">
        <v>0</v>
      </c>
      <c r="O1308" s="746" t="s">
        <v>6801</v>
      </c>
      <c r="P1308" s="547" t="s">
        <v>1588</v>
      </c>
      <c r="Q1308" s="863">
        <v>0</v>
      </c>
      <c r="R1308" s="863">
        <v>0</v>
      </c>
      <c r="S1308" s="863">
        <v>0</v>
      </c>
      <c r="T1308" s="863">
        <v>0</v>
      </c>
      <c r="U1308" s="547" t="s">
        <v>6794</v>
      </c>
      <c r="V1308" s="559" t="s">
        <v>6833</v>
      </c>
      <c r="W1308" s="658">
        <v>239</v>
      </c>
      <c r="X1308" s="547" t="s">
        <v>2193</v>
      </c>
      <c r="Y1308" s="547" t="s">
        <v>6795</v>
      </c>
      <c r="Z1308" s="547"/>
      <c r="AA1308" s="547"/>
      <c r="AB1308" s="550" t="s">
        <v>2318</v>
      </c>
    </row>
    <row r="1309" spans="1:28" ht="24" customHeight="1">
      <c r="A1309" s="606"/>
      <c r="B1309" s="544" t="s">
        <v>675</v>
      </c>
      <c r="C1309" s="551" t="s">
        <v>6862</v>
      </c>
      <c r="D1309" s="553" t="s">
        <v>6863</v>
      </c>
      <c r="E1309" s="660">
        <f t="shared" si="89"/>
        <v>50</v>
      </c>
      <c r="F1309" s="563">
        <v>0</v>
      </c>
      <c r="G1309" s="563">
        <v>0</v>
      </c>
      <c r="H1309" s="660">
        <v>50</v>
      </c>
      <c r="I1309" s="660">
        <f t="shared" si="90"/>
        <v>50</v>
      </c>
      <c r="J1309" s="563">
        <v>0</v>
      </c>
      <c r="K1309" s="563">
        <v>0</v>
      </c>
      <c r="L1309" s="750">
        <v>50</v>
      </c>
      <c r="M1309" s="965">
        <v>0</v>
      </c>
      <c r="N1309" s="653">
        <v>0</v>
      </c>
      <c r="O1309" s="746" t="s">
        <v>6864</v>
      </c>
      <c r="P1309" s="547" t="s">
        <v>1588</v>
      </c>
      <c r="Q1309" s="863">
        <v>0</v>
      </c>
      <c r="R1309" s="863">
        <v>0</v>
      </c>
      <c r="S1309" s="863">
        <v>0</v>
      </c>
      <c r="T1309" s="863">
        <v>0</v>
      </c>
      <c r="U1309" s="547" t="s">
        <v>6794</v>
      </c>
      <c r="V1309" s="559" t="s">
        <v>6865</v>
      </c>
      <c r="W1309" s="658">
        <v>148</v>
      </c>
      <c r="X1309" s="547" t="s">
        <v>2193</v>
      </c>
      <c r="Y1309" s="547" t="s">
        <v>6795</v>
      </c>
      <c r="Z1309" s="547"/>
      <c r="AA1309" s="547"/>
      <c r="AB1309" s="550" t="s">
        <v>2318</v>
      </c>
    </row>
    <row r="1310" spans="1:28" ht="24" customHeight="1">
      <c r="A1310" s="606"/>
      <c r="B1310" s="544" t="s">
        <v>675</v>
      </c>
      <c r="C1310" s="551" t="s">
        <v>1419</v>
      </c>
      <c r="D1310" s="553" t="s">
        <v>6866</v>
      </c>
      <c r="E1310" s="660">
        <f t="shared" si="89"/>
        <v>60</v>
      </c>
      <c r="F1310" s="563">
        <v>0</v>
      </c>
      <c r="G1310" s="563">
        <v>0</v>
      </c>
      <c r="H1310" s="660">
        <v>60</v>
      </c>
      <c r="I1310" s="660">
        <f t="shared" si="90"/>
        <v>60</v>
      </c>
      <c r="J1310" s="563">
        <v>0</v>
      </c>
      <c r="K1310" s="563">
        <v>0</v>
      </c>
      <c r="L1310" s="750">
        <v>60</v>
      </c>
      <c r="M1310" s="965">
        <v>0</v>
      </c>
      <c r="N1310" s="653">
        <v>0</v>
      </c>
      <c r="O1310" s="746" t="s">
        <v>6867</v>
      </c>
      <c r="P1310" s="547" t="s">
        <v>1588</v>
      </c>
      <c r="Q1310" s="863">
        <v>0</v>
      </c>
      <c r="R1310" s="863">
        <v>0</v>
      </c>
      <c r="S1310" s="863">
        <v>0</v>
      </c>
      <c r="T1310" s="863">
        <v>0</v>
      </c>
      <c r="U1310" s="547" t="s">
        <v>6794</v>
      </c>
      <c r="V1310" s="559" t="s">
        <v>6824</v>
      </c>
      <c r="W1310" s="658">
        <v>289</v>
      </c>
      <c r="X1310" s="547" t="s">
        <v>2193</v>
      </c>
      <c r="Y1310" s="547" t="s">
        <v>6795</v>
      </c>
      <c r="Z1310" s="547"/>
      <c r="AA1310" s="547"/>
      <c r="AB1310" s="550" t="s">
        <v>2318</v>
      </c>
    </row>
    <row r="1311" spans="1:28" ht="24" customHeight="1">
      <c r="A1311" s="605" t="s">
        <v>1710</v>
      </c>
      <c r="B1311" s="544" t="s">
        <v>6621</v>
      </c>
      <c r="C1311" s="551" t="s">
        <v>2160</v>
      </c>
      <c r="D1311" s="553" t="s">
        <v>6868</v>
      </c>
      <c r="E1311" s="660">
        <f t="shared" si="89"/>
        <v>3000</v>
      </c>
      <c r="F1311" s="563">
        <v>0</v>
      </c>
      <c r="G1311" s="563">
        <v>0</v>
      </c>
      <c r="H1311" s="563">
        <v>3000</v>
      </c>
      <c r="I1311" s="660">
        <f t="shared" si="90"/>
        <v>3561</v>
      </c>
      <c r="J1311" s="563">
        <v>0</v>
      </c>
      <c r="K1311" s="563">
        <v>0</v>
      </c>
      <c r="L1311" s="741">
        <v>3561</v>
      </c>
      <c r="M1311" s="965">
        <v>0.94455066921606112</v>
      </c>
      <c r="N1311" s="653">
        <v>246.27875999999998</v>
      </c>
      <c r="O1311" s="746" t="s">
        <v>3173</v>
      </c>
      <c r="P1311" s="547" t="s">
        <v>1588</v>
      </c>
      <c r="Q1311" s="863">
        <v>59</v>
      </c>
      <c r="R1311" s="863">
        <v>39.700000000000003</v>
      </c>
      <c r="S1311" s="863">
        <v>0</v>
      </c>
      <c r="T1311" s="863">
        <v>0</v>
      </c>
      <c r="U1311" s="547" t="s">
        <v>6869</v>
      </c>
      <c r="V1311" s="547" t="s">
        <v>6870</v>
      </c>
      <c r="W1311" s="658">
        <v>16310</v>
      </c>
      <c r="X1311" s="547" t="s">
        <v>2276</v>
      </c>
      <c r="Y1311" s="547" t="s">
        <v>3161</v>
      </c>
      <c r="Z1311" s="547" t="s">
        <v>1705</v>
      </c>
      <c r="AA1311" s="547" t="s">
        <v>1703</v>
      </c>
      <c r="AB1311" s="550" t="s">
        <v>1686</v>
      </c>
    </row>
    <row r="1312" spans="1:28" ht="24" customHeight="1">
      <c r="A1312" s="606"/>
      <c r="B1312" s="544" t="s">
        <v>6621</v>
      </c>
      <c r="C1312" s="551" t="s">
        <v>2161</v>
      </c>
      <c r="D1312" s="553" t="s">
        <v>6871</v>
      </c>
      <c r="E1312" s="563">
        <f t="shared" si="89"/>
        <v>385</v>
      </c>
      <c r="F1312" s="563">
        <v>0</v>
      </c>
      <c r="G1312" s="563">
        <v>0</v>
      </c>
      <c r="H1312" s="563">
        <v>385</v>
      </c>
      <c r="I1312" s="563">
        <f t="shared" si="90"/>
        <v>390</v>
      </c>
      <c r="J1312" s="563">
        <v>0</v>
      </c>
      <c r="K1312" s="563">
        <v>0</v>
      </c>
      <c r="L1312" s="741">
        <v>390</v>
      </c>
      <c r="M1312" s="965">
        <v>0.98113207547169801</v>
      </c>
      <c r="N1312" s="653">
        <v>14.195999999999998</v>
      </c>
      <c r="O1312" s="746" t="s">
        <v>3173</v>
      </c>
      <c r="P1312" s="547" t="s">
        <v>1588</v>
      </c>
      <c r="Q1312" s="863">
        <v>0</v>
      </c>
      <c r="R1312" s="863">
        <v>0</v>
      </c>
      <c r="S1312" s="863">
        <v>0</v>
      </c>
      <c r="T1312" s="863">
        <v>0</v>
      </c>
      <c r="U1312" s="547" t="s">
        <v>6869</v>
      </c>
      <c r="V1312" s="547" t="s">
        <v>6872</v>
      </c>
      <c r="W1312" s="658">
        <v>4848</v>
      </c>
      <c r="X1312" s="547" t="s">
        <v>2276</v>
      </c>
      <c r="Y1312" s="547" t="s">
        <v>3161</v>
      </c>
      <c r="Z1312" s="547" t="s">
        <v>1703</v>
      </c>
      <c r="AA1312" s="547" t="s">
        <v>1703</v>
      </c>
      <c r="AB1312" s="550" t="s">
        <v>1686</v>
      </c>
    </row>
    <row r="1313" spans="1:28" ht="24" customHeight="1">
      <c r="A1313" s="606"/>
      <c r="B1313" s="544" t="s">
        <v>6621</v>
      </c>
      <c r="C1313" s="551" t="s">
        <v>477</v>
      </c>
      <c r="D1313" s="553" t="s">
        <v>6873</v>
      </c>
      <c r="E1313" s="563">
        <f t="shared" si="89"/>
        <v>230</v>
      </c>
      <c r="F1313" s="563">
        <v>0</v>
      </c>
      <c r="G1313" s="563">
        <v>0</v>
      </c>
      <c r="H1313" s="563">
        <v>230</v>
      </c>
      <c r="I1313" s="563">
        <f t="shared" si="90"/>
        <v>160</v>
      </c>
      <c r="J1313" s="563">
        <v>0</v>
      </c>
      <c r="K1313" s="563">
        <v>0</v>
      </c>
      <c r="L1313" s="741">
        <v>160</v>
      </c>
      <c r="M1313" s="965">
        <v>0.98003629764065336</v>
      </c>
      <c r="N1313" s="653">
        <v>8.64</v>
      </c>
      <c r="O1313" s="746" t="s">
        <v>3173</v>
      </c>
      <c r="P1313" s="547" t="s">
        <v>1588</v>
      </c>
      <c r="Q1313" s="863">
        <v>0</v>
      </c>
      <c r="R1313" s="863">
        <v>0</v>
      </c>
      <c r="S1313" s="863">
        <v>0</v>
      </c>
      <c r="T1313" s="863">
        <v>0</v>
      </c>
      <c r="U1313" s="547" t="s">
        <v>6869</v>
      </c>
      <c r="V1313" s="547" t="s">
        <v>6874</v>
      </c>
      <c r="W1313" s="658">
        <v>2941</v>
      </c>
      <c r="X1313" s="547" t="s">
        <v>2276</v>
      </c>
      <c r="Y1313" s="547" t="s">
        <v>3161</v>
      </c>
      <c r="Z1313" s="547" t="s">
        <v>1703</v>
      </c>
      <c r="AA1313" s="547" t="s">
        <v>1703</v>
      </c>
      <c r="AB1313" s="550" t="s">
        <v>1686</v>
      </c>
    </row>
    <row r="1314" spans="1:28" ht="24" customHeight="1">
      <c r="A1314" s="606"/>
      <c r="B1314" s="544" t="s">
        <v>675</v>
      </c>
      <c r="C1314" s="551" t="s">
        <v>6875</v>
      </c>
      <c r="D1314" s="553" t="s">
        <v>6876</v>
      </c>
      <c r="E1314" s="563">
        <f t="shared" si="89"/>
        <v>40</v>
      </c>
      <c r="F1314" s="563">
        <v>0</v>
      </c>
      <c r="G1314" s="563">
        <v>0</v>
      </c>
      <c r="H1314" s="563">
        <v>40</v>
      </c>
      <c r="I1314" s="563">
        <f t="shared" si="90"/>
        <v>35</v>
      </c>
      <c r="J1314" s="563">
        <v>0</v>
      </c>
      <c r="K1314" s="563">
        <v>0</v>
      </c>
      <c r="L1314" s="741">
        <v>35</v>
      </c>
      <c r="M1314" s="965">
        <v>0.92</v>
      </c>
      <c r="N1314" s="653">
        <v>1.5</v>
      </c>
      <c r="O1314" s="746" t="s">
        <v>3546</v>
      </c>
      <c r="P1314" s="547" t="s">
        <v>1588</v>
      </c>
      <c r="Q1314" s="863">
        <v>0</v>
      </c>
      <c r="R1314" s="863">
        <v>0</v>
      </c>
      <c r="S1314" s="863">
        <v>0</v>
      </c>
      <c r="T1314" s="863">
        <v>0</v>
      </c>
      <c r="U1314" s="547" t="s">
        <v>6877</v>
      </c>
      <c r="V1314" s="548" t="s">
        <v>6878</v>
      </c>
      <c r="W1314" s="658">
        <v>440</v>
      </c>
      <c r="X1314" s="547" t="s">
        <v>1532</v>
      </c>
      <c r="Y1314" s="547" t="s">
        <v>3232</v>
      </c>
      <c r="Z1314" s="547" t="s">
        <v>1711</v>
      </c>
      <c r="AA1314" s="547" t="s">
        <v>6879</v>
      </c>
      <c r="AB1314" s="550" t="s">
        <v>1537</v>
      </c>
    </row>
    <row r="1315" spans="1:28" ht="24" customHeight="1">
      <c r="A1315" s="606"/>
      <c r="B1315" s="544" t="s">
        <v>675</v>
      </c>
      <c r="C1315" s="551" t="s">
        <v>2409</v>
      </c>
      <c r="D1315" s="553" t="s">
        <v>6880</v>
      </c>
      <c r="E1315" s="563">
        <f t="shared" si="89"/>
        <v>25</v>
      </c>
      <c r="F1315" s="563">
        <v>0</v>
      </c>
      <c r="G1315" s="563">
        <v>25</v>
      </c>
      <c r="H1315" s="563">
        <v>0</v>
      </c>
      <c r="I1315" s="563">
        <f t="shared" si="90"/>
        <v>20</v>
      </c>
      <c r="J1315" s="563">
        <v>0</v>
      </c>
      <c r="K1315" s="563">
        <v>20</v>
      </c>
      <c r="L1315" s="741">
        <v>0</v>
      </c>
      <c r="M1315" s="965">
        <v>0.9</v>
      </c>
      <c r="N1315" s="653">
        <v>0.6</v>
      </c>
      <c r="O1315" s="746" t="s">
        <v>3546</v>
      </c>
      <c r="P1315" s="547" t="s">
        <v>1588</v>
      </c>
      <c r="Q1315" s="863">
        <v>0</v>
      </c>
      <c r="R1315" s="863">
        <v>0</v>
      </c>
      <c r="S1315" s="863">
        <v>0</v>
      </c>
      <c r="T1315" s="863">
        <v>0</v>
      </c>
      <c r="U1315" s="547" t="s">
        <v>6877</v>
      </c>
      <c r="V1315" s="548" t="s">
        <v>6881</v>
      </c>
      <c r="W1315" s="658">
        <v>150</v>
      </c>
      <c r="X1315" s="547" t="s">
        <v>1532</v>
      </c>
      <c r="Y1315" s="547" t="s">
        <v>3232</v>
      </c>
      <c r="Z1315" s="547" t="s">
        <v>1711</v>
      </c>
      <c r="AA1315" s="547" t="s">
        <v>6879</v>
      </c>
      <c r="AB1315" s="550" t="s">
        <v>1537</v>
      </c>
    </row>
    <row r="1316" spans="1:28" ht="24" customHeight="1">
      <c r="A1316" s="606"/>
      <c r="B1316" s="544" t="s">
        <v>675</v>
      </c>
      <c r="C1316" s="551" t="s">
        <v>6882</v>
      </c>
      <c r="D1316" s="553" t="s">
        <v>6883</v>
      </c>
      <c r="E1316" s="563">
        <f t="shared" si="89"/>
        <v>75</v>
      </c>
      <c r="F1316" s="563">
        <v>0</v>
      </c>
      <c r="G1316" s="563">
        <v>75</v>
      </c>
      <c r="H1316" s="563">
        <v>0</v>
      </c>
      <c r="I1316" s="563">
        <f t="shared" si="90"/>
        <v>61</v>
      </c>
      <c r="J1316" s="563">
        <v>0</v>
      </c>
      <c r="K1316" s="563">
        <v>61</v>
      </c>
      <c r="L1316" s="741">
        <v>0</v>
      </c>
      <c r="M1316" s="965">
        <v>0.94</v>
      </c>
      <c r="N1316" s="653">
        <v>4.2</v>
      </c>
      <c r="O1316" s="746" t="s">
        <v>3546</v>
      </c>
      <c r="P1316" s="547" t="s">
        <v>1588</v>
      </c>
      <c r="Q1316" s="863">
        <v>0</v>
      </c>
      <c r="R1316" s="863">
        <v>0</v>
      </c>
      <c r="S1316" s="863">
        <v>0</v>
      </c>
      <c r="T1316" s="863">
        <v>0</v>
      </c>
      <c r="U1316" s="547" t="s">
        <v>6877</v>
      </c>
      <c r="V1316" s="548" t="s">
        <v>6884</v>
      </c>
      <c r="W1316" s="658">
        <v>430</v>
      </c>
      <c r="X1316" s="547" t="s">
        <v>1532</v>
      </c>
      <c r="Y1316" s="547" t="s">
        <v>3232</v>
      </c>
      <c r="Z1316" s="547" t="s">
        <v>1711</v>
      </c>
      <c r="AA1316" s="547" t="s">
        <v>6879</v>
      </c>
      <c r="AB1316" s="550" t="s">
        <v>1537</v>
      </c>
    </row>
    <row r="1317" spans="1:28" ht="24" customHeight="1">
      <c r="A1317" s="606"/>
      <c r="B1317" s="544" t="s">
        <v>675</v>
      </c>
      <c r="C1317" s="551" t="s">
        <v>6885</v>
      </c>
      <c r="D1317" s="553" t="s">
        <v>6886</v>
      </c>
      <c r="E1317" s="563">
        <f t="shared" si="89"/>
        <v>30</v>
      </c>
      <c r="F1317" s="563">
        <v>0</v>
      </c>
      <c r="G1317" s="563">
        <v>30</v>
      </c>
      <c r="H1317" s="563">
        <v>0</v>
      </c>
      <c r="I1317" s="563">
        <f t="shared" si="90"/>
        <v>25</v>
      </c>
      <c r="J1317" s="563">
        <v>0</v>
      </c>
      <c r="K1317" s="563">
        <v>25</v>
      </c>
      <c r="L1317" s="741">
        <v>0</v>
      </c>
      <c r="M1317" s="965">
        <v>0.9</v>
      </c>
      <c r="N1317" s="653">
        <v>1.3</v>
      </c>
      <c r="O1317" s="746" t="s">
        <v>6887</v>
      </c>
      <c r="P1317" s="547" t="s">
        <v>1588</v>
      </c>
      <c r="Q1317" s="863">
        <v>0</v>
      </c>
      <c r="R1317" s="863">
        <v>0</v>
      </c>
      <c r="S1317" s="863">
        <v>0</v>
      </c>
      <c r="T1317" s="863">
        <v>0</v>
      </c>
      <c r="U1317" s="547" t="s">
        <v>6877</v>
      </c>
      <c r="V1317" s="548" t="s">
        <v>6888</v>
      </c>
      <c r="W1317" s="658">
        <v>117</v>
      </c>
      <c r="X1317" s="547" t="s">
        <v>1532</v>
      </c>
      <c r="Y1317" s="547" t="s">
        <v>3232</v>
      </c>
      <c r="Z1317" s="547" t="s">
        <v>1711</v>
      </c>
      <c r="AA1317" s="547" t="s">
        <v>6879</v>
      </c>
      <c r="AB1317" s="550" t="s">
        <v>1537</v>
      </c>
    </row>
    <row r="1318" spans="1:28" ht="24" customHeight="1">
      <c r="A1318" s="606"/>
      <c r="B1318" s="544" t="s">
        <v>675</v>
      </c>
      <c r="C1318" s="551" t="s">
        <v>6604</v>
      </c>
      <c r="D1318" s="553" t="s">
        <v>6889</v>
      </c>
      <c r="E1318" s="563">
        <f t="shared" si="89"/>
        <v>50</v>
      </c>
      <c r="F1318" s="563">
        <v>0</v>
      </c>
      <c r="G1318" s="563">
        <v>50</v>
      </c>
      <c r="H1318" s="563">
        <v>0</v>
      </c>
      <c r="I1318" s="563">
        <f t="shared" si="90"/>
        <v>45</v>
      </c>
      <c r="J1318" s="563">
        <v>0</v>
      </c>
      <c r="K1318" s="563">
        <v>45</v>
      </c>
      <c r="L1318" s="741">
        <v>0</v>
      </c>
      <c r="M1318" s="965">
        <v>0.9</v>
      </c>
      <c r="N1318" s="653">
        <v>2.8</v>
      </c>
      <c r="O1318" s="746" t="s">
        <v>3546</v>
      </c>
      <c r="P1318" s="547" t="s">
        <v>1588</v>
      </c>
      <c r="Q1318" s="863">
        <v>0</v>
      </c>
      <c r="R1318" s="863">
        <v>0</v>
      </c>
      <c r="S1318" s="863">
        <v>0</v>
      </c>
      <c r="T1318" s="863">
        <v>0</v>
      </c>
      <c r="U1318" s="547" t="s">
        <v>6877</v>
      </c>
      <c r="V1318" s="548" t="s">
        <v>6890</v>
      </c>
      <c r="W1318" s="658">
        <v>160</v>
      </c>
      <c r="X1318" s="547" t="s">
        <v>1532</v>
      </c>
      <c r="Y1318" s="547" t="s">
        <v>3232</v>
      </c>
      <c r="Z1318" s="547" t="s">
        <v>1711</v>
      </c>
      <c r="AA1318" s="547" t="s">
        <v>6879</v>
      </c>
      <c r="AB1318" s="550" t="s">
        <v>1537</v>
      </c>
    </row>
    <row r="1319" spans="1:28" ht="24" customHeight="1">
      <c r="A1319" s="606"/>
      <c r="B1319" s="544" t="s">
        <v>675</v>
      </c>
      <c r="C1319" s="551" t="s">
        <v>6891</v>
      </c>
      <c r="D1319" s="553" t="s">
        <v>6892</v>
      </c>
      <c r="E1319" s="563">
        <f t="shared" si="89"/>
        <v>50</v>
      </c>
      <c r="F1319" s="563">
        <v>0</v>
      </c>
      <c r="G1319" s="563">
        <v>50</v>
      </c>
      <c r="H1319" s="563">
        <v>0</v>
      </c>
      <c r="I1319" s="563">
        <f t="shared" si="90"/>
        <v>45</v>
      </c>
      <c r="J1319" s="563">
        <v>0</v>
      </c>
      <c r="K1319" s="563">
        <v>45</v>
      </c>
      <c r="L1319" s="741">
        <v>0</v>
      </c>
      <c r="M1319" s="965">
        <v>0.92</v>
      </c>
      <c r="N1319" s="653">
        <v>2.8</v>
      </c>
      <c r="O1319" s="746" t="s">
        <v>3546</v>
      </c>
      <c r="P1319" s="547" t="s">
        <v>1588</v>
      </c>
      <c r="Q1319" s="863">
        <v>0</v>
      </c>
      <c r="R1319" s="863">
        <v>0</v>
      </c>
      <c r="S1319" s="863">
        <v>0</v>
      </c>
      <c r="T1319" s="863">
        <v>0</v>
      </c>
      <c r="U1319" s="547" t="s">
        <v>6877</v>
      </c>
      <c r="V1319" s="547" t="s">
        <v>6893</v>
      </c>
      <c r="W1319" s="658">
        <v>870</v>
      </c>
      <c r="X1319" s="547" t="s">
        <v>1532</v>
      </c>
      <c r="Y1319" s="547" t="s">
        <v>3232</v>
      </c>
      <c r="Z1319" s="547" t="s">
        <v>1711</v>
      </c>
      <c r="AA1319" s="547" t="s">
        <v>6879</v>
      </c>
      <c r="AB1319" s="550" t="s">
        <v>1537</v>
      </c>
    </row>
    <row r="1320" spans="1:28" ht="24" customHeight="1">
      <c r="A1320" s="606"/>
      <c r="B1320" s="544" t="s">
        <v>675</v>
      </c>
      <c r="C1320" s="551" t="s">
        <v>6894</v>
      </c>
      <c r="D1320" s="553" t="s">
        <v>6895</v>
      </c>
      <c r="E1320" s="563">
        <f t="shared" si="89"/>
        <v>25</v>
      </c>
      <c r="F1320" s="563">
        <v>0</v>
      </c>
      <c r="G1320" s="563">
        <v>25</v>
      </c>
      <c r="H1320" s="563">
        <v>0</v>
      </c>
      <c r="I1320" s="563">
        <f t="shared" si="90"/>
        <v>20</v>
      </c>
      <c r="J1320" s="563">
        <v>0</v>
      </c>
      <c r="K1320" s="563">
        <v>20</v>
      </c>
      <c r="L1320" s="741">
        <v>0</v>
      </c>
      <c r="M1320" s="965">
        <v>0.91</v>
      </c>
      <c r="N1320" s="653">
        <v>0.8</v>
      </c>
      <c r="O1320" s="746" t="s">
        <v>3546</v>
      </c>
      <c r="P1320" s="547" t="s">
        <v>1588</v>
      </c>
      <c r="Q1320" s="863">
        <v>0</v>
      </c>
      <c r="R1320" s="863">
        <v>0</v>
      </c>
      <c r="S1320" s="863">
        <v>0</v>
      </c>
      <c r="T1320" s="863">
        <v>0</v>
      </c>
      <c r="U1320" s="547" t="s">
        <v>6877</v>
      </c>
      <c r="V1320" s="547" t="s">
        <v>6896</v>
      </c>
      <c r="W1320" s="658">
        <v>102</v>
      </c>
      <c r="X1320" s="547" t="s">
        <v>1532</v>
      </c>
      <c r="Y1320" s="547" t="s">
        <v>3232</v>
      </c>
      <c r="Z1320" s="547" t="s">
        <v>1705</v>
      </c>
      <c r="AA1320" s="547" t="s">
        <v>1703</v>
      </c>
      <c r="AB1320" s="550" t="s">
        <v>1686</v>
      </c>
    </row>
    <row r="1321" spans="1:28" ht="22.5" customHeight="1">
      <c r="A1321" s="606"/>
      <c r="B1321" s="544" t="s">
        <v>675</v>
      </c>
      <c r="C1321" s="551" t="s">
        <v>6897</v>
      </c>
      <c r="D1321" s="553" t="s">
        <v>6898</v>
      </c>
      <c r="E1321" s="563">
        <f t="shared" si="89"/>
        <v>40</v>
      </c>
      <c r="F1321" s="563">
        <v>0</v>
      </c>
      <c r="G1321" s="563">
        <v>40</v>
      </c>
      <c r="H1321" s="563">
        <v>0</v>
      </c>
      <c r="I1321" s="563">
        <f t="shared" si="90"/>
        <v>33</v>
      </c>
      <c r="J1321" s="563">
        <v>0</v>
      </c>
      <c r="K1321" s="563">
        <v>33</v>
      </c>
      <c r="L1321" s="741">
        <v>0</v>
      </c>
      <c r="M1321" s="965">
        <v>0.96</v>
      </c>
      <c r="N1321" s="653">
        <v>1.7</v>
      </c>
      <c r="O1321" s="746" t="s">
        <v>3546</v>
      </c>
      <c r="P1321" s="547" t="s">
        <v>1588</v>
      </c>
      <c r="Q1321" s="863">
        <v>0</v>
      </c>
      <c r="R1321" s="863">
        <v>0</v>
      </c>
      <c r="S1321" s="863">
        <v>0</v>
      </c>
      <c r="T1321" s="863">
        <v>0</v>
      </c>
      <c r="U1321" s="547" t="s">
        <v>6877</v>
      </c>
      <c r="V1321" s="547" t="s">
        <v>6899</v>
      </c>
      <c r="W1321" s="658">
        <v>176</v>
      </c>
      <c r="X1321" s="547" t="s">
        <v>1532</v>
      </c>
      <c r="Y1321" s="547" t="s">
        <v>3232</v>
      </c>
      <c r="Z1321" s="547" t="s">
        <v>1705</v>
      </c>
      <c r="AA1321" s="547" t="s">
        <v>1703</v>
      </c>
      <c r="AB1321" s="550" t="s">
        <v>1686</v>
      </c>
    </row>
    <row r="1322" spans="1:28" ht="24" customHeight="1">
      <c r="A1322" s="606"/>
      <c r="B1322" s="544" t="s">
        <v>675</v>
      </c>
      <c r="C1322" s="551" t="s">
        <v>6900</v>
      </c>
      <c r="D1322" s="553" t="s">
        <v>6901</v>
      </c>
      <c r="E1322" s="563">
        <f t="shared" si="89"/>
        <v>16</v>
      </c>
      <c r="F1322" s="563">
        <v>0</v>
      </c>
      <c r="G1322" s="563">
        <v>0</v>
      </c>
      <c r="H1322" s="563">
        <v>16</v>
      </c>
      <c r="I1322" s="563">
        <f t="shared" si="90"/>
        <v>12</v>
      </c>
      <c r="J1322" s="563">
        <v>0</v>
      </c>
      <c r="K1322" s="563">
        <v>0</v>
      </c>
      <c r="L1322" s="741">
        <v>12</v>
      </c>
      <c r="M1322" s="965">
        <v>0.91</v>
      </c>
      <c r="N1322" s="653">
        <v>0.5</v>
      </c>
      <c r="O1322" s="746" t="s">
        <v>3546</v>
      </c>
      <c r="P1322" s="547" t="s">
        <v>1588</v>
      </c>
      <c r="Q1322" s="863">
        <v>0</v>
      </c>
      <c r="R1322" s="863">
        <v>0</v>
      </c>
      <c r="S1322" s="863">
        <v>0</v>
      </c>
      <c r="T1322" s="863">
        <v>0</v>
      </c>
      <c r="U1322" s="547" t="s">
        <v>6877</v>
      </c>
      <c r="V1322" s="547" t="s">
        <v>6896</v>
      </c>
      <c r="W1322" s="658">
        <v>60</v>
      </c>
      <c r="X1322" s="547" t="s">
        <v>1532</v>
      </c>
      <c r="Y1322" s="547" t="s">
        <v>3232</v>
      </c>
      <c r="Z1322" s="547" t="s">
        <v>1703</v>
      </c>
      <c r="AA1322" s="547" t="s">
        <v>1703</v>
      </c>
      <c r="AB1322" s="550" t="s">
        <v>6902</v>
      </c>
    </row>
    <row r="1323" spans="1:28" ht="24" customHeight="1">
      <c r="A1323" s="606"/>
      <c r="B1323" s="544" t="s">
        <v>675</v>
      </c>
      <c r="C1323" s="551" t="s">
        <v>6903</v>
      </c>
      <c r="D1323" s="553" t="s">
        <v>6904</v>
      </c>
      <c r="E1323" s="563">
        <f t="shared" si="89"/>
        <v>70</v>
      </c>
      <c r="F1323" s="563">
        <v>0</v>
      </c>
      <c r="G1323" s="563">
        <v>0</v>
      </c>
      <c r="H1323" s="563">
        <v>70</v>
      </c>
      <c r="I1323" s="563">
        <f t="shared" si="90"/>
        <v>64</v>
      </c>
      <c r="J1323" s="563">
        <v>0</v>
      </c>
      <c r="K1323" s="563">
        <v>0</v>
      </c>
      <c r="L1323" s="741">
        <v>64</v>
      </c>
      <c r="M1323" s="965">
        <v>0.94</v>
      </c>
      <c r="N1323" s="653">
        <v>3.1</v>
      </c>
      <c r="O1323" s="746" t="s">
        <v>6905</v>
      </c>
      <c r="P1323" s="547" t="s">
        <v>1588</v>
      </c>
      <c r="Q1323" s="863">
        <v>0</v>
      </c>
      <c r="R1323" s="863">
        <v>0</v>
      </c>
      <c r="S1323" s="863">
        <v>0</v>
      </c>
      <c r="T1323" s="863">
        <v>0</v>
      </c>
      <c r="U1323" s="547" t="s">
        <v>6877</v>
      </c>
      <c r="V1323" s="547" t="s">
        <v>6906</v>
      </c>
      <c r="W1323" s="658">
        <v>480</v>
      </c>
      <c r="X1323" s="547" t="s">
        <v>1532</v>
      </c>
      <c r="Y1323" s="547" t="s">
        <v>3232</v>
      </c>
      <c r="Z1323" s="547" t="s">
        <v>1703</v>
      </c>
      <c r="AA1323" s="547" t="s">
        <v>1703</v>
      </c>
      <c r="AB1323" s="550" t="s">
        <v>1686</v>
      </c>
    </row>
    <row r="1324" spans="1:28" ht="24" customHeight="1">
      <c r="A1324" s="606"/>
      <c r="B1324" s="544" t="s">
        <v>675</v>
      </c>
      <c r="C1324" s="551" t="s">
        <v>6907</v>
      </c>
      <c r="D1324" s="553" t="s">
        <v>6908</v>
      </c>
      <c r="E1324" s="563">
        <f t="shared" si="89"/>
        <v>16</v>
      </c>
      <c r="F1324" s="563">
        <v>0</v>
      </c>
      <c r="G1324" s="563">
        <v>0</v>
      </c>
      <c r="H1324" s="563">
        <v>16</v>
      </c>
      <c r="I1324" s="563">
        <f t="shared" si="90"/>
        <v>12</v>
      </c>
      <c r="J1324" s="563">
        <v>0</v>
      </c>
      <c r="K1324" s="563">
        <v>0</v>
      </c>
      <c r="L1324" s="741">
        <v>12</v>
      </c>
      <c r="M1324" s="965">
        <v>0.91</v>
      </c>
      <c r="N1324" s="653">
        <v>0.5</v>
      </c>
      <c r="O1324" s="746" t="s">
        <v>3546</v>
      </c>
      <c r="P1324" s="547" t="s">
        <v>1588</v>
      </c>
      <c r="Q1324" s="863">
        <v>0</v>
      </c>
      <c r="R1324" s="863">
        <v>0</v>
      </c>
      <c r="S1324" s="863">
        <v>0</v>
      </c>
      <c r="T1324" s="863">
        <v>0</v>
      </c>
      <c r="U1324" s="547" t="s">
        <v>6877</v>
      </c>
      <c r="V1324" s="547" t="s">
        <v>6896</v>
      </c>
      <c r="W1324" s="658">
        <v>80</v>
      </c>
      <c r="X1324" s="547" t="s">
        <v>1532</v>
      </c>
      <c r="Y1324" s="547" t="s">
        <v>3232</v>
      </c>
      <c r="Z1324" s="547" t="s">
        <v>1703</v>
      </c>
      <c r="AA1324" s="547" t="s">
        <v>1703</v>
      </c>
      <c r="AB1324" s="550" t="s">
        <v>1686</v>
      </c>
    </row>
    <row r="1325" spans="1:28" ht="24" customHeight="1">
      <c r="A1325" s="606"/>
      <c r="B1325" s="544" t="s">
        <v>675</v>
      </c>
      <c r="C1325" s="551" t="s">
        <v>6909</v>
      </c>
      <c r="D1325" s="553" t="s">
        <v>6910</v>
      </c>
      <c r="E1325" s="563">
        <f t="shared" si="89"/>
        <v>16</v>
      </c>
      <c r="F1325" s="563">
        <v>0</v>
      </c>
      <c r="G1325" s="563">
        <v>0</v>
      </c>
      <c r="H1325" s="563">
        <v>16</v>
      </c>
      <c r="I1325" s="563">
        <f t="shared" si="90"/>
        <v>12</v>
      </c>
      <c r="J1325" s="563">
        <v>0</v>
      </c>
      <c r="K1325" s="563">
        <v>0</v>
      </c>
      <c r="L1325" s="741">
        <v>12</v>
      </c>
      <c r="M1325" s="965">
        <v>0.91</v>
      </c>
      <c r="N1325" s="653">
        <v>0.5</v>
      </c>
      <c r="O1325" s="746" t="s">
        <v>3546</v>
      </c>
      <c r="P1325" s="547" t="s">
        <v>1588</v>
      </c>
      <c r="Q1325" s="863">
        <v>0</v>
      </c>
      <c r="R1325" s="863">
        <v>0</v>
      </c>
      <c r="S1325" s="863">
        <v>0</v>
      </c>
      <c r="T1325" s="863">
        <v>0</v>
      </c>
      <c r="U1325" s="547" t="s">
        <v>6877</v>
      </c>
      <c r="V1325" s="547" t="s">
        <v>6896</v>
      </c>
      <c r="W1325" s="658">
        <v>162</v>
      </c>
      <c r="X1325" s="547" t="s">
        <v>1532</v>
      </c>
      <c r="Y1325" s="547" t="s">
        <v>3232</v>
      </c>
      <c r="Z1325" s="547" t="s">
        <v>1703</v>
      </c>
      <c r="AA1325" s="547" t="s">
        <v>1703</v>
      </c>
      <c r="AB1325" s="550" t="s">
        <v>1686</v>
      </c>
    </row>
    <row r="1326" spans="1:28" ht="24" customHeight="1">
      <c r="A1326" s="606"/>
      <c r="B1326" s="544" t="s">
        <v>675</v>
      </c>
      <c r="C1326" s="551" t="s">
        <v>6911</v>
      </c>
      <c r="D1326" s="553" t="s">
        <v>6912</v>
      </c>
      <c r="E1326" s="563">
        <f t="shared" si="89"/>
        <v>100</v>
      </c>
      <c r="F1326" s="563">
        <v>0</v>
      </c>
      <c r="G1326" s="563">
        <v>100</v>
      </c>
      <c r="H1326" s="563">
        <v>0</v>
      </c>
      <c r="I1326" s="563">
        <f t="shared" si="90"/>
        <v>90</v>
      </c>
      <c r="J1326" s="563">
        <v>0</v>
      </c>
      <c r="K1326" s="563">
        <v>0</v>
      </c>
      <c r="L1326" s="741">
        <v>90</v>
      </c>
      <c r="M1326" s="965">
        <v>0.94</v>
      </c>
      <c r="N1326" s="653">
        <v>8</v>
      </c>
      <c r="O1326" s="746" t="s">
        <v>6905</v>
      </c>
      <c r="P1326" s="547" t="s">
        <v>1588</v>
      </c>
      <c r="Q1326" s="863">
        <v>0</v>
      </c>
      <c r="R1326" s="863">
        <v>0</v>
      </c>
      <c r="S1326" s="863">
        <v>0</v>
      </c>
      <c r="T1326" s="863">
        <v>0</v>
      </c>
      <c r="U1326" s="547" t="s">
        <v>6877</v>
      </c>
      <c r="V1326" s="547" t="s">
        <v>6913</v>
      </c>
      <c r="W1326" s="658">
        <v>326</v>
      </c>
      <c r="X1326" s="547" t="s">
        <v>1532</v>
      </c>
      <c r="Y1326" s="547" t="s">
        <v>3232</v>
      </c>
      <c r="Z1326" s="547" t="s">
        <v>1703</v>
      </c>
      <c r="AA1326" s="547" t="s">
        <v>1703</v>
      </c>
      <c r="AB1326" s="550" t="s">
        <v>1686</v>
      </c>
    </row>
    <row r="1327" spans="1:28" ht="24" customHeight="1">
      <c r="A1327" s="606"/>
      <c r="B1327" s="544" t="s">
        <v>675</v>
      </c>
      <c r="C1327" s="551" t="s">
        <v>2400</v>
      </c>
      <c r="D1327" s="553" t="s">
        <v>6914</v>
      </c>
      <c r="E1327" s="563">
        <f t="shared" si="89"/>
        <v>25</v>
      </c>
      <c r="F1327" s="563">
        <v>0</v>
      </c>
      <c r="G1327" s="563">
        <v>0</v>
      </c>
      <c r="H1327" s="563">
        <v>25</v>
      </c>
      <c r="I1327" s="563">
        <f t="shared" si="90"/>
        <v>20</v>
      </c>
      <c r="J1327" s="563">
        <v>0</v>
      </c>
      <c r="K1327" s="563">
        <v>0</v>
      </c>
      <c r="L1327" s="741">
        <v>20</v>
      </c>
      <c r="M1327" s="965">
        <v>0.91</v>
      </c>
      <c r="N1327" s="653">
        <v>0.8</v>
      </c>
      <c r="O1327" s="746" t="s">
        <v>3546</v>
      </c>
      <c r="P1327" s="547" t="s">
        <v>1588</v>
      </c>
      <c r="Q1327" s="863">
        <v>0</v>
      </c>
      <c r="R1327" s="863">
        <v>0</v>
      </c>
      <c r="S1327" s="863">
        <v>0</v>
      </c>
      <c r="T1327" s="863">
        <v>0</v>
      </c>
      <c r="U1327" s="547" t="s">
        <v>6877</v>
      </c>
      <c r="V1327" s="547" t="s">
        <v>6896</v>
      </c>
      <c r="W1327" s="658">
        <v>96</v>
      </c>
      <c r="X1327" s="547" t="s">
        <v>1532</v>
      </c>
      <c r="Y1327" s="547" t="s">
        <v>3232</v>
      </c>
      <c r="Z1327" s="547" t="s">
        <v>1703</v>
      </c>
      <c r="AA1327" s="547" t="s">
        <v>1703</v>
      </c>
      <c r="AB1327" s="550" t="s">
        <v>1686</v>
      </c>
    </row>
    <row r="1328" spans="1:28" ht="24" customHeight="1">
      <c r="A1328" s="606"/>
      <c r="B1328" s="544" t="s">
        <v>675</v>
      </c>
      <c r="C1328" s="551" t="s">
        <v>6915</v>
      </c>
      <c r="D1328" s="553" t="s">
        <v>6916</v>
      </c>
      <c r="E1328" s="563">
        <f t="shared" si="89"/>
        <v>60</v>
      </c>
      <c r="F1328" s="563">
        <v>0</v>
      </c>
      <c r="G1328" s="563">
        <v>60</v>
      </c>
      <c r="H1328" s="563">
        <v>0</v>
      </c>
      <c r="I1328" s="563">
        <f t="shared" si="90"/>
        <v>45</v>
      </c>
      <c r="J1328" s="563">
        <v>0</v>
      </c>
      <c r="K1328" s="563">
        <v>0</v>
      </c>
      <c r="L1328" s="741">
        <v>45</v>
      </c>
      <c r="M1328" s="965">
        <v>0.9</v>
      </c>
      <c r="N1328" s="653">
        <v>4.3</v>
      </c>
      <c r="O1328" s="746" t="s">
        <v>3546</v>
      </c>
      <c r="P1328" s="547" t="s">
        <v>1588</v>
      </c>
      <c r="Q1328" s="863">
        <v>0</v>
      </c>
      <c r="R1328" s="863">
        <v>0</v>
      </c>
      <c r="S1328" s="863">
        <v>0</v>
      </c>
      <c r="T1328" s="863">
        <v>0</v>
      </c>
      <c r="U1328" s="547" t="s">
        <v>6877</v>
      </c>
      <c r="V1328" s="547" t="s">
        <v>6917</v>
      </c>
      <c r="W1328" s="658">
        <v>400</v>
      </c>
      <c r="X1328" s="547" t="s">
        <v>1532</v>
      </c>
      <c r="Y1328" s="547" t="s">
        <v>3232</v>
      </c>
      <c r="Z1328" s="547" t="s">
        <v>1703</v>
      </c>
      <c r="AA1328" s="547" t="s">
        <v>1703</v>
      </c>
      <c r="AB1328" s="550" t="s">
        <v>1686</v>
      </c>
    </row>
    <row r="1329" spans="1:28" ht="24" customHeight="1">
      <c r="A1329" s="606"/>
      <c r="B1329" s="544" t="s">
        <v>675</v>
      </c>
      <c r="C1329" s="551" t="s">
        <v>2169</v>
      </c>
      <c r="D1329" s="553" t="s">
        <v>6918</v>
      </c>
      <c r="E1329" s="563">
        <f t="shared" si="89"/>
        <v>50</v>
      </c>
      <c r="F1329" s="563">
        <v>0</v>
      </c>
      <c r="G1329" s="563">
        <v>0</v>
      </c>
      <c r="H1329" s="563">
        <v>50</v>
      </c>
      <c r="I1329" s="563">
        <f t="shared" si="90"/>
        <v>45</v>
      </c>
      <c r="J1329" s="563">
        <v>0</v>
      </c>
      <c r="K1329" s="563">
        <v>0</v>
      </c>
      <c r="L1329" s="741">
        <v>45</v>
      </c>
      <c r="M1329" s="965">
        <v>0.97</v>
      </c>
      <c r="N1329" s="653">
        <v>2.8</v>
      </c>
      <c r="O1329" s="746" t="s">
        <v>3546</v>
      </c>
      <c r="P1329" s="547" t="s">
        <v>1588</v>
      </c>
      <c r="Q1329" s="863">
        <v>0</v>
      </c>
      <c r="R1329" s="863">
        <v>0</v>
      </c>
      <c r="S1329" s="863">
        <v>0</v>
      </c>
      <c r="T1329" s="863">
        <v>0</v>
      </c>
      <c r="U1329" s="547" t="s">
        <v>6877</v>
      </c>
      <c r="V1329" s="547" t="s">
        <v>6878</v>
      </c>
      <c r="W1329" s="658">
        <v>540</v>
      </c>
      <c r="X1329" s="547" t="s">
        <v>1532</v>
      </c>
      <c r="Y1329" s="547" t="s">
        <v>3232</v>
      </c>
      <c r="Z1329" s="547" t="s">
        <v>1703</v>
      </c>
      <c r="AA1329" s="547" t="s">
        <v>1703</v>
      </c>
      <c r="AB1329" s="550" t="s">
        <v>1686</v>
      </c>
    </row>
    <row r="1330" spans="1:28" ht="24" customHeight="1">
      <c r="A1330" s="606"/>
      <c r="B1330" s="544" t="s">
        <v>675</v>
      </c>
      <c r="C1330" s="551" t="s">
        <v>6919</v>
      </c>
      <c r="D1330" s="553" t="s">
        <v>6920</v>
      </c>
      <c r="E1330" s="563">
        <f t="shared" si="89"/>
        <v>25</v>
      </c>
      <c r="F1330" s="563">
        <v>0</v>
      </c>
      <c r="G1330" s="563">
        <v>0</v>
      </c>
      <c r="H1330" s="563">
        <v>25</v>
      </c>
      <c r="I1330" s="563">
        <f t="shared" si="90"/>
        <v>20</v>
      </c>
      <c r="J1330" s="563">
        <v>0</v>
      </c>
      <c r="K1330" s="563">
        <v>0</v>
      </c>
      <c r="L1330" s="741">
        <v>20</v>
      </c>
      <c r="M1330" s="965">
        <v>0.91</v>
      </c>
      <c r="N1330" s="653">
        <v>0.8</v>
      </c>
      <c r="O1330" s="746" t="s">
        <v>3546</v>
      </c>
      <c r="P1330" s="547" t="s">
        <v>1588</v>
      </c>
      <c r="Q1330" s="863">
        <v>0</v>
      </c>
      <c r="R1330" s="863">
        <v>0</v>
      </c>
      <c r="S1330" s="863">
        <v>0</v>
      </c>
      <c r="T1330" s="863">
        <v>0</v>
      </c>
      <c r="U1330" s="547" t="s">
        <v>6877</v>
      </c>
      <c r="V1330" s="547" t="s">
        <v>6896</v>
      </c>
      <c r="W1330" s="658">
        <v>92</v>
      </c>
      <c r="X1330" s="547" t="s">
        <v>1532</v>
      </c>
      <c r="Y1330" s="547" t="s">
        <v>3232</v>
      </c>
      <c r="Z1330" s="547" t="s">
        <v>1703</v>
      </c>
      <c r="AA1330" s="547" t="s">
        <v>1703</v>
      </c>
      <c r="AB1330" s="550" t="s">
        <v>1686</v>
      </c>
    </row>
    <row r="1331" spans="1:28" ht="24" customHeight="1">
      <c r="A1331" s="606"/>
      <c r="B1331" s="544" t="s">
        <v>675</v>
      </c>
      <c r="C1331" s="551" t="s">
        <v>6921</v>
      </c>
      <c r="D1331" s="553" t="s">
        <v>6922</v>
      </c>
      <c r="E1331" s="563">
        <f t="shared" si="89"/>
        <v>16</v>
      </c>
      <c r="F1331" s="563">
        <v>0</v>
      </c>
      <c r="G1331" s="563">
        <v>0</v>
      </c>
      <c r="H1331" s="563">
        <v>16</v>
      </c>
      <c r="I1331" s="563">
        <f t="shared" si="90"/>
        <v>12</v>
      </c>
      <c r="J1331" s="563">
        <v>0</v>
      </c>
      <c r="K1331" s="563">
        <v>0</v>
      </c>
      <c r="L1331" s="741">
        <v>12</v>
      </c>
      <c r="M1331" s="965">
        <v>0.91</v>
      </c>
      <c r="N1331" s="653">
        <v>0.6</v>
      </c>
      <c r="O1331" s="746" t="s">
        <v>3546</v>
      </c>
      <c r="P1331" s="547" t="s">
        <v>1588</v>
      </c>
      <c r="Q1331" s="863">
        <v>0</v>
      </c>
      <c r="R1331" s="863">
        <v>0</v>
      </c>
      <c r="S1331" s="863">
        <v>0</v>
      </c>
      <c r="T1331" s="863">
        <v>0</v>
      </c>
      <c r="U1331" s="547" t="s">
        <v>6877</v>
      </c>
      <c r="V1331" s="547" t="s">
        <v>6896</v>
      </c>
      <c r="W1331" s="658">
        <v>85</v>
      </c>
      <c r="X1331" s="547" t="s">
        <v>1532</v>
      </c>
      <c r="Y1331" s="547" t="s">
        <v>3232</v>
      </c>
      <c r="Z1331" s="547" t="s">
        <v>1703</v>
      </c>
      <c r="AA1331" s="547" t="s">
        <v>1703</v>
      </c>
      <c r="AB1331" s="550" t="s">
        <v>1686</v>
      </c>
    </row>
    <row r="1332" spans="1:28" ht="24" customHeight="1">
      <c r="A1332" s="606"/>
      <c r="B1332" s="544" t="s">
        <v>675</v>
      </c>
      <c r="C1332" s="551" t="s">
        <v>2379</v>
      </c>
      <c r="D1332" s="553" t="s">
        <v>6923</v>
      </c>
      <c r="E1332" s="563">
        <f t="shared" si="89"/>
        <v>25</v>
      </c>
      <c r="F1332" s="563">
        <v>0</v>
      </c>
      <c r="G1332" s="563">
        <v>0</v>
      </c>
      <c r="H1332" s="563">
        <v>25</v>
      </c>
      <c r="I1332" s="563">
        <f t="shared" si="90"/>
        <v>23</v>
      </c>
      <c r="J1332" s="563">
        <v>0</v>
      </c>
      <c r="K1332" s="563">
        <v>0</v>
      </c>
      <c r="L1332" s="741">
        <v>23</v>
      </c>
      <c r="M1332" s="965">
        <v>0.97</v>
      </c>
      <c r="N1332" s="653">
        <v>1.3</v>
      </c>
      <c r="O1332" s="746" t="s">
        <v>3546</v>
      </c>
      <c r="P1332" s="547" t="s">
        <v>1588</v>
      </c>
      <c r="Q1332" s="863">
        <v>0</v>
      </c>
      <c r="R1332" s="863">
        <v>0</v>
      </c>
      <c r="S1332" s="863">
        <v>0</v>
      </c>
      <c r="T1332" s="863">
        <v>0</v>
      </c>
      <c r="U1332" s="547" t="s">
        <v>6877</v>
      </c>
      <c r="V1332" s="547" t="s">
        <v>6924</v>
      </c>
      <c r="W1332" s="658">
        <v>140</v>
      </c>
      <c r="X1332" s="547" t="s">
        <v>1532</v>
      </c>
      <c r="Y1332" s="547" t="s">
        <v>3232</v>
      </c>
      <c r="Z1332" s="547" t="s">
        <v>1703</v>
      </c>
      <c r="AA1332" s="547" t="s">
        <v>1703</v>
      </c>
      <c r="AB1332" s="550" t="s">
        <v>1537</v>
      </c>
    </row>
    <row r="1333" spans="1:28" ht="24" customHeight="1">
      <c r="A1333" s="606"/>
      <c r="B1333" s="544" t="s">
        <v>675</v>
      </c>
      <c r="C1333" s="551" t="s">
        <v>6925</v>
      </c>
      <c r="D1333" s="553" t="s">
        <v>6926</v>
      </c>
      <c r="E1333" s="563">
        <f t="shared" si="89"/>
        <v>12</v>
      </c>
      <c r="F1333" s="563">
        <v>0</v>
      </c>
      <c r="G1333" s="563">
        <v>0</v>
      </c>
      <c r="H1333" s="563">
        <v>12</v>
      </c>
      <c r="I1333" s="563">
        <f t="shared" si="90"/>
        <v>10</v>
      </c>
      <c r="J1333" s="563">
        <v>0</v>
      </c>
      <c r="K1333" s="563">
        <v>0</v>
      </c>
      <c r="L1333" s="741">
        <v>10</v>
      </c>
      <c r="M1333" s="965">
        <v>0.84</v>
      </c>
      <c r="N1333" s="653">
        <v>0.4</v>
      </c>
      <c r="O1333" s="746" t="s">
        <v>3546</v>
      </c>
      <c r="P1333" s="547" t="s">
        <v>1588</v>
      </c>
      <c r="Q1333" s="863">
        <v>0</v>
      </c>
      <c r="R1333" s="863">
        <v>0</v>
      </c>
      <c r="S1333" s="863">
        <v>0</v>
      </c>
      <c r="T1333" s="863">
        <v>0</v>
      </c>
      <c r="U1333" s="547" t="s">
        <v>6877</v>
      </c>
      <c r="V1333" s="547" t="s">
        <v>6927</v>
      </c>
      <c r="W1333" s="658">
        <v>54</v>
      </c>
      <c r="X1333" s="547" t="s">
        <v>1532</v>
      </c>
      <c r="Y1333" s="547" t="s">
        <v>3232</v>
      </c>
      <c r="Z1333" s="547" t="s">
        <v>1712</v>
      </c>
      <c r="AA1333" s="547" t="s">
        <v>6928</v>
      </c>
      <c r="AB1333" s="550" t="s">
        <v>1537</v>
      </c>
    </row>
    <row r="1334" spans="1:28" ht="24" customHeight="1">
      <c r="A1334" s="606"/>
      <c r="B1334" s="544" t="s">
        <v>675</v>
      </c>
      <c r="C1334" s="551" t="s">
        <v>2166</v>
      </c>
      <c r="D1334" s="553" t="s">
        <v>6929</v>
      </c>
      <c r="E1334" s="563">
        <f t="shared" si="89"/>
        <v>40</v>
      </c>
      <c r="F1334" s="563">
        <v>0</v>
      </c>
      <c r="G1334" s="563">
        <v>40</v>
      </c>
      <c r="H1334" s="563">
        <v>0</v>
      </c>
      <c r="I1334" s="563">
        <f t="shared" si="90"/>
        <v>32</v>
      </c>
      <c r="J1334" s="563">
        <v>0</v>
      </c>
      <c r="K1334" s="563">
        <v>32</v>
      </c>
      <c r="L1334" s="741">
        <v>0</v>
      </c>
      <c r="M1334" s="965">
        <v>0.89</v>
      </c>
      <c r="N1334" s="653">
        <v>1.5</v>
      </c>
      <c r="O1334" s="746" t="s">
        <v>3546</v>
      </c>
      <c r="P1334" s="547" t="s">
        <v>1588</v>
      </c>
      <c r="Q1334" s="863">
        <v>0</v>
      </c>
      <c r="R1334" s="863">
        <v>0</v>
      </c>
      <c r="S1334" s="863">
        <v>0</v>
      </c>
      <c r="T1334" s="863">
        <v>0</v>
      </c>
      <c r="U1334" s="547" t="s">
        <v>6877</v>
      </c>
      <c r="V1334" s="547" t="s">
        <v>6930</v>
      </c>
      <c r="W1334" s="658">
        <v>220</v>
      </c>
      <c r="X1334" s="547" t="s">
        <v>1532</v>
      </c>
      <c r="Y1334" s="547" t="s">
        <v>3232</v>
      </c>
      <c r="Z1334" s="547" t="s">
        <v>1712</v>
      </c>
      <c r="AA1334" s="547" t="s">
        <v>6928</v>
      </c>
      <c r="AB1334" s="550" t="s">
        <v>1537</v>
      </c>
    </row>
    <row r="1335" spans="1:28" ht="24" customHeight="1">
      <c r="A1335" s="606"/>
      <c r="B1335" s="544" t="s">
        <v>675</v>
      </c>
      <c r="C1335" s="551" t="s">
        <v>6931</v>
      </c>
      <c r="D1335" s="553" t="s">
        <v>6932</v>
      </c>
      <c r="E1335" s="563">
        <f t="shared" si="89"/>
        <v>55</v>
      </c>
      <c r="F1335" s="563">
        <v>0</v>
      </c>
      <c r="G1335" s="563">
        <v>0</v>
      </c>
      <c r="H1335" s="563">
        <v>55</v>
      </c>
      <c r="I1335" s="563">
        <f t="shared" si="90"/>
        <v>50</v>
      </c>
      <c r="J1335" s="563">
        <v>0</v>
      </c>
      <c r="K1335" s="563">
        <v>0</v>
      </c>
      <c r="L1335" s="741">
        <v>50</v>
      </c>
      <c r="M1335" s="965">
        <v>0.92</v>
      </c>
      <c r="N1335" s="653">
        <v>2.8</v>
      </c>
      <c r="O1335" s="746" t="s">
        <v>3546</v>
      </c>
      <c r="P1335" s="547" t="s">
        <v>1588</v>
      </c>
      <c r="Q1335" s="863">
        <v>0</v>
      </c>
      <c r="R1335" s="863">
        <v>0</v>
      </c>
      <c r="S1335" s="863">
        <v>0</v>
      </c>
      <c r="T1335" s="863">
        <v>0</v>
      </c>
      <c r="U1335" s="547" t="s">
        <v>6933</v>
      </c>
      <c r="V1335" s="547" t="s">
        <v>6893</v>
      </c>
      <c r="W1335" s="658">
        <v>780</v>
      </c>
      <c r="X1335" s="547" t="s">
        <v>1532</v>
      </c>
      <c r="Y1335" s="547" t="s">
        <v>3232</v>
      </c>
      <c r="Z1335" s="547" t="s">
        <v>1713</v>
      </c>
      <c r="AA1335" s="547" t="s">
        <v>6928</v>
      </c>
      <c r="AB1335" s="550" t="s">
        <v>1537</v>
      </c>
    </row>
    <row r="1336" spans="1:28" ht="24" customHeight="1">
      <c r="A1336" s="606"/>
      <c r="B1336" s="544" t="s">
        <v>675</v>
      </c>
      <c r="C1336" s="551" t="s">
        <v>6934</v>
      </c>
      <c r="D1336" s="553" t="s">
        <v>6935</v>
      </c>
      <c r="E1336" s="563">
        <f t="shared" si="89"/>
        <v>70</v>
      </c>
      <c r="F1336" s="563">
        <v>0</v>
      </c>
      <c r="G1336" s="563">
        <v>0</v>
      </c>
      <c r="H1336" s="563">
        <v>70</v>
      </c>
      <c r="I1336" s="563">
        <f t="shared" si="90"/>
        <v>65</v>
      </c>
      <c r="J1336" s="563">
        <v>0</v>
      </c>
      <c r="K1336" s="563">
        <v>0</v>
      </c>
      <c r="L1336" s="741">
        <v>65</v>
      </c>
      <c r="M1336" s="965">
        <v>0.95</v>
      </c>
      <c r="N1336" s="653">
        <v>3.2</v>
      </c>
      <c r="O1336" s="746" t="s">
        <v>3546</v>
      </c>
      <c r="P1336" s="547" t="s">
        <v>1588</v>
      </c>
      <c r="Q1336" s="863">
        <v>0</v>
      </c>
      <c r="R1336" s="863">
        <v>0</v>
      </c>
      <c r="S1336" s="863">
        <v>0</v>
      </c>
      <c r="T1336" s="863">
        <v>0</v>
      </c>
      <c r="U1336" s="547" t="s">
        <v>6936</v>
      </c>
      <c r="V1336" s="547" t="s">
        <v>6937</v>
      </c>
      <c r="W1336" s="658">
        <v>1200</v>
      </c>
      <c r="X1336" s="547" t="s">
        <v>1532</v>
      </c>
      <c r="Y1336" s="547" t="s">
        <v>3232</v>
      </c>
      <c r="Z1336" s="547" t="s">
        <v>1713</v>
      </c>
      <c r="AA1336" s="547" t="s">
        <v>6928</v>
      </c>
      <c r="AB1336" s="550" t="s">
        <v>1537</v>
      </c>
    </row>
    <row r="1337" spans="1:28" ht="24" customHeight="1">
      <c r="A1337" s="606"/>
      <c r="B1337" s="544" t="s">
        <v>675</v>
      </c>
      <c r="C1337" s="551" t="s">
        <v>6938</v>
      </c>
      <c r="D1337" s="553" t="s">
        <v>6939</v>
      </c>
      <c r="E1337" s="563">
        <f t="shared" si="89"/>
        <v>15</v>
      </c>
      <c r="F1337" s="563">
        <v>0</v>
      </c>
      <c r="G1337" s="563">
        <v>15</v>
      </c>
      <c r="H1337" s="563">
        <v>0</v>
      </c>
      <c r="I1337" s="563">
        <f t="shared" si="90"/>
        <v>12</v>
      </c>
      <c r="J1337" s="563">
        <v>0</v>
      </c>
      <c r="K1337" s="563">
        <v>12</v>
      </c>
      <c r="L1337" s="741">
        <v>0</v>
      </c>
      <c r="M1337" s="965">
        <v>0.93</v>
      </c>
      <c r="N1337" s="653">
        <v>0.5</v>
      </c>
      <c r="O1337" s="746" t="s">
        <v>3546</v>
      </c>
      <c r="P1337" s="547" t="s">
        <v>1588</v>
      </c>
      <c r="Q1337" s="863">
        <v>0</v>
      </c>
      <c r="R1337" s="863">
        <v>0</v>
      </c>
      <c r="S1337" s="863">
        <v>0</v>
      </c>
      <c r="T1337" s="863">
        <v>0</v>
      </c>
      <c r="U1337" s="547" t="s">
        <v>6877</v>
      </c>
      <c r="V1337" s="547" t="s">
        <v>6940</v>
      </c>
      <c r="W1337" s="658">
        <v>121</v>
      </c>
      <c r="X1337" s="547" t="s">
        <v>1532</v>
      </c>
      <c r="Y1337" s="547" t="s">
        <v>3232</v>
      </c>
      <c r="Z1337" s="547" t="s">
        <v>1705</v>
      </c>
      <c r="AA1337" s="547" t="s">
        <v>1703</v>
      </c>
      <c r="AB1337" s="550" t="s">
        <v>1686</v>
      </c>
    </row>
    <row r="1338" spans="1:28" ht="24" customHeight="1">
      <c r="A1338" s="606"/>
      <c r="B1338" s="544" t="s">
        <v>675</v>
      </c>
      <c r="C1338" s="551" t="s">
        <v>6941</v>
      </c>
      <c r="D1338" s="553" t="s">
        <v>6942</v>
      </c>
      <c r="E1338" s="563">
        <f t="shared" si="89"/>
        <v>40</v>
      </c>
      <c r="F1338" s="563">
        <v>0</v>
      </c>
      <c r="G1338" s="563">
        <v>40</v>
      </c>
      <c r="H1338" s="563">
        <v>0</v>
      </c>
      <c r="I1338" s="563">
        <f t="shared" si="90"/>
        <v>32</v>
      </c>
      <c r="J1338" s="563">
        <v>0</v>
      </c>
      <c r="K1338" s="563">
        <v>32</v>
      </c>
      <c r="L1338" s="741">
        <v>0</v>
      </c>
      <c r="M1338" s="965">
        <v>0.94</v>
      </c>
      <c r="N1338" s="653">
        <v>1.3</v>
      </c>
      <c r="O1338" s="746" t="s">
        <v>3546</v>
      </c>
      <c r="P1338" s="547" t="s">
        <v>1588</v>
      </c>
      <c r="Q1338" s="863">
        <v>0</v>
      </c>
      <c r="R1338" s="863">
        <v>0</v>
      </c>
      <c r="S1338" s="863">
        <v>0</v>
      </c>
      <c r="T1338" s="863">
        <v>0</v>
      </c>
      <c r="U1338" s="547" t="s">
        <v>6877</v>
      </c>
      <c r="V1338" s="547" t="s">
        <v>6913</v>
      </c>
      <c r="W1338" s="658">
        <v>220</v>
      </c>
      <c r="X1338" s="547" t="s">
        <v>1532</v>
      </c>
      <c r="Y1338" s="547" t="s">
        <v>3232</v>
      </c>
      <c r="Z1338" s="547" t="s">
        <v>1705</v>
      </c>
      <c r="AA1338" s="547" t="s">
        <v>1703</v>
      </c>
      <c r="AB1338" s="550" t="s">
        <v>1686</v>
      </c>
    </row>
    <row r="1339" spans="1:28" ht="24" customHeight="1">
      <c r="A1339" s="606"/>
      <c r="B1339" s="544" t="s">
        <v>675</v>
      </c>
      <c r="C1339" s="551" t="s">
        <v>2166</v>
      </c>
      <c r="D1339" s="553" t="s">
        <v>6943</v>
      </c>
      <c r="E1339" s="563">
        <f t="shared" si="89"/>
        <v>75</v>
      </c>
      <c r="F1339" s="563">
        <v>0</v>
      </c>
      <c r="G1339" s="563">
        <v>0</v>
      </c>
      <c r="H1339" s="563">
        <v>75</v>
      </c>
      <c r="I1339" s="563">
        <f t="shared" si="90"/>
        <v>70</v>
      </c>
      <c r="J1339" s="563">
        <v>0</v>
      </c>
      <c r="K1339" s="563">
        <v>0</v>
      </c>
      <c r="L1339" s="741">
        <v>70</v>
      </c>
      <c r="M1339" s="965">
        <v>0.94</v>
      </c>
      <c r="N1339" s="653">
        <v>3.3</v>
      </c>
      <c r="O1339" s="746" t="s">
        <v>3546</v>
      </c>
      <c r="P1339" s="547" t="s">
        <v>1588</v>
      </c>
      <c r="Q1339" s="863">
        <v>0</v>
      </c>
      <c r="R1339" s="863">
        <v>0</v>
      </c>
      <c r="S1339" s="863">
        <v>0</v>
      </c>
      <c r="T1339" s="863">
        <v>0</v>
      </c>
      <c r="U1339" s="547" t="s">
        <v>6877</v>
      </c>
      <c r="V1339" s="547" t="s">
        <v>6944</v>
      </c>
      <c r="W1339" s="658">
        <v>476</v>
      </c>
      <c r="X1339" s="547" t="s">
        <v>1532</v>
      </c>
      <c r="Y1339" s="547" t="s">
        <v>3232</v>
      </c>
      <c r="Z1339" s="547" t="s">
        <v>1705</v>
      </c>
      <c r="AA1339" s="547" t="s">
        <v>1703</v>
      </c>
      <c r="AB1339" s="550" t="s">
        <v>1686</v>
      </c>
    </row>
    <row r="1340" spans="1:28" ht="24" customHeight="1">
      <c r="A1340" s="605" t="s">
        <v>6945</v>
      </c>
      <c r="B1340" s="544" t="s">
        <v>6621</v>
      </c>
      <c r="C1340" s="551" t="s">
        <v>1715</v>
      </c>
      <c r="D1340" s="553" t="s">
        <v>6946</v>
      </c>
      <c r="E1340" s="563">
        <f>F1340+G1340+H1340</f>
        <v>11000</v>
      </c>
      <c r="F1340" s="563">
        <v>0</v>
      </c>
      <c r="G1340" s="563">
        <v>11000</v>
      </c>
      <c r="H1340" s="563">
        <v>0</v>
      </c>
      <c r="I1340" s="563">
        <f>J1340+K1340+L1340</f>
        <v>19021</v>
      </c>
      <c r="J1340" s="563">
        <v>0</v>
      </c>
      <c r="K1340" s="563">
        <v>19021</v>
      </c>
      <c r="L1340" s="741">
        <v>0</v>
      </c>
      <c r="M1340" s="965">
        <v>0.96197718631178708</v>
      </c>
      <c r="N1340" s="653">
        <v>481.23129999999998</v>
      </c>
      <c r="O1340" s="746" t="s">
        <v>6947</v>
      </c>
      <c r="P1340" s="547" t="s">
        <v>1588</v>
      </c>
      <c r="Q1340" s="863">
        <v>29</v>
      </c>
      <c r="R1340" s="863">
        <v>0</v>
      </c>
      <c r="S1340" s="863">
        <v>0</v>
      </c>
      <c r="T1340" s="863">
        <v>0</v>
      </c>
      <c r="U1340" s="547" t="s">
        <v>6948</v>
      </c>
      <c r="V1340" s="547" t="s">
        <v>6949</v>
      </c>
      <c r="W1340" s="658">
        <v>25762</v>
      </c>
      <c r="X1340" s="547" t="s">
        <v>2276</v>
      </c>
      <c r="Y1340" s="547" t="s">
        <v>1533</v>
      </c>
      <c r="Z1340" s="547" t="s">
        <v>1880</v>
      </c>
      <c r="AA1340" s="547" t="s">
        <v>1591</v>
      </c>
      <c r="AB1340" s="550" t="s">
        <v>1591</v>
      </c>
    </row>
    <row r="1341" spans="1:28" ht="24" customHeight="1">
      <c r="A1341" s="606"/>
      <c r="B1341" s="544" t="s">
        <v>6621</v>
      </c>
      <c r="C1341" s="551" t="s">
        <v>270</v>
      </c>
      <c r="D1341" s="553" t="s">
        <v>6950</v>
      </c>
      <c r="E1341" s="563">
        <f>F1341+G1341+H1341</f>
        <v>6000</v>
      </c>
      <c r="F1341" s="563">
        <v>0</v>
      </c>
      <c r="G1341" s="563">
        <v>6000</v>
      </c>
      <c r="H1341" s="563">
        <v>0</v>
      </c>
      <c r="I1341" s="563">
        <f>J1341+K1341+L1341</f>
        <v>911</v>
      </c>
      <c r="J1341" s="563">
        <v>0</v>
      </c>
      <c r="K1341" s="563">
        <v>911</v>
      </c>
      <c r="L1341" s="741">
        <v>0</v>
      </c>
      <c r="M1341" s="965">
        <v>0.94549266247379449</v>
      </c>
      <c r="N1341" s="653">
        <v>82.172200000000004</v>
      </c>
      <c r="O1341" s="746" t="s">
        <v>6951</v>
      </c>
      <c r="P1341" s="547" t="s">
        <v>1588</v>
      </c>
      <c r="Q1341" s="863">
        <v>0</v>
      </c>
      <c r="R1341" s="863">
        <v>0</v>
      </c>
      <c r="S1341" s="863">
        <v>0</v>
      </c>
      <c r="T1341" s="863">
        <v>0</v>
      </c>
      <c r="U1341" s="547" t="s">
        <v>6948</v>
      </c>
      <c r="V1341" s="547" t="s">
        <v>6952</v>
      </c>
      <c r="W1341" s="658">
        <v>3800</v>
      </c>
      <c r="X1341" s="547" t="s">
        <v>2276</v>
      </c>
      <c r="Y1341" s="547" t="s">
        <v>1533</v>
      </c>
      <c r="Z1341" s="547" t="s">
        <v>1880</v>
      </c>
      <c r="AA1341" s="547" t="s">
        <v>1591</v>
      </c>
      <c r="AB1341" s="550" t="s">
        <v>1591</v>
      </c>
    </row>
    <row r="1342" spans="1:28" ht="24" customHeight="1">
      <c r="A1342" s="606"/>
      <c r="B1342" s="544" t="s">
        <v>6621</v>
      </c>
      <c r="C1342" s="551" t="s">
        <v>271</v>
      </c>
      <c r="D1342" s="553" t="s">
        <v>6953</v>
      </c>
      <c r="E1342" s="563">
        <f>F1342+G1342+H1342</f>
        <v>2000</v>
      </c>
      <c r="F1342" s="563">
        <v>0</v>
      </c>
      <c r="G1342" s="563">
        <v>2000</v>
      </c>
      <c r="H1342" s="563">
        <v>0</v>
      </c>
      <c r="I1342" s="563">
        <f>J1342+K1342+L1342</f>
        <v>656</v>
      </c>
      <c r="J1342" s="563">
        <v>0</v>
      </c>
      <c r="K1342" s="563">
        <v>656</v>
      </c>
      <c r="L1342" s="741">
        <v>0</v>
      </c>
      <c r="M1342" s="965">
        <v>0.95043731778425644</v>
      </c>
      <c r="N1342" s="653">
        <v>21.385599999999997</v>
      </c>
      <c r="O1342" s="746" t="s">
        <v>1535</v>
      </c>
      <c r="P1342" s="547" t="s">
        <v>1588</v>
      </c>
      <c r="Q1342" s="863">
        <v>0</v>
      </c>
      <c r="R1342" s="863">
        <v>0</v>
      </c>
      <c r="S1342" s="863">
        <v>0</v>
      </c>
      <c r="T1342" s="863">
        <v>0</v>
      </c>
      <c r="U1342" s="547" t="s">
        <v>6948</v>
      </c>
      <c r="V1342" s="547" t="s">
        <v>6954</v>
      </c>
      <c r="W1342" s="658">
        <v>3285</v>
      </c>
      <c r="X1342" s="547" t="s">
        <v>2276</v>
      </c>
      <c r="Y1342" s="547" t="s">
        <v>1533</v>
      </c>
      <c r="Z1342" s="547" t="s">
        <v>1880</v>
      </c>
      <c r="AA1342" s="547" t="s">
        <v>1591</v>
      </c>
      <c r="AB1342" s="550" t="s">
        <v>1591</v>
      </c>
    </row>
    <row r="1343" spans="1:28" ht="24" customHeight="1">
      <c r="A1343" s="606"/>
      <c r="B1343" s="544" t="s">
        <v>6621</v>
      </c>
      <c r="C1343" s="551" t="s">
        <v>1599</v>
      </c>
      <c r="D1343" s="553" t="s">
        <v>6955</v>
      </c>
      <c r="E1343" s="563">
        <f>F1343+G1343+H1343</f>
        <v>800</v>
      </c>
      <c r="F1343" s="563">
        <v>0</v>
      </c>
      <c r="G1343" s="563">
        <v>800</v>
      </c>
      <c r="H1343" s="563">
        <v>0</v>
      </c>
      <c r="I1343" s="563">
        <f>J1343+K1343+L1343</f>
        <v>189</v>
      </c>
      <c r="J1343" s="563">
        <v>0</v>
      </c>
      <c r="K1343" s="563">
        <v>189</v>
      </c>
      <c r="L1343" s="741">
        <v>0</v>
      </c>
      <c r="M1343" s="965">
        <v>0.9083665338645418</v>
      </c>
      <c r="N1343" s="653">
        <v>4.3092000000000006</v>
      </c>
      <c r="O1343" s="746" t="s">
        <v>3173</v>
      </c>
      <c r="P1343" s="547" t="s">
        <v>6956</v>
      </c>
      <c r="Q1343" s="863">
        <v>0</v>
      </c>
      <c r="R1343" s="863">
        <v>0</v>
      </c>
      <c r="S1343" s="863">
        <v>0</v>
      </c>
      <c r="T1343" s="863">
        <v>0</v>
      </c>
      <c r="U1343" s="547" t="s">
        <v>6948</v>
      </c>
      <c r="V1343" s="547" t="s">
        <v>6957</v>
      </c>
      <c r="W1343" s="658">
        <v>5865</v>
      </c>
      <c r="X1343" s="547" t="s">
        <v>2276</v>
      </c>
      <c r="Y1343" s="547" t="s">
        <v>3399</v>
      </c>
      <c r="Z1343" s="547" t="s">
        <v>6958</v>
      </c>
      <c r="AA1343" s="547" t="s">
        <v>1686</v>
      </c>
      <c r="AB1343" s="550" t="s">
        <v>1686</v>
      </c>
    </row>
    <row r="1344" spans="1:28" ht="24" customHeight="1">
      <c r="A1344" s="605" t="s">
        <v>1716</v>
      </c>
      <c r="B1344" s="544" t="s">
        <v>675</v>
      </c>
      <c r="C1344" s="551" t="s">
        <v>6959</v>
      </c>
      <c r="D1344" s="553" t="s">
        <v>6960</v>
      </c>
      <c r="E1344" s="563">
        <f t="shared" ref="E1344:E1398" si="91">F1344+G1344+H1344</f>
        <v>20</v>
      </c>
      <c r="F1344" s="563">
        <v>0</v>
      </c>
      <c r="G1344" s="563">
        <v>20</v>
      </c>
      <c r="H1344" s="563">
        <v>0</v>
      </c>
      <c r="I1344" s="563">
        <f t="shared" ref="I1344:I1399" si="92">J1344+K1344+L1344</f>
        <v>15</v>
      </c>
      <c r="J1344" s="563">
        <v>0</v>
      </c>
      <c r="K1344" s="563">
        <v>15</v>
      </c>
      <c r="L1344" s="751">
        <v>0</v>
      </c>
      <c r="M1344" s="965">
        <v>0.75</v>
      </c>
      <c r="N1344" s="653">
        <v>0</v>
      </c>
      <c r="O1344" s="746" t="s">
        <v>6961</v>
      </c>
      <c r="P1344" s="547" t="s">
        <v>1588</v>
      </c>
      <c r="Q1344" s="863">
        <v>0</v>
      </c>
      <c r="R1344" s="863">
        <v>0</v>
      </c>
      <c r="S1344" s="863">
        <v>0</v>
      </c>
      <c r="T1344" s="863">
        <v>0</v>
      </c>
      <c r="U1344" s="547" t="s">
        <v>6962</v>
      </c>
      <c r="V1344" s="548" t="s">
        <v>6963</v>
      </c>
      <c r="W1344" s="658">
        <v>456</v>
      </c>
      <c r="X1344" s="547"/>
      <c r="Y1344" s="547" t="s">
        <v>3161</v>
      </c>
      <c r="Z1344" s="547"/>
      <c r="AA1344" s="547" t="s">
        <v>1770</v>
      </c>
      <c r="AB1344" s="550" t="s">
        <v>1587</v>
      </c>
    </row>
    <row r="1345" spans="1:28" ht="24" customHeight="1">
      <c r="A1345" s="606"/>
      <c r="B1345" s="544" t="s">
        <v>675</v>
      </c>
      <c r="C1345" s="551" t="s">
        <v>6964</v>
      </c>
      <c r="D1345" s="553" t="s">
        <v>6965</v>
      </c>
      <c r="E1345" s="563">
        <f t="shared" si="91"/>
        <v>17</v>
      </c>
      <c r="F1345" s="563">
        <v>0</v>
      </c>
      <c r="G1345" s="563">
        <v>17</v>
      </c>
      <c r="H1345" s="563">
        <v>0</v>
      </c>
      <c r="I1345" s="563">
        <f t="shared" si="92"/>
        <v>13</v>
      </c>
      <c r="J1345" s="563">
        <v>0</v>
      </c>
      <c r="K1345" s="563">
        <v>13</v>
      </c>
      <c r="L1345" s="751">
        <v>0</v>
      </c>
      <c r="M1345" s="967">
        <v>0.76470588235294112</v>
      </c>
      <c r="N1345" s="653">
        <v>0</v>
      </c>
      <c r="O1345" s="746" t="s">
        <v>6966</v>
      </c>
      <c r="P1345" s="547" t="s">
        <v>1588</v>
      </c>
      <c r="Q1345" s="863">
        <v>0</v>
      </c>
      <c r="R1345" s="863">
        <v>0</v>
      </c>
      <c r="S1345" s="863">
        <v>0</v>
      </c>
      <c r="T1345" s="863">
        <v>0</v>
      </c>
      <c r="U1345" s="547" t="s">
        <v>6962</v>
      </c>
      <c r="V1345" s="548" t="s">
        <v>2546</v>
      </c>
      <c r="W1345" s="658">
        <v>113</v>
      </c>
      <c r="X1345" s="547"/>
      <c r="Y1345" s="547" t="s">
        <v>6967</v>
      </c>
      <c r="Z1345" s="547"/>
      <c r="AA1345" s="547" t="s">
        <v>1770</v>
      </c>
      <c r="AB1345" s="550" t="s">
        <v>1587</v>
      </c>
    </row>
    <row r="1346" spans="1:28" ht="24" customHeight="1">
      <c r="A1346" s="606"/>
      <c r="B1346" s="544" t="s">
        <v>675</v>
      </c>
      <c r="C1346" s="551" t="s">
        <v>6968</v>
      </c>
      <c r="D1346" s="553" t="s">
        <v>6969</v>
      </c>
      <c r="E1346" s="563">
        <f t="shared" si="91"/>
        <v>90</v>
      </c>
      <c r="F1346" s="563">
        <v>0</v>
      </c>
      <c r="G1346" s="563">
        <v>90</v>
      </c>
      <c r="H1346" s="563">
        <v>0</v>
      </c>
      <c r="I1346" s="563">
        <f t="shared" si="92"/>
        <v>87</v>
      </c>
      <c r="J1346" s="563">
        <v>0</v>
      </c>
      <c r="K1346" s="563">
        <v>87</v>
      </c>
      <c r="L1346" s="751">
        <v>0</v>
      </c>
      <c r="M1346" s="967">
        <v>0.96666666666666667</v>
      </c>
      <c r="N1346" s="653">
        <v>0</v>
      </c>
      <c r="O1346" s="746" t="s">
        <v>1153</v>
      </c>
      <c r="P1346" s="547" t="s">
        <v>1588</v>
      </c>
      <c r="Q1346" s="863">
        <v>0</v>
      </c>
      <c r="R1346" s="863">
        <v>0</v>
      </c>
      <c r="S1346" s="863">
        <v>0</v>
      </c>
      <c r="T1346" s="863">
        <v>0</v>
      </c>
      <c r="U1346" s="547" t="s">
        <v>6962</v>
      </c>
      <c r="V1346" s="548" t="s">
        <v>6970</v>
      </c>
      <c r="W1346" s="658">
        <v>425</v>
      </c>
      <c r="X1346" s="547"/>
      <c r="Y1346" s="547" t="s">
        <v>6967</v>
      </c>
      <c r="Z1346" s="547"/>
      <c r="AA1346" s="547" t="s">
        <v>1770</v>
      </c>
      <c r="AB1346" s="550" t="s">
        <v>1587</v>
      </c>
    </row>
    <row r="1347" spans="1:28" ht="24" customHeight="1">
      <c r="A1347" s="606"/>
      <c r="B1347" s="544" t="s">
        <v>675</v>
      </c>
      <c r="C1347" s="551" t="s">
        <v>6971</v>
      </c>
      <c r="D1347" s="553" t="s">
        <v>6972</v>
      </c>
      <c r="E1347" s="563">
        <f t="shared" si="91"/>
        <v>60</v>
      </c>
      <c r="F1347" s="563">
        <v>0</v>
      </c>
      <c r="G1347" s="563">
        <v>60</v>
      </c>
      <c r="H1347" s="563">
        <v>0</v>
      </c>
      <c r="I1347" s="563">
        <f t="shared" si="92"/>
        <v>50</v>
      </c>
      <c r="J1347" s="563">
        <v>0</v>
      </c>
      <c r="K1347" s="563">
        <v>50</v>
      </c>
      <c r="L1347" s="751">
        <v>0</v>
      </c>
      <c r="M1347" s="967">
        <v>0.83333333333333348</v>
      </c>
      <c r="N1347" s="653">
        <v>0</v>
      </c>
      <c r="O1347" s="746" t="s">
        <v>1214</v>
      </c>
      <c r="P1347" s="547" t="s">
        <v>1588</v>
      </c>
      <c r="Q1347" s="863">
        <v>0</v>
      </c>
      <c r="R1347" s="863">
        <v>0</v>
      </c>
      <c r="S1347" s="863">
        <v>0</v>
      </c>
      <c r="T1347" s="863">
        <v>0</v>
      </c>
      <c r="U1347" s="547" t="s">
        <v>6962</v>
      </c>
      <c r="V1347" s="548" t="s">
        <v>6973</v>
      </c>
      <c r="W1347" s="658">
        <v>450</v>
      </c>
      <c r="X1347" s="547"/>
      <c r="Y1347" s="547" t="s">
        <v>6974</v>
      </c>
      <c r="Z1347" s="547"/>
      <c r="AA1347" s="547" t="s">
        <v>1770</v>
      </c>
      <c r="AB1347" s="550" t="s">
        <v>1587</v>
      </c>
    </row>
    <row r="1348" spans="1:28" ht="24" customHeight="1">
      <c r="A1348" s="606"/>
      <c r="B1348" s="544" t="s">
        <v>675</v>
      </c>
      <c r="C1348" s="551" t="s">
        <v>6975</v>
      </c>
      <c r="D1348" s="553" t="s">
        <v>6969</v>
      </c>
      <c r="E1348" s="563">
        <f t="shared" si="91"/>
        <v>130</v>
      </c>
      <c r="F1348" s="563">
        <v>0</v>
      </c>
      <c r="G1348" s="563">
        <v>130</v>
      </c>
      <c r="H1348" s="563">
        <v>0</v>
      </c>
      <c r="I1348" s="563">
        <f t="shared" si="92"/>
        <v>100</v>
      </c>
      <c r="J1348" s="563">
        <v>0</v>
      </c>
      <c r="K1348" s="563">
        <v>100</v>
      </c>
      <c r="L1348" s="751">
        <v>0</v>
      </c>
      <c r="M1348" s="967">
        <v>0.76923076923076938</v>
      </c>
      <c r="N1348" s="653">
        <v>0</v>
      </c>
      <c r="O1348" s="746" t="s">
        <v>1214</v>
      </c>
      <c r="P1348" s="547" t="s">
        <v>1588</v>
      </c>
      <c r="Q1348" s="863">
        <v>0</v>
      </c>
      <c r="R1348" s="863">
        <v>0</v>
      </c>
      <c r="S1348" s="863">
        <v>0</v>
      </c>
      <c r="T1348" s="863">
        <v>0</v>
      </c>
      <c r="U1348" s="547" t="s">
        <v>6962</v>
      </c>
      <c r="V1348" s="548" t="s">
        <v>6976</v>
      </c>
      <c r="W1348" s="658">
        <v>420</v>
      </c>
      <c r="X1348" s="547"/>
      <c r="Y1348" s="547" t="s">
        <v>6974</v>
      </c>
      <c r="Z1348" s="547"/>
      <c r="AA1348" s="547" t="s">
        <v>1770</v>
      </c>
      <c r="AB1348" s="550" t="s">
        <v>1587</v>
      </c>
    </row>
    <row r="1349" spans="1:28" ht="24" customHeight="1">
      <c r="A1349" s="606"/>
      <c r="B1349" s="544" t="s">
        <v>675</v>
      </c>
      <c r="C1349" s="551" t="s">
        <v>151</v>
      </c>
      <c r="D1349" s="553" t="s">
        <v>6977</v>
      </c>
      <c r="E1349" s="563">
        <f t="shared" si="91"/>
        <v>60</v>
      </c>
      <c r="F1349" s="563">
        <v>0</v>
      </c>
      <c r="G1349" s="563">
        <v>60</v>
      </c>
      <c r="H1349" s="563">
        <v>0</v>
      </c>
      <c r="I1349" s="563">
        <f t="shared" si="92"/>
        <v>50</v>
      </c>
      <c r="J1349" s="563">
        <v>0</v>
      </c>
      <c r="K1349" s="563">
        <v>50</v>
      </c>
      <c r="L1349" s="751">
        <v>0</v>
      </c>
      <c r="M1349" s="967">
        <v>0.83333333333333348</v>
      </c>
      <c r="N1349" s="653">
        <v>0</v>
      </c>
      <c r="O1349" s="746" t="s">
        <v>6961</v>
      </c>
      <c r="P1349" s="547" t="s">
        <v>1588</v>
      </c>
      <c r="Q1349" s="863">
        <v>0</v>
      </c>
      <c r="R1349" s="863">
        <v>0</v>
      </c>
      <c r="S1349" s="863">
        <v>0</v>
      </c>
      <c r="T1349" s="863">
        <v>0</v>
      </c>
      <c r="U1349" s="547" t="s">
        <v>6962</v>
      </c>
      <c r="V1349" s="548" t="s">
        <v>6978</v>
      </c>
      <c r="W1349" s="658">
        <v>780</v>
      </c>
      <c r="X1349" s="547"/>
      <c r="Y1349" s="547" t="s">
        <v>3161</v>
      </c>
      <c r="Z1349" s="547"/>
      <c r="AA1349" s="547" t="s">
        <v>1770</v>
      </c>
      <c r="AB1349" s="550" t="s">
        <v>1587</v>
      </c>
    </row>
    <row r="1350" spans="1:28" ht="24" customHeight="1">
      <c r="A1350" s="606"/>
      <c r="B1350" s="544" t="s">
        <v>675</v>
      </c>
      <c r="C1350" s="551" t="s">
        <v>2169</v>
      </c>
      <c r="D1350" s="553" t="s">
        <v>6979</v>
      </c>
      <c r="E1350" s="563">
        <f t="shared" si="91"/>
        <v>40</v>
      </c>
      <c r="F1350" s="563">
        <v>0</v>
      </c>
      <c r="G1350" s="563">
        <v>40</v>
      </c>
      <c r="H1350" s="563">
        <v>0</v>
      </c>
      <c r="I1350" s="563">
        <f t="shared" si="92"/>
        <v>25</v>
      </c>
      <c r="J1350" s="563">
        <v>0</v>
      </c>
      <c r="K1350" s="563">
        <v>25</v>
      </c>
      <c r="L1350" s="751">
        <v>0</v>
      </c>
      <c r="M1350" s="967">
        <v>0.625</v>
      </c>
      <c r="N1350" s="653">
        <v>0</v>
      </c>
      <c r="O1350" s="746" t="s">
        <v>6980</v>
      </c>
      <c r="P1350" s="547" t="s">
        <v>1588</v>
      </c>
      <c r="Q1350" s="863">
        <v>0</v>
      </c>
      <c r="R1350" s="863">
        <v>0</v>
      </c>
      <c r="S1350" s="863">
        <v>0</v>
      </c>
      <c r="T1350" s="863">
        <v>0</v>
      </c>
      <c r="U1350" s="547" t="s">
        <v>6962</v>
      </c>
      <c r="V1350" s="548" t="s">
        <v>6981</v>
      </c>
      <c r="W1350" s="658">
        <v>135</v>
      </c>
      <c r="X1350" s="547"/>
      <c r="Y1350" s="547" t="s">
        <v>6967</v>
      </c>
      <c r="Z1350" s="547"/>
      <c r="AA1350" s="547" t="s">
        <v>1770</v>
      </c>
      <c r="AB1350" s="550" t="s">
        <v>1587</v>
      </c>
    </row>
    <row r="1351" spans="1:28" ht="24" customHeight="1">
      <c r="A1351" s="606"/>
      <c r="B1351" s="544" t="s">
        <v>675</v>
      </c>
      <c r="C1351" s="551" t="s">
        <v>2210</v>
      </c>
      <c r="D1351" s="553" t="s">
        <v>6982</v>
      </c>
      <c r="E1351" s="563">
        <f t="shared" si="91"/>
        <v>44</v>
      </c>
      <c r="F1351" s="563">
        <v>0</v>
      </c>
      <c r="G1351" s="563">
        <v>44</v>
      </c>
      <c r="H1351" s="563">
        <v>0</v>
      </c>
      <c r="I1351" s="563">
        <f t="shared" si="92"/>
        <v>40</v>
      </c>
      <c r="J1351" s="563">
        <v>0</v>
      </c>
      <c r="K1351" s="563">
        <v>40</v>
      </c>
      <c r="L1351" s="751">
        <v>0</v>
      </c>
      <c r="M1351" s="967">
        <v>0.90909090909090906</v>
      </c>
      <c r="N1351" s="653">
        <v>0</v>
      </c>
      <c r="O1351" s="746" t="s">
        <v>6966</v>
      </c>
      <c r="P1351" s="547" t="s">
        <v>1588</v>
      </c>
      <c r="Q1351" s="863">
        <v>0</v>
      </c>
      <c r="R1351" s="863">
        <v>0</v>
      </c>
      <c r="S1351" s="863">
        <v>0</v>
      </c>
      <c r="T1351" s="863">
        <v>0</v>
      </c>
      <c r="U1351" s="547" t="s">
        <v>6962</v>
      </c>
      <c r="V1351" s="548" t="s">
        <v>6983</v>
      </c>
      <c r="W1351" s="658">
        <v>175</v>
      </c>
      <c r="X1351" s="547"/>
      <c r="Y1351" s="547" t="s">
        <v>3161</v>
      </c>
      <c r="Z1351" s="547"/>
      <c r="AA1351" s="547" t="s">
        <v>1770</v>
      </c>
      <c r="AB1351" s="550" t="s">
        <v>1587</v>
      </c>
    </row>
    <row r="1352" spans="1:28" ht="24" customHeight="1">
      <c r="A1352" s="606"/>
      <c r="B1352" s="544" t="s">
        <v>675</v>
      </c>
      <c r="C1352" s="551" t="s">
        <v>6984</v>
      </c>
      <c r="D1352" s="553" t="s">
        <v>6985</v>
      </c>
      <c r="E1352" s="563">
        <f t="shared" si="91"/>
        <v>40</v>
      </c>
      <c r="F1352" s="563">
        <v>0</v>
      </c>
      <c r="G1352" s="563">
        <v>40</v>
      </c>
      <c r="H1352" s="563">
        <v>0</v>
      </c>
      <c r="I1352" s="563">
        <f t="shared" si="92"/>
        <v>30</v>
      </c>
      <c r="J1352" s="563">
        <v>0</v>
      </c>
      <c r="K1352" s="563">
        <v>30</v>
      </c>
      <c r="L1352" s="751">
        <v>0</v>
      </c>
      <c r="M1352" s="967">
        <v>0.75</v>
      </c>
      <c r="N1352" s="653">
        <v>0</v>
      </c>
      <c r="O1352" s="746" t="s">
        <v>6966</v>
      </c>
      <c r="P1352" s="547" t="s">
        <v>1588</v>
      </c>
      <c r="Q1352" s="863">
        <v>0</v>
      </c>
      <c r="R1352" s="863">
        <v>0</v>
      </c>
      <c r="S1352" s="863">
        <v>0</v>
      </c>
      <c r="T1352" s="863">
        <v>0</v>
      </c>
      <c r="U1352" s="547" t="s">
        <v>6962</v>
      </c>
      <c r="V1352" s="548" t="s">
        <v>6986</v>
      </c>
      <c r="W1352" s="658">
        <v>247</v>
      </c>
      <c r="X1352" s="547"/>
      <c r="Y1352" s="547" t="s">
        <v>6967</v>
      </c>
      <c r="Z1352" s="547"/>
      <c r="AA1352" s="547" t="s">
        <v>1770</v>
      </c>
      <c r="AB1352" s="550" t="s">
        <v>1587</v>
      </c>
    </row>
    <row r="1353" spans="1:28" ht="24" customHeight="1">
      <c r="A1353" s="606"/>
      <c r="B1353" s="544" t="s">
        <v>675</v>
      </c>
      <c r="C1353" s="551" t="s">
        <v>6987</v>
      </c>
      <c r="D1353" s="553" t="s">
        <v>6985</v>
      </c>
      <c r="E1353" s="563">
        <f t="shared" si="91"/>
        <v>17</v>
      </c>
      <c r="F1353" s="563">
        <v>0</v>
      </c>
      <c r="G1353" s="563">
        <v>17</v>
      </c>
      <c r="H1353" s="563">
        <v>0</v>
      </c>
      <c r="I1353" s="563">
        <f t="shared" si="92"/>
        <v>13</v>
      </c>
      <c r="J1353" s="563">
        <v>0</v>
      </c>
      <c r="K1353" s="563">
        <v>13</v>
      </c>
      <c r="L1353" s="751">
        <v>0</v>
      </c>
      <c r="M1353" s="967">
        <v>0.76470588235294112</v>
      </c>
      <c r="N1353" s="653">
        <v>0</v>
      </c>
      <c r="O1353" s="746" t="s">
        <v>6966</v>
      </c>
      <c r="P1353" s="547" t="s">
        <v>1588</v>
      </c>
      <c r="Q1353" s="863">
        <v>0</v>
      </c>
      <c r="R1353" s="863">
        <v>0</v>
      </c>
      <c r="S1353" s="863">
        <v>0</v>
      </c>
      <c r="T1353" s="863">
        <v>0</v>
      </c>
      <c r="U1353" s="547" t="s">
        <v>6962</v>
      </c>
      <c r="V1353" s="548" t="s">
        <v>6988</v>
      </c>
      <c r="W1353" s="658">
        <v>228</v>
      </c>
      <c r="X1353" s="547"/>
      <c r="Y1353" s="547" t="s">
        <v>6967</v>
      </c>
      <c r="Z1353" s="547"/>
      <c r="AA1353" s="547" t="s">
        <v>1770</v>
      </c>
      <c r="AB1353" s="550" t="s">
        <v>1587</v>
      </c>
    </row>
    <row r="1354" spans="1:28" ht="24" customHeight="1">
      <c r="A1354" s="606"/>
      <c r="B1354" s="544" t="s">
        <v>675</v>
      </c>
      <c r="C1354" s="551" t="s">
        <v>6989</v>
      </c>
      <c r="D1354" s="553" t="s">
        <v>6990</v>
      </c>
      <c r="E1354" s="563">
        <f t="shared" si="91"/>
        <v>70</v>
      </c>
      <c r="F1354" s="563">
        <v>0</v>
      </c>
      <c r="G1354" s="563">
        <v>70</v>
      </c>
      <c r="H1354" s="563">
        <v>0</v>
      </c>
      <c r="I1354" s="563">
        <f t="shared" si="92"/>
        <v>60</v>
      </c>
      <c r="J1354" s="563">
        <v>0</v>
      </c>
      <c r="K1354" s="563">
        <v>60</v>
      </c>
      <c r="L1354" s="751">
        <v>0</v>
      </c>
      <c r="M1354" s="967">
        <v>0.8571428571428571</v>
      </c>
      <c r="N1354" s="653">
        <v>0</v>
      </c>
      <c r="O1354" s="746" t="s">
        <v>1127</v>
      </c>
      <c r="P1354" s="547" t="s">
        <v>1588</v>
      </c>
      <c r="Q1354" s="863">
        <v>0</v>
      </c>
      <c r="R1354" s="863">
        <v>0</v>
      </c>
      <c r="S1354" s="863">
        <v>0</v>
      </c>
      <c r="T1354" s="863">
        <v>0</v>
      </c>
      <c r="U1354" s="547" t="s">
        <v>6962</v>
      </c>
      <c r="V1354" s="548" t="s">
        <v>6991</v>
      </c>
      <c r="W1354" s="658">
        <v>248</v>
      </c>
      <c r="X1354" s="547"/>
      <c r="Y1354" s="547" t="s">
        <v>6967</v>
      </c>
      <c r="Z1354" s="547"/>
      <c r="AA1354" s="547" t="s">
        <v>1770</v>
      </c>
      <c r="AB1354" s="550" t="s">
        <v>1587</v>
      </c>
    </row>
    <row r="1355" spans="1:28" ht="24" customHeight="1">
      <c r="A1355" s="606"/>
      <c r="B1355" s="544" t="s">
        <v>675</v>
      </c>
      <c r="C1355" s="551" t="s">
        <v>2044</v>
      </c>
      <c r="D1355" s="553" t="s">
        <v>6992</v>
      </c>
      <c r="E1355" s="563">
        <f t="shared" si="91"/>
        <v>30</v>
      </c>
      <c r="F1355" s="563">
        <v>0</v>
      </c>
      <c r="G1355" s="563">
        <v>30</v>
      </c>
      <c r="H1355" s="563">
        <v>0</v>
      </c>
      <c r="I1355" s="563">
        <f t="shared" si="92"/>
        <v>25</v>
      </c>
      <c r="J1355" s="563">
        <v>0</v>
      </c>
      <c r="K1355" s="563">
        <v>25</v>
      </c>
      <c r="L1355" s="751">
        <v>0</v>
      </c>
      <c r="M1355" s="967">
        <v>0.83333333333333348</v>
      </c>
      <c r="N1355" s="653">
        <v>0</v>
      </c>
      <c r="O1355" s="746" t="s">
        <v>3451</v>
      </c>
      <c r="P1355" s="547" t="s">
        <v>1588</v>
      </c>
      <c r="Q1355" s="863">
        <v>0</v>
      </c>
      <c r="R1355" s="863">
        <v>0</v>
      </c>
      <c r="S1355" s="863">
        <v>0</v>
      </c>
      <c r="T1355" s="863">
        <v>0</v>
      </c>
      <c r="U1355" s="547" t="s">
        <v>6962</v>
      </c>
      <c r="V1355" s="548" t="s">
        <v>6993</v>
      </c>
      <c r="W1355" s="658">
        <v>219</v>
      </c>
      <c r="X1355" s="547"/>
      <c r="Y1355" s="547" t="s">
        <v>6967</v>
      </c>
      <c r="Z1355" s="547"/>
      <c r="AA1355" s="547" t="s">
        <v>1770</v>
      </c>
      <c r="AB1355" s="550" t="s">
        <v>1587</v>
      </c>
    </row>
    <row r="1356" spans="1:28" ht="24" customHeight="1">
      <c r="A1356" s="606"/>
      <c r="B1356" s="544" t="s">
        <v>675</v>
      </c>
      <c r="C1356" s="551" t="s">
        <v>6994</v>
      </c>
      <c r="D1356" s="553" t="s">
        <v>6985</v>
      </c>
      <c r="E1356" s="563">
        <f t="shared" si="91"/>
        <v>40</v>
      </c>
      <c r="F1356" s="563">
        <v>0</v>
      </c>
      <c r="G1356" s="563">
        <v>40</v>
      </c>
      <c r="H1356" s="563">
        <v>0</v>
      </c>
      <c r="I1356" s="563">
        <f t="shared" si="92"/>
        <v>35</v>
      </c>
      <c r="J1356" s="563">
        <v>0</v>
      </c>
      <c r="K1356" s="563">
        <v>35</v>
      </c>
      <c r="L1356" s="751">
        <v>0</v>
      </c>
      <c r="M1356" s="967">
        <v>0.875</v>
      </c>
      <c r="N1356" s="653">
        <v>0</v>
      </c>
      <c r="O1356" s="746" t="s">
        <v>6995</v>
      </c>
      <c r="P1356" s="547" t="s">
        <v>1588</v>
      </c>
      <c r="Q1356" s="863">
        <v>0</v>
      </c>
      <c r="R1356" s="863">
        <v>0</v>
      </c>
      <c r="S1356" s="863">
        <v>0</v>
      </c>
      <c r="T1356" s="863">
        <v>0</v>
      </c>
      <c r="U1356" s="547" t="s">
        <v>6962</v>
      </c>
      <c r="V1356" s="548" t="s">
        <v>3746</v>
      </c>
      <c r="W1356" s="658">
        <v>136</v>
      </c>
      <c r="X1356" s="547"/>
      <c r="Y1356" s="547" t="s">
        <v>6967</v>
      </c>
      <c r="Z1356" s="547"/>
      <c r="AA1356" s="547" t="s">
        <v>1770</v>
      </c>
      <c r="AB1356" s="550" t="s">
        <v>1587</v>
      </c>
    </row>
    <row r="1357" spans="1:28" ht="24" customHeight="1">
      <c r="A1357" s="606"/>
      <c r="B1357" s="544" t="s">
        <v>675</v>
      </c>
      <c r="C1357" s="551" t="s">
        <v>6996</v>
      </c>
      <c r="D1357" s="553" t="s">
        <v>6990</v>
      </c>
      <c r="E1357" s="563">
        <f t="shared" si="91"/>
        <v>39</v>
      </c>
      <c r="F1357" s="563">
        <v>0</v>
      </c>
      <c r="G1357" s="563">
        <v>39</v>
      </c>
      <c r="H1357" s="563">
        <v>0</v>
      </c>
      <c r="I1357" s="563">
        <f t="shared" si="92"/>
        <v>30</v>
      </c>
      <c r="J1357" s="563">
        <v>0</v>
      </c>
      <c r="K1357" s="563">
        <v>30</v>
      </c>
      <c r="L1357" s="751">
        <v>0</v>
      </c>
      <c r="M1357" s="967">
        <v>0.76923076923076938</v>
      </c>
      <c r="N1357" s="653">
        <v>0</v>
      </c>
      <c r="O1357" s="746" t="s">
        <v>1153</v>
      </c>
      <c r="P1357" s="547" t="s">
        <v>1588</v>
      </c>
      <c r="Q1357" s="863">
        <v>0</v>
      </c>
      <c r="R1357" s="863">
        <v>0</v>
      </c>
      <c r="S1357" s="863">
        <v>0</v>
      </c>
      <c r="T1357" s="863">
        <v>0</v>
      </c>
      <c r="U1357" s="547" t="s">
        <v>6962</v>
      </c>
      <c r="V1357" s="548" t="s">
        <v>6997</v>
      </c>
      <c r="W1357" s="658">
        <v>228</v>
      </c>
      <c r="X1357" s="547"/>
      <c r="Y1357" s="547" t="s">
        <v>6967</v>
      </c>
      <c r="Z1357" s="547"/>
      <c r="AA1357" s="547" t="s">
        <v>1770</v>
      </c>
      <c r="AB1357" s="550" t="s">
        <v>1587</v>
      </c>
    </row>
    <row r="1358" spans="1:28" ht="24" customHeight="1">
      <c r="A1358" s="606"/>
      <c r="B1358" s="544" t="s">
        <v>675</v>
      </c>
      <c r="C1358" s="551" t="s">
        <v>1666</v>
      </c>
      <c r="D1358" s="553" t="s">
        <v>6791</v>
      </c>
      <c r="E1358" s="563">
        <f t="shared" si="91"/>
        <v>70</v>
      </c>
      <c r="F1358" s="563">
        <v>0</v>
      </c>
      <c r="G1358" s="563">
        <v>70</v>
      </c>
      <c r="H1358" s="563">
        <v>0</v>
      </c>
      <c r="I1358" s="563">
        <f t="shared" si="92"/>
        <v>56</v>
      </c>
      <c r="J1358" s="563">
        <v>0</v>
      </c>
      <c r="K1358" s="563">
        <v>56</v>
      </c>
      <c r="L1358" s="751">
        <v>0</v>
      </c>
      <c r="M1358" s="967">
        <v>0.8</v>
      </c>
      <c r="N1358" s="653">
        <v>0</v>
      </c>
      <c r="O1358" s="746" t="s">
        <v>6998</v>
      </c>
      <c r="P1358" s="547" t="s">
        <v>1588</v>
      </c>
      <c r="Q1358" s="863">
        <v>0</v>
      </c>
      <c r="R1358" s="863">
        <v>0</v>
      </c>
      <c r="S1358" s="863">
        <v>0</v>
      </c>
      <c r="T1358" s="863">
        <v>0</v>
      </c>
      <c r="U1358" s="547" t="s">
        <v>6962</v>
      </c>
      <c r="V1358" s="548" t="s">
        <v>6999</v>
      </c>
      <c r="W1358" s="658">
        <v>408</v>
      </c>
      <c r="X1358" s="547"/>
      <c r="Y1358" s="547" t="s">
        <v>6967</v>
      </c>
      <c r="Z1358" s="547"/>
      <c r="AA1358" s="547" t="s">
        <v>1770</v>
      </c>
      <c r="AB1358" s="550" t="s">
        <v>1587</v>
      </c>
    </row>
    <row r="1359" spans="1:28" ht="24" customHeight="1">
      <c r="A1359" s="606"/>
      <c r="B1359" s="544" t="s">
        <v>675</v>
      </c>
      <c r="C1359" s="551" t="s">
        <v>7000</v>
      </c>
      <c r="D1359" s="553" t="s">
        <v>6992</v>
      </c>
      <c r="E1359" s="563">
        <f t="shared" si="91"/>
        <v>45</v>
      </c>
      <c r="F1359" s="563">
        <v>0</v>
      </c>
      <c r="G1359" s="563">
        <v>45</v>
      </c>
      <c r="H1359" s="563">
        <v>0</v>
      </c>
      <c r="I1359" s="563">
        <f t="shared" si="92"/>
        <v>29</v>
      </c>
      <c r="J1359" s="563">
        <v>0</v>
      </c>
      <c r="K1359" s="563">
        <v>29</v>
      </c>
      <c r="L1359" s="751">
        <v>0</v>
      </c>
      <c r="M1359" s="967">
        <v>0.64444444444444438</v>
      </c>
      <c r="N1359" s="653">
        <v>0</v>
      </c>
      <c r="O1359" s="746" t="s">
        <v>7001</v>
      </c>
      <c r="P1359" s="547" t="s">
        <v>1588</v>
      </c>
      <c r="Q1359" s="863">
        <v>0</v>
      </c>
      <c r="R1359" s="863">
        <v>0</v>
      </c>
      <c r="S1359" s="863">
        <v>0</v>
      </c>
      <c r="T1359" s="863">
        <v>0</v>
      </c>
      <c r="U1359" s="547" t="s">
        <v>6962</v>
      </c>
      <c r="V1359" s="548" t="s">
        <v>7002</v>
      </c>
      <c r="W1359" s="658">
        <v>290</v>
      </c>
      <c r="X1359" s="547"/>
      <c r="Y1359" s="547" t="s">
        <v>6967</v>
      </c>
      <c r="Z1359" s="547"/>
      <c r="AA1359" s="547" t="s">
        <v>1770</v>
      </c>
      <c r="AB1359" s="550" t="s">
        <v>1587</v>
      </c>
    </row>
    <row r="1360" spans="1:28" ht="24" customHeight="1">
      <c r="A1360" s="606"/>
      <c r="B1360" s="544" t="s">
        <v>675</v>
      </c>
      <c r="C1360" s="551" t="s">
        <v>2816</v>
      </c>
      <c r="D1360" s="553" t="s">
        <v>7003</v>
      </c>
      <c r="E1360" s="563">
        <f t="shared" si="91"/>
        <v>40</v>
      </c>
      <c r="F1360" s="563">
        <v>0</v>
      </c>
      <c r="G1360" s="563">
        <v>40</v>
      </c>
      <c r="H1360" s="563">
        <v>0</v>
      </c>
      <c r="I1360" s="563">
        <f t="shared" si="92"/>
        <v>30</v>
      </c>
      <c r="J1360" s="563">
        <v>0</v>
      </c>
      <c r="K1360" s="563">
        <v>30</v>
      </c>
      <c r="L1360" s="751">
        <v>0</v>
      </c>
      <c r="M1360" s="967">
        <v>0.75</v>
      </c>
      <c r="N1360" s="653">
        <v>0</v>
      </c>
      <c r="O1360" s="746" t="s">
        <v>1153</v>
      </c>
      <c r="P1360" s="547" t="s">
        <v>1588</v>
      </c>
      <c r="Q1360" s="863">
        <v>0</v>
      </c>
      <c r="R1360" s="863">
        <v>0</v>
      </c>
      <c r="S1360" s="863">
        <v>0</v>
      </c>
      <c r="T1360" s="863">
        <v>0</v>
      </c>
      <c r="U1360" s="547" t="s">
        <v>6962</v>
      </c>
      <c r="V1360" s="548" t="s">
        <v>2170</v>
      </c>
      <c r="W1360" s="658">
        <v>290</v>
      </c>
      <c r="X1360" s="547"/>
      <c r="Y1360" s="547" t="s">
        <v>6967</v>
      </c>
      <c r="Z1360" s="547"/>
      <c r="AA1360" s="547" t="s">
        <v>1770</v>
      </c>
      <c r="AB1360" s="550" t="s">
        <v>1587</v>
      </c>
    </row>
    <row r="1361" spans="1:28" ht="24" customHeight="1">
      <c r="A1361" s="606"/>
      <c r="B1361" s="544" t="s">
        <v>675</v>
      </c>
      <c r="C1361" s="551" t="s">
        <v>7004</v>
      </c>
      <c r="D1361" s="553" t="s">
        <v>7005</v>
      </c>
      <c r="E1361" s="563">
        <f t="shared" si="91"/>
        <v>40</v>
      </c>
      <c r="F1361" s="563">
        <v>0</v>
      </c>
      <c r="G1361" s="563">
        <v>40</v>
      </c>
      <c r="H1361" s="563">
        <v>0</v>
      </c>
      <c r="I1361" s="563">
        <f t="shared" si="92"/>
        <v>30</v>
      </c>
      <c r="J1361" s="563">
        <v>0</v>
      </c>
      <c r="K1361" s="563">
        <v>30</v>
      </c>
      <c r="L1361" s="751">
        <v>0</v>
      </c>
      <c r="M1361" s="967">
        <v>0.75</v>
      </c>
      <c r="N1361" s="653">
        <v>0</v>
      </c>
      <c r="O1361" s="746" t="s">
        <v>6980</v>
      </c>
      <c r="P1361" s="547" t="s">
        <v>1588</v>
      </c>
      <c r="Q1361" s="863">
        <v>0</v>
      </c>
      <c r="R1361" s="863">
        <v>0</v>
      </c>
      <c r="S1361" s="863">
        <v>0</v>
      </c>
      <c r="T1361" s="863">
        <v>0</v>
      </c>
      <c r="U1361" s="547" t="s">
        <v>6962</v>
      </c>
      <c r="V1361" s="548" t="s">
        <v>7006</v>
      </c>
      <c r="W1361" s="658">
        <v>161</v>
      </c>
      <c r="X1361" s="547"/>
      <c r="Y1361" s="547" t="s">
        <v>6967</v>
      </c>
      <c r="Z1361" s="547"/>
      <c r="AA1361" s="547" t="s">
        <v>1770</v>
      </c>
      <c r="AB1361" s="550" t="s">
        <v>1587</v>
      </c>
    </row>
    <row r="1362" spans="1:28" ht="24" customHeight="1">
      <c r="A1362" s="606"/>
      <c r="B1362" s="544" t="s">
        <v>675</v>
      </c>
      <c r="C1362" s="551" t="s">
        <v>2095</v>
      </c>
      <c r="D1362" s="553" t="s">
        <v>2095</v>
      </c>
      <c r="E1362" s="563">
        <f t="shared" si="91"/>
        <v>120</v>
      </c>
      <c r="F1362" s="563">
        <v>0</v>
      </c>
      <c r="G1362" s="563">
        <v>120</v>
      </c>
      <c r="H1362" s="563">
        <v>0</v>
      </c>
      <c r="I1362" s="563">
        <f t="shared" si="92"/>
        <v>91</v>
      </c>
      <c r="J1362" s="563">
        <v>0</v>
      </c>
      <c r="K1362" s="563">
        <v>91</v>
      </c>
      <c r="L1362" s="751">
        <v>0</v>
      </c>
      <c r="M1362" s="967">
        <v>0.7583333333333333</v>
      </c>
      <c r="N1362" s="653">
        <v>0</v>
      </c>
      <c r="O1362" s="746" t="s">
        <v>1214</v>
      </c>
      <c r="P1362" s="547" t="s">
        <v>1588</v>
      </c>
      <c r="Q1362" s="863">
        <v>0</v>
      </c>
      <c r="R1362" s="863">
        <v>0</v>
      </c>
      <c r="S1362" s="863">
        <v>0</v>
      </c>
      <c r="T1362" s="863">
        <v>0</v>
      </c>
      <c r="U1362" s="547" t="s">
        <v>6962</v>
      </c>
      <c r="V1362" s="548" t="s">
        <v>6963</v>
      </c>
      <c r="W1362" s="658">
        <v>1510</v>
      </c>
      <c r="X1362" s="547"/>
      <c r="Y1362" s="547" t="s">
        <v>6974</v>
      </c>
      <c r="Z1362" s="547"/>
      <c r="AA1362" s="547" t="s">
        <v>1770</v>
      </c>
      <c r="AB1362" s="550" t="s">
        <v>1587</v>
      </c>
    </row>
    <row r="1363" spans="1:28" ht="24" customHeight="1">
      <c r="A1363" s="606"/>
      <c r="B1363" s="544" t="s">
        <v>675</v>
      </c>
      <c r="C1363" s="551" t="s">
        <v>877</v>
      </c>
      <c r="D1363" s="553" t="s">
        <v>7007</v>
      </c>
      <c r="E1363" s="563">
        <f t="shared" si="91"/>
        <v>180</v>
      </c>
      <c r="F1363" s="563">
        <v>0</v>
      </c>
      <c r="G1363" s="563">
        <v>180</v>
      </c>
      <c r="H1363" s="563">
        <v>0</v>
      </c>
      <c r="I1363" s="563">
        <f t="shared" si="92"/>
        <v>160</v>
      </c>
      <c r="J1363" s="563">
        <v>0</v>
      </c>
      <c r="K1363" s="563">
        <v>160</v>
      </c>
      <c r="L1363" s="751">
        <v>0</v>
      </c>
      <c r="M1363" s="967">
        <v>0.88888888888888884</v>
      </c>
      <c r="N1363" s="653">
        <v>0</v>
      </c>
      <c r="O1363" s="746" t="s">
        <v>7008</v>
      </c>
      <c r="P1363" s="547" t="s">
        <v>1588</v>
      </c>
      <c r="Q1363" s="863">
        <v>0</v>
      </c>
      <c r="R1363" s="863">
        <v>0</v>
      </c>
      <c r="S1363" s="863">
        <v>0</v>
      </c>
      <c r="T1363" s="863">
        <v>0</v>
      </c>
      <c r="U1363" s="547" t="s">
        <v>6962</v>
      </c>
      <c r="V1363" s="548" t="s">
        <v>7009</v>
      </c>
      <c r="W1363" s="658">
        <v>4971</v>
      </c>
      <c r="X1363" s="547"/>
      <c r="Y1363" s="547" t="s">
        <v>3161</v>
      </c>
      <c r="Z1363" s="547"/>
      <c r="AA1363" s="547" t="s">
        <v>7010</v>
      </c>
      <c r="AB1363" s="550" t="s">
        <v>1591</v>
      </c>
    </row>
    <row r="1364" spans="1:28" ht="24" customHeight="1">
      <c r="A1364" s="606"/>
      <c r="B1364" s="544" t="s">
        <v>675</v>
      </c>
      <c r="C1364" s="551" t="s">
        <v>7011</v>
      </c>
      <c r="D1364" s="553" t="s">
        <v>7012</v>
      </c>
      <c r="E1364" s="563">
        <f t="shared" si="91"/>
        <v>60</v>
      </c>
      <c r="F1364" s="563">
        <v>0</v>
      </c>
      <c r="G1364" s="563">
        <v>60</v>
      </c>
      <c r="H1364" s="563">
        <v>0</v>
      </c>
      <c r="I1364" s="563">
        <f t="shared" si="92"/>
        <v>41</v>
      </c>
      <c r="J1364" s="563">
        <v>0</v>
      </c>
      <c r="K1364" s="563">
        <v>41</v>
      </c>
      <c r="L1364" s="751">
        <v>0</v>
      </c>
      <c r="M1364" s="967">
        <v>0.68333333333333324</v>
      </c>
      <c r="N1364" s="653">
        <v>0</v>
      </c>
      <c r="O1364" s="746" t="s">
        <v>7013</v>
      </c>
      <c r="P1364" s="547" t="s">
        <v>1588</v>
      </c>
      <c r="Q1364" s="863">
        <v>0</v>
      </c>
      <c r="R1364" s="863">
        <v>0</v>
      </c>
      <c r="S1364" s="863">
        <v>0</v>
      </c>
      <c r="T1364" s="863">
        <v>0</v>
      </c>
      <c r="U1364" s="547" t="s">
        <v>6962</v>
      </c>
      <c r="V1364" s="548" t="s">
        <v>2079</v>
      </c>
      <c r="W1364" s="658">
        <v>989</v>
      </c>
      <c r="X1364" s="547"/>
      <c r="Y1364" s="547" t="s">
        <v>3161</v>
      </c>
      <c r="Z1364" s="547"/>
      <c r="AA1364" s="547" t="s">
        <v>7010</v>
      </c>
      <c r="AB1364" s="550" t="s">
        <v>1591</v>
      </c>
    </row>
    <row r="1365" spans="1:28" ht="24" customHeight="1">
      <c r="A1365" s="606"/>
      <c r="B1365" s="544" t="s">
        <v>675</v>
      </c>
      <c r="C1365" s="551" t="s">
        <v>6725</v>
      </c>
      <c r="D1365" s="553" t="s">
        <v>7014</v>
      </c>
      <c r="E1365" s="563">
        <f t="shared" si="91"/>
        <v>80</v>
      </c>
      <c r="F1365" s="563">
        <v>0</v>
      </c>
      <c r="G1365" s="563">
        <v>80</v>
      </c>
      <c r="H1365" s="563">
        <v>0</v>
      </c>
      <c r="I1365" s="563">
        <f t="shared" si="92"/>
        <v>10</v>
      </c>
      <c r="J1365" s="563">
        <v>0</v>
      </c>
      <c r="K1365" s="563">
        <v>10</v>
      </c>
      <c r="L1365" s="751">
        <v>0</v>
      </c>
      <c r="M1365" s="967">
        <v>0.125</v>
      </c>
      <c r="N1365" s="653">
        <v>0</v>
      </c>
      <c r="O1365" s="746" t="s">
        <v>7015</v>
      </c>
      <c r="P1365" s="547" t="s">
        <v>1588</v>
      </c>
      <c r="Q1365" s="863">
        <v>0</v>
      </c>
      <c r="R1365" s="863">
        <v>0</v>
      </c>
      <c r="S1365" s="863">
        <v>0</v>
      </c>
      <c r="T1365" s="863">
        <v>0</v>
      </c>
      <c r="U1365" s="547" t="s">
        <v>6962</v>
      </c>
      <c r="V1365" s="548" t="s">
        <v>7016</v>
      </c>
      <c r="W1365" s="658">
        <v>375</v>
      </c>
      <c r="X1365" s="547"/>
      <c r="Y1365" s="547" t="s">
        <v>6967</v>
      </c>
      <c r="Z1365" s="547"/>
      <c r="AA1365" s="547" t="s">
        <v>7010</v>
      </c>
      <c r="AB1365" s="550" t="s">
        <v>1591</v>
      </c>
    </row>
    <row r="1366" spans="1:28" ht="24" customHeight="1">
      <c r="A1366" s="606"/>
      <c r="B1366" s="544" t="s">
        <v>675</v>
      </c>
      <c r="C1366" s="551" t="s">
        <v>1970</v>
      </c>
      <c r="D1366" s="553" t="s">
        <v>7017</v>
      </c>
      <c r="E1366" s="563">
        <f t="shared" si="91"/>
        <v>30</v>
      </c>
      <c r="F1366" s="563">
        <v>0</v>
      </c>
      <c r="G1366" s="563">
        <v>30</v>
      </c>
      <c r="H1366" s="563">
        <v>0</v>
      </c>
      <c r="I1366" s="563">
        <f t="shared" si="92"/>
        <v>20</v>
      </c>
      <c r="J1366" s="563">
        <v>0</v>
      </c>
      <c r="K1366" s="563">
        <v>20</v>
      </c>
      <c r="L1366" s="751">
        <v>0</v>
      </c>
      <c r="M1366" s="967">
        <v>0.66666666666666652</v>
      </c>
      <c r="N1366" s="653">
        <v>0</v>
      </c>
      <c r="O1366" s="746" t="s">
        <v>7018</v>
      </c>
      <c r="P1366" s="547" t="s">
        <v>1588</v>
      </c>
      <c r="Q1366" s="863">
        <v>0</v>
      </c>
      <c r="R1366" s="863">
        <v>0</v>
      </c>
      <c r="S1366" s="863">
        <v>0</v>
      </c>
      <c r="T1366" s="863">
        <v>0</v>
      </c>
      <c r="U1366" s="547" t="s">
        <v>6962</v>
      </c>
      <c r="V1366" s="548" t="s">
        <v>7019</v>
      </c>
      <c r="W1366" s="658">
        <v>78</v>
      </c>
      <c r="X1366" s="547"/>
      <c r="Y1366" s="547" t="s">
        <v>6967</v>
      </c>
      <c r="Z1366" s="547"/>
      <c r="AA1366" s="547" t="s">
        <v>7010</v>
      </c>
      <c r="AB1366" s="550" t="s">
        <v>1591</v>
      </c>
    </row>
    <row r="1367" spans="1:28" ht="24" customHeight="1">
      <c r="A1367" s="606"/>
      <c r="B1367" s="544" t="s">
        <v>675</v>
      </c>
      <c r="C1367" s="551" t="s">
        <v>907</v>
      </c>
      <c r="D1367" s="553" t="s">
        <v>7020</v>
      </c>
      <c r="E1367" s="563">
        <f t="shared" si="91"/>
        <v>120</v>
      </c>
      <c r="F1367" s="563">
        <v>0</v>
      </c>
      <c r="G1367" s="563">
        <v>120</v>
      </c>
      <c r="H1367" s="563">
        <v>0</v>
      </c>
      <c r="I1367" s="563">
        <f t="shared" si="92"/>
        <v>80</v>
      </c>
      <c r="J1367" s="563">
        <v>0</v>
      </c>
      <c r="K1367" s="563">
        <v>80</v>
      </c>
      <c r="L1367" s="751">
        <v>0</v>
      </c>
      <c r="M1367" s="967">
        <v>0.66666666666666652</v>
      </c>
      <c r="N1367" s="653">
        <v>0</v>
      </c>
      <c r="O1367" s="746" t="s">
        <v>4854</v>
      </c>
      <c r="P1367" s="547" t="s">
        <v>1588</v>
      </c>
      <c r="Q1367" s="863">
        <v>0</v>
      </c>
      <c r="R1367" s="863">
        <v>0</v>
      </c>
      <c r="S1367" s="863">
        <v>0</v>
      </c>
      <c r="T1367" s="863">
        <v>0</v>
      </c>
      <c r="U1367" s="547" t="s">
        <v>6962</v>
      </c>
      <c r="V1367" s="548" t="s">
        <v>7021</v>
      </c>
      <c r="W1367" s="658">
        <v>400</v>
      </c>
      <c r="X1367" s="547"/>
      <c r="Y1367" s="547" t="s">
        <v>6967</v>
      </c>
      <c r="Z1367" s="547"/>
      <c r="AA1367" s="547" t="s">
        <v>7010</v>
      </c>
      <c r="AB1367" s="550" t="s">
        <v>1591</v>
      </c>
    </row>
    <row r="1368" spans="1:28" ht="24" customHeight="1">
      <c r="A1368" s="605" t="s">
        <v>1718</v>
      </c>
      <c r="B1368" s="544" t="s">
        <v>6621</v>
      </c>
      <c r="C1368" s="551" t="s">
        <v>2010</v>
      </c>
      <c r="D1368" s="553" t="s">
        <v>7022</v>
      </c>
      <c r="E1368" s="563">
        <f t="shared" si="91"/>
        <v>8000</v>
      </c>
      <c r="F1368" s="563">
        <v>0</v>
      </c>
      <c r="G1368" s="563">
        <v>0</v>
      </c>
      <c r="H1368" s="659">
        <v>8000</v>
      </c>
      <c r="I1368" s="563">
        <f t="shared" si="92"/>
        <v>4879</v>
      </c>
      <c r="J1368" s="563">
        <v>0</v>
      </c>
      <c r="K1368" s="563">
        <v>0</v>
      </c>
      <c r="L1368" s="741">
        <v>4879</v>
      </c>
      <c r="M1368" s="965">
        <v>0.95379537953795379</v>
      </c>
      <c r="N1368" s="653">
        <v>141.00310000000002</v>
      </c>
      <c r="O1368" s="746" t="s">
        <v>3282</v>
      </c>
      <c r="P1368" s="547" t="s">
        <v>1588</v>
      </c>
      <c r="Q1368" s="863">
        <v>0</v>
      </c>
      <c r="R1368" s="863">
        <v>0</v>
      </c>
      <c r="S1368" s="863">
        <v>0</v>
      </c>
      <c r="T1368" s="863">
        <v>0</v>
      </c>
      <c r="U1368" s="547" t="s">
        <v>2317</v>
      </c>
      <c r="V1368" s="547" t="s">
        <v>7023</v>
      </c>
      <c r="W1368" s="658">
        <v>259462</v>
      </c>
      <c r="X1368" s="547" t="s">
        <v>2193</v>
      </c>
      <c r="Y1368" s="545" t="s">
        <v>3161</v>
      </c>
      <c r="Z1368" s="545" t="s">
        <v>1717</v>
      </c>
      <c r="AA1368" s="547" t="s">
        <v>1719</v>
      </c>
      <c r="AB1368" s="550" t="s">
        <v>2318</v>
      </c>
    </row>
    <row r="1369" spans="1:28" ht="24" customHeight="1">
      <c r="A1369" s="606"/>
      <c r="B1369" s="544" t="s">
        <v>7024</v>
      </c>
      <c r="C1369" s="551" t="s">
        <v>7025</v>
      </c>
      <c r="D1369" s="553" t="s">
        <v>7026</v>
      </c>
      <c r="E1369" s="563">
        <f t="shared" si="91"/>
        <v>40</v>
      </c>
      <c r="F1369" s="563">
        <v>0</v>
      </c>
      <c r="G1369" s="563">
        <v>40</v>
      </c>
      <c r="H1369" s="563">
        <v>0</v>
      </c>
      <c r="I1369" s="563">
        <f t="shared" si="92"/>
        <v>36</v>
      </c>
      <c r="J1369" s="563">
        <v>0</v>
      </c>
      <c r="K1369" s="563">
        <v>36</v>
      </c>
      <c r="L1369" s="741">
        <v>0</v>
      </c>
      <c r="M1369" s="967">
        <v>0</v>
      </c>
      <c r="N1369" s="653">
        <v>0</v>
      </c>
      <c r="O1369" s="746" t="s">
        <v>7027</v>
      </c>
      <c r="P1369" s="547" t="s">
        <v>1588</v>
      </c>
      <c r="Q1369" s="863">
        <v>0</v>
      </c>
      <c r="R1369" s="863">
        <v>0</v>
      </c>
      <c r="S1369" s="863">
        <v>0</v>
      </c>
      <c r="T1369" s="863">
        <v>0</v>
      </c>
      <c r="U1369" s="547" t="s">
        <v>7486</v>
      </c>
      <c r="V1369" s="547" t="s">
        <v>7028</v>
      </c>
      <c r="W1369" s="658">
        <v>200</v>
      </c>
      <c r="X1369" s="547" t="s">
        <v>2193</v>
      </c>
      <c r="Y1369" s="547"/>
      <c r="Z1369" s="545" t="s">
        <v>1717</v>
      </c>
      <c r="AA1369" s="547" t="s">
        <v>1719</v>
      </c>
      <c r="AB1369" s="550" t="s">
        <v>2318</v>
      </c>
    </row>
    <row r="1370" spans="1:28" ht="24" customHeight="1">
      <c r="A1370" s="606"/>
      <c r="B1370" s="544" t="s">
        <v>7024</v>
      </c>
      <c r="C1370" s="551" t="s">
        <v>2049</v>
      </c>
      <c r="D1370" s="553" t="s">
        <v>7029</v>
      </c>
      <c r="E1370" s="563">
        <f t="shared" si="91"/>
        <v>70</v>
      </c>
      <c r="F1370" s="563">
        <v>0</v>
      </c>
      <c r="G1370" s="563">
        <v>70</v>
      </c>
      <c r="H1370" s="563">
        <v>0</v>
      </c>
      <c r="I1370" s="563">
        <f t="shared" si="92"/>
        <v>63</v>
      </c>
      <c r="J1370" s="563">
        <v>0</v>
      </c>
      <c r="K1370" s="563">
        <v>63</v>
      </c>
      <c r="L1370" s="741">
        <v>0</v>
      </c>
      <c r="M1370" s="965">
        <v>0</v>
      </c>
      <c r="N1370" s="653">
        <v>0</v>
      </c>
      <c r="O1370" s="746" t="s">
        <v>7027</v>
      </c>
      <c r="P1370" s="547" t="s">
        <v>1588</v>
      </c>
      <c r="Q1370" s="863">
        <v>0</v>
      </c>
      <c r="R1370" s="863">
        <v>0</v>
      </c>
      <c r="S1370" s="863">
        <v>0</v>
      </c>
      <c r="T1370" s="863">
        <v>0</v>
      </c>
      <c r="U1370" s="547" t="s">
        <v>7486</v>
      </c>
      <c r="V1370" s="547" t="s">
        <v>7030</v>
      </c>
      <c r="W1370" s="658">
        <v>280</v>
      </c>
      <c r="X1370" s="547" t="s">
        <v>2193</v>
      </c>
      <c r="Y1370" s="547"/>
      <c r="Z1370" s="545" t="s">
        <v>1717</v>
      </c>
      <c r="AA1370" s="547" t="s">
        <v>1719</v>
      </c>
      <c r="AB1370" s="550" t="s">
        <v>2318</v>
      </c>
    </row>
    <row r="1371" spans="1:28" ht="24" customHeight="1">
      <c r="A1371" s="606"/>
      <c r="B1371" s="544" t="s">
        <v>7024</v>
      </c>
      <c r="C1371" s="551" t="s">
        <v>7031</v>
      </c>
      <c r="D1371" s="553" t="s">
        <v>7032</v>
      </c>
      <c r="E1371" s="563">
        <f t="shared" si="91"/>
        <v>40</v>
      </c>
      <c r="F1371" s="563">
        <v>0</v>
      </c>
      <c r="G1371" s="563">
        <v>40</v>
      </c>
      <c r="H1371" s="563">
        <v>0</v>
      </c>
      <c r="I1371" s="563">
        <f t="shared" si="92"/>
        <v>36</v>
      </c>
      <c r="J1371" s="563">
        <v>0</v>
      </c>
      <c r="K1371" s="563">
        <v>36</v>
      </c>
      <c r="L1371" s="741">
        <v>0</v>
      </c>
      <c r="M1371" s="965">
        <v>0</v>
      </c>
      <c r="N1371" s="653">
        <v>0</v>
      </c>
      <c r="O1371" s="746" t="s">
        <v>7027</v>
      </c>
      <c r="P1371" s="547" t="s">
        <v>1588</v>
      </c>
      <c r="Q1371" s="863">
        <v>0</v>
      </c>
      <c r="R1371" s="863">
        <v>0</v>
      </c>
      <c r="S1371" s="863">
        <v>0</v>
      </c>
      <c r="T1371" s="863">
        <v>0</v>
      </c>
      <c r="U1371" s="547" t="s">
        <v>7486</v>
      </c>
      <c r="V1371" s="547" t="s">
        <v>7033</v>
      </c>
      <c r="W1371" s="658">
        <v>391</v>
      </c>
      <c r="X1371" s="547" t="s">
        <v>2193</v>
      </c>
      <c r="Y1371" s="547"/>
      <c r="Z1371" s="545" t="s">
        <v>1717</v>
      </c>
      <c r="AA1371" s="547" t="s">
        <v>1719</v>
      </c>
      <c r="AB1371" s="550" t="s">
        <v>2318</v>
      </c>
    </row>
    <row r="1372" spans="1:28" ht="24" customHeight="1">
      <c r="A1372" s="606"/>
      <c r="B1372" s="544" t="s">
        <v>7024</v>
      </c>
      <c r="C1372" s="551" t="s">
        <v>6515</v>
      </c>
      <c r="D1372" s="553" t="s">
        <v>7034</v>
      </c>
      <c r="E1372" s="563">
        <f t="shared" si="91"/>
        <v>60</v>
      </c>
      <c r="F1372" s="563">
        <v>0</v>
      </c>
      <c r="G1372" s="563">
        <v>60</v>
      </c>
      <c r="H1372" s="563">
        <v>0</v>
      </c>
      <c r="I1372" s="563">
        <f t="shared" si="92"/>
        <v>52</v>
      </c>
      <c r="J1372" s="563">
        <v>0</v>
      </c>
      <c r="K1372" s="563">
        <v>52</v>
      </c>
      <c r="L1372" s="741">
        <v>0</v>
      </c>
      <c r="M1372" s="965">
        <v>0</v>
      </c>
      <c r="N1372" s="653">
        <v>0</v>
      </c>
      <c r="O1372" s="746" t="s">
        <v>6631</v>
      </c>
      <c r="P1372" s="547" t="s">
        <v>1588</v>
      </c>
      <c r="Q1372" s="863">
        <v>0</v>
      </c>
      <c r="R1372" s="863">
        <v>0</v>
      </c>
      <c r="S1372" s="863">
        <v>0</v>
      </c>
      <c r="T1372" s="863">
        <v>0</v>
      </c>
      <c r="U1372" s="547" t="s">
        <v>7486</v>
      </c>
      <c r="V1372" s="547" t="s">
        <v>7035</v>
      </c>
      <c r="W1372" s="658">
        <v>275</v>
      </c>
      <c r="X1372" s="547" t="s">
        <v>2193</v>
      </c>
      <c r="Y1372" s="547"/>
      <c r="Z1372" s="545" t="s">
        <v>1717</v>
      </c>
      <c r="AA1372" s="547" t="s">
        <v>1719</v>
      </c>
      <c r="AB1372" s="550" t="s">
        <v>2318</v>
      </c>
    </row>
    <row r="1373" spans="1:28" ht="24" customHeight="1">
      <c r="A1373" s="606"/>
      <c r="B1373" s="544" t="s">
        <v>7024</v>
      </c>
      <c r="C1373" s="551" t="s">
        <v>2186</v>
      </c>
      <c r="D1373" s="553" t="s">
        <v>7036</v>
      </c>
      <c r="E1373" s="563">
        <f t="shared" si="91"/>
        <v>50</v>
      </c>
      <c r="F1373" s="563">
        <v>0</v>
      </c>
      <c r="G1373" s="563">
        <v>50</v>
      </c>
      <c r="H1373" s="563">
        <v>0</v>
      </c>
      <c r="I1373" s="563">
        <f t="shared" si="92"/>
        <v>35</v>
      </c>
      <c r="J1373" s="563">
        <v>0</v>
      </c>
      <c r="K1373" s="563">
        <v>35</v>
      </c>
      <c r="L1373" s="741">
        <v>0</v>
      </c>
      <c r="M1373" s="965">
        <v>0</v>
      </c>
      <c r="N1373" s="653">
        <v>0</v>
      </c>
      <c r="O1373" s="746" t="s">
        <v>7037</v>
      </c>
      <c r="P1373" s="547" t="s">
        <v>1588</v>
      </c>
      <c r="Q1373" s="863">
        <v>0</v>
      </c>
      <c r="R1373" s="863">
        <v>0</v>
      </c>
      <c r="S1373" s="863">
        <v>0</v>
      </c>
      <c r="T1373" s="863">
        <v>0</v>
      </c>
      <c r="U1373" s="547" t="s">
        <v>7486</v>
      </c>
      <c r="V1373" s="547" t="s">
        <v>2561</v>
      </c>
      <c r="W1373" s="658">
        <v>351</v>
      </c>
      <c r="X1373" s="547" t="s">
        <v>2193</v>
      </c>
      <c r="Y1373" s="547"/>
      <c r="Z1373" s="545" t="s">
        <v>1717</v>
      </c>
      <c r="AA1373" s="547" t="s">
        <v>1719</v>
      </c>
      <c r="AB1373" s="550" t="s">
        <v>2318</v>
      </c>
    </row>
    <row r="1374" spans="1:28" ht="24" customHeight="1">
      <c r="A1374" s="606"/>
      <c r="B1374" s="544" t="s">
        <v>7024</v>
      </c>
      <c r="C1374" s="551" t="s">
        <v>7038</v>
      </c>
      <c r="D1374" s="553" t="s">
        <v>7039</v>
      </c>
      <c r="E1374" s="563">
        <f t="shared" si="91"/>
        <v>100</v>
      </c>
      <c r="F1374" s="563">
        <v>0</v>
      </c>
      <c r="G1374" s="563">
        <v>100</v>
      </c>
      <c r="H1374" s="563">
        <v>0</v>
      </c>
      <c r="I1374" s="563">
        <f t="shared" si="92"/>
        <v>70</v>
      </c>
      <c r="J1374" s="563">
        <v>0</v>
      </c>
      <c r="K1374" s="563">
        <v>70</v>
      </c>
      <c r="L1374" s="741">
        <v>0</v>
      </c>
      <c r="M1374" s="965">
        <v>0</v>
      </c>
      <c r="N1374" s="653">
        <v>0</v>
      </c>
      <c r="O1374" s="746" t="s">
        <v>7040</v>
      </c>
      <c r="P1374" s="547" t="s">
        <v>1588</v>
      </c>
      <c r="Q1374" s="863">
        <v>0</v>
      </c>
      <c r="R1374" s="863">
        <v>0</v>
      </c>
      <c r="S1374" s="863">
        <v>0</v>
      </c>
      <c r="T1374" s="863">
        <v>0</v>
      </c>
      <c r="U1374" s="547" t="s">
        <v>7486</v>
      </c>
      <c r="V1374" s="547" t="s">
        <v>7041</v>
      </c>
      <c r="W1374" s="658">
        <v>473</v>
      </c>
      <c r="X1374" s="547" t="s">
        <v>2193</v>
      </c>
      <c r="Y1374" s="545" t="s">
        <v>3161</v>
      </c>
      <c r="Z1374" s="545" t="s">
        <v>1717</v>
      </c>
      <c r="AA1374" s="547" t="s">
        <v>1719</v>
      </c>
      <c r="AB1374" s="550" t="s">
        <v>2318</v>
      </c>
    </row>
    <row r="1375" spans="1:28" ht="24" customHeight="1">
      <c r="A1375" s="606"/>
      <c r="B1375" s="544" t="s">
        <v>7024</v>
      </c>
      <c r="C1375" s="551" t="s">
        <v>7042</v>
      </c>
      <c r="D1375" s="553" t="s">
        <v>7043</v>
      </c>
      <c r="E1375" s="563">
        <f t="shared" si="91"/>
        <v>60</v>
      </c>
      <c r="F1375" s="563">
        <v>0</v>
      </c>
      <c r="G1375" s="563">
        <v>60</v>
      </c>
      <c r="H1375" s="563">
        <v>0</v>
      </c>
      <c r="I1375" s="563">
        <f t="shared" si="92"/>
        <v>51</v>
      </c>
      <c r="J1375" s="563">
        <v>0</v>
      </c>
      <c r="K1375" s="563">
        <v>51</v>
      </c>
      <c r="L1375" s="741">
        <v>0</v>
      </c>
      <c r="M1375" s="965">
        <v>0</v>
      </c>
      <c r="N1375" s="653">
        <v>0</v>
      </c>
      <c r="O1375" s="746" t="s">
        <v>7044</v>
      </c>
      <c r="P1375" s="547" t="s">
        <v>1588</v>
      </c>
      <c r="Q1375" s="863">
        <v>0</v>
      </c>
      <c r="R1375" s="863">
        <v>0</v>
      </c>
      <c r="S1375" s="863">
        <v>0</v>
      </c>
      <c r="T1375" s="863">
        <v>0</v>
      </c>
      <c r="U1375" s="547" t="s">
        <v>7486</v>
      </c>
      <c r="V1375" s="547" t="s">
        <v>7045</v>
      </c>
      <c r="W1375" s="658">
        <v>823</v>
      </c>
      <c r="X1375" s="547" t="s">
        <v>2193</v>
      </c>
      <c r="Y1375" s="547"/>
      <c r="Z1375" s="545" t="s">
        <v>1717</v>
      </c>
      <c r="AA1375" s="547" t="s">
        <v>1719</v>
      </c>
      <c r="AB1375" s="550" t="s">
        <v>2318</v>
      </c>
    </row>
    <row r="1376" spans="1:28" ht="24" customHeight="1">
      <c r="A1376" s="606"/>
      <c r="B1376" s="544" t="s">
        <v>7024</v>
      </c>
      <c r="C1376" s="551" t="s">
        <v>7046</v>
      </c>
      <c r="D1376" s="553" t="s">
        <v>7047</v>
      </c>
      <c r="E1376" s="563">
        <f t="shared" si="91"/>
        <v>20</v>
      </c>
      <c r="F1376" s="563">
        <v>0</v>
      </c>
      <c r="G1376" s="563">
        <v>20</v>
      </c>
      <c r="H1376" s="563">
        <v>0</v>
      </c>
      <c r="I1376" s="563">
        <f t="shared" si="92"/>
        <v>18</v>
      </c>
      <c r="J1376" s="563">
        <v>0</v>
      </c>
      <c r="K1376" s="563">
        <v>18</v>
      </c>
      <c r="L1376" s="741">
        <v>0</v>
      </c>
      <c r="M1376" s="965">
        <v>0</v>
      </c>
      <c r="N1376" s="653">
        <v>0</v>
      </c>
      <c r="O1376" s="746" t="s">
        <v>1127</v>
      </c>
      <c r="P1376" s="547" t="s">
        <v>1588</v>
      </c>
      <c r="Q1376" s="863">
        <v>0</v>
      </c>
      <c r="R1376" s="863">
        <v>0</v>
      </c>
      <c r="S1376" s="863">
        <v>0</v>
      </c>
      <c r="T1376" s="863">
        <v>0</v>
      </c>
      <c r="U1376" s="547" t="s">
        <v>7486</v>
      </c>
      <c r="V1376" s="547" t="s">
        <v>3863</v>
      </c>
      <c r="W1376" s="658">
        <v>200</v>
      </c>
      <c r="X1376" s="547" t="s">
        <v>2193</v>
      </c>
      <c r="Y1376" s="547"/>
      <c r="Z1376" s="545" t="s">
        <v>1717</v>
      </c>
      <c r="AA1376" s="547" t="s">
        <v>1719</v>
      </c>
      <c r="AB1376" s="550" t="s">
        <v>2318</v>
      </c>
    </row>
    <row r="1377" spans="1:28" ht="24" customHeight="1">
      <c r="A1377" s="606"/>
      <c r="B1377" s="544" t="s">
        <v>7024</v>
      </c>
      <c r="C1377" s="551" t="s">
        <v>7048</v>
      </c>
      <c r="D1377" s="553" t="s">
        <v>7049</v>
      </c>
      <c r="E1377" s="563">
        <f t="shared" si="91"/>
        <v>40</v>
      </c>
      <c r="F1377" s="563">
        <v>0</v>
      </c>
      <c r="G1377" s="563">
        <v>40</v>
      </c>
      <c r="H1377" s="563">
        <v>0</v>
      </c>
      <c r="I1377" s="563">
        <f t="shared" si="92"/>
        <v>34</v>
      </c>
      <c r="J1377" s="563">
        <v>0</v>
      </c>
      <c r="K1377" s="563">
        <v>34</v>
      </c>
      <c r="L1377" s="741">
        <v>0</v>
      </c>
      <c r="M1377" s="965">
        <v>0</v>
      </c>
      <c r="N1377" s="653">
        <v>0</v>
      </c>
      <c r="O1377" s="746" t="s">
        <v>7027</v>
      </c>
      <c r="P1377" s="547" t="s">
        <v>1588</v>
      </c>
      <c r="Q1377" s="863">
        <v>0</v>
      </c>
      <c r="R1377" s="863">
        <v>0</v>
      </c>
      <c r="S1377" s="863">
        <v>0</v>
      </c>
      <c r="T1377" s="863">
        <v>0</v>
      </c>
      <c r="U1377" s="547" t="s">
        <v>7486</v>
      </c>
      <c r="V1377" s="547" t="s">
        <v>7050</v>
      </c>
      <c r="W1377" s="658">
        <v>231</v>
      </c>
      <c r="X1377" s="547" t="s">
        <v>2193</v>
      </c>
      <c r="Y1377" s="547"/>
      <c r="Z1377" s="545" t="s">
        <v>1717</v>
      </c>
      <c r="AA1377" s="547" t="s">
        <v>1719</v>
      </c>
      <c r="AB1377" s="550" t="s">
        <v>2318</v>
      </c>
    </row>
    <row r="1378" spans="1:28" ht="24" customHeight="1">
      <c r="A1378" s="606"/>
      <c r="B1378" s="544" t="s">
        <v>7024</v>
      </c>
      <c r="C1378" s="551" t="s">
        <v>7051</v>
      </c>
      <c r="D1378" s="553" t="s">
        <v>7052</v>
      </c>
      <c r="E1378" s="563">
        <f t="shared" si="91"/>
        <v>40</v>
      </c>
      <c r="F1378" s="563">
        <v>0</v>
      </c>
      <c r="G1378" s="563">
        <v>40</v>
      </c>
      <c r="H1378" s="563">
        <v>0</v>
      </c>
      <c r="I1378" s="563">
        <f t="shared" si="92"/>
        <v>34</v>
      </c>
      <c r="J1378" s="563">
        <v>0</v>
      </c>
      <c r="K1378" s="563">
        <v>34</v>
      </c>
      <c r="L1378" s="741">
        <v>0</v>
      </c>
      <c r="M1378" s="965">
        <v>0</v>
      </c>
      <c r="N1378" s="653">
        <v>0</v>
      </c>
      <c r="O1378" s="746" t="s">
        <v>7027</v>
      </c>
      <c r="P1378" s="547" t="s">
        <v>1588</v>
      </c>
      <c r="Q1378" s="863">
        <v>0</v>
      </c>
      <c r="R1378" s="863">
        <v>0</v>
      </c>
      <c r="S1378" s="863">
        <v>0</v>
      </c>
      <c r="T1378" s="863">
        <v>0</v>
      </c>
      <c r="U1378" s="547" t="s">
        <v>7486</v>
      </c>
      <c r="V1378" s="547" t="s">
        <v>7050</v>
      </c>
      <c r="W1378" s="658">
        <v>308</v>
      </c>
      <c r="X1378" s="547" t="s">
        <v>2193</v>
      </c>
      <c r="Y1378" s="547"/>
      <c r="Z1378" s="545" t="s">
        <v>1717</v>
      </c>
      <c r="AA1378" s="547" t="s">
        <v>1719</v>
      </c>
      <c r="AB1378" s="550" t="s">
        <v>2318</v>
      </c>
    </row>
    <row r="1379" spans="1:28" ht="24" customHeight="1">
      <c r="A1379" s="606"/>
      <c r="B1379" s="544" t="s">
        <v>7024</v>
      </c>
      <c r="C1379" s="551" t="s">
        <v>7053</v>
      </c>
      <c r="D1379" s="553" t="s">
        <v>7054</v>
      </c>
      <c r="E1379" s="563">
        <f t="shared" si="91"/>
        <v>30</v>
      </c>
      <c r="F1379" s="563">
        <v>0</v>
      </c>
      <c r="G1379" s="563">
        <v>30</v>
      </c>
      <c r="H1379" s="563">
        <v>0</v>
      </c>
      <c r="I1379" s="563">
        <f t="shared" si="92"/>
        <v>21</v>
      </c>
      <c r="J1379" s="563">
        <v>0</v>
      </c>
      <c r="K1379" s="563">
        <v>21</v>
      </c>
      <c r="L1379" s="741">
        <v>0</v>
      </c>
      <c r="M1379" s="965">
        <v>0</v>
      </c>
      <c r="N1379" s="653">
        <v>0</v>
      </c>
      <c r="O1379" s="746" t="s">
        <v>7027</v>
      </c>
      <c r="P1379" s="547" t="s">
        <v>1588</v>
      </c>
      <c r="Q1379" s="863">
        <v>0</v>
      </c>
      <c r="R1379" s="863">
        <v>0</v>
      </c>
      <c r="S1379" s="863">
        <v>0</v>
      </c>
      <c r="T1379" s="863">
        <v>0</v>
      </c>
      <c r="U1379" s="547" t="s">
        <v>7486</v>
      </c>
      <c r="V1379" s="547" t="s">
        <v>2093</v>
      </c>
      <c r="W1379" s="658">
        <v>324</v>
      </c>
      <c r="X1379" s="547" t="s">
        <v>2193</v>
      </c>
      <c r="Y1379" s="547"/>
      <c r="Z1379" s="545" t="s">
        <v>1717</v>
      </c>
      <c r="AA1379" s="547" t="s">
        <v>1719</v>
      </c>
      <c r="AB1379" s="550" t="s">
        <v>2318</v>
      </c>
    </row>
    <row r="1380" spans="1:28" ht="24" customHeight="1">
      <c r="A1380" s="606"/>
      <c r="B1380" s="544" t="s">
        <v>7024</v>
      </c>
      <c r="C1380" s="551" t="s">
        <v>2134</v>
      </c>
      <c r="D1380" s="553" t="s">
        <v>7055</v>
      </c>
      <c r="E1380" s="563">
        <f t="shared" si="91"/>
        <v>60</v>
      </c>
      <c r="F1380" s="563">
        <v>0</v>
      </c>
      <c r="G1380" s="563">
        <v>60</v>
      </c>
      <c r="H1380" s="563">
        <v>0</v>
      </c>
      <c r="I1380" s="563">
        <f t="shared" si="92"/>
        <v>45</v>
      </c>
      <c r="J1380" s="563">
        <v>0</v>
      </c>
      <c r="K1380" s="563">
        <v>45</v>
      </c>
      <c r="L1380" s="741">
        <v>0</v>
      </c>
      <c r="M1380" s="965">
        <v>0</v>
      </c>
      <c r="N1380" s="653">
        <v>0</v>
      </c>
      <c r="O1380" s="746" t="s">
        <v>7027</v>
      </c>
      <c r="P1380" s="547" t="s">
        <v>1588</v>
      </c>
      <c r="Q1380" s="863">
        <v>0</v>
      </c>
      <c r="R1380" s="863">
        <v>0</v>
      </c>
      <c r="S1380" s="863">
        <v>0</v>
      </c>
      <c r="T1380" s="863">
        <v>0</v>
      </c>
      <c r="U1380" s="547" t="s">
        <v>7486</v>
      </c>
      <c r="V1380" s="547" t="s">
        <v>7028</v>
      </c>
      <c r="W1380" s="658">
        <v>200</v>
      </c>
      <c r="X1380" s="547" t="s">
        <v>2193</v>
      </c>
      <c r="Y1380" s="547"/>
      <c r="Z1380" s="545" t="s">
        <v>1717</v>
      </c>
      <c r="AA1380" s="547" t="s">
        <v>1719</v>
      </c>
      <c r="AB1380" s="550" t="s">
        <v>2318</v>
      </c>
    </row>
    <row r="1381" spans="1:28" ht="24" customHeight="1">
      <c r="A1381" s="606"/>
      <c r="B1381" s="544" t="s">
        <v>7024</v>
      </c>
      <c r="C1381" s="551" t="s">
        <v>7056</v>
      </c>
      <c r="D1381" s="553" t="s">
        <v>7057</v>
      </c>
      <c r="E1381" s="563">
        <f t="shared" si="91"/>
        <v>50</v>
      </c>
      <c r="F1381" s="563">
        <v>0</v>
      </c>
      <c r="G1381" s="563">
        <v>50</v>
      </c>
      <c r="H1381" s="563">
        <v>0</v>
      </c>
      <c r="I1381" s="563">
        <f t="shared" si="92"/>
        <v>44</v>
      </c>
      <c r="J1381" s="563">
        <v>0</v>
      </c>
      <c r="K1381" s="563">
        <v>44</v>
      </c>
      <c r="L1381" s="741">
        <v>0</v>
      </c>
      <c r="M1381" s="965">
        <v>0</v>
      </c>
      <c r="N1381" s="653">
        <v>0</v>
      </c>
      <c r="O1381" s="746" t="s">
        <v>7027</v>
      </c>
      <c r="P1381" s="547" t="s">
        <v>1588</v>
      </c>
      <c r="Q1381" s="863">
        <v>0</v>
      </c>
      <c r="R1381" s="863">
        <v>0</v>
      </c>
      <c r="S1381" s="863">
        <v>0</v>
      </c>
      <c r="T1381" s="863">
        <v>0</v>
      </c>
      <c r="U1381" s="547" t="s">
        <v>7486</v>
      </c>
      <c r="V1381" s="547" t="s">
        <v>7058</v>
      </c>
      <c r="W1381" s="658">
        <v>324</v>
      </c>
      <c r="X1381" s="547" t="s">
        <v>2193</v>
      </c>
      <c r="Y1381" s="547"/>
      <c r="Z1381" s="545" t="s">
        <v>1717</v>
      </c>
      <c r="AA1381" s="547" t="s">
        <v>1719</v>
      </c>
      <c r="AB1381" s="550" t="s">
        <v>2318</v>
      </c>
    </row>
    <row r="1382" spans="1:28" ht="24" customHeight="1">
      <c r="A1382" s="606"/>
      <c r="B1382" s="544" t="s">
        <v>7024</v>
      </c>
      <c r="C1382" s="551" t="s">
        <v>7059</v>
      </c>
      <c r="D1382" s="553" t="s">
        <v>7060</v>
      </c>
      <c r="E1382" s="563">
        <f t="shared" si="91"/>
        <v>30</v>
      </c>
      <c r="F1382" s="563">
        <v>0</v>
      </c>
      <c r="G1382" s="563">
        <v>30</v>
      </c>
      <c r="H1382" s="563">
        <v>0</v>
      </c>
      <c r="I1382" s="563">
        <f t="shared" si="92"/>
        <v>25</v>
      </c>
      <c r="J1382" s="563">
        <v>0</v>
      </c>
      <c r="K1382" s="563">
        <v>25</v>
      </c>
      <c r="L1382" s="741">
        <v>0</v>
      </c>
      <c r="M1382" s="965">
        <v>0</v>
      </c>
      <c r="N1382" s="653">
        <v>0</v>
      </c>
      <c r="O1382" s="746" t="s">
        <v>7061</v>
      </c>
      <c r="P1382" s="547" t="s">
        <v>1588</v>
      </c>
      <c r="Q1382" s="863">
        <v>0</v>
      </c>
      <c r="R1382" s="863">
        <v>0</v>
      </c>
      <c r="S1382" s="863">
        <v>0</v>
      </c>
      <c r="T1382" s="863">
        <v>0</v>
      </c>
      <c r="U1382" s="547" t="s">
        <v>7486</v>
      </c>
      <c r="V1382" s="547" t="s">
        <v>7062</v>
      </c>
      <c r="W1382" s="658">
        <v>282</v>
      </c>
      <c r="X1382" s="547" t="s">
        <v>2193</v>
      </c>
      <c r="Y1382" s="547"/>
      <c r="Z1382" s="545" t="s">
        <v>1717</v>
      </c>
      <c r="AA1382" s="547" t="s">
        <v>1719</v>
      </c>
      <c r="AB1382" s="550" t="s">
        <v>2318</v>
      </c>
    </row>
    <row r="1383" spans="1:28" ht="24" customHeight="1">
      <c r="A1383" s="606"/>
      <c r="B1383" s="544" t="s">
        <v>7024</v>
      </c>
      <c r="C1383" s="551" t="s">
        <v>7063</v>
      </c>
      <c r="D1383" s="553" t="s">
        <v>7064</v>
      </c>
      <c r="E1383" s="563">
        <f t="shared" si="91"/>
        <v>45</v>
      </c>
      <c r="F1383" s="563">
        <v>0</v>
      </c>
      <c r="G1383" s="563">
        <v>45</v>
      </c>
      <c r="H1383" s="563">
        <v>0</v>
      </c>
      <c r="I1383" s="563">
        <f t="shared" si="92"/>
        <v>45</v>
      </c>
      <c r="J1383" s="563">
        <v>0</v>
      </c>
      <c r="K1383" s="563">
        <v>45</v>
      </c>
      <c r="L1383" s="741">
        <v>0</v>
      </c>
      <c r="M1383" s="965">
        <v>0</v>
      </c>
      <c r="N1383" s="653">
        <v>0</v>
      </c>
      <c r="O1383" s="746" t="s">
        <v>7065</v>
      </c>
      <c r="P1383" s="547" t="s">
        <v>1588</v>
      </c>
      <c r="Q1383" s="863">
        <v>0</v>
      </c>
      <c r="R1383" s="863">
        <v>0</v>
      </c>
      <c r="S1383" s="863">
        <v>0</v>
      </c>
      <c r="T1383" s="863">
        <v>0</v>
      </c>
      <c r="U1383" s="547" t="s">
        <v>7486</v>
      </c>
      <c r="V1383" s="547" t="s">
        <v>7066</v>
      </c>
      <c r="W1383" s="658">
        <v>600</v>
      </c>
      <c r="X1383" s="547" t="s">
        <v>2193</v>
      </c>
      <c r="Y1383" s="545" t="s">
        <v>3161</v>
      </c>
      <c r="Z1383" s="545" t="s">
        <v>1717</v>
      </c>
      <c r="AA1383" s="547" t="s">
        <v>1719</v>
      </c>
      <c r="AB1383" s="550" t="s">
        <v>2318</v>
      </c>
    </row>
    <row r="1384" spans="1:28" ht="24" customHeight="1">
      <c r="A1384" s="606"/>
      <c r="B1384" s="544" t="s">
        <v>7024</v>
      </c>
      <c r="C1384" s="551" t="s">
        <v>7067</v>
      </c>
      <c r="D1384" s="553" t="s">
        <v>7068</v>
      </c>
      <c r="E1384" s="563">
        <f t="shared" si="91"/>
        <v>15</v>
      </c>
      <c r="F1384" s="563">
        <v>0</v>
      </c>
      <c r="G1384" s="563">
        <v>15</v>
      </c>
      <c r="H1384" s="563">
        <v>0</v>
      </c>
      <c r="I1384" s="563">
        <f t="shared" si="92"/>
        <v>13</v>
      </c>
      <c r="J1384" s="563">
        <v>0</v>
      </c>
      <c r="K1384" s="563">
        <v>13</v>
      </c>
      <c r="L1384" s="741">
        <v>0</v>
      </c>
      <c r="M1384" s="965">
        <v>0</v>
      </c>
      <c r="N1384" s="653">
        <v>0</v>
      </c>
      <c r="O1384" s="746" t="s">
        <v>7065</v>
      </c>
      <c r="P1384" s="547" t="s">
        <v>1588</v>
      </c>
      <c r="Q1384" s="863">
        <v>0</v>
      </c>
      <c r="R1384" s="863">
        <v>0</v>
      </c>
      <c r="S1384" s="863">
        <v>0</v>
      </c>
      <c r="T1384" s="863">
        <v>0</v>
      </c>
      <c r="U1384" s="547" t="s">
        <v>7486</v>
      </c>
      <c r="V1384" s="547" t="s">
        <v>7066</v>
      </c>
      <c r="W1384" s="658">
        <v>400</v>
      </c>
      <c r="X1384" s="547" t="s">
        <v>2193</v>
      </c>
      <c r="Y1384" s="545" t="s">
        <v>3161</v>
      </c>
      <c r="Z1384" s="545" t="s">
        <v>1717</v>
      </c>
      <c r="AA1384" s="547" t="s">
        <v>1719</v>
      </c>
      <c r="AB1384" s="550" t="s">
        <v>2318</v>
      </c>
    </row>
    <row r="1385" spans="1:28" ht="24" customHeight="1">
      <c r="A1385" s="606"/>
      <c r="B1385" s="544" t="s">
        <v>7024</v>
      </c>
      <c r="C1385" s="551" t="s">
        <v>6975</v>
      </c>
      <c r="D1385" s="553" t="s">
        <v>7069</v>
      </c>
      <c r="E1385" s="563">
        <f t="shared" si="91"/>
        <v>40</v>
      </c>
      <c r="F1385" s="563">
        <v>0</v>
      </c>
      <c r="G1385" s="563">
        <v>40</v>
      </c>
      <c r="H1385" s="563">
        <v>0</v>
      </c>
      <c r="I1385" s="563">
        <f t="shared" si="92"/>
        <v>35</v>
      </c>
      <c r="J1385" s="563">
        <v>0</v>
      </c>
      <c r="K1385" s="563">
        <v>35</v>
      </c>
      <c r="L1385" s="741">
        <v>0</v>
      </c>
      <c r="M1385" s="965">
        <v>0</v>
      </c>
      <c r="N1385" s="653">
        <v>0</v>
      </c>
      <c r="O1385" s="746" t="s">
        <v>3517</v>
      </c>
      <c r="P1385" s="547" t="s">
        <v>1588</v>
      </c>
      <c r="Q1385" s="863">
        <v>0</v>
      </c>
      <c r="R1385" s="863">
        <v>0</v>
      </c>
      <c r="S1385" s="863">
        <v>0</v>
      </c>
      <c r="T1385" s="863">
        <v>0</v>
      </c>
      <c r="U1385" s="547" t="s">
        <v>7486</v>
      </c>
      <c r="V1385" s="547" t="s">
        <v>7070</v>
      </c>
      <c r="W1385" s="658">
        <v>200</v>
      </c>
      <c r="X1385" s="547" t="s">
        <v>2193</v>
      </c>
      <c r="Y1385" s="547"/>
      <c r="Z1385" s="545" t="s">
        <v>1717</v>
      </c>
      <c r="AA1385" s="547" t="s">
        <v>1719</v>
      </c>
      <c r="AB1385" s="550" t="s">
        <v>2318</v>
      </c>
    </row>
    <row r="1386" spans="1:28" ht="24" customHeight="1">
      <c r="A1386" s="606"/>
      <c r="B1386" s="544" t="s">
        <v>7024</v>
      </c>
      <c r="C1386" s="551" t="s">
        <v>7071</v>
      </c>
      <c r="D1386" s="553" t="s">
        <v>7072</v>
      </c>
      <c r="E1386" s="563">
        <f t="shared" si="91"/>
        <v>20</v>
      </c>
      <c r="F1386" s="563">
        <v>0</v>
      </c>
      <c r="G1386" s="563">
        <v>20</v>
      </c>
      <c r="H1386" s="563">
        <v>0</v>
      </c>
      <c r="I1386" s="563">
        <f t="shared" si="92"/>
        <v>17</v>
      </c>
      <c r="J1386" s="563">
        <v>0</v>
      </c>
      <c r="K1386" s="563">
        <v>17</v>
      </c>
      <c r="L1386" s="741">
        <v>0</v>
      </c>
      <c r="M1386" s="965">
        <v>0</v>
      </c>
      <c r="N1386" s="653">
        <v>0</v>
      </c>
      <c r="O1386" s="746" t="s">
        <v>7027</v>
      </c>
      <c r="P1386" s="547" t="s">
        <v>1588</v>
      </c>
      <c r="Q1386" s="863">
        <v>0</v>
      </c>
      <c r="R1386" s="863">
        <v>0</v>
      </c>
      <c r="S1386" s="863">
        <v>0</v>
      </c>
      <c r="T1386" s="863">
        <v>0</v>
      </c>
      <c r="U1386" s="547" t="s">
        <v>7486</v>
      </c>
      <c r="V1386" s="547" t="s">
        <v>7028</v>
      </c>
      <c r="W1386" s="658">
        <v>100</v>
      </c>
      <c r="X1386" s="547" t="s">
        <v>2193</v>
      </c>
      <c r="Y1386" s="547"/>
      <c r="Z1386" s="545" t="s">
        <v>1717</v>
      </c>
      <c r="AA1386" s="547" t="s">
        <v>1719</v>
      </c>
      <c r="AB1386" s="550" t="s">
        <v>2318</v>
      </c>
    </row>
    <row r="1387" spans="1:28" ht="24" customHeight="1">
      <c r="A1387" s="606"/>
      <c r="B1387" s="544" t="s">
        <v>7024</v>
      </c>
      <c r="C1387" s="551" t="s">
        <v>7073</v>
      </c>
      <c r="D1387" s="553" t="s">
        <v>7074</v>
      </c>
      <c r="E1387" s="563">
        <f t="shared" si="91"/>
        <v>50</v>
      </c>
      <c r="F1387" s="563">
        <v>0</v>
      </c>
      <c r="G1387" s="563">
        <v>50</v>
      </c>
      <c r="H1387" s="563">
        <v>0</v>
      </c>
      <c r="I1387" s="563">
        <f t="shared" si="92"/>
        <v>43</v>
      </c>
      <c r="J1387" s="563">
        <v>0</v>
      </c>
      <c r="K1387" s="563">
        <v>43</v>
      </c>
      <c r="L1387" s="741">
        <v>0</v>
      </c>
      <c r="M1387" s="965">
        <v>0</v>
      </c>
      <c r="N1387" s="653">
        <v>0</v>
      </c>
      <c r="O1387" s="746" t="s">
        <v>7027</v>
      </c>
      <c r="P1387" s="547" t="s">
        <v>1588</v>
      </c>
      <c r="Q1387" s="863">
        <v>0</v>
      </c>
      <c r="R1387" s="863">
        <v>0</v>
      </c>
      <c r="S1387" s="863">
        <v>0</v>
      </c>
      <c r="T1387" s="863">
        <v>0</v>
      </c>
      <c r="U1387" s="547" t="s">
        <v>7486</v>
      </c>
      <c r="V1387" s="547" t="s">
        <v>7062</v>
      </c>
      <c r="W1387" s="658">
        <v>331</v>
      </c>
      <c r="X1387" s="547" t="s">
        <v>2193</v>
      </c>
      <c r="Y1387" s="547"/>
      <c r="Z1387" s="545" t="s">
        <v>1717</v>
      </c>
      <c r="AA1387" s="547" t="s">
        <v>1719</v>
      </c>
      <c r="AB1387" s="550" t="s">
        <v>2318</v>
      </c>
    </row>
    <row r="1388" spans="1:28" ht="24" customHeight="1">
      <c r="A1388" s="606"/>
      <c r="B1388" s="544" t="s">
        <v>7024</v>
      </c>
      <c r="C1388" s="551" t="s">
        <v>7075</v>
      </c>
      <c r="D1388" s="553" t="s">
        <v>7076</v>
      </c>
      <c r="E1388" s="563">
        <f t="shared" si="91"/>
        <v>20</v>
      </c>
      <c r="F1388" s="563">
        <v>0</v>
      </c>
      <c r="G1388" s="563">
        <v>20</v>
      </c>
      <c r="H1388" s="563">
        <v>0</v>
      </c>
      <c r="I1388" s="563">
        <f t="shared" si="92"/>
        <v>17</v>
      </c>
      <c r="J1388" s="563">
        <v>0</v>
      </c>
      <c r="K1388" s="563">
        <v>17</v>
      </c>
      <c r="L1388" s="741">
        <v>0</v>
      </c>
      <c r="M1388" s="965">
        <v>0</v>
      </c>
      <c r="N1388" s="653">
        <v>0</v>
      </c>
      <c r="O1388" s="746" t="s">
        <v>6587</v>
      </c>
      <c r="P1388" s="547" t="s">
        <v>1588</v>
      </c>
      <c r="Q1388" s="863">
        <v>0</v>
      </c>
      <c r="R1388" s="863">
        <v>0</v>
      </c>
      <c r="S1388" s="863">
        <v>0</v>
      </c>
      <c r="T1388" s="863">
        <v>0</v>
      </c>
      <c r="U1388" s="547" t="s">
        <v>7486</v>
      </c>
      <c r="V1388" s="547" t="s">
        <v>7077</v>
      </c>
      <c r="W1388" s="658">
        <v>219</v>
      </c>
      <c r="X1388" s="547" t="s">
        <v>2193</v>
      </c>
      <c r="Y1388" s="547"/>
      <c r="Z1388" s="545" t="s">
        <v>1717</v>
      </c>
      <c r="AA1388" s="547" t="s">
        <v>1719</v>
      </c>
      <c r="AB1388" s="550" t="s">
        <v>2318</v>
      </c>
    </row>
    <row r="1389" spans="1:28" ht="24" customHeight="1">
      <c r="A1389" s="606"/>
      <c r="B1389" s="544" t="s">
        <v>7024</v>
      </c>
      <c r="C1389" s="551" t="s">
        <v>7078</v>
      </c>
      <c r="D1389" s="553" t="s">
        <v>7079</v>
      </c>
      <c r="E1389" s="563">
        <f t="shared" si="91"/>
        <v>20</v>
      </c>
      <c r="F1389" s="563">
        <v>0</v>
      </c>
      <c r="G1389" s="563">
        <v>20</v>
      </c>
      <c r="H1389" s="563">
        <v>0</v>
      </c>
      <c r="I1389" s="563">
        <f t="shared" si="92"/>
        <v>17</v>
      </c>
      <c r="J1389" s="563">
        <v>0</v>
      </c>
      <c r="K1389" s="563">
        <v>17</v>
      </c>
      <c r="L1389" s="741">
        <v>0</v>
      </c>
      <c r="M1389" s="965">
        <v>0</v>
      </c>
      <c r="N1389" s="653">
        <v>0</v>
      </c>
      <c r="O1389" s="746" t="s">
        <v>6587</v>
      </c>
      <c r="P1389" s="547" t="s">
        <v>1588</v>
      </c>
      <c r="Q1389" s="863">
        <v>0</v>
      </c>
      <c r="R1389" s="863">
        <v>0</v>
      </c>
      <c r="S1389" s="863">
        <v>0</v>
      </c>
      <c r="T1389" s="863">
        <v>0</v>
      </c>
      <c r="U1389" s="547" t="s">
        <v>7486</v>
      </c>
      <c r="V1389" s="547" t="s">
        <v>7077</v>
      </c>
      <c r="W1389" s="658">
        <v>260</v>
      </c>
      <c r="X1389" s="547" t="s">
        <v>2193</v>
      </c>
      <c r="Y1389" s="547"/>
      <c r="Z1389" s="545" t="s">
        <v>1717</v>
      </c>
      <c r="AA1389" s="547" t="s">
        <v>1719</v>
      </c>
      <c r="AB1389" s="550" t="s">
        <v>2318</v>
      </c>
    </row>
    <row r="1390" spans="1:28" ht="24" customHeight="1">
      <c r="A1390" s="606"/>
      <c r="B1390" s="544" t="s">
        <v>7024</v>
      </c>
      <c r="C1390" s="551" t="s">
        <v>7080</v>
      </c>
      <c r="D1390" s="553" t="s">
        <v>7081</v>
      </c>
      <c r="E1390" s="563">
        <f t="shared" si="91"/>
        <v>60</v>
      </c>
      <c r="F1390" s="563">
        <v>0</v>
      </c>
      <c r="G1390" s="563">
        <v>60</v>
      </c>
      <c r="H1390" s="563">
        <v>0</v>
      </c>
      <c r="I1390" s="563">
        <f t="shared" si="92"/>
        <v>52</v>
      </c>
      <c r="J1390" s="563">
        <v>0</v>
      </c>
      <c r="K1390" s="563">
        <v>52</v>
      </c>
      <c r="L1390" s="741">
        <v>0</v>
      </c>
      <c r="M1390" s="965">
        <v>0</v>
      </c>
      <c r="N1390" s="653">
        <v>0</v>
      </c>
      <c r="O1390" s="746" t="s">
        <v>7027</v>
      </c>
      <c r="P1390" s="547" t="s">
        <v>1588</v>
      </c>
      <c r="Q1390" s="863">
        <v>0</v>
      </c>
      <c r="R1390" s="863">
        <v>0</v>
      </c>
      <c r="S1390" s="863">
        <v>0</v>
      </c>
      <c r="T1390" s="863">
        <v>0</v>
      </c>
      <c r="U1390" s="547" t="s">
        <v>7486</v>
      </c>
      <c r="V1390" s="547" t="s">
        <v>7062</v>
      </c>
      <c r="W1390" s="658">
        <v>361</v>
      </c>
      <c r="X1390" s="547" t="s">
        <v>2193</v>
      </c>
      <c r="Y1390" s="547"/>
      <c r="Z1390" s="545" t="s">
        <v>1717</v>
      </c>
      <c r="AA1390" s="547" t="s">
        <v>1719</v>
      </c>
      <c r="AB1390" s="550" t="s">
        <v>2318</v>
      </c>
    </row>
    <row r="1391" spans="1:28" ht="24" customHeight="1">
      <c r="A1391" s="606"/>
      <c r="B1391" s="544" t="s">
        <v>7024</v>
      </c>
      <c r="C1391" s="551" t="s">
        <v>7082</v>
      </c>
      <c r="D1391" s="553" t="s">
        <v>7083</v>
      </c>
      <c r="E1391" s="563">
        <f t="shared" si="91"/>
        <v>140</v>
      </c>
      <c r="F1391" s="563">
        <v>0</v>
      </c>
      <c r="G1391" s="563">
        <v>140</v>
      </c>
      <c r="H1391" s="563">
        <v>0</v>
      </c>
      <c r="I1391" s="563">
        <f t="shared" si="92"/>
        <v>119</v>
      </c>
      <c r="J1391" s="563">
        <v>0</v>
      </c>
      <c r="K1391" s="563">
        <v>119</v>
      </c>
      <c r="L1391" s="741">
        <v>0</v>
      </c>
      <c r="M1391" s="965">
        <v>0</v>
      </c>
      <c r="N1391" s="653">
        <v>0</v>
      </c>
      <c r="O1391" s="746" t="s">
        <v>1127</v>
      </c>
      <c r="P1391" s="547" t="s">
        <v>1588</v>
      </c>
      <c r="Q1391" s="863">
        <v>0</v>
      </c>
      <c r="R1391" s="863">
        <v>0</v>
      </c>
      <c r="S1391" s="863">
        <v>0</v>
      </c>
      <c r="T1391" s="863">
        <v>0</v>
      </c>
      <c r="U1391" s="547" t="s">
        <v>7486</v>
      </c>
      <c r="V1391" s="547" t="s">
        <v>7045</v>
      </c>
      <c r="W1391" s="658">
        <v>478</v>
      </c>
      <c r="X1391" s="547" t="s">
        <v>2193</v>
      </c>
      <c r="Y1391" s="545" t="s">
        <v>3161</v>
      </c>
      <c r="Z1391" s="545" t="s">
        <v>1717</v>
      </c>
      <c r="AA1391" s="547" t="s">
        <v>1719</v>
      </c>
      <c r="AB1391" s="550" t="s">
        <v>2318</v>
      </c>
    </row>
    <row r="1392" spans="1:28" ht="24" customHeight="1">
      <c r="A1392" s="606"/>
      <c r="B1392" s="544" t="s">
        <v>7024</v>
      </c>
      <c r="C1392" s="551" t="s">
        <v>7084</v>
      </c>
      <c r="D1392" s="553" t="s">
        <v>7085</v>
      </c>
      <c r="E1392" s="563">
        <f t="shared" si="91"/>
        <v>40</v>
      </c>
      <c r="F1392" s="563">
        <v>0</v>
      </c>
      <c r="G1392" s="563">
        <v>40</v>
      </c>
      <c r="H1392" s="563">
        <v>0</v>
      </c>
      <c r="I1392" s="563">
        <f t="shared" si="92"/>
        <v>35</v>
      </c>
      <c r="J1392" s="563">
        <v>0</v>
      </c>
      <c r="K1392" s="563">
        <v>35</v>
      </c>
      <c r="L1392" s="741">
        <v>0</v>
      </c>
      <c r="M1392" s="965">
        <v>0</v>
      </c>
      <c r="N1392" s="653">
        <v>0</v>
      </c>
      <c r="O1392" s="746" t="s">
        <v>7027</v>
      </c>
      <c r="P1392" s="547" t="s">
        <v>1588</v>
      </c>
      <c r="Q1392" s="863">
        <v>0</v>
      </c>
      <c r="R1392" s="863">
        <v>0</v>
      </c>
      <c r="S1392" s="863">
        <v>0</v>
      </c>
      <c r="T1392" s="863">
        <v>0</v>
      </c>
      <c r="U1392" s="547" t="s">
        <v>7486</v>
      </c>
      <c r="V1392" s="547" t="s">
        <v>7028</v>
      </c>
      <c r="W1392" s="658">
        <v>200</v>
      </c>
      <c r="X1392" s="547" t="s">
        <v>2193</v>
      </c>
      <c r="Y1392" s="547"/>
      <c r="Z1392" s="545" t="s">
        <v>1717</v>
      </c>
      <c r="AA1392" s="547" t="s">
        <v>1719</v>
      </c>
      <c r="AB1392" s="550" t="s">
        <v>2318</v>
      </c>
    </row>
    <row r="1393" spans="1:28" ht="24" customHeight="1">
      <c r="A1393" s="606"/>
      <c r="B1393" s="544" t="s">
        <v>7024</v>
      </c>
      <c r="C1393" s="551" t="s">
        <v>7086</v>
      </c>
      <c r="D1393" s="553" t="s">
        <v>7087</v>
      </c>
      <c r="E1393" s="563">
        <f t="shared" si="91"/>
        <v>40</v>
      </c>
      <c r="F1393" s="563">
        <v>0</v>
      </c>
      <c r="G1393" s="563">
        <v>40</v>
      </c>
      <c r="H1393" s="563">
        <v>0</v>
      </c>
      <c r="I1393" s="563">
        <f t="shared" si="92"/>
        <v>36</v>
      </c>
      <c r="J1393" s="563">
        <v>0</v>
      </c>
      <c r="K1393" s="563">
        <v>36</v>
      </c>
      <c r="L1393" s="741">
        <v>0</v>
      </c>
      <c r="M1393" s="965">
        <v>0</v>
      </c>
      <c r="N1393" s="653">
        <v>0</v>
      </c>
      <c r="O1393" s="746" t="s">
        <v>7040</v>
      </c>
      <c r="P1393" s="547" t="s">
        <v>1588</v>
      </c>
      <c r="Q1393" s="863">
        <v>0</v>
      </c>
      <c r="R1393" s="863">
        <v>0</v>
      </c>
      <c r="S1393" s="863">
        <v>0</v>
      </c>
      <c r="T1393" s="863">
        <v>0</v>
      </c>
      <c r="U1393" s="547" t="s">
        <v>7486</v>
      </c>
      <c r="V1393" s="547" t="s">
        <v>7088</v>
      </c>
      <c r="W1393" s="658">
        <v>443</v>
      </c>
      <c r="X1393" s="547" t="s">
        <v>2193</v>
      </c>
      <c r="Y1393" s="547"/>
      <c r="Z1393" s="545" t="s">
        <v>1717</v>
      </c>
      <c r="AA1393" s="547" t="s">
        <v>1719</v>
      </c>
      <c r="AB1393" s="550" t="s">
        <v>2318</v>
      </c>
    </row>
    <row r="1394" spans="1:28" ht="24" customHeight="1">
      <c r="A1394" s="606"/>
      <c r="B1394" s="544" t="s">
        <v>7024</v>
      </c>
      <c r="C1394" s="551" t="s">
        <v>7089</v>
      </c>
      <c r="D1394" s="553" t="s">
        <v>7090</v>
      </c>
      <c r="E1394" s="563">
        <f t="shared" si="91"/>
        <v>40</v>
      </c>
      <c r="F1394" s="563">
        <v>0</v>
      </c>
      <c r="G1394" s="563">
        <v>40</v>
      </c>
      <c r="H1394" s="563">
        <v>0</v>
      </c>
      <c r="I1394" s="563">
        <f t="shared" si="92"/>
        <v>35</v>
      </c>
      <c r="J1394" s="563">
        <v>0</v>
      </c>
      <c r="K1394" s="563">
        <v>35</v>
      </c>
      <c r="L1394" s="741">
        <v>0</v>
      </c>
      <c r="M1394" s="965">
        <v>0</v>
      </c>
      <c r="N1394" s="653">
        <v>0</v>
      </c>
      <c r="O1394" s="746" t="s">
        <v>7091</v>
      </c>
      <c r="P1394" s="547" t="s">
        <v>1588</v>
      </c>
      <c r="Q1394" s="863">
        <v>0</v>
      </c>
      <c r="R1394" s="863">
        <v>0</v>
      </c>
      <c r="S1394" s="863">
        <v>0</v>
      </c>
      <c r="T1394" s="863">
        <v>0</v>
      </c>
      <c r="U1394" s="547" t="s">
        <v>7486</v>
      </c>
      <c r="V1394" s="547" t="s">
        <v>7092</v>
      </c>
      <c r="W1394" s="658">
        <v>165</v>
      </c>
      <c r="X1394" s="547" t="s">
        <v>2193</v>
      </c>
      <c r="Y1394" s="547"/>
      <c r="Z1394" s="545" t="s">
        <v>1717</v>
      </c>
      <c r="AA1394" s="547" t="s">
        <v>1719</v>
      </c>
      <c r="AB1394" s="550" t="s">
        <v>2318</v>
      </c>
    </row>
    <row r="1395" spans="1:28" ht="24" customHeight="1">
      <c r="A1395" s="606"/>
      <c r="B1395" s="544" t="s">
        <v>7024</v>
      </c>
      <c r="C1395" s="551" t="s">
        <v>2044</v>
      </c>
      <c r="D1395" s="553" t="s">
        <v>7093</v>
      </c>
      <c r="E1395" s="563">
        <f t="shared" si="91"/>
        <v>45</v>
      </c>
      <c r="F1395" s="563">
        <v>0</v>
      </c>
      <c r="G1395" s="563">
        <v>45</v>
      </c>
      <c r="H1395" s="563">
        <v>0</v>
      </c>
      <c r="I1395" s="563">
        <f t="shared" si="92"/>
        <v>35</v>
      </c>
      <c r="J1395" s="563">
        <v>0</v>
      </c>
      <c r="K1395" s="563">
        <v>35</v>
      </c>
      <c r="L1395" s="741">
        <v>0</v>
      </c>
      <c r="M1395" s="965">
        <v>0</v>
      </c>
      <c r="N1395" s="653">
        <v>0</v>
      </c>
      <c r="O1395" s="746" t="s">
        <v>7091</v>
      </c>
      <c r="P1395" s="547" t="s">
        <v>1588</v>
      </c>
      <c r="Q1395" s="863">
        <v>0</v>
      </c>
      <c r="R1395" s="863">
        <v>0</v>
      </c>
      <c r="S1395" s="863">
        <v>0</v>
      </c>
      <c r="T1395" s="863">
        <v>0</v>
      </c>
      <c r="U1395" s="547" t="s">
        <v>7486</v>
      </c>
      <c r="V1395" s="547" t="s">
        <v>7094</v>
      </c>
      <c r="W1395" s="658">
        <v>410</v>
      </c>
      <c r="X1395" s="547" t="s">
        <v>2193</v>
      </c>
      <c r="Y1395" s="547"/>
      <c r="Z1395" s="545" t="s">
        <v>1717</v>
      </c>
      <c r="AA1395" s="547" t="s">
        <v>1719</v>
      </c>
      <c r="AB1395" s="550" t="s">
        <v>2318</v>
      </c>
    </row>
    <row r="1396" spans="1:28" ht="24" customHeight="1">
      <c r="A1396" s="606"/>
      <c r="B1396" s="544" t="s">
        <v>7024</v>
      </c>
      <c r="C1396" s="551" t="s">
        <v>7095</v>
      </c>
      <c r="D1396" s="553" t="s">
        <v>7096</v>
      </c>
      <c r="E1396" s="563">
        <f t="shared" si="91"/>
        <v>40</v>
      </c>
      <c r="F1396" s="563">
        <v>0</v>
      </c>
      <c r="G1396" s="563">
        <v>40</v>
      </c>
      <c r="H1396" s="563">
        <v>0</v>
      </c>
      <c r="I1396" s="563">
        <f t="shared" si="92"/>
        <v>36</v>
      </c>
      <c r="J1396" s="563">
        <v>0</v>
      </c>
      <c r="K1396" s="563">
        <v>36</v>
      </c>
      <c r="L1396" s="741">
        <v>0</v>
      </c>
      <c r="M1396" s="965">
        <v>0</v>
      </c>
      <c r="N1396" s="653">
        <v>0</v>
      </c>
      <c r="O1396" s="746" t="s">
        <v>7061</v>
      </c>
      <c r="P1396" s="547" t="s">
        <v>1588</v>
      </c>
      <c r="Q1396" s="863">
        <v>0</v>
      </c>
      <c r="R1396" s="863">
        <v>0</v>
      </c>
      <c r="S1396" s="863">
        <v>0</v>
      </c>
      <c r="T1396" s="863">
        <v>0</v>
      </c>
      <c r="U1396" s="547" t="s">
        <v>7486</v>
      </c>
      <c r="V1396" s="547" t="s">
        <v>2147</v>
      </c>
      <c r="W1396" s="658">
        <v>200</v>
      </c>
      <c r="X1396" s="547" t="s">
        <v>2193</v>
      </c>
      <c r="Y1396" s="547"/>
      <c r="Z1396" s="545" t="s">
        <v>1717</v>
      </c>
      <c r="AA1396" s="547" t="s">
        <v>1719</v>
      </c>
      <c r="AB1396" s="550" t="s">
        <v>2318</v>
      </c>
    </row>
    <row r="1397" spans="1:28" ht="24" customHeight="1">
      <c r="A1397" s="606"/>
      <c r="B1397" s="544" t="s">
        <v>7024</v>
      </c>
      <c r="C1397" s="551" t="s">
        <v>7097</v>
      </c>
      <c r="D1397" s="553" t="s">
        <v>7098</v>
      </c>
      <c r="E1397" s="563">
        <f t="shared" si="91"/>
        <v>60</v>
      </c>
      <c r="F1397" s="563">
        <v>0</v>
      </c>
      <c r="G1397" s="563">
        <v>60</v>
      </c>
      <c r="H1397" s="563">
        <v>0</v>
      </c>
      <c r="I1397" s="563">
        <f t="shared" si="92"/>
        <v>55</v>
      </c>
      <c r="J1397" s="563">
        <v>0</v>
      </c>
      <c r="K1397" s="563">
        <v>55</v>
      </c>
      <c r="L1397" s="741">
        <v>0</v>
      </c>
      <c r="M1397" s="965">
        <v>0</v>
      </c>
      <c r="N1397" s="653">
        <v>0</v>
      </c>
      <c r="O1397" s="746" t="s">
        <v>7027</v>
      </c>
      <c r="P1397" s="547" t="s">
        <v>1588</v>
      </c>
      <c r="Q1397" s="863">
        <v>0</v>
      </c>
      <c r="R1397" s="863">
        <v>0</v>
      </c>
      <c r="S1397" s="863">
        <v>0</v>
      </c>
      <c r="T1397" s="863">
        <v>0</v>
      </c>
      <c r="U1397" s="547" t="s">
        <v>7486</v>
      </c>
      <c r="V1397" s="547" t="s">
        <v>7092</v>
      </c>
      <c r="W1397" s="658">
        <v>274</v>
      </c>
      <c r="X1397" s="547" t="s">
        <v>2193</v>
      </c>
      <c r="Y1397" s="545" t="s">
        <v>3161</v>
      </c>
      <c r="Z1397" s="545" t="s">
        <v>1717</v>
      </c>
      <c r="AA1397" s="547" t="s">
        <v>1719</v>
      </c>
      <c r="AB1397" s="550" t="s">
        <v>2318</v>
      </c>
    </row>
    <row r="1398" spans="1:28" ht="24" customHeight="1">
      <c r="A1398" s="606"/>
      <c r="B1398" s="544" t="s">
        <v>7024</v>
      </c>
      <c r="C1398" s="551" t="s">
        <v>7099</v>
      </c>
      <c r="D1398" s="553" t="s">
        <v>7100</v>
      </c>
      <c r="E1398" s="563">
        <f t="shared" si="91"/>
        <v>40</v>
      </c>
      <c r="F1398" s="563">
        <v>0</v>
      </c>
      <c r="G1398" s="563">
        <v>40</v>
      </c>
      <c r="H1398" s="563">
        <v>0</v>
      </c>
      <c r="I1398" s="563">
        <f t="shared" si="92"/>
        <v>34</v>
      </c>
      <c r="J1398" s="563">
        <v>0</v>
      </c>
      <c r="K1398" s="563">
        <v>34</v>
      </c>
      <c r="L1398" s="741">
        <v>0</v>
      </c>
      <c r="M1398" s="965">
        <v>0</v>
      </c>
      <c r="N1398" s="653">
        <v>0</v>
      </c>
      <c r="O1398" s="752" t="s">
        <v>7101</v>
      </c>
      <c r="P1398" s="547" t="s">
        <v>1588</v>
      </c>
      <c r="Q1398" s="863">
        <v>0</v>
      </c>
      <c r="R1398" s="863">
        <v>0</v>
      </c>
      <c r="S1398" s="863">
        <v>0</v>
      </c>
      <c r="T1398" s="863">
        <v>0</v>
      </c>
      <c r="U1398" s="547" t="s">
        <v>7486</v>
      </c>
      <c r="V1398" s="547" t="s">
        <v>7102</v>
      </c>
      <c r="W1398" s="658">
        <v>1000</v>
      </c>
      <c r="X1398" s="547" t="s">
        <v>2193</v>
      </c>
      <c r="Y1398" s="545" t="s">
        <v>3161</v>
      </c>
      <c r="Z1398" s="545" t="s">
        <v>1717</v>
      </c>
      <c r="AA1398" s="547" t="s">
        <v>1719</v>
      </c>
      <c r="AB1398" s="550" t="s">
        <v>2318</v>
      </c>
    </row>
    <row r="1399" spans="1:28" ht="24" customHeight="1">
      <c r="A1399" s="606"/>
      <c r="B1399" s="544" t="s">
        <v>7024</v>
      </c>
      <c r="C1399" s="551" t="s">
        <v>1721</v>
      </c>
      <c r="D1399" s="553" t="s">
        <v>7103</v>
      </c>
      <c r="E1399" s="563">
        <f>F1399+G1399+H1399</f>
        <v>120</v>
      </c>
      <c r="F1399" s="563">
        <v>0</v>
      </c>
      <c r="G1399" s="563">
        <v>0</v>
      </c>
      <c r="H1399" s="563">
        <v>120</v>
      </c>
      <c r="I1399" s="563">
        <f t="shared" si="92"/>
        <v>113</v>
      </c>
      <c r="J1399" s="563">
        <v>0</v>
      </c>
      <c r="K1399" s="563">
        <v>0</v>
      </c>
      <c r="L1399" s="741">
        <v>113</v>
      </c>
      <c r="M1399" s="965">
        <v>0</v>
      </c>
      <c r="N1399" s="653">
        <v>0</v>
      </c>
      <c r="O1399" s="746" t="s">
        <v>3282</v>
      </c>
      <c r="P1399" s="547" t="s">
        <v>1588</v>
      </c>
      <c r="Q1399" s="863">
        <v>0</v>
      </c>
      <c r="R1399" s="863">
        <v>0</v>
      </c>
      <c r="S1399" s="863">
        <v>0</v>
      </c>
      <c r="T1399" s="863">
        <v>0</v>
      </c>
      <c r="U1399" s="547" t="s">
        <v>7486</v>
      </c>
      <c r="V1399" s="547" t="s">
        <v>2234</v>
      </c>
      <c r="W1399" s="658">
        <v>4895</v>
      </c>
      <c r="X1399" s="547" t="s">
        <v>2199</v>
      </c>
      <c r="Y1399" s="545" t="s">
        <v>3161</v>
      </c>
      <c r="Z1399" s="545" t="s">
        <v>1717</v>
      </c>
      <c r="AA1399" s="547" t="s">
        <v>1719</v>
      </c>
      <c r="AB1399" s="550" t="s">
        <v>2318</v>
      </c>
    </row>
    <row r="1400" spans="1:28" ht="24" customHeight="1">
      <c r="A1400" s="605" t="s">
        <v>1722</v>
      </c>
      <c r="B1400" s="544" t="s">
        <v>2201</v>
      </c>
      <c r="C1400" s="551" t="s">
        <v>2434</v>
      </c>
      <c r="D1400" s="553" t="s">
        <v>7104</v>
      </c>
      <c r="E1400" s="563">
        <f t="shared" ref="E1400:E1426" si="93">SUM(F1400:H1400)</f>
        <v>9000</v>
      </c>
      <c r="F1400" s="753" t="s">
        <v>1588</v>
      </c>
      <c r="G1400" s="563">
        <v>9000</v>
      </c>
      <c r="H1400" s="563" t="s">
        <v>1588</v>
      </c>
      <c r="I1400" s="563">
        <f t="shared" ref="I1400:I1458" si="94">SUM(J1400:L1400)</f>
        <v>6960</v>
      </c>
      <c r="J1400" s="563" t="s">
        <v>1588</v>
      </c>
      <c r="K1400" s="563">
        <v>6960</v>
      </c>
      <c r="L1400" s="741" t="s">
        <v>3211</v>
      </c>
      <c r="M1400" s="965">
        <v>0.93034825870646776</v>
      </c>
      <c r="N1400" s="653">
        <v>130.15200000000002</v>
      </c>
      <c r="O1400" s="746" t="s">
        <v>2319</v>
      </c>
      <c r="P1400" s="547" t="s">
        <v>1588</v>
      </c>
      <c r="Q1400" s="863">
        <v>90</v>
      </c>
      <c r="R1400" s="863">
        <v>0</v>
      </c>
      <c r="S1400" s="863" t="s">
        <v>1704</v>
      </c>
      <c r="T1400" s="863" t="s">
        <v>1704</v>
      </c>
      <c r="U1400" s="547" t="s">
        <v>2321</v>
      </c>
      <c r="V1400" s="561">
        <v>37803</v>
      </c>
      <c r="W1400" s="658">
        <v>20500</v>
      </c>
      <c r="X1400" s="547" t="s">
        <v>1532</v>
      </c>
      <c r="Y1400" s="547" t="s">
        <v>3161</v>
      </c>
      <c r="Z1400" s="547" t="s">
        <v>7105</v>
      </c>
      <c r="AA1400" s="547" t="s">
        <v>7106</v>
      </c>
      <c r="AB1400" s="550" t="s">
        <v>7107</v>
      </c>
    </row>
    <row r="1401" spans="1:28" ht="24" customHeight="1">
      <c r="A1401" s="606"/>
      <c r="B1401" s="544" t="s">
        <v>675</v>
      </c>
      <c r="C1401" s="551" t="s">
        <v>7075</v>
      </c>
      <c r="D1401" s="553" t="s">
        <v>7108</v>
      </c>
      <c r="E1401" s="563">
        <f t="shared" si="93"/>
        <v>45</v>
      </c>
      <c r="F1401" s="753" t="s">
        <v>1588</v>
      </c>
      <c r="G1401" s="563" t="s">
        <v>1588</v>
      </c>
      <c r="H1401" s="563">
        <v>45</v>
      </c>
      <c r="I1401" s="563">
        <f t="shared" si="94"/>
        <v>39</v>
      </c>
      <c r="J1401" s="563" t="s">
        <v>1588</v>
      </c>
      <c r="K1401" s="563" t="s">
        <v>1588</v>
      </c>
      <c r="L1401" s="741">
        <v>39</v>
      </c>
      <c r="M1401" s="965">
        <v>0.91700000000000004</v>
      </c>
      <c r="N1401" s="653">
        <v>181.56875100000002</v>
      </c>
      <c r="O1401" s="746" t="s">
        <v>7109</v>
      </c>
      <c r="P1401" s="547" t="s">
        <v>1588</v>
      </c>
      <c r="Q1401" s="863">
        <v>0</v>
      </c>
      <c r="R1401" s="863">
        <v>0</v>
      </c>
      <c r="S1401" s="863">
        <v>0</v>
      </c>
      <c r="T1401" s="863">
        <v>0</v>
      </c>
      <c r="U1401" s="547" t="s">
        <v>2321</v>
      </c>
      <c r="V1401" s="562">
        <v>37712</v>
      </c>
      <c r="W1401" s="658">
        <v>305</v>
      </c>
      <c r="X1401" s="547" t="s">
        <v>1532</v>
      </c>
      <c r="Y1401" s="547" t="s">
        <v>1404</v>
      </c>
      <c r="Z1401" s="547" t="s">
        <v>7110</v>
      </c>
      <c r="AA1401" s="547" t="s">
        <v>7106</v>
      </c>
      <c r="AB1401" s="550" t="s">
        <v>1723</v>
      </c>
    </row>
    <row r="1402" spans="1:28" ht="24" customHeight="1">
      <c r="A1402" s="606"/>
      <c r="B1402" s="544" t="s">
        <v>675</v>
      </c>
      <c r="C1402" s="551" t="s">
        <v>2437</v>
      </c>
      <c r="D1402" s="553" t="s">
        <v>7111</v>
      </c>
      <c r="E1402" s="563">
        <f t="shared" si="93"/>
        <v>45</v>
      </c>
      <c r="F1402" s="753" t="s">
        <v>1588</v>
      </c>
      <c r="G1402" s="753" t="s">
        <v>1588</v>
      </c>
      <c r="H1402" s="563">
        <v>45</v>
      </c>
      <c r="I1402" s="563">
        <f t="shared" si="94"/>
        <v>40</v>
      </c>
      <c r="J1402" s="563" t="s">
        <v>1588</v>
      </c>
      <c r="K1402" s="753" t="s">
        <v>1588</v>
      </c>
      <c r="L1402" s="741">
        <v>40</v>
      </c>
      <c r="M1402" s="968">
        <v>0.91700000000000004</v>
      </c>
      <c r="N1402" s="653">
        <v>137.66004000000001</v>
      </c>
      <c r="O1402" s="746" t="s">
        <v>7112</v>
      </c>
      <c r="P1402" s="547" t="s">
        <v>1588</v>
      </c>
      <c r="Q1402" s="863">
        <v>0</v>
      </c>
      <c r="R1402" s="863">
        <v>0</v>
      </c>
      <c r="S1402" s="863">
        <v>0</v>
      </c>
      <c r="T1402" s="863">
        <v>0</v>
      </c>
      <c r="U1402" s="547" t="s">
        <v>2321</v>
      </c>
      <c r="V1402" s="562">
        <v>38108</v>
      </c>
      <c r="W1402" s="658">
        <v>365</v>
      </c>
      <c r="X1402" s="547" t="s">
        <v>1532</v>
      </c>
      <c r="Y1402" s="547" t="s">
        <v>3161</v>
      </c>
      <c r="Z1402" s="547" t="s">
        <v>7105</v>
      </c>
      <c r="AA1402" s="547" t="s">
        <v>7106</v>
      </c>
      <c r="AB1402" s="550" t="s">
        <v>1723</v>
      </c>
    </row>
    <row r="1403" spans="1:28" ht="24" customHeight="1">
      <c r="A1403" s="606"/>
      <c r="B1403" s="544" t="s">
        <v>675</v>
      </c>
      <c r="C1403" s="551" t="s">
        <v>7113</v>
      </c>
      <c r="D1403" s="553" t="s">
        <v>7114</v>
      </c>
      <c r="E1403" s="563">
        <f t="shared" si="93"/>
        <v>15</v>
      </c>
      <c r="F1403" s="753" t="s">
        <v>1588</v>
      </c>
      <c r="G1403" s="563" t="s">
        <v>1588</v>
      </c>
      <c r="H1403" s="563">
        <v>15</v>
      </c>
      <c r="I1403" s="563">
        <f t="shared" si="94"/>
        <v>12</v>
      </c>
      <c r="J1403" s="563" t="s">
        <v>1588</v>
      </c>
      <c r="K1403" s="563" t="s">
        <v>1588</v>
      </c>
      <c r="L1403" s="741">
        <v>12</v>
      </c>
      <c r="M1403" s="965">
        <v>0.95400000000000007</v>
      </c>
      <c r="N1403" s="653">
        <v>79.368984000000012</v>
      </c>
      <c r="O1403" s="746" t="s">
        <v>7115</v>
      </c>
      <c r="P1403" s="547" t="s">
        <v>1588</v>
      </c>
      <c r="Q1403" s="863">
        <v>0</v>
      </c>
      <c r="R1403" s="863">
        <v>0</v>
      </c>
      <c r="S1403" s="863">
        <v>0</v>
      </c>
      <c r="T1403" s="863">
        <v>0</v>
      </c>
      <c r="U1403" s="547" t="s">
        <v>2321</v>
      </c>
      <c r="V1403" s="562">
        <v>38322</v>
      </c>
      <c r="W1403" s="658">
        <v>230</v>
      </c>
      <c r="X1403" s="547" t="s">
        <v>1532</v>
      </c>
      <c r="Y1403" s="547" t="s">
        <v>3161</v>
      </c>
      <c r="Z1403" s="547" t="s">
        <v>7105</v>
      </c>
      <c r="AA1403" s="547" t="s">
        <v>7106</v>
      </c>
      <c r="AB1403" s="550" t="s">
        <v>1723</v>
      </c>
    </row>
    <row r="1404" spans="1:28" ht="24" customHeight="1">
      <c r="A1404" s="606"/>
      <c r="B1404" s="544" t="s">
        <v>675</v>
      </c>
      <c r="C1404" s="551" t="s">
        <v>2087</v>
      </c>
      <c r="D1404" s="553" t="s">
        <v>7116</v>
      </c>
      <c r="E1404" s="563">
        <f t="shared" si="93"/>
        <v>20</v>
      </c>
      <c r="F1404" s="563" t="s">
        <v>1588</v>
      </c>
      <c r="G1404" s="563">
        <v>20</v>
      </c>
      <c r="H1404" s="753" t="s">
        <v>1588</v>
      </c>
      <c r="I1404" s="563">
        <f t="shared" si="94"/>
        <v>17</v>
      </c>
      <c r="J1404" s="563" t="s">
        <v>1588</v>
      </c>
      <c r="K1404" s="563">
        <v>17</v>
      </c>
      <c r="L1404" s="754" t="s">
        <v>1588</v>
      </c>
      <c r="M1404" s="965">
        <v>0.875</v>
      </c>
      <c r="N1404" s="653">
        <v>53.847499999999997</v>
      </c>
      <c r="O1404" s="746" t="s">
        <v>7109</v>
      </c>
      <c r="P1404" s="547" t="s">
        <v>1588</v>
      </c>
      <c r="Q1404" s="863">
        <v>0</v>
      </c>
      <c r="R1404" s="863">
        <v>0</v>
      </c>
      <c r="S1404" s="863">
        <v>0</v>
      </c>
      <c r="T1404" s="863">
        <v>0</v>
      </c>
      <c r="U1404" s="547" t="s">
        <v>2321</v>
      </c>
      <c r="V1404" s="562">
        <v>37408</v>
      </c>
      <c r="W1404" s="658">
        <v>200</v>
      </c>
      <c r="X1404" s="547" t="s">
        <v>1532</v>
      </c>
      <c r="Y1404" s="547" t="s">
        <v>3232</v>
      </c>
      <c r="Z1404" s="547" t="s">
        <v>3759</v>
      </c>
      <c r="AA1404" s="547" t="s">
        <v>7106</v>
      </c>
      <c r="AB1404" s="550" t="s">
        <v>1723</v>
      </c>
    </row>
    <row r="1405" spans="1:28" ht="24" customHeight="1">
      <c r="A1405" s="606"/>
      <c r="B1405" s="544" t="s">
        <v>675</v>
      </c>
      <c r="C1405" s="551" t="s">
        <v>7117</v>
      </c>
      <c r="D1405" s="553" t="s">
        <v>7118</v>
      </c>
      <c r="E1405" s="563">
        <f t="shared" si="93"/>
        <v>30</v>
      </c>
      <c r="F1405" s="563" t="s">
        <v>1588</v>
      </c>
      <c r="G1405" s="563">
        <v>30</v>
      </c>
      <c r="H1405" s="753" t="s">
        <v>1588</v>
      </c>
      <c r="I1405" s="563">
        <f t="shared" si="94"/>
        <v>27</v>
      </c>
      <c r="J1405" s="563" t="s">
        <v>1588</v>
      </c>
      <c r="K1405" s="563">
        <v>27</v>
      </c>
      <c r="L1405" s="754" t="s">
        <v>1588</v>
      </c>
      <c r="M1405" s="965">
        <v>0.91700000000000004</v>
      </c>
      <c r="N1405" s="653">
        <v>158.65567199999998</v>
      </c>
      <c r="O1405" s="746" t="s">
        <v>7119</v>
      </c>
      <c r="P1405" s="547" t="s">
        <v>1588</v>
      </c>
      <c r="Q1405" s="863">
        <v>0</v>
      </c>
      <c r="R1405" s="863">
        <v>0</v>
      </c>
      <c r="S1405" s="863">
        <v>0</v>
      </c>
      <c r="T1405" s="863">
        <v>0</v>
      </c>
      <c r="U1405" s="547" t="s">
        <v>2321</v>
      </c>
      <c r="V1405" s="562">
        <v>35674</v>
      </c>
      <c r="W1405" s="658">
        <v>170</v>
      </c>
      <c r="X1405" s="547" t="s">
        <v>1532</v>
      </c>
      <c r="Y1405" s="547" t="s">
        <v>1404</v>
      </c>
      <c r="Z1405" s="547" t="s">
        <v>3759</v>
      </c>
      <c r="AA1405" s="547" t="s">
        <v>7106</v>
      </c>
      <c r="AB1405" s="550" t="s">
        <v>1723</v>
      </c>
    </row>
    <row r="1406" spans="1:28" ht="24" customHeight="1">
      <c r="A1406" s="606"/>
      <c r="B1406" s="544" t="s">
        <v>675</v>
      </c>
      <c r="C1406" s="551" t="s">
        <v>7120</v>
      </c>
      <c r="D1406" s="553" t="s">
        <v>7121</v>
      </c>
      <c r="E1406" s="563">
        <f t="shared" si="93"/>
        <v>45</v>
      </c>
      <c r="F1406" s="563" t="s">
        <v>1588</v>
      </c>
      <c r="G1406" s="563">
        <v>45</v>
      </c>
      <c r="H1406" s="563" t="s">
        <v>1588</v>
      </c>
      <c r="I1406" s="563">
        <f t="shared" si="94"/>
        <v>40</v>
      </c>
      <c r="J1406" s="563" t="s">
        <v>1588</v>
      </c>
      <c r="K1406" s="563">
        <v>40</v>
      </c>
      <c r="L1406" s="741" t="s">
        <v>3211</v>
      </c>
      <c r="M1406" s="965">
        <v>0.96200000000000008</v>
      </c>
      <c r="N1406" s="653">
        <v>364.52104000000003</v>
      </c>
      <c r="O1406" s="746" t="s">
        <v>7122</v>
      </c>
      <c r="P1406" s="547" t="s">
        <v>1588</v>
      </c>
      <c r="Q1406" s="863">
        <v>0</v>
      </c>
      <c r="R1406" s="863">
        <v>0</v>
      </c>
      <c r="S1406" s="863">
        <v>0</v>
      </c>
      <c r="T1406" s="863">
        <v>0</v>
      </c>
      <c r="U1406" s="547" t="s">
        <v>2321</v>
      </c>
      <c r="V1406" s="562">
        <v>36739</v>
      </c>
      <c r="W1406" s="658">
        <v>180</v>
      </c>
      <c r="X1406" s="547" t="s">
        <v>1532</v>
      </c>
      <c r="Y1406" s="547" t="s">
        <v>3232</v>
      </c>
      <c r="Z1406" s="547" t="s">
        <v>3759</v>
      </c>
      <c r="AA1406" s="547" t="s">
        <v>7106</v>
      </c>
      <c r="AB1406" s="550" t="s">
        <v>1723</v>
      </c>
    </row>
    <row r="1407" spans="1:28" ht="24" customHeight="1">
      <c r="A1407" s="606"/>
      <c r="B1407" s="544" t="s">
        <v>675</v>
      </c>
      <c r="C1407" s="551" t="s">
        <v>7123</v>
      </c>
      <c r="D1407" s="553" t="s">
        <v>7124</v>
      </c>
      <c r="E1407" s="563">
        <f t="shared" si="93"/>
        <v>20</v>
      </c>
      <c r="F1407" s="563" t="s">
        <v>1588</v>
      </c>
      <c r="G1407" s="563">
        <v>20</v>
      </c>
      <c r="H1407" s="563" t="s">
        <v>1588</v>
      </c>
      <c r="I1407" s="563">
        <f t="shared" si="94"/>
        <v>18</v>
      </c>
      <c r="J1407" s="563" t="s">
        <v>1588</v>
      </c>
      <c r="K1407" s="563">
        <v>18</v>
      </c>
      <c r="L1407" s="741" t="s">
        <v>3211</v>
      </c>
      <c r="M1407" s="965">
        <v>0.91700000000000004</v>
      </c>
      <c r="N1407" s="653">
        <v>73.996397999999999</v>
      </c>
      <c r="O1407" s="746" t="s">
        <v>7125</v>
      </c>
      <c r="P1407" s="547" t="s">
        <v>1588</v>
      </c>
      <c r="Q1407" s="863">
        <v>0</v>
      </c>
      <c r="R1407" s="863">
        <v>0</v>
      </c>
      <c r="S1407" s="863">
        <v>0</v>
      </c>
      <c r="T1407" s="863">
        <v>0</v>
      </c>
      <c r="U1407" s="547" t="s">
        <v>2321</v>
      </c>
      <c r="V1407" s="562">
        <v>37712</v>
      </c>
      <c r="W1407" s="658">
        <v>310</v>
      </c>
      <c r="X1407" s="547" t="s">
        <v>1532</v>
      </c>
      <c r="Y1407" s="547" t="s">
        <v>1404</v>
      </c>
      <c r="Z1407" s="547" t="s">
        <v>3759</v>
      </c>
      <c r="AA1407" s="547" t="s">
        <v>7106</v>
      </c>
      <c r="AB1407" s="550" t="s">
        <v>1723</v>
      </c>
    </row>
    <row r="1408" spans="1:28" ht="24" customHeight="1">
      <c r="A1408" s="606"/>
      <c r="B1408" s="544" t="s">
        <v>675</v>
      </c>
      <c r="C1408" s="551" t="s">
        <v>7126</v>
      </c>
      <c r="D1408" s="553" t="s">
        <v>7127</v>
      </c>
      <c r="E1408" s="563">
        <f t="shared" si="93"/>
        <v>20</v>
      </c>
      <c r="F1408" s="563" t="s">
        <v>1588</v>
      </c>
      <c r="G1408" s="563">
        <v>20</v>
      </c>
      <c r="H1408" s="753" t="s">
        <v>1588</v>
      </c>
      <c r="I1408" s="563">
        <f t="shared" si="94"/>
        <v>18</v>
      </c>
      <c r="J1408" s="563" t="s">
        <v>1588</v>
      </c>
      <c r="K1408" s="563">
        <v>18</v>
      </c>
      <c r="L1408" s="754" t="s">
        <v>1588</v>
      </c>
      <c r="M1408" s="965">
        <v>0.91500000000000004</v>
      </c>
      <c r="N1408" s="653">
        <v>128.91068999999999</v>
      </c>
      <c r="O1408" s="746" t="s">
        <v>7128</v>
      </c>
      <c r="P1408" s="547" t="s">
        <v>1588</v>
      </c>
      <c r="Q1408" s="863">
        <v>0</v>
      </c>
      <c r="R1408" s="863">
        <v>0</v>
      </c>
      <c r="S1408" s="863">
        <v>0</v>
      </c>
      <c r="T1408" s="863">
        <v>0</v>
      </c>
      <c r="U1408" s="547" t="s">
        <v>2321</v>
      </c>
      <c r="V1408" s="562">
        <v>37347</v>
      </c>
      <c r="W1408" s="658">
        <v>210</v>
      </c>
      <c r="X1408" s="547" t="s">
        <v>1532</v>
      </c>
      <c r="Y1408" s="547" t="s">
        <v>3232</v>
      </c>
      <c r="Z1408" s="547" t="s">
        <v>3759</v>
      </c>
      <c r="AA1408" s="547" t="s">
        <v>7106</v>
      </c>
      <c r="AB1408" s="550" t="s">
        <v>1723</v>
      </c>
    </row>
    <row r="1409" spans="1:28" ht="24" customHeight="1">
      <c r="A1409" s="606"/>
      <c r="B1409" s="544" t="s">
        <v>675</v>
      </c>
      <c r="C1409" s="551" t="s">
        <v>7129</v>
      </c>
      <c r="D1409" s="553" t="s">
        <v>7130</v>
      </c>
      <c r="E1409" s="563">
        <f t="shared" si="93"/>
        <v>30</v>
      </c>
      <c r="F1409" s="563" t="s">
        <v>1588</v>
      </c>
      <c r="G1409" s="563">
        <v>30</v>
      </c>
      <c r="H1409" s="753" t="s">
        <v>1588</v>
      </c>
      <c r="I1409" s="563">
        <f t="shared" si="94"/>
        <v>28</v>
      </c>
      <c r="J1409" s="563" t="s">
        <v>1588</v>
      </c>
      <c r="K1409" s="563">
        <v>28</v>
      </c>
      <c r="L1409" s="754" t="s">
        <v>1588</v>
      </c>
      <c r="M1409" s="965">
        <v>0.88900000000000001</v>
      </c>
      <c r="N1409" s="653">
        <v>107.43387200000001</v>
      </c>
      <c r="O1409" s="746" t="s">
        <v>7131</v>
      </c>
      <c r="P1409" s="547" t="s">
        <v>1588</v>
      </c>
      <c r="Q1409" s="863">
        <v>0</v>
      </c>
      <c r="R1409" s="863">
        <v>0</v>
      </c>
      <c r="S1409" s="863">
        <v>0</v>
      </c>
      <c r="T1409" s="863">
        <v>0</v>
      </c>
      <c r="U1409" s="547" t="s">
        <v>2321</v>
      </c>
      <c r="V1409" s="562">
        <v>35065</v>
      </c>
      <c r="W1409" s="658">
        <v>100</v>
      </c>
      <c r="X1409" s="547" t="s">
        <v>1532</v>
      </c>
      <c r="Y1409" s="547" t="s">
        <v>1404</v>
      </c>
      <c r="Z1409" s="547" t="s">
        <v>3759</v>
      </c>
      <c r="AA1409" s="547" t="s">
        <v>7106</v>
      </c>
      <c r="AB1409" s="550" t="s">
        <v>1723</v>
      </c>
    </row>
    <row r="1410" spans="1:28" ht="24" customHeight="1">
      <c r="A1410" s="606"/>
      <c r="B1410" s="544" t="s">
        <v>675</v>
      </c>
      <c r="C1410" s="551" t="s">
        <v>7132</v>
      </c>
      <c r="D1410" s="553" t="s">
        <v>7133</v>
      </c>
      <c r="E1410" s="563">
        <f t="shared" si="93"/>
        <v>30</v>
      </c>
      <c r="F1410" s="563" t="s">
        <v>1588</v>
      </c>
      <c r="G1410" s="563">
        <v>30</v>
      </c>
      <c r="H1410" s="563" t="s">
        <v>1588</v>
      </c>
      <c r="I1410" s="563">
        <f t="shared" si="94"/>
        <v>26</v>
      </c>
      <c r="J1410" s="563" t="s">
        <v>1588</v>
      </c>
      <c r="K1410" s="563">
        <v>26</v>
      </c>
      <c r="L1410" s="741" t="s">
        <v>3211</v>
      </c>
      <c r="M1410" s="965">
        <v>0.92400000000000004</v>
      </c>
      <c r="N1410" s="653">
        <v>161.63347200000001</v>
      </c>
      <c r="O1410" s="746" t="s">
        <v>7134</v>
      </c>
      <c r="P1410" s="547" t="s">
        <v>1588</v>
      </c>
      <c r="Q1410" s="863">
        <v>0</v>
      </c>
      <c r="R1410" s="863">
        <v>0</v>
      </c>
      <c r="S1410" s="863">
        <v>0</v>
      </c>
      <c r="T1410" s="863">
        <v>0</v>
      </c>
      <c r="U1410" s="547" t="s">
        <v>2321</v>
      </c>
      <c r="V1410" s="562">
        <v>36161</v>
      </c>
      <c r="W1410" s="658">
        <v>170</v>
      </c>
      <c r="X1410" s="547" t="s">
        <v>1532</v>
      </c>
      <c r="Y1410" s="547" t="s">
        <v>1404</v>
      </c>
      <c r="Z1410" s="547" t="s">
        <v>1588</v>
      </c>
      <c r="AA1410" s="547" t="s">
        <v>1588</v>
      </c>
      <c r="AB1410" s="550" t="s">
        <v>1723</v>
      </c>
    </row>
    <row r="1411" spans="1:28" ht="24" customHeight="1">
      <c r="A1411" s="606"/>
      <c r="B1411" s="544" t="s">
        <v>675</v>
      </c>
      <c r="C1411" s="551" t="s">
        <v>7135</v>
      </c>
      <c r="D1411" s="553" t="s">
        <v>7136</v>
      </c>
      <c r="E1411" s="563">
        <f t="shared" si="93"/>
        <v>45</v>
      </c>
      <c r="F1411" s="563" t="s">
        <v>1588</v>
      </c>
      <c r="G1411" s="563">
        <v>45</v>
      </c>
      <c r="H1411" s="563" t="s">
        <v>1588</v>
      </c>
      <c r="I1411" s="563">
        <f t="shared" si="94"/>
        <v>41</v>
      </c>
      <c r="J1411" s="563" t="s">
        <v>1588</v>
      </c>
      <c r="K1411" s="563">
        <v>41</v>
      </c>
      <c r="L1411" s="741" t="s">
        <v>3211</v>
      </c>
      <c r="M1411" s="965">
        <v>0.91700000000000004</v>
      </c>
      <c r="N1411" s="653">
        <v>121.62629500000001</v>
      </c>
      <c r="O1411" s="746" t="s">
        <v>7137</v>
      </c>
      <c r="P1411" s="547" t="s">
        <v>1588</v>
      </c>
      <c r="Q1411" s="863">
        <v>0</v>
      </c>
      <c r="R1411" s="863">
        <v>0</v>
      </c>
      <c r="S1411" s="863">
        <v>0</v>
      </c>
      <c r="T1411" s="863">
        <v>0</v>
      </c>
      <c r="U1411" s="547" t="s">
        <v>2321</v>
      </c>
      <c r="V1411" s="562">
        <v>37987</v>
      </c>
      <c r="W1411" s="658">
        <v>670</v>
      </c>
      <c r="X1411" s="547" t="s">
        <v>1532</v>
      </c>
      <c r="Y1411" s="547" t="s">
        <v>1404</v>
      </c>
      <c r="Z1411" s="547" t="s">
        <v>1588</v>
      </c>
      <c r="AA1411" s="547" t="s">
        <v>1588</v>
      </c>
      <c r="AB1411" s="550" t="s">
        <v>1723</v>
      </c>
    </row>
    <row r="1412" spans="1:28" ht="24" customHeight="1">
      <c r="A1412" s="606"/>
      <c r="B1412" s="544" t="s">
        <v>675</v>
      </c>
      <c r="C1412" s="551" t="s">
        <v>7138</v>
      </c>
      <c r="D1412" s="553" t="s">
        <v>7139</v>
      </c>
      <c r="E1412" s="563">
        <f t="shared" si="93"/>
        <v>70</v>
      </c>
      <c r="F1412" s="563" t="s">
        <v>1588</v>
      </c>
      <c r="G1412" s="563">
        <v>70</v>
      </c>
      <c r="H1412" s="563" t="s">
        <v>1588</v>
      </c>
      <c r="I1412" s="563">
        <f t="shared" si="94"/>
        <v>60</v>
      </c>
      <c r="J1412" s="563" t="s">
        <v>1588</v>
      </c>
      <c r="K1412" s="563">
        <v>60</v>
      </c>
      <c r="L1412" s="741" t="s">
        <v>3211</v>
      </c>
      <c r="M1412" s="965">
        <v>0.94599999999999995</v>
      </c>
      <c r="N1412" s="653">
        <v>200.41956000000002</v>
      </c>
      <c r="O1412" s="746" t="s">
        <v>7140</v>
      </c>
      <c r="P1412" s="547" t="s">
        <v>1588</v>
      </c>
      <c r="Q1412" s="863">
        <v>0</v>
      </c>
      <c r="R1412" s="863">
        <v>0</v>
      </c>
      <c r="S1412" s="863">
        <v>0</v>
      </c>
      <c r="T1412" s="863">
        <v>0</v>
      </c>
      <c r="U1412" s="547" t="s">
        <v>2321</v>
      </c>
      <c r="V1412" s="562">
        <v>36617</v>
      </c>
      <c r="W1412" s="658">
        <v>310</v>
      </c>
      <c r="X1412" s="547" t="s">
        <v>1532</v>
      </c>
      <c r="Y1412" s="547" t="s">
        <v>3232</v>
      </c>
      <c r="Z1412" s="547" t="s">
        <v>1588</v>
      </c>
      <c r="AA1412" s="547" t="s">
        <v>1588</v>
      </c>
      <c r="AB1412" s="550" t="s">
        <v>1723</v>
      </c>
    </row>
    <row r="1413" spans="1:28" ht="24" customHeight="1">
      <c r="A1413" s="606"/>
      <c r="B1413" s="544" t="s">
        <v>675</v>
      </c>
      <c r="C1413" s="551" t="s">
        <v>7141</v>
      </c>
      <c r="D1413" s="553" t="s">
        <v>7142</v>
      </c>
      <c r="E1413" s="563">
        <f t="shared" si="93"/>
        <v>35</v>
      </c>
      <c r="F1413" s="563" t="s">
        <v>1588</v>
      </c>
      <c r="G1413" s="563" t="s">
        <v>1588</v>
      </c>
      <c r="H1413" s="563">
        <v>35</v>
      </c>
      <c r="I1413" s="563">
        <f t="shared" si="94"/>
        <v>30</v>
      </c>
      <c r="J1413" s="563" t="s">
        <v>1588</v>
      </c>
      <c r="K1413" s="563" t="s">
        <v>1588</v>
      </c>
      <c r="L1413" s="741">
        <v>30</v>
      </c>
      <c r="M1413" s="965">
        <v>0.97499999999999998</v>
      </c>
      <c r="N1413" s="653">
        <v>240.34725</v>
      </c>
      <c r="O1413" s="746" t="s">
        <v>7109</v>
      </c>
      <c r="P1413" s="547" t="s">
        <v>1588</v>
      </c>
      <c r="Q1413" s="863">
        <v>0</v>
      </c>
      <c r="R1413" s="863">
        <v>0</v>
      </c>
      <c r="S1413" s="863">
        <v>0</v>
      </c>
      <c r="T1413" s="863">
        <v>0</v>
      </c>
      <c r="U1413" s="547" t="s">
        <v>2321</v>
      </c>
      <c r="V1413" s="562">
        <v>38108</v>
      </c>
      <c r="W1413" s="658">
        <v>440</v>
      </c>
      <c r="X1413" s="547" t="s">
        <v>1532</v>
      </c>
      <c r="Y1413" s="547" t="s">
        <v>3161</v>
      </c>
      <c r="Z1413" s="547" t="s">
        <v>1588</v>
      </c>
      <c r="AA1413" s="547" t="s">
        <v>1588</v>
      </c>
      <c r="AB1413" s="550" t="s">
        <v>1723</v>
      </c>
    </row>
    <row r="1414" spans="1:28" ht="24" customHeight="1">
      <c r="A1414" s="606"/>
      <c r="B1414" s="544" t="s">
        <v>675</v>
      </c>
      <c r="C1414" s="551" t="s">
        <v>7143</v>
      </c>
      <c r="D1414" s="553" t="s">
        <v>7144</v>
      </c>
      <c r="E1414" s="563">
        <f t="shared" si="93"/>
        <v>45</v>
      </c>
      <c r="F1414" s="563" t="s">
        <v>1588</v>
      </c>
      <c r="G1414" s="563">
        <v>45</v>
      </c>
      <c r="H1414" s="753" t="s">
        <v>1588</v>
      </c>
      <c r="I1414" s="563">
        <f t="shared" si="94"/>
        <v>40</v>
      </c>
      <c r="J1414" s="563" t="s">
        <v>1588</v>
      </c>
      <c r="K1414" s="563">
        <v>40</v>
      </c>
      <c r="L1414" s="754" t="s">
        <v>1588</v>
      </c>
      <c r="M1414" s="965">
        <v>0.95400000000000007</v>
      </c>
      <c r="N1414" s="653">
        <v>256.93128000000002</v>
      </c>
      <c r="O1414" s="746" t="s">
        <v>7145</v>
      </c>
      <c r="P1414" s="547" t="s">
        <v>1588</v>
      </c>
      <c r="Q1414" s="863">
        <v>0</v>
      </c>
      <c r="R1414" s="863">
        <v>0</v>
      </c>
      <c r="S1414" s="863">
        <v>0</v>
      </c>
      <c r="T1414" s="863">
        <v>0</v>
      </c>
      <c r="U1414" s="547" t="s">
        <v>2321</v>
      </c>
      <c r="V1414" s="562">
        <v>36982</v>
      </c>
      <c r="W1414" s="658">
        <v>299</v>
      </c>
      <c r="X1414" s="547" t="s">
        <v>1532</v>
      </c>
      <c r="Y1414" s="547" t="s">
        <v>3232</v>
      </c>
      <c r="Z1414" s="547" t="s">
        <v>1588</v>
      </c>
      <c r="AA1414" s="547" t="s">
        <v>1588</v>
      </c>
      <c r="AB1414" s="550" t="s">
        <v>1723</v>
      </c>
    </row>
    <row r="1415" spans="1:28" ht="24" customHeight="1">
      <c r="A1415" s="606"/>
      <c r="B1415" s="544" t="s">
        <v>675</v>
      </c>
      <c r="C1415" s="551" t="s">
        <v>7146</v>
      </c>
      <c r="D1415" s="553" t="s">
        <v>7144</v>
      </c>
      <c r="E1415" s="563">
        <f t="shared" si="93"/>
        <v>300</v>
      </c>
      <c r="F1415" s="563" t="s">
        <v>1588</v>
      </c>
      <c r="G1415" s="563">
        <v>300</v>
      </c>
      <c r="H1415" s="563" t="s">
        <v>1588</v>
      </c>
      <c r="I1415" s="563">
        <f t="shared" si="94"/>
        <v>280</v>
      </c>
      <c r="J1415" s="563" t="s">
        <v>1588</v>
      </c>
      <c r="K1415" s="563">
        <v>280</v>
      </c>
      <c r="L1415" s="741" t="s">
        <v>3211</v>
      </c>
      <c r="M1415" s="965">
        <v>0.8859999999999999</v>
      </c>
      <c r="N1415" s="653">
        <v>1031.5166399999998</v>
      </c>
      <c r="O1415" s="746" t="s">
        <v>7134</v>
      </c>
      <c r="P1415" s="547" t="s">
        <v>1588</v>
      </c>
      <c r="Q1415" s="863">
        <v>0</v>
      </c>
      <c r="R1415" s="863">
        <v>0</v>
      </c>
      <c r="S1415" s="863">
        <v>0</v>
      </c>
      <c r="T1415" s="863">
        <v>0</v>
      </c>
      <c r="U1415" s="547" t="s">
        <v>2321</v>
      </c>
      <c r="V1415" s="562">
        <v>34820</v>
      </c>
      <c r="W1415" s="658">
        <v>394</v>
      </c>
      <c r="X1415" s="547" t="s">
        <v>1532</v>
      </c>
      <c r="Y1415" s="547" t="s">
        <v>3232</v>
      </c>
      <c r="Z1415" s="547" t="s">
        <v>1588</v>
      </c>
      <c r="AA1415" s="547" t="s">
        <v>1588</v>
      </c>
      <c r="AB1415" s="550" t="s">
        <v>1723</v>
      </c>
    </row>
    <row r="1416" spans="1:28" ht="24" customHeight="1">
      <c r="A1416" s="606"/>
      <c r="B1416" s="544" t="s">
        <v>675</v>
      </c>
      <c r="C1416" s="551" t="s">
        <v>7147</v>
      </c>
      <c r="D1416" s="553" t="s">
        <v>7148</v>
      </c>
      <c r="E1416" s="563">
        <f t="shared" si="93"/>
        <v>90</v>
      </c>
      <c r="F1416" s="563" t="s">
        <v>1588</v>
      </c>
      <c r="G1416" s="563">
        <v>90</v>
      </c>
      <c r="H1416" s="563" t="s">
        <v>1588</v>
      </c>
      <c r="I1416" s="563">
        <f t="shared" si="94"/>
        <v>80</v>
      </c>
      <c r="J1416" s="563" t="s">
        <v>1588</v>
      </c>
      <c r="K1416" s="563">
        <v>80</v>
      </c>
      <c r="L1416" s="741" t="s">
        <v>3211</v>
      </c>
      <c r="M1416" s="965">
        <v>0.92500000000000004</v>
      </c>
      <c r="N1416" s="653">
        <v>376.95600000000002</v>
      </c>
      <c r="O1416" s="746" t="s">
        <v>7149</v>
      </c>
      <c r="P1416" s="547" t="s">
        <v>1588</v>
      </c>
      <c r="Q1416" s="863">
        <v>0</v>
      </c>
      <c r="R1416" s="863">
        <v>0</v>
      </c>
      <c r="S1416" s="863">
        <v>0</v>
      </c>
      <c r="T1416" s="863">
        <v>0</v>
      </c>
      <c r="U1416" s="547" t="s">
        <v>2321</v>
      </c>
      <c r="V1416" s="562">
        <v>37408</v>
      </c>
      <c r="W1416" s="658">
        <v>360</v>
      </c>
      <c r="X1416" s="547" t="s">
        <v>1532</v>
      </c>
      <c r="Y1416" s="547" t="s">
        <v>720</v>
      </c>
      <c r="Z1416" s="547" t="s">
        <v>1588</v>
      </c>
      <c r="AA1416" s="547" t="s">
        <v>1588</v>
      </c>
      <c r="AB1416" s="550" t="s">
        <v>1723</v>
      </c>
    </row>
    <row r="1417" spans="1:28" ht="24" customHeight="1">
      <c r="A1417" s="606"/>
      <c r="B1417" s="544" t="s">
        <v>675</v>
      </c>
      <c r="C1417" s="551" t="s">
        <v>7150</v>
      </c>
      <c r="D1417" s="553" t="s">
        <v>7151</v>
      </c>
      <c r="E1417" s="563">
        <f t="shared" si="93"/>
        <v>5</v>
      </c>
      <c r="F1417" s="753" t="s">
        <v>1588</v>
      </c>
      <c r="G1417" s="563">
        <v>5</v>
      </c>
      <c r="H1417" s="753" t="s">
        <v>1588</v>
      </c>
      <c r="I1417" s="563">
        <f t="shared" si="94"/>
        <v>4</v>
      </c>
      <c r="J1417" s="753" t="s">
        <v>1588</v>
      </c>
      <c r="K1417" s="563">
        <v>4</v>
      </c>
      <c r="L1417" s="754" t="s">
        <v>1588</v>
      </c>
      <c r="M1417" s="965">
        <v>0.95400000000000007</v>
      </c>
      <c r="N1417" s="653">
        <v>29.79</v>
      </c>
      <c r="O1417" s="746" t="s">
        <v>5660</v>
      </c>
      <c r="P1417" s="547" t="s">
        <v>1588</v>
      </c>
      <c r="Q1417" s="863">
        <v>0</v>
      </c>
      <c r="R1417" s="863">
        <v>0</v>
      </c>
      <c r="S1417" s="863">
        <v>0</v>
      </c>
      <c r="T1417" s="863">
        <v>0</v>
      </c>
      <c r="U1417" s="547" t="s">
        <v>2321</v>
      </c>
      <c r="V1417" s="562">
        <v>36982</v>
      </c>
      <c r="W1417" s="658">
        <v>30</v>
      </c>
      <c r="X1417" s="547" t="s">
        <v>1532</v>
      </c>
      <c r="Y1417" s="547" t="s">
        <v>1404</v>
      </c>
      <c r="Z1417" s="548" t="s">
        <v>1588</v>
      </c>
      <c r="AA1417" s="548" t="s">
        <v>1588</v>
      </c>
      <c r="AB1417" s="550" t="s">
        <v>1723</v>
      </c>
    </row>
    <row r="1418" spans="1:28" ht="24" customHeight="1">
      <c r="A1418" s="606"/>
      <c r="B1418" s="544" t="s">
        <v>675</v>
      </c>
      <c r="C1418" s="551" t="s">
        <v>7152</v>
      </c>
      <c r="D1418" s="553" t="s">
        <v>7153</v>
      </c>
      <c r="E1418" s="563">
        <f t="shared" si="93"/>
        <v>45</v>
      </c>
      <c r="F1418" s="563" t="s">
        <v>1588</v>
      </c>
      <c r="G1418" s="563" t="s">
        <v>1588</v>
      </c>
      <c r="H1418" s="563">
        <v>45</v>
      </c>
      <c r="I1418" s="563">
        <f t="shared" si="94"/>
        <v>41</v>
      </c>
      <c r="J1418" s="563" t="s">
        <v>1588</v>
      </c>
      <c r="K1418" s="563" t="s">
        <v>1588</v>
      </c>
      <c r="L1418" s="741">
        <v>41</v>
      </c>
      <c r="M1418" s="965">
        <v>0.97499999999999998</v>
      </c>
      <c r="N1418" s="653">
        <v>175.73009999999999</v>
      </c>
      <c r="O1418" s="746" t="s">
        <v>7154</v>
      </c>
      <c r="P1418" s="547" t="s">
        <v>1588</v>
      </c>
      <c r="Q1418" s="863">
        <v>0</v>
      </c>
      <c r="R1418" s="863">
        <v>0</v>
      </c>
      <c r="S1418" s="863">
        <v>0</v>
      </c>
      <c r="T1418" s="863">
        <v>0</v>
      </c>
      <c r="U1418" s="547" t="s">
        <v>2321</v>
      </c>
      <c r="V1418" s="562">
        <v>38322</v>
      </c>
      <c r="W1418" s="658">
        <v>492</v>
      </c>
      <c r="X1418" s="547" t="s">
        <v>1532</v>
      </c>
      <c r="Y1418" s="547" t="s">
        <v>3161</v>
      </c>
      <c r="Z1418" s="547" t="s">
        <v>1588</v>
      </c>
      <c r="AA1418" s="547" t="s">
        <v>1588</v>
      </c>
      <c r="AB1418" s="550" t="s">
        <v>1723</v>
      </c>
    </row>
    <row r="1419" spans="1:28" ht="24" customHeight="1">
      <c r="A1419" s="606"/>
      <c r="B1419" s="544" t="s">
        <v>675</v>
      </c>
      <c r="C1419" s="551" t="s">
        <v>7155</v>
      </c>
      <c r="D1419" s="553" t="s">
        <v>7156</v>
      </c>
      <c r="E1419" s="563">
        <f t="shared" si="93"/>
        <v>30</v>
      </c>
      <c r="F1419" s="563" t="s">
        <v>1588</v>
      </c>
      <c r="G1419" s="563">
        <v>30</v>
      </c>
      <c r="H1419" s="563" t="s">
        <v>1588</v>
      </c>
      <c r="I1419" s="563">
        <f t="shared" si="94"/>
        <v>25</v>
      </c>
      <c r="J1419" s="563" t="s">
        <v>1588</v>
      </c>
      <c r="K1419" s="563">
        <v>25</v>
      </c>
      <c r="L1419" s="741" t="s">
        <v>3211</v>
      </c>
      <c r="M1419" s="965">
        <v>0.88900000000000001</v>
      </c>
      <c r="N1419" s="653">
        <v>141.506575</v>
      </c>
      <c r="O1419" s="746" t="s">
        <v>7157</v>
      </c>
      <c r="P1419" s="547" t="s">
        <v>1588</v>
      </c>
      <c r="Q1419" s="863">
        <v>0</v>
      </c>
      <c r="R1419" s="863">
        <v>0</v>
      </c>
      <c r="S1419" s="863">
        <v>0</v>
      </c>
      <c r="T1419" s="863">
        <v>0</v>
      </c>
      <c r="U1419" s="547" t="s">
        <v>2321</v>
      </c>
      <c r="V1419" s="562">
        <v>35065</v>
      </c>
      <c r="W1419" s="658">
        <v>100</v>
      </c>
      <c r="X1419" s="547" t="s">
        <v>1532</v>
      </c>
      <c r="Y1419" s="547" t="s">
        <v>1404</v>
      </c>
      <c r="Z1419" s="547" t="s">
        <v>7158</v>
      </c>
      <c r="AA1419" s="547" t="s">
        <v>7159</v>
      </c>
      <c r="AB1419" s="550" t="s">
        <v>1723</v>
      </c>
    </row>
    <row r="1420" spans="1:28" ht="24" customHeight="1">
      <c r="A1420" s="606"/>
      <c r="B1420" s="544" t="s">
        <v>675</v>
      </c>
      <c r="C1420" s="551" t="s">
        <v>7160</v>
      </c>
      <c r="D1420" s="553" t="s">
        <v>7161</v>
      </c>
      <c r="E1420" s="563">
        <f t="shared" si="93"/>
        <v>30</v>
      </c>
      <c r="F1420" s="563" t="s">
        <v>1588</v>
      </c>
      <c r="G1420" s="563">
        <v>30</v>
      </c>
      <c r="H1420" s="563" t="s">
        <v>1588</v>
      </c>
      <c r="I1420" s="563">
        <f t="shared" si="94"/>
        <v>28</v>
      </c>
      <c r="J1420" s="563" t="s">
        <v>1588</v>
      </c>
      <c r="K1420" s="563">
        <v>28</v>
      </c>
      <c r="L1420" s="741" t="s">
        <v>3211</v>
      </c>
      <c r="M1420" s="965">
        <v>0.86699999999999999</v>
      </c>
      <c r="N1420" s="653">
        <v>98.997528000000017</v>
      </c>
      <c r="O1420" s="746" t="s">
        <v>7162</v>
      </c>
      <c r="P1420" s="547" t="s">
        <v>1588</v>
      </c>
      <c r="Q1420" s="863">
        <v>0</v>
      </c>
      <c r="R1420" s="863">
        <v>0</v>
      </c>
      <c r="S1420" s="863">
        <v>0</v>
      </c>
      <c r="T1420" s="863">
        <v>0</v>
      </c>
      <c r="U1420" s="547" t="s">
        <v>2321</v>
      </c>
      <c r="V1420" s="562">
        <v>35796</v>
      </c>
      <c r="W1420" s="658">
        <v>310</v>
      </c>
      <c r="X1420" s="547" t="s">
        <v>1532</v>
      </c>
      <c r="Y1420" s="547" t="s">
        <v>1404</v>
      </c>
      <c r="Z1420" s="547" t="s">
        <v>1588</v>
      </c>
      <c r="AA1420" s="547" t="s">
        <v>7159</v>
      </c>
      <c r="AB1420" s="550" t="s">
        <v>1723</v>
      </c>
    </row>
    <row r="1421" spans="1:28" ht="24" customHeight="1">
      <c r="A1421" s="606"/>
      <c r="B1421" s="544" t="s">
        <v>675</v>
      </c>
      <c r="C1421" s="551" t="s">
        <v>7163</v>
      </c>
      <c r="D1421" s="553" t="s">
        <v>7164</v>
      </c>
      <c r="E1421" s="563">
        <f t="shared" si="93"/>
        <v>20</v>
      </c>
      <c r="F1421" s="563" t="s">
        <v>1588</v>
      </c>
      <c r="G1421" s="563">
        <v>20</v>
      </c>
      <c r="H1421" s="753" t="s">
        <v>1588</v>
      </c>
      <c r="I1421" s="563">
        <f t="shared" si="94"/>
        <v>18</v>
      </c>
      <c r="J1421" s="563" t="s">
        <v>1588</v>
      </c>
      <c r="K1421" s="563">
        <v>18</v>
      </c>
      <c r="L1421" s="741">
        <v>0</v>
      </c>
      <c r="M1421" s="965">
        <v>0.86699999999999999</v>
      </c>
      <c r="N1421" s="653">
        <v>119.63559599999999</v>
      </c>
      <c r="O1421" s="746" t="s">
        <v>7109</v>
      </c>
      <c r="P1421" s="547" t="s">
        <v>1588</v>
      </c>
      <c r="Q1421" s="863">
        <v>0</v>
      </c>
      <c r="R1421" s="863">
        <v>0</v>
      </c>
      <c r="S1421" s="863">
        <v>0</v>
      </c>
      <c r="T1421" s="863">
        <v>0</v>
      </c>
      <c r="U1421" s="547" t="s">
        <v>2321</v>
      </c>
      <c r="V1421" s="562">
        <v>35065</v>
      </c>
      <c r="W1421" s="658">
        <v>210</v>
      </c>
      <c r="X1421" s="547" t="s">
        <v>1532</v>
      </c>
      <c r="Y1421" s="547" t="s">
        <v>1404</v>
      </c>
      <c r="Z1421" s="547" t="s">
        <v>1588</v>
      </c>
      <c r="AA1421" s="547" t="s">
        <v>1588</v>
      </c>
      <c r="AB1421" s="550" t="s">
        <v>1723</v>
      </c>
    </row>
    <row r="1422" spans="1:28" ht="24" customHeight="1">
      <c r="A1422" s="606"/>
      <c r="B1422" s="544" t="s">
        <v>675</v>
      </c>
      <c r="C1422" s="551" t="s">
        <v>7165</v>
      </c>
      <c r="D1422" s="553" t="s">
        <v>7166</v>
      </c>
      <c r="E1422" s="563">
        <f t="shared" si="93"/>
        <v>40</v>
      </c>
      <c r="F1422" s="563" t="s">
        <v>1588</v>
      </c>
      <c r="G1422" s="563">
        <v>40</v>
      </c>
      <c r="H1422" s="753" t="s">
        <v>1588</v>
      </c>
      <c r="I1422" s="563">
        <f t="shared" si="94"/>
        <v>37</v>
      </c>
      <c r="J1422" s="563" t="s">
        <v>1588</v>
      </c>
      <c r="K1422" s="563">
        <v>37</v>
      </c>
      <c r="L1422" s="741">
        <v>0</v>
      </c>
      <c r="M1422" s="965">
        <v>0.88300000000000001</v>
      </c>
      <c r="N1422" s="653">
        <v>100.724693</v>
      </c>
      <c r="O1422" s="746" t="s">
        <v>7109</v>
      </c>
      <c r="P1422" s="547" t="s">
        <v>1588</v>
      </c>
      <c r="Q1422" s="863">
        <v>0</v>
      </c>
      <c r="R1422" s="863">
        <v>0</v>
      </c>
      <c r="S1422" s="863">
        <v>0</v>
      </c>
      <c r="T1422" s="863">
        <v>0</v>
      </c>
      <c r="U1422" s="547" t="s">
        <v>2321</v>
      </c>
      <c r="V1422" s="562">
        <v>34731</v>
      </c>
      <c r="W1422" s="658">
        <v>180</v>
      </c>
      <c r="X1422" s="547" t="s">
        <v>1532</v>
      </c>
      <c r="Y1422" s="547" t="s">
        <v>1404</v>
      </c>
      <c r="Z1422" s="547" t="s">
        <v>1588</v>
      </c>
      <c r="AA1422" s="547" t="s">
        <v>7106</v>
      </c>
      <c r="AB1422" s="550" t="s">
        <v>1723</v>
      </c>
    </row>
    <row r="1423" spans="1:28" ht="24" customHeight="1">
      <c r="A1423" s="606"/>
      <c r="B1423" s="544" t="s">
        <v>675</v>
      </c>
      <c r="C1423" s="551" t="s">
        <v>7167</v>
      </c>
      <c r="D1423" s="553" t="s">
        <v>7168</v>
      </c>
      <c r="E1423" s="563">
        <f t="shared" si="93"/>
        <v>50</v>
      </c>
      <c r="F1423" s="563" t="s">
        <v>1588</v>
      </c>
      <c r="G1423" s="563">
        <v>50</v>
      </c>
      <c r="H1423" s="753" t="s">
        <v>1588</v>
      </c>
      <c r="I1423" s="563">
        <f t="shared" si="94"/>
        <v>43</v>
      </c>
      <c r="J1423" s="563" t="s">
        <v>1588</v>
      </c>
      <c r="K1423" s="563">
        <v>43</v>
      </c>
      <c r="L1423" s="741">
        <v>0</v>
      </c>
      <c r="M1423" s="965">
        <v>0.91700000000000004</v>
      </c>
      <c r="N1423" s="653">
        <v>173.693555</v>
      </c>
      <c r="O1423" s="746" t="s">
        <v>7169</v>
      </c>
      <c r="P1423" s="547" t="s">
        <v>1588</v>
      </c>
      <c r="Q1423" s="863">
        <v>0</v>
      </c>
      <c r="R1423" s="863">
        <v>0</v>
      </c>
      <c r="S1423" s="863">
        <v>0</v>
      </c>
      <c r="T1423" s="863">
        <v>0</v>
      </c>
      <c r="U1423" s="547" t="s">
        <v>2321</v>
      </c>
      <c r="V1423" s="562">
        <v>35796</v>
      </c>
      <c r="W1423" s="658">
        <v>260</v>
      </c>
      <c r="X1423" s="547" t="s">
        <v>1532</v>
      </c>
      <c r="Y1423" s="547" t="s">
        <v>3232</v>
      </c>
      <c r="Z1423" s="547" t="s">
        <v>1588</v>
      </c>
      <c r="AA1423" s="547" t="s">
        <v>7159</v>
      </c>
      <c r="AB1423" s="550" t="s">
        <v>1723</v>
      </c>
    </row>
    <row r="1424" spans="1:28" ht="24" customHeight="1">
      <c r="A1424" s="606"/>
      <c r="B1424" s="544" t="s">
        <v>675</v>
      </c>
      <c r="C1424" s="551" t="s">
        <v>7170</v>
      </c>
      <c r="D1424" s="553" t="s">
        <v>7171</v>
      </c>
      <c r="E1424" s="563">
        <f t="shared" si="93"/>
        <v>35</v>
      </c>
      <c r="F1424" s="563" t="s">
        <v>1588</v>
      </c>
      <c r="G1424" s="563">
        <v>35</v>
      </c>
      <c r="H1424" s="563" t="s">
        <v>1588</v>
      </c>
      <c r="I1424" s="563">
        <f t="shared" si="94"/>
        <v>32</v>
      </c>
      <c r="J1424" s="563" t="s">
        <v>1588</v>
      </c>
      <c r="K1424" s="563">
        <v>32</v>
      </c>
      <c r="L1424" s="741" t="s">
        <v>3211</v>
      </c>
      <c r="M1424" s="965">
        <v>0.93799999999999994</v>
      </c>
      <c r="N1424" s="653">
        <v>95.961151999999984</v>
      </c>
      <c r="O1424" s="746" t="s">
        <v>7172</v>
      </c>
      <c r="P1424" s="547" t="s">
        <v>5679</v>
      </c>
      <c r="Q1424" s="863">
        <v>0</v>
      </c>
      <c r="R1424" s="863">
        <v>0</v>
      </c>
      <c r="S1424" s="863">
        <v>0</v>
      </c>
      <c r="T1424" s="863">
        <v>0</v>
      </c>
      <c r="U1424" s="547" t="s">
        <v>2321</v>
      </c>
      <c r="V1424" s="562">
        <v>38626</v>
      </c>
      <c r="W1424" s="658">
        <v>328</v>
      </c>
      <c r="X1424" s="547" t="s">
        <v>1532</v>
      </c>
      <c r="Y1424" s="547" t="s">
        <v>1404</v>
      </c>
      <c r="Z1424" s="547" t="s">
        <v>7173</v>
      </c>
      <c r="AA1424" s="547" t="s">
        <v>7159</v>
      </c>
      <c r="AB1424" s="550" t="s">
        <v>1723</v>
      </c>
    </row>
    <row r="1425" spans="1:28" ht="24" customHeight="1">
      <c r="A1425" s="606"/>
      <c r="B1425" s="544" t="s">
        <v>675</v>
      </c>
      <c r="C1425" s="551" t="s">
        <v>6515</v>
      </c>
      <c r="D1425" s="553" t="s">
        <v>7174</v>
      </c>
      <c r="E1425" s="563">
        <f t="shared" si="93"/>
        <v>90</v>
      </c>
      <c r="F1425" s="563" t="s">
        <v>1588</v>
      </c>
      <c r="G1425" s="563" t="s">
        <v>1588</v>
      </c>
      <c r="H1425" s="563">
        <v>90</v>
      </c>
      <c r="I1425" s="563">
        <f t="shared" si="94"/>
        <v>85</v>
      </c>
      <c r="J1425" s="563" t="s">
        <v>1588</v>
      </c>
      <c r="K1425" s="563" t="s">
        <v>1588</v>
      </c>
      <c r="L1425" s="741">
        <v>85</v>
      </c>
      <c r="M1425" s="965">
        <v>0.93200000000000005</v>
      </c>
      <c r="N1425" s="653">
        <v>483.71732000000009</v>
      </c>
      <c r="O1425" s="746" t="s">
        <v>7175</v>
      </c>
      <c r="P1425" s="547" t="s">
        <v>1588</v>
      </c>
      <c r="Q1425" s="863">
        <v>0</v>
      </c>
      <c r="R1425" s="863">
        <v>0</v>
      </c>
      <c r="S1425" s="863">
        <v>0</v>
      </c>
      <c r="T1425" s="863">
        <v>0</v>
      </c>
      <c r="U1425" s="547" t="s">
        <v>2321</v>
      </c>
      <c r="V1425" s="562">
        <v>38687</v>
      </c>
      <c r="W1425" s="658">
        <v>828</v>
      </c>
      <c r="X1425" s="547" t="s">
        <v>1532</v>
      </c>
      <c r="Y1425" s="547" t="s">
        <v>3161</v>
      </c>
      <c r="Z1425" s="547" t="s">
        <v>1588</v>
      </c>
      <c r="AA1425" s="547" t="s">
        <v>1588</v>
      </c>
      <c r="AB1425" s="550" t="s">
        <v>1723</v>
      </c>
    </row>
    <row r="1426" spans="1:28" ht="24" customHeight="1">
      <c r="A1426" s="606"/>
      <c r="B1426" s="544" t="s">
        <v>675</v>
      </c>
      <c r="C1426" s="551" t="s">
        <v>7176</v>
      </c>
      <c r="D1426" s="553" t="s">
        <v>7177</v>
      </c>
      <c r="E1426" s="563">
        <f t="shared" si="93"/>
        <v>40</v>
      </c>
      <c r="F1426" s="753" t="s">
        <v>1588</v>
      </c>
      <c r="G1426" s="753" t="s">
        <v>1588</v>
      </c>
      <c r="H1426" s="753">
        <v>40</v>
      </c>
      <c r="I1426" s="563">
        <f t="shared" si="94"/>
        <v>35</v>
      </c>
      <c r="J1426" s="753" t="s">
        <v>1588</v>
      </c>
      <c r="K1426" s="753" t="s">
        <v>1588</v>
      </c>
      <c r="L1426" s="754">
        <v>35</v>
      </c>
      <c r="M1426" s="965">
        <v>0.90799999999999992</v>
      </c>
      <c r="N1426" s="653">
        <v>123.14</v>
      </c>
      <c r="O1426" s="746" t="s">
        <v>7178</v>
      </c>
      <c r="P1426" s="547" t="s">
        <v>5679</v>
      </c>
      <c r="Q1426" s="863">
        <v>0</v>
      </c>
      <c r="R1426" s="863">
        <v>0</v>
      </c>
      <c r="S1426" s="863">
        <v>0</v>
      </c>
      <c r="T1426" s="863">
        <v>0</v>
      </c>
      <c r="U1426" s="547" t="s">
        <v>2321</v>
      </c>
      <c r="V1426" s="562">
        <v>38930</v>
      </c>
      <c r="W1426" s="658">
        <v>339</v>
      </c>
      <c r="X1426" s="547" t="s">
        <v>1532</v>
      </c>
      <c r="Y1426" s="547" t="s">
        <v>3161</v>
      </c>
      <c r="Z1426" s="548" t="s">
        <v>1588</v>
      </c>
      <c r="AA1426" s="547" t="s">
        <v>7106</v>
      </c>
      <c r="AB1426" s="550" t="s">
        <v>1723</v>
      </c>
    </row>
    <row r="1427" spans="1:28" ht="24" customHeight="1">
      <c r="A1427" s="605" t="s">
        <v>1724</v>
      </c>
      <c r="B1427" s="544" t="s">
        <v>2201</v>
      </c>
      <c r="C1427" s="551" t="s">
        <v>2322</v>
      </c>
      <c r="D1427" s="553" t="s">
        <v>7179</v>
      </c>
      <c r="E1427" s="563">
        <f t="shared" ref="E1427:E1458" si="95">SUM(F1427:H1427)</f>
        <v>5500</v>
      </c>
      <c r="F1427" s="659">
        <v>0</v>
      </c>
      <c r="G1427" s="659">
        <v>5500</v>
      </c>
      <c r="H1427" s="659">
        <v>0</v>
      </c>
      <c r="I1427" s="563">
        <f t="shared" si="94"/>
        <v>4006</v>
      </c>
      <c r="J1427" s="659">
        <v>0</v>
      </c>
      <c r="K1427" s="659">
        <v>4006</v>
      </c>
      <c r="L1427" s="741">
        <v>0</v>
      </c>
      <c r="M1427" s="965">
        <v>0.96980561010323019</v>
      </c>
      <c r="N1427" s="653">
        <v>215.64698599999997</v>
      </c>
      <c r="O1427" s="755" t="s">
        <v>3173</v>
      </c>
      <c r="P1427" s="563">
        <v>0</v>
      </c>
      <c r="Q1427" s="863">
        <v>0</v>
      </c>
      <c r="R1427" s="863">
        <v>0</v>
      </c>
      <c r="S1427" s="863">
        <v>0</v>
      </c>
      <c r="T1427" s="863">
        <v>0</v>
      </c>
      <c r="U1427" s="547" t="s">
        <v>7180</v>
      </c>
      <c r="V1427" s="564" t="s">
        <v>7181</v>
      </c>
      <c r="W1427" s="658">
        <v>11141</v>
      </c>
      <c r="X1427" s="547" t="s">
        <v>1532</v>
      </c>
      <c r="Y1427" s="547" t="s">
        <v>3161</v>
      </c>
      <c r="Z1427" s="547" t="s">
        <v>1588</v>
      </c>
      <c r="AA1427" s="547" t="s">
        <v>7182</v>
      </c>
      <c r="AB1427" s="550" t="s">
        <v>1591</v>
      </c>
    </row>
    <row r="1428" spans="1:28" ht="24" customHeight="1">
      <c r="A1428" s="606"/>
      <c r="B1428" s="544" t="s">
        <v>2201</v>
      </c>
      <c r="C1428" s="551" t="s">
        <v>7183</v>
      </c>
      <c r="D1428" s="553" t="s">
        <v>7184</v>
      </c>
      <c r="E1428" s="659">
        <f t="shared" si="95"/>
        <v>56000</v>
      </c>
      <c r="F1428" s="659">
        <v>0</v>
      </c>
      <c r="G1428" s="659">
        <v>56000</v>
      </c>
      <c r="H1428" s="659">
        <v>0</v>
      </c>
      <c r="I1428" s="659">
        <f t="shared" si="94"/>
        <v>20218</v>
      </c>
      <c r="J1428" s="659">
        <v>0</v>
      </c>
      <c r="K1428" s="659">
        <v>20218</v>
      </c>
      <c r="L1428" s="741">
        <v>0</v>
      </c>
      <c r="M1428" s="965">
        <v>0.91937581274382307</v>
      </c>
      <c r="N1428" s="653">
        <v>1429.4126000000001</v>
      </c>
      <c r="O1428" s="755" t="s">
        <v>3523</v>
      </c>
      <c r="P1428" s="563">
        <v>0</v>
      </c>
      <c r="Q1428" s="863">
        <v>32.4</v>
      </c>
      <c r="R1428" s="863">
        <v>0</v>
      </c>
      <c r="S1428" s="863">
        <v>0</v>
      </c>
      <c r="T1428" s="863">
        <v>0</v>
      </c>
      <c r="U1428" s="547" t="s">
        <v>7185</v>
      </c>
      <c r="V1428" s="564" t="s">
        <v>7186</v>
      </c>
      <c r="W1428" s="658">
        <v>43945</v>
      </c>
      <c r="X1428" s="547" t="s">
        <v>1532</v>
      </c>
      <c r="Y1428" s="547" t="s">
        <v>7187</v>
      </c>
      <c r="Z1428" s="547" t="s">
        <v>1588</v>
      </c>
      <c r="AA1428" s="547" t="s">
        <v>1588</v>
      </c>
      <c r="AB1428" s="550" t="s">
        <v>1587</v>
      </c>
    </row>
    <row r="1429" spans="1:28" ht="24" customHeight="1">
      <c r="A1429" s="606"/>
      <c r="B1429" s="544" t="s">
        <v>7024</v>
      </c>
      <c r="C1429" s="551" t="s">
        <v>7188</v>
      </c>
      <c r="D1429" s="553" t="s">
        <v>7189</v>
      </c>
      <c r="E1429" s="563">
        <f t="shared" si="95"/>
        <v>40</v>
      </c>
      <c r="F1429" s="563">
        <v>0</v>
      </c>
      <c r="G1429" s="563">
        <v>40</v>
      </c>
      <c r="H1429" s="563">
        <v>0</v>
      </c>
      <c r="I1429" s="563">
        <f t="shared" si="94"/>
        <v>32</v>
      </c>
      <c r="J1429" s="563">
        <v>0</v>
      </c>
      <c r="K1429" s="563">
        <v>32</v>
      </c>
      <c r="L1429" s="741">
        <v>0</v>
      </c>
      <c r="M1429" s="965">
        <v>0.8</v>
      </c>
      <c r="N1429" s="653">
        <v>0</v>
      </c>
      <c r="O1429" s="755" t="s">
        <v>6585</v>
      </c>
      <c r="P1429" s="563" t="s">
        <v>1588</v>
      </c>
      <c r="Q1429" s="863">
        <v>0</v>
      </c>
      <c r="R1429" s="863">
        <v>0</v>
      </c>
      <c r="S1429" s="863">
        <v>0</v>
      </c>
      <c r="T1429" s="863">
        <v>0</v>
      </c>
      <c r="U1429" s="547" t="s">
        <v>7180</v>
      </c>
      <c r="V1429" s="565">
        <v>2002.5</v>
      </c>
      <c r="W1429" s="658">
        <v>308</v>
      </c>
      <c r="X1429" s="547" t="s">
        <v>1532</v>
      </c>
      <c r="Y1429" s="547" t="s">
        <v>7190</v>
      </c>
      <c r="Z1429" s="547"/>
      <c r="AA1429" s="547" t="s">
        <v>7182</v>
      </c>
      <c r="AB1429" s="550" t="s">
        <v>1591</v>
      </c>
    </row>
    <row r="1430" spans="1:28" ht="24" customHeight="1">
      <c r="A1430" s="606"/>
      <c r="B1430" s="544" t="s">
        <v>7024</v>
      </c>
      <c r="C1430" s="551" t="s">
        <v>7191</v>
      </c>
      <c r="D1430" s="553" t="s">
        <v>7192</v>
      </c>
      <c r="E1430" s="563">
        <f t="shared" si="95"/>
        <v>60</v>
      </c>
      <c r="F1430" s="563">
        <v>0</v>
      </c>
      <c r="G1430" s="563">
        <v>60</v>
      </c>
      <c r="H1430" s="563">
        <v>0</v>
      </c>
      <c r="I1430" s="563">
        <f t="shared" si="94"/>
        <v>52</v>
      </c>
      <c r="J1430" s="563">
        <v>0</v>
      </c>
      <c r="K1430" s="563">
        <v>52</v>
      </c>
      <c r="L1430" s="741">
        <v>0</v>
      </c>
      <c r="M1430" s="965">
        <v>0.8666666666666667</v>
      </c>
      <c r="N1430" s="653">
        <v>0</v>
      </c>
      <c r="O1430" s="755" t="s">
        <v>7193</v>
      </c>
      <c r="P1430" s="563" t="s">
        <v>1588</v>
      </c>
      <c r="Q1430" s="863">
        <v>0</v>
      </c>
      <c r="R1430" s="863">
        <v>0</v>
      </c>
      <c r="S1430" s="863">
        <v>0</v>
      </c>
      <c r="T1430" s="863">
        <v>0</v>
      </c>
      <c r="U1430" s="547" t="s">
        <v>7180</v>
      </c>
      <c r="V1430" s="565">
        <v>2001.3</v>
      </c>
      <c r="W1430" s="658">
        <v>488</v>
      </c>
      <c r="X1430" s="547" t="s">
        <v>1532</v>
      </c>
      <c r="Y1430" s="547" t="s">
        <v>7190</v>
      </c>
      <c r="Z1430" s="547"/>
      <c r="AA1430" s="547" t="s">
        <v>7194</v>
      </c>
      <c r="AB1430" s="550" t="s">
        <v>1587</v>
      </c>
    </row>
    <row r="1431" spans="1:28" ht="24" customHeight="1">
      <c r="A1431" s="606"/>
      <c r="B1431" s="544" t="s">
        <v>7024</v>
      </c>
      <c r="C1431" s="551" t="s">
        <v>7195</v>
      </c>
      <c r="D1431" s="553" t="s">
        <v>7196</v>
      </c>
      <c r="E1431" s="563">
        <f t="shared" si="95"/>
        <v>60</v>
      </c>
      <c r="F1431" s="563">
        <v>0</v>
      </c>
      <c r="G1431" s="563">
        <v>60</v>
      </c>
      <c r="H1431" s="563">
        <v>0</v>
      </c>
      <c r="I1431" s="563">
        <f t="shared" si="94"/>
        <v>55</v>
      </c>
      <c r="J1431" s="563">
        <v>0</v>
      </c>
      <c r="K1431" s="563">
        <v>55</v>
      </c>
      <c r="L1431" s="741">
        <v>0</v>
      </c>
      <c r="M1431" s="965">
        <v>0.91666666666666652</v>
      </c>
      <c r="N1431" s="653">
        <v>0</v>
      </c>
      <c r="O1431" s="755" t="s">
        <v>7193</v>
      </c>
      <c r="P1431" s="563" t="s">
        <v>1588</v>
      </c>
      <c r="Q1431" s="863">
        <v>0</v>
      </c>
      <c r="R1431" s="863">
        <v>0</v>
      </c>
      <c r="S1431" s="863">
        <v>0</v>
      </c>
      <c r="T1431" s="863">
        <v>0</v>
      </c>
      <c r="U1431" s="547" t="s">
        <v>7180</v>
      </c>
      <c r="V1431" s="565">
        <v>2002.5</v>
      </c>
      <c r="W1431" s="658">
        <v>387</v>
      </c>
      <c r="X1431" s="547" t="s">
        <v>1532</v>
      </c>
      <c r="Y1431" s="547" t="s">
        <v>7190</v>
      </c>
      <c r="Z1431" s="547"/>
      <c r="AA1431" s="547" t="s">
        <v>7197</v>
      </c>
      <c r="AB1431" s="550" t="s">
        <v>1591</v>
      </c>
    </row>
    <row r="1432" spans="1:28" ht="24" customHeight="1">
      <c r="A1432" s="606"/>
      <c r="B1432" s="544" t="s">
        <v>7024</v>
      </c>
      <c r="C1432" s="551" t="s">
        <v>7198</v>
      </c>
      <c r="D1432" s="553" t="s">
        <v>7199</v>
      </c>
      <c r="E1432" s="563">
        <f t="shared" si="95"/>
        <v>30</v>
      </c>
      <c r="F1432" s="563">
        <v>0</v>
      </c>
      <c r="G1432" s="563">
        <v>30</v>
      </c>
      <c r="H1432" s="563">
        <v>0</v>
      </c>
      <c r="I1432" s="563">
        <f t="shared" si="94"/>
        <v>28</v>
      </c>
      <c r="J1432" s="563">
        <v>0</v>
      </c>
      <c r="K1432" s="563">
        <v>28</v>
      </c>
      <c r="L1432" s="741">
        <v>0</v>
      </c>
      <c r="M1432" s="965">
        <v>0.93333333333333324</v>
      </c>
      <c r="N1432" s="653">
        <v>0</v>
      </c>
      <c r="O1432" s="755" t="s">
        <v>7200</v>
      </c>
      <c r="P1432" s="563" t="s">
        <v>1588</v>
      </c>
      <c r="Q1432" s="863">
        <v>0</v>
      </c>
      <c r="R1432" s="863">
        <v>0</v>
      </c>
      <c r="S1432" s="863">
        <v>0</v>
      </c>
      <c r="T1432" s="863">
        <v>0</v>
      </c>
      <c r="U1432" s="547" t="s">
        <v>7180</v>
      </c>
      <c r="V1432" s="565">
        <v>38590</v>
      </c>
      <c r="W1432" s="658">
        <v>160</v>
      </c>
      <c r="X1432" s="547" t="s">
        <v>1532</v>
      </c>
      <c r="Y1432" s="547" t="s">
        <v>7190</v>
      </c>
      <c r="Z1432" s="547"/>
      <c r="AA1432" s="547" t="s">
        <v>7182</v>
      </c>
      <c r="AB1432" s="550" t="s">
        <v>1591</v>
      </c>
    </row>
    <row r="1433" spans="1:28" ht="24" customHeight="1">
      <c r="A1433" s="606"/>
      <c r="B1433" s="544" t="s">
        <v>7024</v>
      </c>
      <c r="C1433" s="551" t="s">
        <v>7201</v>
      </c>
      <c r="D1433" s="553" t="s">
        <v>7202</v>
      </c>
      <c r="E1433" s="563">
        <f t="shared" si="95"/>
        <v>32</v>
      </c>
      <c r="F1433" s="563">
        <v>0</v>
      </c>
      <c r="G1433" s="563">
        <v>32</v>
      </c>
      <c r="H1433" s="563">
        <v>0</v>
      </c>
      <c r="I1433" s="563">
        <f t="shared" si="94"/>
        <v>28</v>
      </c>
      <c r="J1433" s="563">
        <v>0</v>
      </c>
      <c r="K1433" s="563">
        <v>28</v>
      </c>
      <c r="L1433" s="741">
        <v>0</v>
      </c>
      <c r="M1433" s="965">
        <v>0.875</v>
      </c>
      <c r="N1433" s="653">
        <v>0</v>
      </c>
      <c r="O1433" s="755" t="s">
        <v>7203</v>
      </c>
      <c r="P1433" s="563" t="s">
        <v>1588</v>
      </c>
      <c r="Q1433" s="863">
        <v>0</v>
      </c>
      <c r="R1433" s="863">
        <v>0</v>
      </c>
      <c r="S1433" s="863">
        <v>0</v>
      </c>
      <c r="T1433" s="863">
        <v>0</v>
      </c>
      <c r="U1433" s="547" t="s">
        <v>7180</v>
      </c>
      <c r="V1433" s="565">
        <v>1998.3</v>
      </c>
      <c r="W1433" s="658">
        <v>390</v>
      </c>
      <c r="X1433" s="547" t="s">
        <v>1532</v>
      </c>
      <c r="Y1433" s="547" t="s">
        <v>7190</v>
      </c>
      <c r="Z1433" s="547"/>
      <c r="AA1433" s="547" t="s">
        <v>1662</v>
      </c>
      <c r="AB1433" s="550" t="s">
        <v>1591</v>
      </c>
    </row>
    <row r="1434" spans="1:28" ht="24" customHeight="1">
      <c r="A1434" s="606"/>
      <c r="B1434" s="544" t="s">
        <v>7024</v>
      </c>
      <c r="C1434" s="551" t="s">
        <v>7204</v>
      </c>
      <c r="D1434" s="553" t="s">
        <v>7205</v>
      </c>
      <c r="E1434" s="563">
        <f t="shared" si="95"/>
        <v>70</v>
      </c>
      <c r="F1434" s="563">
        <v>0</v>
      </c>
      <c r="G1434" s="563">
        <v>70</v>
      </c>
      <c r="H1434" s="563">
        <v>0</v>
      </c>
      <c r="I1434" s="563">
        <f t="shared" si="94"/>
        <v>44</v>
      </c>
      <c r="J1434" s="563">
        <v>0</v>
      </c>
      <c r="K1434" s="563">
        <v>44</v>
      </c>
      <c r="L1434" s="741">
        <v>0</v>
      </c>
      <c r="M1434" s="965">
        <v>0.62857142857142856</v>
      </c>
      <c r="N1434" s="653">
        <v>0</v>
      </c>
      <c r="O1434" s="755" t="s">
        <v>7206</v>
      </c>
      <c r="P1434" s="563" t="s">
        <v>1588</v>
      </c>
      <c r="Q1434" s="863">
        <v>0</v>
      </c>
      <c r="R1434" s="863">
        <v>0</v>
      </c>
      <c r="S1434" s="863">
        <v>0</v>
      </c>
      <c r="T1434" s="863">
        <v>0</v>
      </c>
      <c r="U1434" s="547" t="s">
        <v>7207</v>
      </c>
      <c r="V1434" s="565">
        <v>2003.1</v>
      </c>
      <c r="W1434" s="658">
        <v>400</v>
      </c>
      <c r="X1434" s="547" t="s">
        <v>1532</v>
      </c>
      <c r="Y1434" s="547" t="s">
        <v>7190</v>
      </c>
      <c r="Z1434" s="547"/>
      <c r="AA1434" s="547" t="s">
        <v>1591</v>
      </c>
      <c r="AB1434" s="550" t="s">
        <v>1591</v>
      </c>
    </row>
    <row r="1435" spans="1:28" ht="24" customHeight="1">
      <c r="A1435" s="606"/>
      <c r="B1435" s="544" t="s">
        <v>7024</v>
      </c>
      <c r="C1435" s="551" t="s">
        <v>7208</v>
      </c>
      <c r="D1435" s="553" t="s">
        <v>7209</v>
      </c>
      <c r="E1435" s="563">
        <f t="shared" si="95"/>
        <v>30</v>
      </c>
      <c r="F1435" s="563">
        <v>0</v>
      </c>
      <c r="G1435" s="563">
        <v>30</v>
      </c>
      <c r="H1435" s="563">
        <v>0</v>
      </c>
      <c r="I1435" s="563">
        <f t="shared" si="94"/>
        <v>26</v>
      </c>
      <c r="J1435" s="563">
        <v>0</v>
      </c>
      <c r="K1435" s="563">
        <v>26</v>
      </c>
      <c r="L1435" s="741">
        <v>0</v>
      </c>
      <c r="M1435" s="965">
        <v>0.8666666666666667</v>
      </c>
      <c r="N1435" s="653">
        <v>0</v>
      </c>
      <c r="O1435" s="755" t="s">
        <v>7210</v>
      </c>
      <c r="P1435" s="563" t="s">
        <v>1588</v>
      </c>
      <c r="Q1435" s="863">
        <v>0</v>
      </c>
      <c r="R1435" s="863">
        <v>0</v>
      </c>
      <c r="S1435" s="863">
        <v>0</v>
      </c>
      <c r="T1435" s="863">
        <v>0</v>
      </c>
      <c r="U1435" s="547" t="s">
        <v>7180</v>
      </c>
      <c r="V1435" s="565">
        <v>2004.8</v>
      </c>
      <c r="W1435" s="658">
        <v>284</v>
      </c>
      <c r="X1435" s="547" t="s">
        <v>1532</v>
      </c>
      <c r="Y1435" s="547" t="s">
        <v>7190</v>
      </c>
      <c r="Z1435" s="547"/>
      <c r="AA1435" s="547" t="s">
        <v>1591</v>
      </c>
      <c r="AB1435" s="550" t="s">
        <v>1591</v>
      </c>
    </row>
    <row r="1436" spans="1:28" ht="24" customHeight="1">
      <c r="A1436" s="606"/>
      <c r="B1436" s="544" t="s">
        <v>7024</v>
      </c>
      <c r="C1436" s="551" t="s">
        <v>7211</v>
      </c>
      <c r="D1436" s="553" t="s">
        <v>7212</v>
      </c>
      <c r="E1436" s="563">
        <f t="shared" si="95"/>
        <v>20</v>
      </c>
      <c r="F1436" s="563">
        <v>0</v>
      </c>
      <c r="G1436" s="563">
        <v>20</v>
      </c>
      <c r="H1436" s="563">
        <v>0</v>
      </c>
      <c r="I1436" s="563">
        <f t="shared" si="94"/>
        <v>18</v>
      </c>
      <c r="J1436" s="563">
        <v>0</v>
      </c>
      <c r="K1436" s="563">
        <v>18</v>
      </c>
      <c r="L1436" s="741">
        <v>0</v>
      </c>
      <c r="M1436" s="965">
        <v>0.9</v>
      </c>
      <c r="N1436" s="653">
        <v>0</v>
      </c>
      <c r="O1436" s="755" t="s">
        <v>7210</v>
      </c>
      <c r="P1436" s="563" t="s">
        <v>1588</v>
      </c>
      <c r="Q1436" s="863">
        <v>0</v>
      </c>
      <c r="R1436" s="863">
        <v>0</v>
      </c>
      <c r="S1436" s="863">
        <v>0</v>
      </c>
      <c r="T1436" s="863">
        <v>0</v>
      </c>
      <c r="U1436" s="547" t="s">
        <v>7180</v>
      </c>
      <c r="V1436" s="565">
        <v>2003.9</v>
      </c>
      <c r="W1436" s="658">
        <v>310</v>
      </c>
      <c r="X1436" s="547" t="s">
        <v>1532</v>
      </c>
      <c r="Y1436" s="547" t="s">
        <v>7190</v>
      </c>
      <c r="Z1436" s="547"/>
      <c r="AA1436" s="547" t="s">
        <v>1591</v>
      </c>
      <c r="AB1436" s="550" t="s">
        <v>1591</v>
      </c>
    </row>
    <row r="1437" spans="1:28" ht="24" customHeight="1">
      <c r="A1437" s="606"/>
      <c r="B1437" s="544" t="s">
        <v>7024</v>
      </c>
      <c r="C1437" s="551" t="s">
        <v>7213</v>
      </c>
      <c r="D1437" s="553" t="s">
        <v>7214</v>
      </c>
      <c r="E1437" s="563">
        <f t="shared" si="95"/>
        <v>46</v>
      </c>
      <c r="F1437" s="563">
        <v>0</v>
      </c>
      <c r="G1437" s="563">
        <v>46</v>
      </c>
      <c r="H1437" s="563">
        <v>0</v>
      </c>
      <c r="I1437" s="563">
        <f t="shared" si="94"/>
        <v>40</v>
      </c>
      <c r="J1437" s="563">
        <v>0</v>
      </c>
      <c r="K1437" s="563">
        <v>40</v>
      </c>
      <c r="L1437" s="741">
        <v>0</v>
      </c>
      <c r="M1437" s="965">
        <v>0.86956521739130432</v>
      </c>
      <c r="N1437" s="653">
        <v>0</v>
      </c>
      <c r="O1437" s="755" t="s">
        <v>7203</v>
      </c>
      <c r="P1437" s="563" t="s">
        <v>1588</v>
      </c>
      <c r="Q1437" s="863">
        <v>0</v>
      </c>
      <c r="R1437" s="863">
        <v>0</v>
      </c>
      <c r="S1437" s="863">
        <v>0</v>
      </c>
      <c r="T1437" s="863">
        <v>0</v>
      </c>
      <c r="U1437" s="547" t="s">
        <v>7180</v>
      </c>
      <c r="V1437" s="565">
        <v>1998.3</v>
      </c>
      <c r="W1437" s="658">
        <v>331</v>
      </c>
      <c r="X1437" s="547" t="s">
        <v>1532</v>
      </c>
      <c r="Y1437" s="547" t="s">
        <v>7190</v>
      </c>
      <c r="Z1437" s="547"/>
      <c r="AA1437" s="547" t="s">
        <v>1591</v>
      </c>
      <c r="AB1437" s="550" t="s">
        <v>1591</v>
      </c>
    </row>
    <row r="1438" spans="1:28" ht="24" customHeight="1">
      <c r="A1438" s="606"/>
      <c r="B1438" s="544" t="s">
        <v>7024</v>
      </c>
      <c r="C1438" s="551" t="s">
        <v>7215</v>
      </c>
      <c r="D1438" s="553" t="s">
        <v>7216</v>
      </c>
      <c r="E1438" s="563">
        <f t="shared" si="95"/>
        <v>46</v>
      </c>
      <c r="F1438" s="563">
        <v>0</v>
      </c>
      <c r="G1438" s="563">
        <v>46</v>
      </c>
      <c r="H1438" s="563">
        <v>0</v>
      </c>
      <c r="I1438" s="563">
        <f t="shared" si="94"/>
        <v>44</v>
      </c>
      <c r="J1438" s="563">
        <v>0</v>
      </c>
      <c r="K1438" s="563">
        <v>44</v>
      </c>
      <c r="L1438" s="741">
        <v>0</v>
      </c>
      <c r="M1438" s="965">
        <v>0.95652173913043481</v>
      </c>
      <c r="N1438" s="653">
        <v>0</v>
      </c>
      <c r="O1438" s="755" t="s">
        <v>7203</v>
      </c>
      <c r="P1438" s="563" t="s">
        <v>1588</v>
      </c>
      <c r="Q1438" s="863">
        <v>0</v>
      </c>
      <c r="R1438" s="863">
        <v>0</v>
      </c>
      <c r="S1438" s="863">
        <v>0</v>
      </c>
      <c r="T1438" s="863">
        <v>0</v>
      </c>
      <c r="U1438" s="547" t="s">
        <v>7180</v>
      </c>
      <c r="V1438" s="565">
        <v>1999.1</v>
      </c>
      <c r="W1438" s="658">
        <v>501</v>
      </c>
      <c r="X1438" s="547" t="s">
        <v>1532</v>
      </c>
      <c r="Y1438" s="547" t="s">
        <v>7190</v>
      </c>
      <c r="Z1438" s="547"/>
      <c r="AA1438" s="547" t="s">
        <v>1591</v>
      </c>
      <c r="AB1438" s="550" t="s">
        <v>1591</v>
      </c>
    </row>
    <row r="1439" spans="1:28" ht="24" customHeight="1">
      <c r="A1439" s="606"/>
      <c r="B1439" s="544" t="s">
        <v>7024</v>
      </c>
      <c r="C1439" s="551" t="s">
        <v>7217</v>
      </c>
      <c r="D1439" s="553" t="s">
        <v>7218</v>
      </c>
      <c r="E1439" s="563">
        <f t="shared" si="95"/>
        <v>70</v>
      </c>
      <c r="F1439" s="563">
        <v>0</v>
      </c>
      <c r="G1439" s="563">
        <v>70</v>
      </c>
      <c r="H1439" s="563">
        <v>0</v>
      </c>
      <c r="I1439" s="563">
        <f t="shared" si="94"/>
        <v>50</v>
      </c>
      <c r="J1439" s="563">
        <v>0</v>
      </c>
      <c r="K1439" s="563">
        <v>50</v>
      </c>
      <c r="L1439" s="741">
        <v>0</v>
      </c>
      <c r="M1439" s="965">
        <v>0.7142857142857143</v>
      </c>
      <c r="N1439" s="653">
        <v>0</v>
      </c>
      <c r="O1439" s="755" t="s">
        <v>7210</v>
      </c>
      <c r="P1439" s="563" t="s">
        <v>1588</v>
      </c>
      <c r="Q1439" s="863">
        <v>0</v>
      </c>
      <c r="R1439" s="863">
        <v>0</v>
      </c>
      <c r="S1439" s="863">
        <v>0</v>
      </c>
      <c r="T1439" s="863">
        <v>0</v>
      </c>
      <c r="U1439" s="547" t="s">
        <v>7180</v>
      </c>
      <c r="V1439" s="565">
        <v>2003.8</v>
      </c>
      <c r="W1439" s="658">
        <v>503</v>
      </c>
      <c r="X1439" s="547" t="s">
        <v>1532</v>
      </c>
      <c r="Y1439" s="547" t="s">
        <v>7190</v>
      </c>
      <c r="Z1439" s="547"/>
      <c r="AA1439" s="547" t="s">
        <v>1591</v>
      </c>
      <c r="AB1439" s="550" t="s">
        <v>1591</v>
      </c>
    </row>
    <row r="1440" spans="1:28" ht="24" customHeight="1">
      <c r="A1440" s="606"/>
      <c r="B1440" s="544" t="s">
        <v>7024</v>
      </c>
      <c r="C1440" s="551" t="s">
        <v>7219</v>
      </c>
      <c r="D1440" s="553" t="s">
        <v>7220</v>
      </c>
      <c r="E1440" s="563">
        <f t="shared" si="95"/>
        <v>50</v>
      </c>
      <c r="F1440" s="563">
        <v>0</v>
      </c>
      <c r="G1440" s="563">
        <v>50</v>
      </c>
      <c r="H1440" s="563">
        <v>0</v>
      </c>
      <c r="I1440" s="563">
        <f t="shared" si="94"/>
        <v>41</v>
      </c>
      <c r="J1440" s="563">
        <v>0</v>
      </c>
      <c r="K1440" s="563">
        <v>41</v>
      </c>
      <c r="L1440" s="741">
        <v>0</v>
      </c>
      <c r="M1440" s="965">
        <v>0.82</v>
      </c>
      <c r="N1440" s="653">
        <v>0</v>
      </c>
      <c r="O1440" s="755" t="s">
        <v>7203</v>
      </c>
      <c r="P1440" s="563" t="s">
        <v>1588</v>
      </c>
      <c r="Q1440" s="863">
        <v>0</v>
      </c>
      <c r="R1440" s="863">
        <v>0</v>
      </c>
      <c r="S1440" s="863">
        <v>0</v>
      </c>
      <c r="T1440" s="863">
        <v>0</v>
      </c>
      <c r="U1440" s="547" t="s">
        <v>7180</v>
      </c>
      <c r="V1440" s="565">
        <v>35855</v>
      </c>
      <c r="W1440" s="658">
        <v>376</v>
      </c>
      <c r="X1440" s="547" t="s">
        <v>1532</v>
      </c>
      <c r="Y1440" s="547" t="s">
        <v>7190</v>
      </c>
      <c r="Z1440" s="547"/>
      <c r="AA1440" s="547" t="s">
        <v>1591</v>
      </c>
      <c r="AB1440" s="550" t="s">
        <v>1591</v>
      </c>
    </row>
    <row r="1441" spans="1:28" ht="24" customHeight="1">
      <c r="A1441" s="606"/>
      <c r="B1441" s="544" t="s">
        <v>7024</v>
      </c>
      <c r="C1441" s="551" t="s">
        <v>7221</v>
      </c>
      <c r="D1441" s="553" t="s">
        <v>7222</v>
      </c>
      <c r="E1441" s="563">
        <f t="shared" si="95"/>
        <v>136</v>
      </c>
      <c r="F1441" s="563">
        <v>0</v>
      </c>
      <c r="G1441" s="563">
        <v>136</v>
      </c>
      <c r="H1441" s="563">
        <v>0</v>
      </c>
      <c r="I1441" s="563">
        <f t="shared" si="94"/>
        <v>37</v>
      </c>
      <c r="J1441" s="563">
        <v>0</v>
      </c>
      <c r="K1441" s="563">
        <v>37</v>
      </c>
      <c r="L1441" s="741">
        <v>0</v>
      </c>
      <c r="M1441" s="965">
        <v>0.27205882352941174</v>
      </c>
      <c r="N1441" s="653">
        <v>0</v>
      </c>
      <c r="O1441" s="755" t="s">
        <v>7223</v>
      </c>
      <c r="P1441" s="563" t="s">
        <v>1588</v>
      </c>
      <c r="Q1441" s="863">
        <v>0</v>
      </c>
      <c r="R1441" s="863">
        <v>0</v>
      </c>
      <c r="S1441" s="863">
        <v>0</v>
      </c>
      <c r="T1441" s="863">
        <v>0</v>
      </c>
      <c r="U1441" s="547" t="s">
        <v>7180</v>
      </c>
      <c r="V1441" s="565">
        <v>2000.2</v>
      </c>
      <c r="W1441" s="658">
        <v>400</v>
      </c>
      <c r="X1441" s="547" t="s">
        <v>1532</v>
      </c>
      <c r="Y1441" s="547" t="s">
        <v>7190</v>
      </c>
      <c r="Z1441" s="547"/>
      <c r="AA1441" s="547" t="s">
        <v>7224</v>
      </c>
      <c r="AB1441" s="550" t="s">
        <v>1591</v>
      </c>
    </row>
    <row r="1442" spans="1:28" ht="24" customHeight="1">
      <c r="A1442" s="606"/>
      <c r="B1442" s="544" t="s">
        <v>7024</v>
      </c>
      <c r="C1442" s="551" t="s">
        <v>7225</v>
      </c>
      <c r="D1442" s="553" t="s">
        <v>7226</v>
      </c>
      <c r="E1442" s="563">
        <f t="shared" si="95"/>
        <v>70</v>
      </c>
      <c r="F1442" s="563">
        <v>0</v>
      </c>
      <c r="G1442" s="563">
        <v>70</v>
      </c>
      <c r="H1442" s="563">
        <v>0</v>
      </c>
      <c r="I1442" s="563">
        <f t="shared" si="94"/>
        <v>50</v>
      </c>
      <c r="J1442" s="563">
        <v>0</v>
      </c>
      <c r="K1442" s="563">
        <v>50</v>
      </c>
      <c r="L1442" s="741">
        <v>0</v>
      </c>
      <c r="M1442" s="965">
        <v>0.7142857142857143</v>
      </c>
      <c r="N1442" s="653">
        <v>0</v>
      </c>
      <c r="O1442" s="755" t="s">
        <v>7227</v>
      </c>
      <c r="P1442" s="563" t="s">
        <v>1588</v>
      </c>
      <c r="Q1442" s="863">
        <v>0</v>
      </c>
      <c r="R1442" s="863">
        <v>0</v>
      </c>
      <c r="S1442" s="863">
        <v>0</v>
      </c>
      <c r="T1442" s="863">
        <v>0</v>
      </c>
      <c r="U1442" s="547" t="s">
        <v>7180</v>
      </c>
      <c r="V1442" s="565">
        <v>2003.9</v>
      </c>
      <c r="W1442" s="658">
        <v>665</v>
      </c>
      <c r="X1442" s="547" t="s">
        <v>1532</v>
      </c>
      <c r="Y1442" s="547" t="s">
        <v>7190</v>
      </c>
      <c r="Z1442" s="547"/>
      <c r="AA1442" s="547" t="s">
        <v>1591</v>
      </c>
      <c r="AB1442" s="550" t="s">
        <v>1591</v>
      </c>
    </row>
    <row r="1443" spans="1:28" ht="24" customHeight="1">
      <c r="A1443" s="606"/>
      <c r="B1443" s="544" t="s">
        <v>7024</v>
      </c>
      <c r="C1443" s="551" t="s">
        <v>7228</v>
      </c>
      <c r="D1443" s="553" t="s">
        <v>7229</v>
      </c>
      <c r="E1443" s="563">
        <f t="shared" si="95"/>
        <v>20</v>
      </c>
      <c r="F1443" s="563">
        <v>0</v>
      </c>
      <c r="G1443" s="563">
        <v>20</v>
      </c>
      <c r="H1443" s="563">
        <v>0</v>
      </c>
      <c r="I1443" s="563">
        <f t="shared" si="94"/>
        <v>18</v>
      </c>
      <c r="J1443" s="563">
        <v>0</v>
      </c>
      <c r="K1443" s="563">
        <v>18</v>
      </c>
      <c r="L1443" s="741">
        <v>0</v>
      </c>
      <c r="M1443" s="965">
        <v>0.9</v>
      </c>
      <c r="N1443" s="653">
        <v>0</v>
      </c>
      <c r="O1443" s="755" t="s">
        <v>3451</v>
      </c>
      <c r="P1443" s="563" t="s">
        <v>1588</v>
      </c>
      <c r="Q1443" s="863">
        <v>0</v>
      </c>
      <c r="R1443" s="863">
        <v>0</v>
      </c>
      <c r="S1443" s="863">
        <v>0</v>
      </c>
      <c r="T1443" s="863">
        <v>0</v>
      </c>
      <c r="U1443" s="547" t="s">
        <v>7180</v>
      </c>
      <c r="V1443" s="565">
        <v>2003.6</v>
      </c>
      <c r="W1443" s="658">
        <v>350</v>
      </c>
      <c r="X1443" s="547" t="s">
        <v>1532</v>
      </c>
      <c r="Y1443" s="547" t="s">
        <v>7190</v>
      </c>
      <c r="Z1443" s="547"/>
      <c r="AA1443" s="547" t="s">
        <v>1591</v>
      </c>
      <c r="AB1443" s="550" t="s">
        <v>1591</v>
      </c>
    </row>
    <row r="1444" spans="1:28" ht="24" customHeight="1">
      <c r="A1444" s="606"/>
      <c r="B1444" s="544" t="s">
        <v>7024</v>
      </c>
      <c r="C1444" s="551" t="s">
        <v>7230</v>
      </c>
      <c r="D1444" s="553" t="s">
        <v>7231</v>
      </c>
      <c r="E1444" s="563">
        <f t="shared" si="95"/>
        <v>30</v>
      </c>
      <c r="F1444" s="563">
        <v>0</v>
      </c>
      <c r="G1444" s="563">
        <v>30</v>
      </c>
      <c r="H1444" s="563">
        <v>0</v>
      </c>
      <c r="I1444" s="563">
        <f t="shared" si="94"/>
        <v>28</v>
      </c>
      <c r="J1444" s="563">
        <v>0</v>
      </c>
      <c r="K1444" s="563">
        <v>28</v>
      </c>
      <c r="L1444" s="741">
        <v>0</v>
      </c>
      <c r="M1444" s="965">
        <v>0.93333333333333324</v>
      </c>
      <c r="N1444" s="653">
        <v>0</v>
      </c>
      <c r="O1444" s="755" t="s">
        <v>7232</v>
      </c>
      <c r="P1444" s="563" t="s">
        <v>1588</v>
      </c>
      <c r="Q1444" s="863">
        <v>0</v>
      </c>
      <c r="R1444" s="863">
        <v>0</v>
      </c>
      <c r="S1444" s="863">
        <v>0</v>
      </c>
      <c r="T1444" s="863">
        <v>0</v>
      </c>
      <c r="U1444" s="547" t="s">
        <v>7180</v>
      </c>
      <c r="V1444" s="565">
        <v>1999.1</v>
      </c>
      <c r="W1444" s="658">
        <v>221</v>
      </c>
      <c r="X1444" s="547" t="s">
        <v>1532</v>
      </c>
      <c r="Y1444" s="547" t="s">
        <v>7190</v>
      </c>
      <c r="Z1444" s="547"/>
      <c r="AA1444" s="547" t="s">
        <v>7182</v>
      </c>
      <c r="AB1444" s="550" t="s">
        <v>1591</v>
      </c>
    </row>
    <row r="1445" spans="1:28" ht="24" customHeight="1">
      <c r="A1445" s="606"/>
      <c r="B1445" s="544" t="s">
        <v>7024</v>
      </c>
      <c r="C1445" s="551" t="s">
        <v>7233</v>
      </c>
      <c r="D1445" s="553" t="s">
        <v>7234</v>
      </c>
      <c r="E1445" s="563">
        <f t="shared" si="95"/>
        <v>50</v>
      </c>
      <c r="F1445" s="563">
        <v>0</v>
      </c>
      <c r="G1445" s="563">
        <v>50</v>
      </c>
      <c r="H1445" s="563">
        <v>0</v>
      </c>
      <c r="I1445" s="563">
        <f t="shared" si="94"/>
        <v>41</v>
      </c>
      <c r="J1445" s="563">
        <v>0</v>
      </c>
      <c r="K1445" s="563">
        <v>41</v>
      </c>
      <c r="L1445" s="741">
        <v>0</v>
      </c>
      <c r="M1445" s="965">
        <v>0.82</v>
      </c>
      <c r="N1445" s="653">
        <v>0</v>
      </c>
      <c r="O1445" s="755" t="s">
        <v>7235</v>
      </c>
      <c r="P1445" s="563" t="s">
        <v>1588</v>
      </c>
      <c r="Q1445" s="863">
        <v>0</v>
      </c>
      <c r="R1445" s="863">
        <v>0</v>
      </c>
      <c r="S1445" s="863">
        <v>0</v>
      </c>
      <c r="T1445" s="863">
        <v>0</v>
      </c>
      <c r="U1445" s="547" t="s">
        <v>7180</v>
      </c>
      <c r="V1445" s="565">
        <v>1999.12</v>
      </c>
      <c r="W1445" s="658">
        <v>376</v>
      </c>
      <c r="X1445" s="547" t="s">
        <v>1532</v>
      </c>
      <c r="Y1445" s="547" t="s">
        <v>7190</v>
      </c>
      <c r="Z1445" s="547"/>
      <c r="AA1445" s="547" t="s">
        <v>1883</v>
      </c>
      <c r="AB1445" s="550" t="s">
        <v>1591</v>
      </c>
    </row>
    <row r="1446" spans="1:28" ht="24" customHeight="1">
      <c r="A1446" s="606"/>
      <c r="B1446" s="544" t="s">
        <v>7024</v>
      </c>
      <c r="C1446" s="551" t="s">
        <v>7236</v>
      </c>
      <c r="D1446" s="553" t="s">
        <v>7237</v>
      </c>
      <c r="E1446" s="563">
        <f t="shared" si="95"/>
        <v>50</v>
      </c>
      <c r="F1446" s="563">
        <v>0</v>
      </c>
      <c r="G1446" s="563">
        <v>50</v>
      </c>
      <c r="H1446" s="563">
        <v>0</v>
      </c>
      <c r="I1446" s="563">
        <f t="shared" si="94"/>
        <v>37</v>
      </c>
      <c r="J1446" s="563">
        <v>0</v>
      </c>
      <c r="K1446" s="563">
        <v>37</v>
      </c>
      <c r="L1446" s="741">
        <v>0</v>
      </c>
      <c r="M1446" s="965">
        <v>0.74</v>
      </c>
      <c r="N1446" s="653">
        <v>0</v>
      </c>
      <c r="O1446" s="755" t="s">
        <v>6499</v>
      </c>
      <c r="P1446" s="563" t="s">
        <v>1588</v>
      </c>
      <c r="Q1446" s="863">
        <v>0</v>
      </c>
      <c r="R1446" s="863">
        <v>0</v>
      </c>
      <c r="S1446" s="863">
        <v>0</v>
      </c>
      <c r="T1446" s="863">
        <v>0</v>
      </c>
      <c r="U1446" s="547" t="s">
        <v>7180</v>
      </c>
      <c r="V1446" s="565">
        <v>1998.6</v>
      </c>
      <c r="W1446" s="658">
        <v>300</v>
      </c>
      <c r="X1446" s="547" t="s">
        <v>1532</v>
      </c>
      <c r="Y1446" s="547" t="s">
        <v>7190</v>
      </c>
      <c r="Z1446" s="547"/>
      <c r="AA1446" s="547" t="s">
        <v>7238</v>
      </c>
      <c r="AB1446" s="550" t="s">
        <v>1591</v>
      </c>
    </row>
    <row r="1447" spans="1:28" ht="24" customHeight="1">
      <c r="A1447" s="606"/>
      <c r="B1447" s="544" t="s">
        <v>7024</v>
      </c>
      <c r="C1447" s="551" t="s">
        <v>7239</v>
      </c>
      <c r="D1447" s="553" t="s">
        <v>7240</v>
      </c>
      <c r="E1447" s="563">
        <f t="shared" si="95"/>
        <v>40</v>
      </c>
      <c r="F1447" s="563">
        <v>0</v>
      </c>
      <c r="G1447" s="563">
        <v>40</v>
      </c>
      <c r="H1447" s="563">
        <v>0</v>
      </c>
      <c r="I1447" s="563">
        <f t="shared" si="94"/>
        <v>38</v>
      </c>
      <c r="J1447" s="563">
        <v>0</v>
      </c>
      <c r="K1447" s="563">
        <v>38</v>
      </c>
      <c r="L1447" s="741">
        <v>0</v>
      </c>
      <c r="M1447" s="965">
        <v>0.95</v>
      </c>
      <c r="N1447" s="653">
        <v>0</v>
      </c>
      <c r="O1447" s="755" t="s">
        <v>7241</v>
      </c>
      <c r="P1447" s="563" t="s">
        <v>1588</v>
      </c>
      <c r="Q1447" s="863">
        <v>0</v>
      </c>
      <c r="R1447" s="863">
        <v>0</v>
      </c>
      <c r="S1447" s="863">
        <v>0</v>
      </c>
      <c r="T1447" s="863">
        <v>0</v>
      </c>
      <c r="U1447" s="547" t="s">
        <v>7180</v>
      </c>
      <c r="V1447" s="565">
        <v>2004.3</v>
      </c>
      <c r="W1447" s="658">
        <v>200</v>
      </c>
      <c r="X1447" s="547" t="s">
        <v>1532</v>
      </c>
      <c r="Y1447" s="547" t="s">
        <v>7190</v>
      </c>
      <c r="Z1447" s="547"/>
      <c r="AA1447" s="547" t="s">
        <v>3004</v>
      </c>
      <c r="AB1447" s="550" t="s">
        <v>1591</v>
      </c>
    </row>
    <row r="1448" spans="1:28" ht="24" customHeight="1">
      <c r="A1448" s="606"/>
      <c r="B1448" s="544" t="s">
        <v>7024</v>
      </c>
      <c r="C1448" s="551" t="s">
        <v>7242</v>
      </c>
      <c r="D1448" s="553" t="s">
        <v>7234</v>
      </c>
      <c r="E1448" s="563">
        <f t="shared" si="95"/>
        <v>58</v>
      </c>
      <c r="F1448" s="563">
        <v>0</v>
      </c>
      <c r="G1448" s="563">
        <v>58</v>
      </c>
      <c r="H1448" s="563">
        <v>0</v>
      </c>
      <c r="I1448" s="563">
        <f t="shared" si="94"/>
        <v>56</v>
      </c>
      <c r="J1448" s="563">
        <v>0</v>
      </c>
      <c r="K1448" s="563">
        <v>56</v>
      </c>
      <c r="L1448" s="741">
        <v>0</v>
      </c>
      <c r="M1448" s="965">
        <v>0.96551724137931028</v>
      </c>
      <c r="N1448" s="653">
        <v>0</v>
      </c>
      <c r="O1448" s="755" t="s">
        <v>7235</v>
      </c>
      <c r="P1448" s="563" t="s">
        <v>1588</v>
      </c>
      <c r="Q1448" s="863">
        <v>0</v>
      </c>
      <c r="R1448" s="863">
        <v>0</v>
      </c>
      <c r="S1448" s="863">
        <v>0</v>
      </c>
      <c r="T1448" s="863">
        <v>0</v>
      </c>
      <c r="U1448" s="547" t="s">
        <v>7180</v>
      </c>
      <c r="V1448" s="565">
        <v>1999.3</v>
      </c>
      <c r="W1448" s="658">
        <v>400</v>
      </c>
      <c r="X1448" s="547" t="s">
        <v>1532</v>
      </c>
      <c r="Y1448" s="547" t="s">
        <v>7190</v>
      </c>
      <c r="Z1448" s="547"/>
      <c r="AA1448" s="547" t="s">
        <v>3004</v>
      </c>
      <c r="AB1448" s="550" t="s">
        <v>1591</v>
      </c>
    </row>
    <row r="1449" spans="1:28" ht="24" customHeight="1">
      <c r="A1449" s="606"/>
      <c r="B1449" s="544" t="s">
        <v>7024</v>
      </c>
      <c r="C1449" s="551" t="s">
        <v>7243</v>
      </c>
      <c r="D1449" s="553" t="s">
        <v>7244</v>
      </c>
      <c r="E1449" s="563">
        <f t="shared" si="95"/>
        <v>70</v>
      </c>
      <c r="F1449" s="563">
        <v>0</v>
      </c>
      <c r="G1449" s="563">
        <v>70</v>
      </c>
      <c r="H1449" s="563">
        <v>0</v>
      </c>
      <c r="I1449" s="563">
        <f t="shared" si="94"/>
        <v>55</v>
      </c>
      <c r="J1449" s="563">
        <v>0</v>
      </c>
      <c r="K1449" s="563">
        <v>55</v>
      </c>
      <c r="L1449" s="741">
        <v>0</v>
      </c>
      <c r="M1449" s="965">
        <v>0.7857142857142857</v>
      </c>
      <c r="N1449" s="653">
        <v>0</v>
      </c>
      <c r="O1449" s="755" t="s">
        <v>7245</v>
      </c>
      <c r="P1449" s="563" t="s">
        <v>1588</v>
      </c>
      <c r="Q1449" s="863">
        <v>0</v>
      </c>
      <c r="R1449" s="863">
        <v>0</v>
      </c>
      <c r="S1449" s="863">
        <v>0</v>
      </c>
      <c r="T1449" s="863">
        <v>0</v>
      </c>
      <c r="U1449" s="547" t="s">
        <v>7180</v>
      </c>
      <c r="V1449" s="565">
        <v>38353</v>
      </c>
      <c r="W1449" s="658">
        <v>800</v>
      </c>
      <c r="X1449" s="547" t="s">
        <v>1532</v>
      </c>
      <c r="Y1449" s="547" t="s">
        <v>7190</v>
      </c>
      <c r="Z1449" s="547"/>
      <c r="AA1449" s="547" t="s">
        <v>3004</v>
      </c>
      <c r="AB1449" s="550" t="s">
        <v>1591</v>
      </c>
    </row>
    <row r="1450" spans="1:28" ht="24" customHeight="1">
      <c r="A1450" s="606"/>
      <c r="B1450" s="544" t="s">
        <v>7024</v>
      </c>
      <c r="C1450" s="551" t="s">
        <v>7246</v>
      </c>
      <c r="D1450" s="553" t="s">
        <v>7247</v>
      </c>
      <c r="E1450" s="563">
        <f t="shared" si="95"/>
        <v>20</v>
      </c>
      <c r="F1450" s="563">
        <v>0</v>
      </c>
      <c r="G1450" s="563">
        <v>20</v>
      </c>
      <c r="H1450" s="563">
        <v>0</v>
      </c>
      <c r="I1450" s="563">
        <f t="shared" si="94"/>
        <v>17</v>
      </c>
      <c r="J1450" s="563">
        <v>0</v>
      </c>
      <c r="K1450" s="563">
        <v>17</v>
      </c>
      <c r="L1450" s="741">
        <v>0</v>
      </c>
      <c r="M1450" s="965">
        <v>0.85</v>
      </c>
      <c r="N1450" s="653">
        <v>0</v>
      </c>
      <c r="O1450" s="755" t="s">
        <v>7248</v>
      </c>
      <c r="P1450" s="563" t="s">
        <v>1588</v>
      </c>
      <c r="Q1450" s="863">
        <v>0</v>
      </c>
      <c r="R1450" s="863">
        <v>0</v>
      </c>
      <c r="S1450" s="863">
        <v>0</v>
      </c>
      <c r="T1450" s="863">
        <v>0</v>
      </c>
      <c r="U1450" s="547" t="s">
        <v>7180</v>
      </c>
      <c r="V1450" s="565">
        <v>38529.300000000003</v>
      </c>
      <c r="W1450" s="658">
        <v>308</v>
      </c>
      <c r="X1450" s="547" t="s">
        <v>1532</v>
      </c>
      <c r="Y1450" s="547" t="s">
        <v>7190</v>
      </c>
      <c r="Z1450" s="547"/>
      <c r="AA1450" s="547" t="s">
        <v>1591</v>
      </c>
      <c r="AB1450" s="550" t="s">
        <v>1591</v>
      </c>
    </row>
    <row r="1451" spans="1:28" ht="24" customHeight="1">
      <c r="A1451" s="606"/>
      <c r="B1451" s="544" t="s">
        <v>7024</v>
      </c>
      <c r="C1451" s="551" t="s">
        <v>7249</v>
      </c>
      <c r="D1451" s="553" t="s">
        <v>7250</v>
      </c>
      <c r="E1451" s="563">
        <f t="shared" si="95"/>
        <v>45</v>
      </c>
      <c r="F1451" s="563">
        <v>0</v>
      </c>
      <c r="G1451" s="563">
        <v>45</v>
      </c>
      <c r="H1451" s="563">
        <v>0</v>
      </c>
      <c r="I1451" s="563">
        <f t="shared" si="94"/>
        <v>31</v>
      </c>
      <c r="J1451" s="563">
        <v>0</v>
      </c>
      <c r="K1451" s="563">
        <v>31</v>
      </c>
      <c r="L1451" s="741">
        <v>0</v>
      </c>
      <c r="M1451" s="965">
        <v>0.68888888888888888</v>
      </c>
      <c r="N1451" s="653">
        <v>0</v>
      </c>
      <c r="O1451" s="755" t="s">
        <v>2770</v>
      </c>
      <c r="P1451" s="563" t="s">
        <v>1588</v>
      </c>
      <c r="Q1451" s="863">
        <v>0</v>
      </c>
      <c r="R1451" s="863">
        <v>0</v>
      </c>
      <c r="S1451" s="863">
        <v>0</v>
      </c>
      <c r="T1451" s="863">
        <v>0</v>
      </c>
      <c r="U1451" s="547" t="s">
        <v>7180</v>
      </c>
      <c r="V1451" s="565">
        <v>38699</v>
      </c>
      <c r="W1451" s="658">
        <v>468</v>
      </c>
      <c r="X1451" s="547" t="s">
        <v>1532</v>
      </c>
      <c r="Y1451" s="547" t="s">
        <v>7190</v>
      </c>
      <c r="Z1451" s="547"/>
      <c r="AA1451" s="547" t="s">
        <v>1591</v>
      </c>
      <c r="AB1451" s="550" t="s">
        <v>1591</v>
      </c>
    </row>
    <row r="1452" spans="1:28" ht="24" customHeight="1">
      <c r="A1452" s="606"/>
      <c r="B1452" s="544" t="s">
        <v>7024</v>
      </c>
      <c r="C1452" s="551" t="s">
        <v>7251</v>
      </c>
      <c r="D1452" s="553" t="s">
        <v>7252</v>
      </c>
      <c r="E1452" s="563">
        <f t="shared" si="95"/>
        <v>40</v>
      </c>
      <c r="F1452" s="563">
        <v>0</v>
      </c>
      <c r="G1452" s="563">
        <v>40</v>
      </c>
      <c r="H1452" s="563">
        <v>0</v>
      </c>
      <c r="I1452" s="563">
        <f t="shared" si="94"/>
        <v>28</v>
      </c>
      <c r="J1452" s="563">
        <v>0</v>
      </c>
      <c r="K1452" s="563">
        <v>28</v>
      </c>
      <c r="L1452" s="741">
        <v>0</v>
      </c>
      <c r="M1452" s="965">
        <v>0.7</v>
      </c>
      <c r="N1452" s="653">
        <v>0</v>
      </c>
      <c r="O1452" s="755" t="s">
        <v>7253</v>
      </c>
      <c r="P1452" s="563" t="s">
        <v>1588</v>
      </c>
      <c r="Q1452" s="863">
        <v>0</v>
      </c>
      <c r="R1452" s="863">
        <v>0</v>
      </c>
      <c r="S1452" s="863">
        <v>0</v>
      </c>
      <c r="T1452" s="863">
        <v>0</v>
      </c>
      <c r="U1452" s="547" t="s">
        <v>7180</v>
      </c>
      <c r="V1452" s="565">
        <v>1999.12</v>
      </c>
      <c r="W1452" s="658">
        <v>284</v>
      </c>
      <c r="X1452" s="547" t="s">
        <v>1532</v>
      </c>
      <c r="Y1452" s="547" t="s">
        <v>7190</v>
      </c>
      <c r="Z1452" s="547"/>
      <c r="AA1452" s="547" t="s">
        <v>7254</v>
      </c>
      <c r="AB1452" s="550" t="s">
        <v>1591</v>
      </c>
    </row>
    <row r="1453" spans="1:28" ht="24" customHeight="1">
      <c r="A1453" s="606"/>
      <c r="B1453" s="544" t="s">
        <v>7024</v>
      </c>
      <c r="C1453" s="551" t="s">
        <v>7255</v>
      </c>
      <c r="D1453" s="553" t="s">
        <v>7256</v>
      </c>
      <c r="E1453" s="563">
        <f t="shared" si="95"/>
        <v>40</v>
      </c>
      <c r="F1453" s="563">
        <v>0</v>
      </c>
      <c r="G1453" s="563">
        <v>40</v>
      </c>
      <c r="H1453" s="563">
        <v>0</v>
      </c>
      <c r="I1453" s="563">
        <f t="shared" si="94"/>
        <v>37</v>
      </c>
      <c r="J1453" s="563">
        <v>0</v>
      </c>
      <c r="K1453" s="563">
        <v>37</v>
      </c>
      <c r="L1453" s="741">
        <v>0</v>
      </c>
      <c r="M1453" s="965">
        <v>0.92500000000000004</v>
      </c>
      <c r="N1453" s="653">
        <v>0</v>
      </c>
      <c r="O1453" s="755" t="s">
        <v>5737</v>
      </c>
      <c r="P1453" s="563" t="s">
        <v>1588</v>
      </c>
      <c r="Q1453" s="863">
        <v>0</v>
      </c>
      <c r="R1453" s="863">
        <v>0</v>
      </c>
      <c r="S1453" s="863">
        <v>0</v>
      </c>
      <c r="T1453" s="863">
        <v>0</v>
      </c>
      <c r="U1453" s="547" t="s">
        <v>7180</v>
      </c>
      <c r="V1453" s="565">
        <v>2002.5</v>
      </c>
      <c r="W1453" s="658">
        <v>306</v>
      </c>
      <c r="X1453" s="547" t="s">
        <v>1532</v>
      </c>
      <c r="Y1453" s="547" t="s">
        <v>7190</v>
      </c>
      <c r="Z1453" s="547"/>
      <c r="AA1453" s="547" t="s">
        <v>7182</v>
      </c>
      <c r="AB1453" s="550" t="s">
        <v>1591</v>
      </c>
    </row>
    <row r="1454" spans="1:28" ht="24" customHeight="1">
      <c r="A1454" s="606"/>
      <c r="B1454" s="544" t="s">
        <v>7024</v>
      </c>
      <c r="C1454" s="551" t="s">
        <v>7257</v>
      </c>
      <c r="D1454" s="553" t="s">
        <v>7258</v>
      </c>
      <c r="E1454" s="563">
        <f t="shared" si="95"/>
        <v>30</v>
      </c>
      <c r="F1454" s="563">
        <v>0</v>
      </c>
      <c r="G1454" s="563">
        <v>30</v>
      </c>
      <c r="H1454" s="563">
        <v>0</v>
      </c>
      <c r="I1454" s="563">
        <f t="shared" si="94"/>
        <v>30</v>
      </c>
      <c r="J1454" s="563">
        <v>0</v>
      </c>
      <c r="K1454" s="563">
        <v>30</v>
      </c>
      <c r="L1454" s="741">
        <v>0</v>
      </c>
      <c r="M1454" s="965">
        <v>1</v>
      </c>
      <c r="N1454" s="653">
        <v>0</v>
      </c>
      <c r="O1454" s="755" t="s">
        <v>7259</v>
      </c>
      <c r="P1454" s="563" t="s">
        <v>1588</v>
      </c>
      <c r="Q1454" s="863">
        <v>0</v>
      </c>
      <c r="R1454" s="863">
        <v>0</v>
      </c>
      <c r="S1454" s="863">
        <v>0</v>
      </c>
      <c r="T1454" s="863">
        <v>0</v>
      </c>
      <c r="U1454" s="547" t="s">
        <v>7180</v>
      </c>
      <c r="V1454" s="565">
        <v>39214</v>
      </c>
      <c r="W1454" s="658">
        <v>385</v>
      </c>
      <c r="X1454" s="547" t="s">
        <v>1532</v>
      </c>
      <c r="Y1454" s="547" t="s">
        <v>7190</v>
      </c>
      <c r="Z1454" s="547"/>
      <c r="AA1454" s="547"/>
      <c r="AB1454" s="550"/>
    </row>
    <row r="1455" spans="1:28" ht="24" customHeight="1">
      <c r="A1455" s="606"/>
      <c r="B1455" s="544" t="s">
        <v>7024</v>
      </c>
      <c r="C1455" s="551" t="s">
        <v>7260</v>
      </c>
      <c r="D1455" s="553" t="s">
        <v>7261</v>
      </c>
      <c r="E1455" s="563">
        <f t="shared" si="95"/>
        <v>47</v>
      </c>
      <c r="F1455" s="563">
        <v>0</v>
      </c>
      <c r="G1455" s="563">
        <v>47</v>
      </c>
      <c r="H1455" s="563">
        <v>0</v>
      </c>
      <c r="I1455" s="563">
        <f t="shared" si="94"/>
        <v>45</v>
      </c>
      <c r="J1455" s="563">
        <v>0</v>
      </c>
      <c r="K1455" s="563">
        <v>45</v>
      </c>
      <c r="L1455" s="741">
        <v>0</v>
      </c>
      <c r="M1455" s="965">
        <v>0.95744680851063835</v>
      </c>
      <c r="N1455" s="653">
        <v>0</v>
      </c>
      <c r="O1455" s="755" t="s">
        <v>7259</v>
      </c>
      <c r="P1455" s="563" t="s">
        <v>1588</v>
      </c>
      <c r="Q1455" s="863">
        <v>0</v>
      </c>
      <c r="R1455" s="863">
        <v>0</v>
      </c>
      <c r="S1455" s="863">
        <v>0</v>
      </c>
      <c r="T1455" s="863">
        <v>0</v>
      </c>
      <c r="U1455" s="547" t="s">
        <v>7180</v>
      </c>
      <c r="V1455" s="565">
        <v>2004</v>
      </c>
      <c r="W1455" s="658">
        <v>543</v>
      </c>
      <c r="X1455" s="547"/>
      <c r="Y1455" s="547" t="s">
        <v>7190</v>
      </c>
      <c r="Z1455" s="547"/>
      <c r="AA1455" s="547"/>
      <c r="AB1455" s="550"/>
    </row>
    <row r="1456" spans="1:28" ht="24" customHeight="1">
      <c r="A1456" s="606"/>
      <c r="B1456" s="544" t="s">
        <v>7024</v>
      </c>
      <c r="C1456" s="551" t="s">
        <v>7262</v>
      </c>
      <c r="D1456" s="553" t="s">
        <v>7263</v>
      </c>
      <c r="E1456" s="563">
        <f t="shared" si="95"/>
        <v>40</v>
      </c>
      <c r="F1456" s="563">
        <v>0</v>
      </c>
      <c r="G1456" s="563">
        <v>40</v>
      </c>
      <c r="H1456" s="563">
        <v>0</v>
      </c>
      <c r="I1456" s="563">
        <f t="shared" si="94"/>
        <v>38</v>
      </c>
      <c r="J1456" s="563">
        <v>0</v>
      </c>
      <c r="K1456" s="563">
        <v>38</v>
      </c>
      <c r="L1456" s="741">
        <v>0</v>
      </c>
      <c r="M1456" s="965">
        <v>0.95</v>
      </c>
      <c r="N1456" s="653">
        <v>0</v>
      </c>
      <c r="O1456" s="755" t="s">
        <v>7193</v>
      </c>
      <c r="P1456" s="563" t="s">
        <v>1588</v>
      </c>
      <c r="Q1456" s="863">
        <v>0</v>
      </c>
      <c r="R1456" s="863">
        <v>0</v>
      </c>
      <c r="S1456" s="863">
        <v>0</v>
      </c>
      <c r="T1456" s="863">
        <v>0</v>
      </c>
      <c r="U1456" s="547" t="s">
        <v>7180</v>
      </c>
      <c r="V1456" s="565">
        <v>2002.5</v>
      </c>
      <c r="W1456" s="658">
        <v>413</v>
      </c>
      <c r="X1456" s="547" t="s">
        <v>1532</v>
      </c>
      <c r="Y1456" s="547" t="s">
        <v>7190</v>
      </c>
      <c r="Z1456" s="547"/>
      <c r="AA1456" s="547" t="s">
        <v>7194</v>
      </c>
      <c r="AB1456" s="550" t="s">
        <v>1587</v>
      </c>
    </row>
    <row r="1457" spans="1:28" ht="24" customHeight="1">
      <c r="A1457" s="606"/>
      <c r="B1457" s="544" t="s">
        <v>7024</v>
      </c>
      <c r="C1457" s="551" t="s">
        <v>7264</v>
      </c>
      <c r="D1457" s="553" t="s">
        <v>7265</v>
      </c>
      <c r="E1457" s="563">
        <f t="shared" si="95"/>
        <v>39</v>
      </c>
      <c r="F1457" s="563">
        <v>0</v>
      </c>
      <c r="G1457" s="563">
        <v>39</v>
      </c>
      <c r="H1457" s="563">
        <v>0</v>
      </c>
      <c r="I1457" s="563">
        <f t="shared" si="94"/>
        <v>36</v>
      </c>
      <c r="J1457" s="563">
        <v>0</v>
      </c>
      <c r="K1457" s="563">
        <v>36</v>
      </c>
      <c r="L1457" s="741">
        <v>0</v>
      </c>
      <c r="M1457" s="965">
        <v>0.92307692307692302</v>
      </c>
      <c r="N1457" s="653">
        <v>0</v>
      </c>
      <c r="O1457" s="755" t="s">
        <v>7203</v>
      </c>
      <c r="P1457" s="563" t="s">
        <v>1588</v>
      </c>
      <c r="Q1457" s="863">
        <v>0</v>
      </c>
      <c r="R1457" s="863">
        <v>0</v>
      </c>
      <c r="S1457" s="863">
        <v>0</v>
      </c>
      <c r="T1457" s="863">
        <v>0</v>
      </c>
      <c r="U1457" s="547" t="s">
        <v>7180</v>
      </c>
      <c r="V1457" s="565">
        <v>1998.4</v>
      </c>
      <c r="W1457" s="658">
        <v>541</v>
      </c>
      <c r="X1457" s="547" t="s">
        <v>1532</v>
      </c>
      <c r="Y1457" s="547" t="s">
        <v>7190</v>
      </c>
      <c r="Z1457" s="547"/>
      <c r="AA1457" s="547" t="s">
        <v>7266</v>
      </c>
      <c r="AB1457" s="550" t="s">
        <v>1587</v>
      </c>
    </row>
    <row r="1458" spans="1:28" ht="24" customHeight="1">
      <c r="A1458" s="606"/>
      <c r="B1458" s="544" t="s">
        <v>7024</v>
      </c>
      <c r="C1458" s="551" t="s">
        <v>7267</v>
      </c>
      <c r="D1458" s="553" t="s">
        <v>7268</v>
      </c>
      <c r="E1458" s="563">
        <f t="shared" si="95"/>
        <v>40</v>
      </c>
      <c r="F1458" s="563">
        <v>0</v>
      </c>
      <c r="G1458" s="563">
        <v>40</v>
      </c>
      <c r="H1458" s="563">
        <v>0</v>
      </c>
      <c r="I1458" s="563">
        <f t="shared" si="94"/>
        <v>35</v>
      </c>
      <c r="J1458" s="563">
        <v>0</v>
      </c>
      <c r="K1458" s="563">
        <v>35</v>
      </c>
      <c r="L1458" s="741">
        <v>0</v>
      </c>
      <c r="M1458" s="965">
        <v>0.875</v>
      </c>
      <c r="N1458" s="653">
        <v>0</v>
      </c>
      <c r="O1458" s="755" t="s">
        <v>7269</v>
      </c>
      <c r="P1458" s="563" t="s">
        <v>1588</v>
      </c>
      <c r="Q1458" s="863">
        <v>0</v>
      </c>
      <c r="R1458" s="863">
        <v>0</v>
      </c>
      <c r="S1458" s="863">
        <v>0</v>
      </c>
      <c r="T1458" s="863">
        <v>0</v>
      </c>
      <c r="U1458" s="547" t="s">
        <v>7180</v>
      </c>
      <c r="V1458" s="565">
        <v>2004.3</v>
      </c>
      <c r="W1458" s="658">
        <v>200</v>
      </c>
      <c r="X1458" s="547" t="s">
        <v>1532</v>
      </c>
      <c r="Y1458" s="547" t="s">
        <v>7190</v>
      </c>
      <c r="Z1458" s="547"/>
      <c r="AA1458" s="547" t="s">
        <v>7194</v>
      </c>
      <c r="AB1458" s="550" t="s">
        <v>1587</v>
      </c>
    </row>
    <row r="1459" spans="1:28" ht="24" customHeight="1">
      <c r="A1459" s="605" t="s">
        <v>1725</v>
      </c>
      <c r="B1459" s="544" t="s">
        <v>2201</v>
      </c>
      <c r="C1459" s="551" t="s">
        <v>2435</v>
      </c>
      <c r="D1459" s="553" t="s">
        <v>7270</v>
      </c>
      <c r="E1459" s="563">
        <f t="shared" ref="E1459:E1480" si="96">SUM(F1459:H1459)</f>
        <v>4500</v>
      </c>
      <c r="F1459" s="563">
        <v>0</v>
      </c>
      <c r="G1459" s="563">
        <v>4500</v>
      </c>
      <c r="H1459" s="563">
        <v>0</v>
      </c>
      <c r="I1459" s="563">
        <f>J1459+K1459+L1459</f>
        <v>2414</v>
      </c>
      <c r="J1459" s="563">
        <v>0</v>
      </c>
      <c r="K1459" s="563">
        <v>2414</v>
      </c>
      <c r="L1459" s="741">
        <v>0</v>
      </c>
      <c r="M1459" s="965">
        <v>0.94729811778992101</v>
      </c>
      <c r="N1459" s="653">
        <v>188.31613999999999</v>
      </c>
      <c r="O1459" s="746" t="s">
        <v>7271</v>
      </c>
      <c r="P1459" s="547" t="s">
        <v>1588</v>
      </c>
      <c r="Q1459" s="863">
        <v>0</v>
      </c>
      <c r="R1459" s="863">
        <v>31</v>
      </c>
      <c r="S1459" s="863">
        <v>0</v>
      </c>
      <c r="T1459" s="863">
        <v>0</v>
      </c>
      <c r="U1459" s="547" t="s">
        <v>7272</v>
      </c>
      <c r="V1459" s="547" t="s">
        <v>7273</v>
      </c>
      <c r="W1459" s="658">
        <v>10745</v>
      </c>
      <c r="X1459" s="547" t="s">
        <v>1532</v>
      </c>
      <c r="Y1459" s="547" t="s">
        <v>4034</v>
      </c>
      <c r="Z1459" s="547" t="s">
        <v>1726</v>
      </c>
      <c r="AA1459" s="547" t="s">
        <v>1591</v>
      </c>
      <c r="AB1459" s="550" t="s">
        <v>1591</v>
      </c>
    </row>
    <row r="1460" spans="1:28" ht="24" customHeight="1">
      <c r="A1460" s="606"/>
      <c r="B1460" s="544" t="s">
        <v>2201</v>
      </c>
      <c r="C1460" s="551" t="s">
        <v>487</v>
      </c>
      <c r="D1460" s="553" t="s">
        <v>7274</v>
      </c>
      <c r="E1460" s="563">
        <f t="shared" si="96"/>
        <v>3000</v>
      </c>
      <c r="F1460" s="563">
        <v>0</v>
      </c>
      <c r="G1460" s="563">
        <v>3000</v>
      </c>
      <c r="H1460" s="563">
        <v>0</v>
      </c>
      <c r="I1460" s="563">
        <f t="shared" ref="I1460:I1480" si="97">J1460+K1460+L1460</f>
        <v>1664</v>
      </c>
      <c r="J1460" s="563">
        <v>0</v>
      </c>
      <c r="K1460" s="563">
        <v>1664</v>
      </c>
      <c r="L1460" s="741">
        <v>0</v>
      </c>
      <c r="M1460" s="965">
        <v>0.9313346228239846</v>
      </c>
      <c r="N1460" s="653">
        <v>160.2432</v>
      </c>
      <c r="O1460" s="746" t="s">
        <v>7271</v>
      </c>
      <c r="P1460" s="547" t="s">
        <v>1588</v>
      </c>
      <c r="Q1460" s="863">
        <v>0</v>
      </c>
      <c r="R1460" s="863">
        <v>0</v>
      </c>
      <c r="S1460" s="863">
        <v>0</v>
      </c>
      <c r="T1460" s="863">
        <v>0</v>
      </c>
      <c r="U1460" s="547" t="s">
        <v>7275</v>
      </c>
      <c r="V1460" s="547" t="s">
        <v>2163</v>
      </c>
      <c r="W1460" s="658">
        <v>9183</v>
      </c>
      <c r="X1460" s="547" t="s">
        <v>1532</v>
      </c>
      <c r="Y1460" s="547" t="s">
        <v>4034</v>
      </c>
      <c r="Z1460" s="547" t="s">
        <v>1727</v>
      </c>
      <c r="AA1460" s="547" t="s">
        <v>1591</v>
      </c>
      <c r="AB1460" s="550" t="s">
        <v>1591</v>
      </c>
    </row>
    <row r="1461" spans="1:28" ht="24" customHeight="1">
      <c r="A1461" s="606"/>
      <c r="B1461" s="544" t="s">
        <v>675</v>
      </c>
      <c r="C1461" s="551" t="s">
        <v>7276</v>
      </c>
      <c r="D1461" s="553" t="s">
        <v>7277</v>
      </c>
      <c r="E1461" s="563">
        <f t="shared" si="96"/>
        <v>60</v>
      </c>
      <c r="F1461" s="563">
        <v>0</v>
      </c>
      <c r="G1461" s="563">
        <v>60</v>
      </c>
      <c r="H1461" s="563">
        <v>0</v>
      </c>
      <c r="I1461" s="563">
        <f t="shared" si="97"/>
        <v>60</v>
      </c>
      <c r="J1461" s="563">
        <v>0</v>
      </c>
      <c r="K1461" s="563">
        <v>60</v>
      </c>
      <c r="L1461" s="741">
        <v>0</v>
      </c>
      <c r="M1461" s="965">
        <v>1</v>
      </c>
      <c r="N1461" s="653">
        <v>366.6</v>
      </c>
      <c r="O1461" s="746" t="s">
        <v>1249</v>
      </c>
      <c r="P1461" s="547" t="s">
        <v>1588</v>
      </c>
      <c r="Q1461" s="863">
        <v>0</v>
      </c>
      <c r="R1461" s="863">
        <v>0</v>
      </c>
      <c r="S1461" s="863">
        <v>0</v>
      </c>
      <c r="T1461" s="863">
        <v>0</v>
      </c>
      <c r="U1461" s="547" t="s">
        <v>7272</v>
      </c>
      <c r="V1461" s="547" t="s">
        <v>6330</v>
      </c>
      <c r="W1461" s="658">
        <v>345</v>
      </c>
      <c r="X1461" s="547" t="s">
        <v>1532</v>
      </c>
      <c r="Y1461" s="547" t="s">
        <v>3566</v>
      </c>
      <c r="Z1461" s="547"/>
      <c r="AA1461" s="547" t="s">
        <v>1591</v>
      </c>
      <c r="AB1461" s="550" t="s">
        <v>1591</v>
      </c>
    </row>
    <row r="1462" spans="1:28" ht="24" customHeight="1">
      <c r="A1462" s="606"/>
      <c r="B1462" s="544" t="s">
        <v>675</v>
      </c>
      <c r="C1462" s="551" t="s">
        <v>7278</v>
      </c>
      <c r="D1462" s="553" t="s">
        <v>7279</v>
      </c>
      <c r="E1462" s="563">
        <f t="shared" si="96"/>
        <v>46</v>
      </c>
      <c r="F1462" s="563">
        <v>0</v>
      </c>
      <c r="G1462" s="563">
        <v>46</v>
      </c>
      <c r="H1462" s="563">
        <v>0</v>
      </c>
      <c r="I1462" s="563">
        <f t="shared" si="97"/>
        <v>46</v>
      </c>
      <c r="J1462" s="563">
        <v>0</v>
      </c>
      <c r="K1462" s="563">
        <v>46</v>
      </c>
      <c r="L1462" s="741">
        <v>0</v>
      </c>
      <c r="M1462" s="965">
        <v>1</v>
      </c>
      <c r="N1462" s="653">
        <v>135.69999999999999</v>
      </c>
      <c r="O1462" s="746" t="s">
        <v>5089</v>
      </c>
      <c r="P1462" s="547" t="s">
        <v>1588</v>
      </c>
      <c r="Q1462" s="863">
        <v>0</v>
      </c>
      <c r="R1462" s="863">
        <v>0</v>
      </c>
      <c r="S1462" s="863">
        <v>0</v>
      </c>
      <c r="T1462" s="863">
        <v>0</v>
      </c>
      <c r="U1462" s="547" t="s">
        <v>7272</v>
      </c>
      <c r="V1462" s="547" t="s">
        <v>7280</v>
      </c>
      <c r="W1462" s="658">
        <v>296</v>
      </c>
      <c r="X1462" s="547" t="s">
        <v>1532</v>
      </c>
      <c r="Y1462" s="547"/>
      <c r="Z1462" s="547"/>
      <c r="AA1462" s="547" t="s">
        <v>1591</v>
      </c>
      <c r="AB1462" s="550" t="s">
        <v>1591</v>
      </c>
    </row>
    <row r="1463" spans="1:28" ht="24" customHeight="1">
      <c r="A1463" s="606"/>
      <c r="B1463" s="544" t="s">
        <v>675</v>
      </c>
      <c r="C1463" s="551" t="s">
        <v>7281</v>
      </c>
      <c r="D1463" s="553" t="s">
        <v>7282</v>
      </c>
      <c r="E1463" s="563">
        <f t="shared" si="96"/>
        <v>25</v>
      </c>
      <c r="F1463" s="563">
        <v>0</v>
      </c>
      <c r="G1463" s="563">
        <v>25</v>
      </c>
      <c r="H1463" s="563">
        <v>0</v>
      </c>
      <c r="I1463" s="563">
        <f t="shared" si="97"/>
        <v>25</v>
      </c>
      <c r="J1463" s="563">
        <v>0</v>
      </c>
      <c r="K1463" s="563">
        <v>25</v>
      </c>
      <c r="L1463" s="741">
        <v>0</v>
      </c>
      <c r="M1463" s="965">
        <v>1</v>
      </c>
      <c r="N1463" s="653">
        <v>121</v>
      </c>
      <c r="O1463" s="746" t="s">
        <v>6587</v>
      </c>
      <c r="P1463" s="547" t="s">
        <v>1588</v>
      </c>
      <c r="Q1463" s="863">
        <v>0</v>
      </c>
      <c r="R1463" s="863">
        <v>0</v>
      </c>
      <c r="S1463" s="863">
        <v>0</v>
      </c>
      <c r="T1463" s="863">
        <v>0</v>
      </c>
      <c r="U1463" s="547" t="s">
        <v>7272</v>
      </c>
      <c r="V1463" s="547" t="s">
        <v>7283</v>
      </c>
      <c r="W1463" s="658">
        <v>201</v>
      </c>
      <c r="X1463" s="547" t="s">
        <v>1532</v>
      </c>
      <c r="Y1463" s="547"/>
      <c r="Z1463" s="547"/>
      <c r="AA1463" s="547" t="s">
        <v>1591</v>
      </c>
      <c r="AB1463" s="550" t="s">
        <v>1591</v>
      </c>
    </row>
    <row r="1464" spans="1:28" ht="24" customHeight="1">
      <c r="A1464" s="606"/>
      <c r="B1464" s="544" t="s">
        <v>675</v>
      </c>
      <c r="C1464" s="551" t="s">
        <v>7284</v>
      </c>
      <c r="D1464" s="553" t="s">
        <v>7285</v>
      </c>
      <c r="E1464" s="563">
        <f t="shared" si="96"/>
        <v>40</v>
      </c>
      <c r="F1464" s="563">
        <v>0</v>
      </c>
      <c r="G1464" s="563">
        <v>40</v>
      </c>
      <c r="H1464" s="563">
        <v>0</v>
      </c>
      <c r="I1464" s="563">
        <f t="shared" si="97"/>
        <v>40</v>
      </c>
      <c r="J1464" s="563">
        <v>0</v>
      </c>
      <c r="K1464" s="563">
        <v>40</v>
      </c>
      <c r="L1464" s="741">
        <v>0</v>
      </c>
      <c r="M1464" s="965">
        <v>1</v>
      </c>
      <c r="N1464" s="653">
        <v>0</v>
      </c>
      <c r="O1464" s="746" t="s">
        <v>7286</v>
      </c>
      <c r="P1464" s="547" t="s">
        <v>7286</v>
      </c>
      <c r="Q1464" s="863">
        <v>0</v>
      </c>
      <c r="R1464" s="863">
        <v>0</v>
      </c>
      <c r="S1464" s="863">
        <v>0</v>
      </c>
      <c r="T1464" s="863">
        <v>0</v>
      </c>
      <c r="U1464" s="547" t="s">
        <v>7272</v>
      </c>
      <c r="V1464" s="547" t="s">
        <v>7287</v>
      </c>
      <c r="W1464" s="658">
        <v>604</v>
      </c>
      <c r="X1464" s="547" t="s">
        <v>1532</v>
      </c>
      <c r="Y1464" s="547"/>
      <c r="Z1464" s="547"/>
      <c r="AA1464" s="547" t="s">
        <v>1591</v>
      </c>
      <c r="AB1464" s="550" t="s">
        <v>1591</v>
      </c>
    </row>
    <row r="1465" spans="1:28" ht="24" customHeight="1">
      <c r="A1465" s="606"/>
      <c r="B1465" s="544" t="s">
        <v>675</v>
      </c>
      <c r="C1465" s="551" t="s">
        <v>7288</v>
      </c>
      <c r="D1465" s="553" t="s">
        <v>7289</v>
      </c>
      <c r="E1465" s="563">
        <f t="shared" si="96"/>
        <v>40</v>
      </c>
      <c r="F1465" s="563">
        <v>0</v>
      </c>
      <c r="G1465" s="563">
        <v>40</v>
      </c>
      <c r="H1465" s="563">
        <v>0</v>
      </c>
      <c r="I1465" s="563">
        <f t="shared" si="97"/>
        <v>39</v>
      </c>
      <c r="J1465" s="563">
        <v>0</v>
      </c>
      <c r="K1465" s="563">
        <v>39</v>
      </c>
      <c r="L1465" s="741">
        <v>0</v>
      </c>
      <c r="M1465" s="965">
        <v>0.97499999999999998</v>
      </c>
      <c r="N1465" s="653">
        <v>419</v>
      </c>
      <c r="O1465" s="746" t="s">
        <v>7290</v>
      </c>
      <c r="P1465" s="547" t="s">
        <v>1588</v>
      </c>
      <c r="Q1465" s="863">
        <v>0</v>
      </c>
      <c r="R1465" s="863">
        <v>0</v>
      </c>
      <c r="S1465" s="863">
        <v>0</v>
      </c>
      <c r="T1465" s="863">
        <v>0</v>
      </c>
      <c r="U1465" s="547" t="s">
        <v>7272</v>
      </c>
      <c r="V1465" s="547" t="s">
        <v>7291</v>
      </c>
      <c r="W1465" s="658">
        <v>268</v>
      </c>
      <c r="X1465" s="547" t="s">
        <v>1532</v>
      </c>
      <c r="Y1465" s="547"/>
      <c r="Z1465" s="547"/>
      <c r="AA1465" s="547" t="s">
        <v>1596</v>
      </c>
      <c r="AB1465" s="550" t="s">
        <v>1997</v>
      </c>
    </row>
    <row r="1466" spans="1:28" ht="24" customHeight="1">
      <c r="A1466" s="606"/>
      <c r="B1466" s="544" t="s">
        <v>675</v>
      </c>
      <c r="C1466" s="551" t="s">
        <v>7292</v>
      </c>
      <c r="D1466" s="553" t="s">
        <v>7293</v>
      </c>
      <c r="E1466" s="563">
        <f t="shared" si="96"/>
        <v>40</v>
      </c>
      <c r="F1466" s="563">
        <v>0</v>
      </c>
      <c r="G1466" s="563">
        <v>40</v>
      </c>
      <c r="H1466" s="563">
        <v>0</v>
      </c>
      <c r="I1466" s="563">
        <f t="shared" si="97"/>
        <v>40</v>
      </c>
      <c r="J1466" s="563">
        <v>0</v>
      </c>
      <c r="K1466" s="563">
        <v>40</v>
      </c>
      <c r="L1466" s="741">
        <v>0</v>
      </c>
      <c r="M1466" s="965">
        <v>1</v>
      </c>
      <c r="N1466" s="653">
        <v>196</v>
      </c>
      <c r="O1466" s="746" t="s">
        <v>7294</v>
      </c>
      <c r="P1466" s="547" t="s">
        <v>1588</v>
      </c>
      <c r="Q1466" s="863">
        <v>0</v>
      </c>
      <c r="R1466" s="863">
        <v>0</v>
      </c>
      <c r="S1466" s="863">
        <v>0</v>
      </c>
      <c r="T1466" s="863">
        <v>0</v>
      </c>
      <c r="U1466" s="547" t="s">
        <v>7272</v>
      </c>
      <c r="V1466" s="547" t="s">
        <v>7295</v>
      </c>
      <c r="W1466" s="658">
        <v>290</v>
      </c>
      <c r="X1466" s="547" t="s">
        <v>1532</v>
      </c>
      <c r="Y1466" s="547"/>
      <c r="Z1466" s="547"/>
      <c r="AA1466" s="547" t="s">
        <v>1591</v>
      </c>
      <c r="AB1466" s="550" t="s">
        <v>1591</v>
      </c>
    </row>
    <row r="1467" spans="1:28" ht="24" customHeight="1">
      <c r="A1467" s="606"/>
      <c r="B1467" s="544" t="s">
        <v>675</v>
      </c>
      <c r="C1467" s="551" t="s">
        <v>7296</v>
      </c>
      <c r="D1467" s="553" t="s">
        <v>7297</v>
      </c>
      <c r="E1467" s="563">
        <f t="shared" si="96"/>
        <v>50</v>
      </c>
      <c r="F1467" s="563">
        <v>0</v>
      </c>
      <c r="G1467" s="563">
        <v>50</v>
      </c>
      <c r="H1467" s="563">
        <v>0</v>
      </c>
      <c r="I1467" s="563">
        <f t="shared" si="97"/>
        <v>50</v>
      </c>
      <c r="J1467" s="563">
        <v>0</v>
      </c>
      <c r="K1467" s="563">
        <v>50</v>
      </c>
      <c r="L1467" s="741">
        <v>0</v>
      </c>
      <c r="M1467" s="965">
        <v>1</v>
      </c>
      <c r="N1467" s="653">
        <v>371.5</v>
      </c>
      <c r="O1467" s="746" t="s">
        <v>7298</v>
      </c>
      <c r="P1467" s="547" t="s">
        <v>1588</v>
      </c>
      <c r="Q1467" s="863">
        <v>0</v>
      </c>
      <c r="R1467" s="863">
        <v>0</v>
      </c>
      <c r="S1467" s="863">
        <v>0</v>
      </c>
      <c r="T1467" s="863">
        <v>0</v>
      </c>
      <c r="U1467" s="547" t="s">
        <v>7272</v>
      </c>
      <c r="V1467" s="547" t="s">
        <v>7299</v>
      </c>
      <c r="W1467" s="658">
        <v>410</v>
      </c>
      <c r="X1467" s="547" t="s">
        <v>1532</v>
      </c>
      <c r="Y1467" s="547" t="s">
        <v>1533</v>
      </c>
      <c r="Z1467" s="547"/>
      <c r="AA1467" s="547" t="s">
        <v>1591</v>
      </c>
      <c r="AB1467" s="550" t="s">
        <v>1591</v>
      </c>
    </row>
    <row r="1468" spans="1:28" ht="24" customHeight="1">
      <c r="A1468" s="606"/>
      <c r="B1468" s="544" t="s">
        <v>675</v>
      </c>
      <c r="C1468" s="551" t="s">
        <v>6665</v>
      </c>
      <c r="D1468" s="553" t="s">
        <v>7300</v>
      </c>
      <c r="E1468" s="563">
        <f t="shared" si="96"/>
        <v>30</v>
      </c>
      <c r="F1468" s="563">
        <v>0</v>
      </c>
      <c r="G1468" s="563">
        <v>30</v>
      </c>
      <c r="H1468" s="563">
        <v>0</v>
      </c>
      <c r="I1468" s="563">
        <f t="shared" si="97"/>
        <v>25.2</v>
      </c>
      <c r="J1468" s="563">
        <v>0</v>
      </c>
      <c r="K1468" s="563">
        <v>25.2</v>
      </c>
      <c r="L1468" s="741">
        <v>0</v>
      </c>
      <c r="M1468" s="965">
        <v>0.84</v>
      </c>
      <c r="N1468" s="653">
        <v>98.7</v>
      </c>
      <c r="O1468" s="746" t="s">
        <v>7301</v>
      </c>
      <c r="P1468" s="547" t="s">
        <v>1588</v>
      </c>
      <c r="Q1468" s="863">
        <v>0</v>
      </c>
      <c r="R1468" s="863">
        <v>0</v>
      </c>
      <c r="S1468" s="863">
        <v>0</v>
      </c>
      <c r="T1468" s="863">
        <v>0</v>
      </c>
      <c r="U1468" s="547" t="s">
        <v>7272</v>
      </c>
      <c r="V1468" s="547" t="s">
        <v>7302</v>
      </c>
      <c r="W1468" s="658">
        <v>254</v>
      </c>
      <c r="X1468" s="547" t="s">
        <v>1532</v>
      </c>
      <c r="Y1468" s="547" t="s">
        <v>4034</v>
      </c>
      <c r="Z1468" s="547"/>
      <c r="AA1468" s="547" t="s">
        <v>1591</v>
      </c>
      <c r="AB1468" s="550" t="s">
        <v>1591</v>
      </c>
    </row>
    <row r="1469" spans="1:28" ht="24" customHeight="1">
      <c r="A1469" s="606"/>
      <c r="B1469" s="544" t="s">
        <v>675</v>
      </c>
      <c r="C1469" s="551" t="s">
        <v>7303</v>
      </c>
      <c r="D1469" s="553" t="s">
        <v>7304</v>
      </c>
      <c r="E1469" s="563">
        <f t="shared" si="96"/>
        <v>30</v>
      </c>
      <c r="F1469" s="563">
        <v>0</v>
      </c>
      <c r="G1469" s="563">
        <v>30</v>
      </c>
      <c r="H1469" s="563">
        <v>0</v>
      </c>
      <c r="I1469" s="563">
        <f t="shared" si="97"/>
        <v>30</v>
      </c>
      <c r="J1469" s="563">
        <v>0</v>
      </c>
      <c r="K1469" s="563">
        <v>30</v>
      </c>
      <c r="L1469" s="741">
        <v>0</v>
      </c>
      <c r="M1469" s="965">
        <v>1</v>
      </c>
      <c r="N1469" s="653">
        <v>106.5</v>
      </c>
      <c r="O1469" s="746" t="s">
        <v>7290</v>
      </c>
      <c r="P1469" s="547" t="s">
        <v>1588</v>
      </c>
      <c r="Q1469" s="863">
        <v>0</v>
      </c>
      <c r="R1469" s="863">
        <v>0</v>
      </c>
      <c r="S1469" s="863">
        <v>0</v>
      </c>
      <c r="T1469" s="863">
        <v>0</v>
      </c>
      <c r="U1469" s="547" t="s">
        <v>7272</v>
      </c>
      <c r="V1469" s="547" t="s">
        <v>7291</v>
      </c>
      <c r="W1469" s="658">
        <v>251</v>
      </c>
      <c r="X1469" s="547" t="s">
        <v>1532</v>
      </c>
      <c r="Y1469" s="547"/>
      <c r="Z1469" s="547" t="s">
        <v>7305</v>
      </c>
      <c r="AA1469" s="547" t="s">
        <v>1596</v>
      </c>
      <c r="AB1469" s="550" t="s">
        <v>1997</v>
      </c>
    </row>
    <row r="1470" spans="1:28" ht="24" customHeight="1">
      <c r="A1470" s="606"/>
      <c r="B1470" s="544" t="s">
        <v>675</v>
      </c>
      <c r="C1470" s="551" t="s">
        <v>7306</v>
      </c>
      <c r="D1470" s="553" t="s">
        <v>7307</v>
      </c>
      <c r="E1470" s="563">
        <f t="shared" si="96"/>
        <v>30</v>
      </c>
      <c r="F1470" s="563">
        <v>0</v>
      </c>
      <c r="G1470" s="563">
        <v>30</v>
      </c>
      <c r="H1470" s="563">
        <v>0</v>
      </c>
      <c r="I1470" s="563">
        <f t="shared" si="97"/>
        <v>30</v>
      </c>
      <c r="J1470" s="563">
        <v>0</v>
      </c>
      <c r="K1470" s="563">
        <v>30</v>
      </c>
      <c r="L1470" s="741">
        <v>0</v>
      </c>
      <c r="M1470" s="965">
        <v>1</v>
      </c>
      <c r="N1470" s="653">
        <v>147.6</v>
      </c>
      <c r="O1470" s="746" t="s">
        <v>7308</v>
      </c>
      <c r="P1470" s="547" t="s">
        <v>1588</v>
      </c>
      <c r="Q1470" s="863">
        <v>0</v>
      </c>
      <c r="R1470" s="863">
        <v>0</v>
      </c>
      <c r="S1470" s="863">
        <v>0</v>
      </c>
      <c r="T1470" s="863">
        <v>0</v>
      </c>
      <c r="U1470" s="547" t="s">
        <v>7272</v>
      </c>
      <c r="V1470" s="547" t="s">
        <v>7309</v>
      </c>
      <c r="W1470" s="658">
        <v>457</v>
      </c>
      <c r="X1470" s="547" t="s">
        <v>1532</v>
      </c>
      <c r="Y1470" s="547"/>
      <c r="Z1470" s="547"/>
      <c r="AA1470" s="547" t="s">
        <v>1596</v>
      </c>
      <c r="AB1470" s="550" t="s">
        <v>1997</v>
      </c>
    </row>
    <row r="1471" spans="1:28" ht="24" customHeight="1">
      <c r="A1471" s="606"/>
      <c r="B1471" s="544" t="s">
        <v>675</v>
      </c>
      <c r="C1471" s="551" t="s">
        <v>7310</v>
      </c>
      <c r="D1471" s="553" t="s">
        <v>7311</v>
      </c>
      <c r="E1471" s="563">
        <f t="shared" si="96"/>
        <v>80</v>
      </c>
      <c r="F1471" s="563">
        <v>0</v>
      </c>
      <c r="G1471" s="563">
        <v>80</v>
      </c>
      <c r="H1471" s="563">
        <v>0</v>
      </c>
      <c r="I1471" s="563">
        <f t="shared" si="97"/>
        <v>77.599999999999994</v>
      </c>
      <c r="J1471" s="563">
        <v>0</v>
      </c>
      <c r="K1471" s="563">
        <v>77.599999999999994</v>
      </c>
      <c r="L1471" s="741">
        <v>0</v>
      </c>
      <c r="M1471" s="965">
        <v>0.97</v>
      </c>
      <c r="N1471" s="653">
        <v>577.29999999999995</v>
      </c>
      <c r="O1471" s="746" t="s">
        <v>7298</v>
      </c>
      <c r="P1471" s="547" t="s">
        <v>1588</v>
      </c>
      <c r="Q1471" s="863">
        <v>0</v>
      </c>
      <c r="R1471" s="863">
        <v>0</v>
      </c>
      <c r="S1471" s="863">
        <v>0</v>
      </c>
      <c r="T1471" s="863">
        <v>0</v>
      </c>
      <c r="U1471" s="547" t="s">
        <v>7272</v>
      </c>
      <c r="V1471" s="547" t="s">
        <v>7312</v>
      </c>
      <c r="W1471" s="658">
        <v>413</v>
      </c>
      <c r="X1471" s="547" t="s">
        <v>1532</v>
      </c>
      <c r="Y1471" s="547" t="s">
        <v>1533</v>
      </c>
      <c r="Z1471" s="547"/>
      <c r="AA1471" s="547" t="s">
        <v>1596</v>
      </c>
      <c r="AB1471" s="550" t="s">
        <v>1997</v>
      </c>
    </row>
    <row r="1472" spans="1:28" ht="24" customHeight="1">
      <c r="A1472" s="606"/>
      <c r="B1472" s="544" t="s">
        <v>675</v>
      </c>
      <c r="C1472" s="551" t="s">
        <v>7313</v>
      </c>
      <c r="D1472" s="553" t="s">
        <v>7314</v>
      </c>
      <c r="E1472" s="563">
        <f t="shared" si="96"/>
        <v>10</v>
      </c>
      <c r="F1472" s="563">
        <v>0</v>
      </c>
      <c r="G1472" s="563">
        <v>10</v>
      </c>
      <c r="H1472" s="563">
        <v>0</v>
      </c>
      <c r="I1472" s="563">
        <f t="shared" si="97"/>
        <v>10</v>
      </c>
      <c r="J1472" s="563">
        <v>0</v>
      </c>
      <c r="K1472" s="563">
        <v>10</v>
      </c>
      <c r="L1472" s="741">
        <v>0</v>
      </c>
      <c r="M1472" s="965">
        <v>1</v>
      </c>
      <c r="N1472" s="653">
        <v>78.3</v>
      </c>
      <c r="O1472" s="746" t="s">
        <v>7315</v>
      </c>
      <c r="P1472" s="547" t="s">
        <v>1588</v>
      </c>
      <c r="Q1472" s="863">
        <v>0</v>
      </c>
      <c r="R1472" s="863">
        <v>0</v>
      </c>
      <c r="S1472" s="863">
        <v>0</v>
      </c>
      <c r="T1472" s="863">
        <v>0</v>
      </c>
      <c r="U1472" s="547" t="s">
        <v>7272</v>
      </c>
      <c r="V1472" s="547" t="s">
        <v>7316</v>
      </c>
      <c r="W1472" s="658">
        <v>98</v>
      </c>
      <c r="X1472" s="547" t="s">
        <v>1532</v>
      </c>
      <c r="Y1472" s="547"/>
      <c r="Z1472" s="547"/>
      <c r="AA1472" s="547" t="s">
        <v>1596</v>
      </c>
      <c r="AB1472" s="550" t="s">
        <v>1997</v>
      </c>
    </row>
    <row r="1473" spans="1:28" ht="24" customHeight="1">
      <c r="A1473" s="606"/>
      <c r="B1473" s="544" t="s">
        <v>675</v>
      </c>
      <c r="C1473" s="551" t="s">
        <v>7317</v>
      </c>
      <c r="D1473" s="553" t="s">
        <v>4178</v>
      </c>
      <c r="E1473" s="563">
        <f t="shared" si="96"/>
        <v>45</v>
      </c>
      <c r="F1473" s="563">
        <v>0</v>
      </c>
      <c r="G1473" s="563">
        <v>45</v>
      </c>
      <c r="H1473" s="563">
        <v>0</v>
      </c>
      <c r="I1473" s="563">
        <f t="shared" si="97"/>
        <v>45</v>
      </c>
      <c r="J1473" s="563">
        <v>0</v>
      </c>
      <c r="K1473" s="563">
        <v>45</v>
      </c>
      <c r="L1473" s="741">
        <v>0</v>
      </c>
      <c r="M1473" s="965">
        <v>1</v>
      </c>
      <c r="N1473" s="653">
        <v>207.5</v>
      </c>
      <c r="O1473" s="746" t="s">
        <v>7315</v>
      </c>
      <c r="P1473" s="547" t="s">
        <v>1588</v>
      </c>
      <c r="Q1473" s="863">
        <v>0</v>
      </c>
      <c r="R1473" s="863">
        <v>0</v>
      </c>
      <c r="S1473" s="863">
        <v>0</v>
      </c>
      <c r="T1473" s="863">
        <v>0</v>
      </c>
      <c r="U1473" s="547" t="s">
        <v>7272</v>
      </c>
      <c r="V1473" s="547" t="s">
        <v>7316</v>
      </c>
      <c r="W1473" s="658">
        <v>385</v>
      </c>
      <c r="X1473" s="547" t="s">
        <v>1532</v>
      </c>
      <c r="Y1473" s="547"/>
      <c r="Z1473" s="547"/>
      <c r="AA1473" s="547" t="s">
        <v>1596</v>
      </c>
      <c r="AB1473" s="550" t="s">
        <v>1997</v>
      </c>
    </row>
    <row r="1474" spans="1:28" ht="24" customHeight="1">
      <c r="A1474" s="606"/>
      <c r="B1474" s="544" t="s">
        <v>675</v>
      </c>
      <c r="C1474" s="551" t="s">
        <v>2039</v>
      </c>
      <c r="D1474" s="553" t="s">
        <v>4179</v>
      </c>
      <c r="E1474" s="563">
        <f t="shared" si="96"/>
        <v>45</v>
      </c>
      <c r="F1474" s="563">
        <v>0</v>
      </c>
      <c r="G1474" s="563">
        <v>45</v>
      </c>
      <c r="H1474" s="563">
        <v>0</v>
      </c>
      <c r="I1474" s="563">
        <f t="shared" si="97"/>
        <v>45</v>
      </c>
      <c r="J1474" s="563">
        <v>0</v>
      </c>
      <c r="K1474" s="563">
        <v>45</v>
      </c>
      <c r="L1474" s="741">
        <v>0</v>
      </c>
      <c r="M1474" s="965">
        <v>1</v>
      </c>
      <c r="N1474" s="653">
        <v>342.5</v>
      </c>
      <c r="O1474" s="746" t="s">
        <v>3014</v>
      </c>
      <c r="P1474" s="547" t="s">
        <v>1588</v>
      </c>
      <c r="Q1474" s="863">
        <v>0</v>
      </c>
      <c r="R1474" s="863">
        <v>0</v>
      </c>
      <c r="S1474" s="863">
        <v>0</v>
      </c>
      <c r="T1474" s="863">
        <v>0</v>
      </c>
      <c r="U1474" s="547" t="s">
        <v>7272</v>
      </c>
      <c r="V1474" s="547" t="s">
        <v>4180</v>
      </c>
      <c r="W1474" s="658">
        <v>402</v>
      </c>
      <c r="X1474" s="547" t="s">
        <v>1532</v>
      </c>
      <c r="Y1474" s="547"/>
      <c r="Z1474" s="547"/>
      <c r="AA1474" s="547" t="s">
        <v>1596</v>
      </c>
      <c r="AB1474" s="550" t="s">
        <v>1997</v>
      </c>
    </row>
    <row r="1475" spans="1:28" ht="24" customHeight="1">
      <c r="A1475" s="606"/>
      <c r="B1475" s="544" t="s">
        <v>675</v>
      </c>
      <c r="C1475" s="551" t="s">
        <v>2045</v>
      </c>
      <c r="D1475" s="553" t="s">
        <v>4181</v>
      </c>
      <c r="E1475" s="563">
        <f t="shared" si="96"/>
        <v>80</v>
      </c>
      <c r="F1475" s="563">
        <v>0</v>
      </c>
      <c r="G1475" s="563">
        <v>80</v>
      </c>
      <c r="H1475" s="563">
        <v>0</v>
      </c>
      <c r="I1475" s="563">
        <f t="shared" si="97"/>
        <v>80</v>
      </c>
      <c r="J1475" s="563">
        <v>0</v>
      </c>
      <c r="K1475" s="563">
        <v>80</v>
      </c>
      <c r="L1475" s="741">
        <v>0</v>
      </c>
      <c r="M1475" s="965">
        <v>1</v>
      </c>
      <c r="N1475" s="653">
        <v>358.4</v>
      </c>
      <c r="O1475" s="746" t="s">
        <v>4182</v>
      </c>
      <c r="P1475" s="547" t="s">
        <v>1588</v>
      </c>
      <c r="Q1475" s="863">
        <v>0</v>
      </c>
      <c r="R1475" s="863">
        <v>0</v>
      </c>
      <c r="S1475" s="863">
        <v>0</v>
      </c>
      <c r="T1475" s="863">
        <v>0</v>
      </c>
      <c r="U1475" s="547" t="s">
        <v>7272</v>
      </c>
      <c r="V1475" s="547" t="s">
        <v>4183</v>
      </c>
      <c r="W1475" s="658">
        <v>424</v>
      </c>
      <c r="X1475" s="547" t="s">
        <v>1532</v>
      </c>
      <c r="Y1475" s="547" t="s">
        <v>4184</v>
      </c>
      <c r="Z1475" s="547"/>
      <c r="AA1475" s="547" t="s">
        <v>1596</v>
      </c>
      <c r="AB1475" s="550" t="s">
        <v>1997</v>
      </c>
    </row>
    <row r="1476" spans="1:28" ht="24" customHeight="1">
      <c r="A1476" s="606"/>
      <c r="B1476" s="544" t="s">
        <v>675</v>
      </c>
      <c r="C1476" s="551" t="s">
        <v>5394</v>
      </c>
      <c r="D1476" s="553" t="s">
        <v>4185</v>
      </c>
      <c r="E1476" s="563">
        <f t="shared" si="96"/>
        <v>20</v>
      </c>
      <c r="F1476" s="563">
        <v>0</v>
      </c>
      <c r="G1476" s="563">
        <v>20</v>
      </c>
      <c r="H1476" s="563">
        <v>0</v>
      </c>
      <c r="I1476" s="563">
        <f t="shared" si="97"/>
        <v>20</v>
      </c>
      <c r="J1476" s="563">
        <v>0</v>
      </c>
      <c r="K1476" s="563">
        <v>20</v>
      </c>
      <c r="L1476" s="741">
        <v>0</v>
      </c>
      <c r="M1476" s="965">
        <v>1</v>
      </c>
      <c r="N1476" s="653">
        <v>37.799999999999997</v>
      </c>
      <c r="O1476" s="746" t="s">
        <v>4186</v>
      </c>
      <c r="P1476" s="547" t="s">
        <v>1588</v>
      </c>
      <c r="Q1476" s="863">
        <v>0</v>
      </c>
      <c r="R1476" s="863">
        <v>0</v>
      </c>
      <c r="S1476" s="863">
        <v>0</v>
      </c>
      <c r="T1476" s="863">
        <v>0</v>
      </c>
      <c r="U1476" s="547" t="s">
        <v>7272</v>
      </c>
      <c r="V1476" s="547" t="s">
        <v>4187</v>
      </c>
      <c r="W1476" s="658">
        <v>229</v>
      </c>
      <c r="X1476" s="547" t="s">
        <v>1532</v>
      </c>
      <c r="Y1476" s="547"/>
      <c r="Z1476" s="547"/>
      <c r="AA1476" s="547" t="s">
        <v>1596</v>
      </c>
      <c r="AB1476" s="550" t="s">
        <v>1997</v>
      </c>
    </row>
    <row r="1477" spans="1:28" ht="24" customHeight="1">
      <c r="A1477" s="606"/>
      <c r="B1477" s="544" t="s">
        <v>675</v>
      </c>
      <c r="C1477" s="551" t="s">
        <v>4188</v>
      </c>
      <c r="D1477" s="553" t="s">
        <v>4189</v>
      </c>
      <c r="E1477" s="563">
        <f t="shared" si="96"/>
        <v>20</v>
      </c>
      <c r="F1477" s="563">
        <v>0</v>
      </c>
      <c r="G1477" s="563">
        <v>20</v>
      </c>
      <c r="H1477" s="563">
        <v>0</v>
      </c>
      <c r="I1477" s="563">
        <f t="shared" si="97"/>
        <v>20</v>
      </c>
      <c r="J1477" s="563">
        <v>0</v>
      </c>
      <c r="K1477" s="563">
        <v>20</v>
      </c>
      <c r="L1477" s="741">
        <v>0</v>
      </c>
      <c r="M1477" s="965">
        <v>1</v>
      </c>
      <c r="N1477" s="653">
        <v>86.8</v>
      </c>
      <c r="O1477" s="746" t="s">
        <v>4186</v>
      </c>
      <c r="P1477" s="547" t="s">
        <v>1588</v>
      </c>
      <c r="Q1477" s="863">
        <v>0</v>
      </c>
      <c r="R1477" s="863">
        <v>0</v>
      </c>
      <c r="S1477" s="863">
        <v>0</v>
      </c>
      <c r="T1477" s="863">
        <v>0</v>
      </c>
      <c r="U1477" s="547" t="s">
        <v>7272</v>
      </c>
      <c r="V1477" s="547" t="s">
        <v>4190</v>
      </c>
      <c r="W1477" s="658">
        <v>308</v>
      </c>
      <c r="X1477" s="547" t="s">
        <v>1532</v>
      </c>
      <c r="Y1477" s="547"/>
      <c r="Z1477" s="547"/>
      <c r="AA1477" s="547" t="s">
        <v>1596</v>
      </c>
      <c r="AB1477" s="550" t="s">
        <v>1997</v>
      </c>
    </row>
    <row r="1478" spans="1:28" ht="24" customHeight="1">
      <c r="A1478" s="606"/>
      <c r="B1478" s="544" t="s">
        <v>675</v>
      </c>
      <c r="C1478" s="551" t="s">
        <v>4191</v>
      </c>
      <c r="D1478" s="553" t="s">
        <v>4192</v>
      </c>
      <c r="E1478" s="563">
        <f t="shared" si="96"/>
        <v>30</v>
      </c>
      <c r="F1478" s="563">
        <v>0</v>
      </c>
      <c r="G1478" s="563">
        <v>30</v>
      </c>
      <c r="H1478" s="563">
        <v>0</v>
      </c>
      <c r="I1478" s="563">
        <f t="shared" si="97"/>
        <v>30</v>
      </c>
      <c r="J1478" s="563">
        <v>0</v>
      </c>
      <c r="K1478" s="563">
        <v>30</v>
      </c>
      <c r="L1478" s="741">
        <v>0</v>
      </c>
      <c r="M1478" s="965">
        <v>1</v>
      </c>
      <c r="N1478" s="653">
        <v>0</v>
      </c>
      <c r="O1478" s="746" t="s">
        <v>7286</v>
      </c>
      <c r="P1478" s="547" t="s">
        <v>7286</v>
      </c>
      <c r="Q1478" s="863">
        <v>0</v>
      </c>
      <c r="R1478" s="863">
        <v>0</v>
      </c>
      <c r="S1478" s="863">
        <v>0</v>
      </c>
      <c r="T1478" s="863">
        <v>0</v>
      </c>
      <c r="U1478" s="547" t="s">
        <v>7272</v>
      </c>
      <c r="V1478" s="547" t="s">
        <v>7287</v>
      </c>
      <c r="W1478" s="658">
        <v>515</v>
      </c>
      <c r="X1478" s="547" t="s">
        <v>1532</v>
      </c>
      <c r="Y1478" s="547"/>
      <c r="Z1478" s="547"/>
      <c r="AA1478" s="547" t="s">
        <v>1596</v>
      </c>
      <c r="AB1478" s="550" t="s">
        <v>1997</v>
      </c>
    </row>
    <row r="1479" spans="1:28" ht="24" customHeight="1">
      <c r="A1479" s="606"/>
      <c r="B1479" s="544" t="s">
        <v>675</v>
      </c>
      <c r="C1479" s="551" t="s">
        <v>4193</v>
      </c>
      <c r="D1479" s="553" t="s">
        <v>4194</v>
      </c>
      <c r="E1479" s="563">
        <f t="shared" si="96"/>
        <v>39</v>
      </c>
      <c r="F1479" s="563">
        <v>0</v>
      </c>
      <c r="G1479" s="563">
        <v>39</v>
      </c>
      <c r="H1479" s="563">
        <v>0</v>
      </c>
      <c r="I1479" s="563">
        <f t="shared" si="97"/>
        <v>32</v>
      </c>
      <c r="J1479" s="563">
        <v>0</v>
      </c>
      <c r="K1479" s="563">
        <v>32</v>
      </c>
      <c r="L1479" s="741">
        <v>0</v>
      </c>
      <c r="M1479" s="965">
        <v>0.82051282051282048</v>
      </c>
      <c r="N1479" s="653">
        <v>131.6</v>
      </c>
      <c r="O1479" s="746" t="s">
        <v>5089</v>
      </c>
      <c r="P1479" s="547" t="s">
        <v>1588</v>
      </c>
      <c r="Q1479" s="863">
        <v>0</v>
      </c>
      <c r="R1479" s="863">
        <v>0</v>
      </c>
      <c r="S1479" s="863">
        <v>0</v>
      </c>
      <c r="T1479" s="863">
        <v>0</v>
      </c>
      <c r="U1479" s="547" t="s">
        <v>7272</v>
      </c>
      <c r="V1479" s="547" t="s">
        <v>4195</v>
      </c>
      <c r="W1479" s="658">
        <v>334</v>
      </c>
      <c r="X1479" s="547" t="s">
        <v>1532</v>
      </c>
      <c r="Y1479" s="547"/>
      <c r="Z1479" s="547"/>
      <c r="AA1479" s="547" t="s">
        <v>1596</v>
      </c>
      <c r="AB1479" s="550" t="s">
        <v>1997</v>
      </c>
    </row>
    <row r="1480" spans="1:28" ht="24" customHeight="1">
      <c r="A1480" s="606"/>
      <c r="B1480" s="544" t="s">
        <v>675</v>
      </c>
      <c r="C1480" s="551" t="s">
        <v>4196</v>
      </c>
      <c r="D1480" s="553" t="s">
        <v>4197</v>
      </c>
      <c r="E1480" s="563">
        <f t="shared" si="96"/>
        <v>30</v>
      </c>
      <c r="F1480" s="563">
        <v>0</v>
      </c>
      <c r="G1480" s="563">
        <v>30</v>
      </c>
      <c r="H1480" s="563">
        <v>0</v>
      </c>
      <c r="I1480" s="563">
        <f t="shared" si="97"/>
        <v>27.91</v>
      </c>
      <c r="J1480" s="563">
        <v>0</v>
      </c>
      <c r="K1480" s="563">
        <v>27.91</v>
      </c>
      <c r="L1480" s="741">
        <v>0</v>
      </c>
      <c r="M1480" s="965">
        <v>0.93033333333333335</v>
      </c>
      <c r="N1480" s="653">
        <v>85.7</v>
      </c>
      <c r="O1480" s="746" t="s">
        <v>6980</v>
      </c>
      <c r="P1480" s="547" t="s">
        <v>1588</v>
      </c>
      <c r="Q1480" s="863">
        <v>0</v>
      </c>
      <c r="R1480" s="863">
        <v>0</v>
      </c>
      <c r="S1480" s="863">
        <v>0</v>
      </c>
      <c r="T1480" s="863">
        <v>0</v>
      </c>
      <c r="U1480" s="547" t="s">
        <v>7272</v>
      </c>
      <c r="V1480" s="547" t="s">
        <v>4187</v>
      </c>
      <c r="W1480" s="658">
        <v>196</v>
      </c>
      <c r="X1480" s="547" t="s">
        <v>1532</v>
      </c>
      <c r="Y1480" s="547"/>
      <c r="Z1480" s="547"/>
      <c r="AA1480" s="547" t="s">
        <v>1596</v>
      </c>
      <c r="AB1480" s="550" t="s">
        <v>1997</v>
      </c>
    </row>
    <row r="1481" spans="1:28" ht="24" customHeight="1">
      <c r="A1481" s="605" t="s">
        <v>1728</v>
      </c>
      <c r="B1481" s="544" t="s">
        <v>2201</v>
      </c>
      <c r="C1481" s="551" t="s">
        <v>2436</v>
      </c>
      <c r="D1481" s="553" t="s">
        <v>4198</v>
      </c>
      <c r="E1481" s="563">
        <v>9000</v>
      </c>
      <c r="F1481" s="563">
        <v>0</v>
      </c>
      <c r="G1481" s="563">
        <v>9000</v>
      </c>
      <c r="H1481" s="563">
        <v>0</v>
      </c>
      <c r="I1481" s="563">
        <v>5642</v>
      </c>
      <c r="J1481" s="563">
        <v>0</v>
      </c>
      <c r="K1481" s="563">
        <v>5642</v>
      </c>
      <c r="L1481" s="741">
        <v>0</v>
      </c>
      <c r="M1481" s="965">
        <v>0.94965870307167233</v>
      </c>
      <c r="N1481" s="653">
        <v>627.95460000000003</v>
      </c>
      <c r="O1481" s="746" t="s">
        <v>3714</v>
      </c>
      <c r="P1481" s="547" t="s">
        <v>1588</v>
      </c>
      <c r="Q1481" s="863">
        <v>16</v>
      </c>
      <c r="R1481" s="863">
        <v>185</v>
      </c>
      <c r="S1481" s="863">
        <v>0</v>
      </c>
      <c r="T1481" s="863">
        <v>0</v>
      </c>
      <c r="U1481" s="547" t="s">
        <v>2369</v>
      </c>
      <c r="V1481" s="548" t="s">
        <v>4199</v>
      </c>
      <c r="W1481" s="658">
        <v>26152</v>
      </c>
      <c r="X1481" s="547" t="s">
        <v>1532</v>
      </c>
      <c r="Y1481" s="547" t="s">
        <v>1588</v>
      </c>
      <c r="Z1481" s="547" t="s">
        <v>1729</v>
      </c>
      <c r="AA1481" s="547" t="s">
        <v>1591</v>
      </c>
      <c r="AB1481" s="550" t="s">
        <v>4200</v>
      </c>
    </row>
    <row r="1482" spans="1:28" ht="24" customHeight="1">
      <c r="A1482" s="606"/>
      <c r="B1482" s="544" t="s">
        <v>675</v>
      </c>
      <c r="C1482" s="551" t="s">
        <v>4201</v>
      </c>
      <c r="D1482" s="553" t="s">
        <v>4202</v>
      </c>
      <c r="E1482" s="563">
        <v>25</v>
      </c>
      <c r="F1482" s="563">
        <v>0</v>
      </c>
      <c r="G1482" s="563">
        <f>SUM(E1482)</f>
        <v>25</v>
      </c>
      <c r="H1482" s="563">
        <v>0</v>
      </c>
      <c r="I1482" s="563">
        <f t="shared" ref="I1482:I1500" si="98">J1482+K1482+L1482</f>
        <v>24</v>
      </c>
      <c r="J1482" s="563">
        <v>0</v>
      </c>
      <c r="K1482" s="563">
        <v>24</v>
      </c>
      <c r="L1482" s="741">
        <v>0</v>
      </c>
      <c r="M1482" s="965">
        <v>0.96</v>
      </c>
      <c r="N1482" s="653">
        <v>0</v>
      </c>
      <c r="O1482" s="746" t="s">
        <v>4203</v>
      </c>
      <c r="P1482" s="547" t="s">
        <v>1588</v>
      </c>
      <c r="Q1482" s="863">
        <v>0</v>
      </c>
      <c r="R1482" s="863">
        <v>0</v>
      </c>
      <c r="S1482" s="863">
        <v>0</v>
      </c>
      <c r="T1482" s="863">
        <v>0</v>
      </c>
      <c r="U1482" s="547" t="s">
        <v>7487</v>
      </c>
      <c r="V1482" s="547" t="s">
        <v>4204</v>
      </c>
      <c r="W1482" s="658">
        <v>200</v>
      </c>
      <c r="X1482" s="547" t="s">
        <v>2193</v>
      </c>
      <c r="Y1482" s="547" t="s">
        <v>4205</v>
      </c>
      <c r="Z1482" s="547" t="s">
        <v>1730</v>
      </c>
      <c r="AA1482" s="547" t="s">
        <v>1591</v>
      </c>
      <c r="AB1482" s="550" t="s">
        <v>1591</v>
      </c>
    </row>
    <row r="1483" spans="1:28" ht="24" customHeight="1">
      <c r="A1483" s="606"/>
      <c r="B1483" s="544" t="s">
        <v>675</v>
      </c>
      <c r="C1483" s="551" t="s">
        <v>4206</v>
      </c>
      <c r="D1483" s="553" t="s">
        <v>4207</v>
      </c>
      <c r="E1483" s="563">
        <v>30</v>
      </c>
      <c r="F1483" s="563">
        <v>0</v>
      </c>
      <c r="G1483" s="563">
        <f t="shared" ref="G1483:G1500" si="99">SUM(E1483)</f>
        <v>30</v>
      </c>
      <c r="H1483" s="563">
        <v>0</v>
      </c>
      <c r="I1483" s="563">
        <f t="shared" si="98"/>
        <v>28</v>
      </c>
      <c r="J1483" s="563">
        <v>0</v>
      </c>
      <c r="K1483" s="563">
        <v>28</v>
      </c>
      <c r="L1483" s="741">
        <v>0</v>
      </c>
      <c r="M1483" s="965">
        <v>0.93333333333333324</v>
      </c>
      <c r="N1483" s="653">
        <v>0</v>
      </c>
      <c r="O1483" s="746" t="s">
        <v>4208</v>
      </c>
      <c r="P1483" s="547" t="s">
        <v>1588</v>
      </c>
      <c r="Q1483" s="863">
        <v>0</v>
      </c>
      <c r="R1483" s="863">
        <v>0</v>
      </c>
      <c r="S1483" s="863">
        <v>0</v>
      </c>
      <c r="T1483" s="863">
        <v>0</v>
      </c>
      <c r="U1483" s="547" t="s">
        <v>7487</v>
      </c>
      <c r="V1483" s="547" t="s">
        <v>4209</v>
      </c>
      <c r="W1483" s="658">
        <v>229</v>
      </c>
      <c r="X1483" s="547" t="s">
        <v>2193</v>
      </c>
      <c r="Y1483" s="547" t="s">
        <v>4205</v>
      </c>
      <c r="Z1483" s="547" t="s">
        <v>1730</v>
      </c>
      <c r="AA1483" s="547" t="s">
        <v>1591</v>
      </c>
      <c r="AB1483" s="550" t="s">
        <v>1591</v>
      </c>
    </row>
    <row r="1484" spans="1:28" ht="24" customHeight="1">
      <c r="A1484" s="606"/>
      <c r="B1484" s="544" t="s">
        <v>675</v>
      </c>
      <c r="C1484" s="551" t="s">
        <v>4210</v>
      </c>
      <c r="D1484" s="553" t="s">
        <v>4211</v>
      </c>
      <c r="E1484" s="563">
        <v>100</v>
      </c>
      <c r="F1484" s="563">
        <v>0</v>
      </c>
      <c r="G1484" s="563">
        <f t="shared" si="99"/>
        <v>100</v>
      </c>
      <c r="H1484" s="563">
        <v>0</v>
      </c>
      <c r="I1484" s="563">
        <f t="shared" si="98"/>
        <v>75</v>
      </c>
      <c r="J1484" s="563">
        <v>0</v>
      </c>
      <c r="K1484" s="563">
        <v>75</v>
      </c>
      <c r="L1484" s="741">
        <v>0</v>
      </c>
      <c r="M1484" s="965">
        <v>0.75</v>
      </c>
      <c r="N1484" s="653">
        <v>0</v>
      </c>
      <c r="O1484" s="746" t="s">
        <v>4212</v>
      </c>
      <c r="P1484" s="547" t="s">
        <v>1588</v>
      </c>
      <c r="Q1484" s="863">
        <v>0</v>
      </c>
      <c r="R1484" s="863">
        <v>0</v>
      </c>
      <c r="S1484" s="863">
        <v>0</v>
      </c>
      <c r="T1484" s="863">
        <v>0</v>
      </c>
      <c r="U1484" s="547" t="s">
        <v>7487</v>
      </c>
      <c r="V1484" s="547" t="s">
        <v>4213</v>
      </c>
      <c r="W1484" s="658">
        <v>507</v>
      </c>
      <c r="X1484" s="547" t="s">
        <v>2193</v>
      </c>
      <c r="Y1484" s="547" t="s">
        <v>4205</v>
      </c>
      <c r="Z1484" s="547" t="s">
        <v>1730</v>
      </c>
      <c r="AA1484" s="547" t="s">
        <v>1591</v>
      </c>
      <c r="AB1484" s="550" t="s">
        <v>1591</v>
      </c>
    </row>
    <row r="1485" spans="1:28" ht="24" customHeight="1">
      <c r="A1485" s="606"/>
      <c r="B1485" s="544" t="s">
        <v>675</v>
      </c>
      <c r="C1485" s="551" t="s">
        <v>4214</v>
      </c>
      <c r="D1485" s="553" t="s">
        <v>4215</v>
      </c>
      <c r="E1485" s="563">
        <v>30</v>
      </c>
      <c r="F1485" s="563">
        <v>0</v>
      </c>
      <c r="G1485" s="563">
        <f t="shared" si="99"/>
        <v>30</v>
      </c>
      <c r="H1485" s="563">
        <v>0</v>
      </c>
      <c r="I1485" s="563">
        <f t="shared" si="98"/>
        <v>29</v>
      </c>
      <c r="J1485" s="563">
        <v>0</v>
      </c>
      <c r="K1485" s="563">
        <v>29</v>
      </c>
      <c r="L1485" s="741">
        <v>0</v>
      </c>
      <c r="M1485" s="965">
        <v>0.96666666666666667</v>
      </c>
      <c r="N1485" s="653">
        <v>0</v>
      </c>
      <c r="O1485" s="746" t="s">
        <v>4216</v>
      </c>
      <c r="P1485" s="547" t="s">
        <v>1588</v>
      </c>
      <c r="Q1485" s="863">
        <v>0</v>
      </c>
      <c r="R1485" s="863">
        <v>0</v>
      </c>
      <c r="S1485" s="863">
        <v>0</v>
      </c>
      <c r="T1485" s="863">
        <v>0</v>
      </c>
      <c r="U1485" s="547" t="s">
        <v>7487</v>
      </c>
      <c r="V1485" s="547" t="s">
        <v>5311</v>
      </c>
      <c r="W1485" s="658">
        <v>350</v>
      </c>
      <c r="X1485" s="547" t="s">
        <v>2193</v>
      </c>
      <c r="Y1485" s="547" t="s">
        <v>4205</v>
      </c>
      <c r="Z1485" s="547" t="s">
        <v>1729</v>
      </c>
      <c r="AA1485" s="547" t="s">
        <v>1591</v>
      </c>
      <c r="AB1485" s="550" t="s">
        <v>1591</v>
      </c>
    </row>
    <row r="1486" spans="1:28" ht="24" customHeight="1">
      <c r="A1486" s="606"/>
      <c r="B1486" s="544" t="s">
        <v>675</v>
      </c>
      <c r="C1486" s="551" t="s">
        <v>4217</v>
      </c>
      <c r="D1486" s="553" t="s">
        <v>4218</v>
      </c>
      <c r="E1486" s="563">
        <v>25</v>
      </c>
      <c r="F1486" s="563">
        <v>0</v>
      </c>
      <c r="G1486" s="563">
        <f t="shared" si="99"/>
        <v>25</v>
      </c>
      <c r="H1486" s="563">
        <v>0</v>
      </c>
      <c r="I1486" s="563">
        <f t="shared" si="98"/>
        <v>19</v>
      </c>
      <c r="J1486" s="563">
        <v>0</v>
      </c>
      <c r="K1486" s="563">
        <v>19</v>
      </c>
      <c r="L1486" s="741">
        <v>0</v>
      </c>
      <c r="M1486" s="965">
        <v>0.76</v>
      </c>
      <c r="N1486" s="653">
        <v>0</v>
      </c>
      <c r="O1486" s="746" t="s">
        <v>4219</v>
      </c>
      <c r="P1486" s="547" t="s">
        <v>1588</v>
      </c>
      <c r="Q1486" s="863">
        <v>0</v>
      </c>
      <c r="R1486" s="863">
        <v>0</v>
      </c>
      <c r="S1486" s="863">
        <v>0</v>
      </c>
      <c r="T1486" s="863">
        <v>0</v>
      </c>
      <c r="U1486" s="547" t="s">
        <v>7487</v>
      </c>
      <c r="V1486" s="547" t="s">
        <v>4220</v>
      </c>
      <c r="W1486" s="658">
        <v>190</v>
      </c>
      <c r="X1486" s="547" t="s">
        <v>2193</v>
      </c>
      <c r="Y1486" s="547" t="s">
        <v>4205</v>
      </c>
      <c r="Z1486" s="547" t="s">
        <v>1729</v>
      </c>
      <c r="AA1486" s="547" t="s">
        <v>1591</v>
      </c>
      <c r="AB1486" s="550" t="s">
        <v>1591</v>
      </c>
    </row>
    <row r="1487" spans="1:28" ht="24" customHeight="1">
      <c r="A1487" s="606"/>
      <c r="B1487" s="544" t="s">
        <v>675</v>
      </c>
      <c r="C1487" s="551" t="s">
        <v>4221</v>
      </c>
      <c r="D1487" s="553" t="s">
        <v>4222</v>
      </c>
      <c r="E1487" s="563">
        <v>50</v>
      </c>
      <c r="F1487" s="563">
        <v>0</v>
      </c>
      <c r="G1487" s="563">
        <f t="shared" si="99"/>
        <v>50</v>
      </c>
      <c r="H1487" s="563">
        <v>0</v>
      </c>
      <c r="I1487" s="563">
        <f t="shared" si="98"/>
        <v>46</v>
      </c>
      <c r="J1487" s="563">
        <v>0</v>
      </c>
      <c r="K1487" s="563">
        <v>46</v>
      </c>
      <c r="L1487" s="741">
        <v>0</v>
      </c>
      <c r="M1487" s="965">
        <v>0.92</v>
      </c>
      <c r="N1487" s="653">
        <v>0</v>
      </c>
      <c r="O1487" s="746" t="s">
        <v>4223</v>
      </c>
      <c r="P1487" s="547" t="s">
        <v>1588</v>
      </c>
      <c r="Q1487" s="863">
        <v>0</v>
      </c>
      <c r="R1487" s="863">
        <v>0</v>
      </c>
      <c r="S1487" s="863">
        <v>0</v>
      </c>
      <c r="T1487" s="863">
        <v>0</v>
      </c>
      <c r="U1487" s="547" t="s">
        <v>7487</v>
      </c>
      <c r="V1487" s="547" t="s">
        <v>4224</v>
      </c>
      <c r="W1487" s="658">
        <v>280</v>
      </c>
      <c r="X1487" s="547" t="s">
        <v>2193</v>
      </c>
      <c r="Y1487" s="547" t="s">
        <v>4205</v>
      </c>
      <c r="Z1487" s="547" t="s">
        <v>1729</v>
      </c>
      <c r="AA1487" s="547" t="s">
        <v>1591</v>
      </c>
      <c r="AB1487" s="550" t="s">
        <v>1591</v>
      </c>
    </row>
    <row r="1488" spans="1:28" ht="24" customHeight="1">
      <c r="A1488" s="606"/>
      <c r="B1488" s="544" t="s">
        <v>675</v>
      </c>
      <c r="C1488" s="551" t="s">
        <v>4225</v>
      </c>
      <c r="D1488" s="553" t="s">
        <v>4226</v>
      </c>
      <c r="E1488" s="563">
        <v>50</v>
      </c>
      <c r="F1488" s="563">
        <v>0</v>
      </c>
      <c r="G1488" s="563">
        <f t="shared" si="99"/>
        <v>50</v>
      </c>
      <c r="H1488" s="563">
        <v>0</v>
      </c>
      <c r="I1488" s="563">
        <f t="shared" si="98"/>
        <v>46</v>
      </c>
      <c r="J1488" s="563">
        <v>0</v>
      </c>
      <c r="K1488" s="563">
        <v>46</v>
      </c>
      <c r="L1488" s="741">
        <v>0</v>
      </c>
      <c r="M1488" s="965">
        <v>0.92</v>
      </c>
      <c r="N1488" s="653">
        <v>0</v>
      </c>
      <c r="O1488" s="746" t="s">
        <v>4223</v>
      </c>
      <c r="P1488" s="547" t="s">
        <v>1588</v>
      </c>
      <c r="Q1488" s="863">
        <v>0</v>
      </c>
      <c r="R1488" s="863">
        <v>0</v>
      </c>
      <c r="S1488" s="863">
        <v>0</v>
      </c>
      <c r="T1488" s="863">
        <v>0</v>
      </c>
      <c r="U1488" s="547" t="s">
        <v>7487</v>
      </c>
      <c r="V1488" s="547" t="s">
        <v>4224</v>
      </c>
      <c r="W1488" s="658">
        <v>392</v>
      </c>
      <c r="X1488" s="547" t="s">
        <v>2193</v>
      </c>
      <c r="Y1488" s="547" t="s">
        <v>4205</v>
      </c>
      <c r="Z1488" s="547" t="s">
        <v>1729</v>
      </c>
      <c r="AA1488" s="547" t="s">
        <v>1591</v>
      </c>
      <c r="AB1488" s="550" t="s">
        <v>1591</v>
      </c>
    </row>
    <row r="1489" spans="1:28" ht="24" customHeight="1">
      <c r="A1489" s="606"/>
      <c r="B1489" s="544" t="s">
        <v>675</v>
      </c>
      <c r="C1489" s="551" t="s">
        <v>4227</v>
      </c>
      <c r="D1489" s="553" t="s">
        <v>4228</v>
      </c>
      <c r="E1489" s="563">
        <v>30</v>
      </c>
      <c r="F1489" s="563">
        <v>0</v>
      </c>
      <c r="G1489" s="563">
        <f t="shared" si="99"/>
        <v>30</v>
      </c>
      <c r="H1489" s="563">
        <v>0</v>
      </c>
      <c r="I1489" s="563">
        <f t="shared" si="98"/>
        <v>24</v>
      </c>
      <c r="J1489" s="563">
        <v>0</v>
      </c>
      <c r="K1489" s="563">
        <v>24</v>
      </c>
      <c r="L1489" s="741">
        <v>0</v>
      </c>
      <c r="M1489" s="965">
        <v>0.8</v>
      </c>
      <c r="N1489" s="653">
        <v>0</v>
      </c>
      <c r="O1489" s="746" t="s">
        <v>4229</v>
      </c>
      <c r="P1489" s="547" t="s">
        <v>1588</v>
      </c>
      <c r="Q1489" s="863">
        <v>0</v>
      </c>
      <c r="R1489" s="863">
        <v>0</v>
      </c>
      <c r="S1489" s="863">
        <v>0</v>
      </c>
      <c r="T1489" s="863">
        <v>0</v>
      </c>
      <c r="U1489" s="547" t="s">
        <v>7487</v>
      </c>
      <c r="V1489" s="547" t="s">
        <v>4230</v>
      </c>
      <c r="W1489" s="658">
        <v>270</v>
      </c>
      <c r="X1489" s="547" t="s">
        <v>2193</v>
      </c>
      <c r="Y1489" s="547" t="s">
        <v>4205</v>
      </c>
      <c r="Z1489" s="547" t="s">
        <v>1729</v>
      </c>
      <c r="AA1489" s="547" t="s">
        <v>1591</v>
      </c>
      <c r="AB1489" s="550" t="s">
        <v>1591</v>
      </c>
    </row>
    <row r="1490" spans="1:28" ht="24" customHeight="1">
      <c r="A1490" s="606"/>
      <c r="B1490" s="544" t="s">
        <v>675</v>
      </c>
      <c r="C1490" s="551" t="s">
        <v>4231</v>
      </c>
      <c r="D1490" s="553" t="s">
        <v>4232</v>
      </c>
      <c r="E1490" s="563">
        <v>20</v>
      </c>
      <c r="F1490" s="563">
        <v>0</v>
      </c>
      <c r="G1490" s="563">
        <f t="shared" si="99"/>
        <v>20</v>
      </c>
      <c r="H1490" s="563">
        <v>0</v>
      </c>
      <c r="I1490" s="563">
        <f t="shared" si="98"/>
        <v>14</v>
      </c>
      <c r="J1490" s="563">
        <v>0</v>
      </c>
      <c r="K1490" s="563">
        <v>14</v>
      </c>
      <c r="L1490" s="741">
        <v>0</v>
      </c>
      <c r="M1490" s="965">
        <v>0.7</v>
      </c>
      <c r="N1490" s="653">
        <v>0</v>
      </c>
      <c r="O1490" s="746" t="s">
        <v>4233</v>
      </c>
      <c r="P1490" s="547" t="s">
        <v>1588</v>
      </c>
      <c r="Q1490" s="863">
        <v>0</v>
      </c>
      <c r="R1490" s="863">
        <v>0</v>
      </c>
      <c r="S1490" s="863">
        <v>0</v>
      </c>
      <c r="T1490" s="863">
        <v>0</v>
      </c>
      <c r="U1490" s="547" t="s">
        <v>7487</v>
      </c>
      <c r="V1490" s="547" t="s">
        <v>4234</v>
      </c>
      <c r="W1490" s="658">
        <v>210</v>
      </c>
      <c r="X1490" s="547" t="s">
        <v>2193</v>
      </c>
      <c r="Y1490" s="547" t="s">
        <v>4205</v>
      </c>
      <c r="Z1490" s="547" t="s">
        <v>1729</v>
      </c>
      <c r="AA1490" s="547" t="s">
        <v>1591</v>
      </c>
      <c r="AB1490" s="550" t="s">
        <v>1591</v>
      </c>
    </row>
    <row r="1491" spans="1:28" ht="24" customHeight="1">
      <c r="A1491" s="606"/>
      <c r="B1491" s="544" t="s">
        <v>675</v>
      </c>
      <c r="C1491" s="551" t="s">
        <v>4235</v>
      </c>
      <c r="D1491" s="553" t="s">
        <v>4236</v>
      </c>
      <c r="E1491" s="563">
        <v>30</v>
      </c>
      <c r="F1491" s="563">
        <v>0</v>
      </c>
      <c r="G1491" s="563">
        <f t="shared" si="99"/>
        <v>30</v>
      </c>
      <c r="H1491" s="563">
        <v>0</v>
      </c>
      <c r="I1491" s="563">
        <f t="shared" si="98"/>
        <v>23</v>
      </c>
      <c r="J1491" s="563">
        <v>0</v>
      </c>
      <c r="K1491" s="563">
        <v>23</v>
      </c>
      <c r="L1491" s="741">
        <v>0</v>
      </c>
      <c r="M1491" s="965">
        <v>0.76666666666666672</v>
      </c>
      <c r="N1491" s="653">
        <v>0</v>
      </c>
      <c r="O1491" s="746" t="s">
        <v>4237</v>
      </c>
      <c r="P1491" s="547" t="s">
        <v>1588</v>
      </c>
      <c r="Q1491" s="863">
        <v>0</v>
      </c>
      <c r="R1491" s="863">
        <v>0</v>
      </c>
      <c r="S1491" s="863">
        <v>0</v>
      </c>
      <c r="T1491" s="863">
        <v>0</v>
      </c>
      <c r="U1491" s="547" t="s">
        <v>7487</v>
      </c>
      <c r="V1491" s="547" t="s">
        <v>4238</v>
      </c>
      <c r="W1491" s="658">
        <v>274</v>
      </c>
      <c r="X1491" s="547" t="s">
        <v>2193</v>
      </c>
      <c r="Y1491" s="547" t="s">
        <v>4205</v>
      </c>
      <c r="Z1491" s="547" t="s">
        <v>1729</v>
      </c>
      <c r="AA1491" s="547" t="s">
        <v>1591</v>
      </c>
      <c r="AB1491" s="550" t="s">
        <v>1591</v>
      </c>
    </row>
    <row r="1492" spans="1:28" ht="24" customHeight="1">
      <c r="A1492" s="606"/>
      <c r="B1492" s="544" t="s">
        <v>675</v>
      </c>
      <c r="C1492" s="551" t="s">
        <v>4239</v>
      </c>
      <c r="D1492" s="553" t="s">
        <v>4240</v>
      </c>
      <c r="E1492" s="563">
        <v>30</v>
      </c>
      <c r="F1492" s="563">
        <v>0</v>
      </c>
      <c r="G1492" s="563">
        <f t="shared" si="99"/>
        <v>30</v>
      </c>
      <c r="H1492" s="563">
        <v>0</v>
      </c>
      <c r="I1492" s="563">
        <f t="shared" si="98"/>
        <v>25</v>
      </c>
      <c r="J1492" s="563">
        <v>0</v>
      </c>
      <c r="K1492" s="563">
        <v>25</v>
      </c>
      <c r="L1492" s="741">
        <v>0</v>
      </c>
      <c r="M1492" s="965">
        <v>0.83333333333333348</v>
      </c>
      <c r="N1492" s="653">
        <v>0</v>
      </c>
      <c r="O1492" s="746" t="s">
        <v>4241</v>
      </c>
      <c r="P1492" s="547" t="s">
        <v>1588</v>
      </c>
      <c r="Q1492" s="863">
        <v>0</v>
      </c>
      <c r="R1492" s="863">
        <v>0</v>
      </c>
      <c r="S1492" s="863">
        <v>0</v>
      </c>
      <c r="T1492" s="863">
        <v>0</v>
      </c>
      <c r="U1492" s="547" t="s">
        <v>7487</v>
      </c>
      <c r="V1492" s="547" t="s">
        <v>4242</v>
      </c>
      <c r="W1492" s="658">
        <v>287</v>
      </c>
      <c r="X1492" s="547" t="s">
        <v>2193</v>
      </c>
      <c r="Y1492" s="547" t="s">
        <v>4205</v>
      </c>
      <c r="Z1492" s="547" t="s">
        <v>1729</v>
      </c>
      <c r="AA1492" s="547" t="s">
        <v>1591</v>
      </c>
      <c r="AB1492" s="550" t="s">
        <v>1591</v>
      </c>
    </row>
    <row r="1493" spans="1:28" ht="24" customHeight="1">
      <c r="A1493" s="606"/>
      <c r="B1493" s="544" t="s">
        <v>675</v>
      </c>
      <c r="C1493" s="551" t="s">
        <v>4243</v>
      </c>
      <c r="D1493" s="553" t="s">
        <v>4244</v>
      </c>
      <c r="E1493" s="563">
        <v>20</v>
      </c>
      <c r="F1493" s="563">
        <v>0</v>
      </c>
      <c r="G1493" s="563">
        <f t="shared" si="99"/>
        <v>20</v>
      </c>
      <c r="H1493" s="563">
        <v>0</v>
      </c>
      <c r="I1493" s="563">
        <f t="shared" si="98"/>
        <v>15</v>
      </c>
      <c r="J1493" s="563">
        <v>0</v>
      </c>
      <c r="K1493" s="563">
        <v>15</v>
      </c>
      <c r="L1493" s="741">
        <v>0</v>
      </c>
      <c r="M1493" s="965">
        <v>0.75</v>
      </c>
      <c r="N1493" s="653">
        <v>0</v>
      </c>
      <c r="O1493" s="746" t="s">
        <v>4237</v>
      </c>
      <c r="P1493" s="547" t="s">
        <v>1588</v>
      </c>
      <c r="Q1493" s="863">
        <v>0</v>
      </c>
      <c r="R1493" s="863">
        <v>0</v>
      </c>
      <c r="S1493" s="863">
        <v>0</v>
      </c>
      <c r="T1493" s="863">
        <v>0</v>
      </c>
      <c r="U1493" s="547" t="s">
        <v>7487</v>
      </c>
      <c r="V1493" s="547" t="s">
        <v>4238</v>
      </c>
      <c r="W1493" s="658">
        <v>431</v>
      </c>
      <c r="X1493" s="547" t="s">
        <v>2193</v>
      </c>
      <c r="Y1493" s="547" t="s">
        <v>4205</v>
      </c>
      <c r="Z1493" s="547" t="s">
        <v>1729</v>
      </c>
      <c r="AA1493" s="547" t="s">
        <v>1591</v>
      </c>
      <c r="AB1493" s="550" t="s">
        <v>1591</v>
      </c>
    </row>
    <row r="1494" spans="1:28" ht="24" customHeight="1">
      <c r="A1494" s="606"/>
      <c r="B1494" s="544" t="s">
        <v>675</v>
      </c>
      <c r="C1494" s="551" t="s">
        <v>4245</v>
      </c>
      <c r="D1494" s="553" t="s">
        <v>4246</v>
      </c>
      <c r="E1494" s="563">
        <v>20</v>
      </c>
      <c r="F1494" s="563">
        <v>0</v>
      </c>
      <c r="G1494" s="563">
        <f t="shared" si="99"/>
        <v>20</v>
      </c>
      <c r="H1494" s="563">
        <v>0</v>
      </c>
      <c r="I1494" s="563">
        <f t="shared" si="98"/>
        <v>16</v>
      </c>
      <c r="J1494" s="563">
        <v>0</v>
      </c>
      <c r="K1494" s="563">
        <v>16</v>
      </c>
      <c r="L1494" s="741">
        <v>0</v>
      </c>
      <c r="M1494" s="965">
        <v>0.8</v>
      </c>
      <c r="N1494" s="653">
        <v>0</v>
      </c>
      <c r="O1494" s="746" t="s">
        <v>4237</v>
      </c>
      <c r="P1494" s="547" t="s">
        <v>1588</v>
      </c>
      <c r="Q1494" s="863">
        <v>0</v>
      </c>
      <c r="R1494" s="863">
        <v>0</v>
      </c>
      <c r="S1494" s="863">
        <v>0</v>
      </c>
      <c r="T1494" s="863">
        <v>0</v>
      </c>
      <c r="U1494" s="547" t="s">
        <v>7487</v>
      </c>
      <c r="V1494" s="547" t="s">
        <v>2234</v>
      </c>
      <c r="W1494" s="658">
        <v>316</v>
      </c>
      <c r="X1494" s="547" t="s">
        <v>2193</v>
      </c>
      <c r="Y1494" s="547" t="s">
        <v>4205</v>
      </c>
      <c r="Z1494" s="547" t="s">
        <v>1729</v>
      </c>
      <c r="AA1494" s="547" t="s">
        <v>1591</v>
      </c>
      <c r="AB1494" s="550" t="s">
        <v>1591</v>
      </c>
    </row>
    <row r="1495" spans="1:28" ht="24" customHeight="1">
      <c r="A1495" s="606"/>
      <c r="B1495" s="544" t="s">
        <v>675</v>
      </c>
      <c r="C1495" s="551" t="s">
        <v>4247</v>
      </c>
      <c r="D1495" s="553" t="s">
        <v>4248</v>
      </c>
      <c r="E1495" s="563">
        <v>55</v>
      </c>
      <c r="F1495" s="563">
        <v>0</v>
      </c>
      <c r="G1495" s="563">
        <f t="shared" si="99"/>
        <v>55</v>
      </c>
      <c r="H1495" s="563">
        <v>0</v>
      </c>
      <c r="I1495" s="563">
        <f t="shared" si="98"/>
        <v>43</v>
      </c>
      <c r="J1495" s="563">
        <v>0</v>
      </c>
      <c r="K1495" s="563">
        <v>43</v>
      </c>
      <c r="L1495" s="741">
        <v>0</v>
      </c>
      <c r="M1495" s="965">
        <v>0.78181818181818186</v>
      </c>
      <c r="N1495" s="653">
        <v>0</v>
      </c>
      <c r="O1495" s="746" t="s">
        <v>4241</v>
      </c>
      <c r="P1495" s="547" t="s">
        <v>1588</v>
      </c>
      <c r="Q1495" s="863">
        <v>0</v>
      </c>
      <c r="R1495" s="863">
        <v>0</v>
      </c>
      <c r="S1495" s="863">
        <v>0</v>
      </c>
      <c r="T1495" s="863">
        <v>0</v>
      </c>
      <c r="U1495" s="547" t="s">
        <v>7487</v>
      </c>
      <c r="V1495" s="547" t="s">
        <v>4249</v>
      </c>
      <c r="W1495" s="658">
        <v>720</v>
      </c>
      <c r="X1495" s="547" t="s">
        <v>2193</v>
      </c>
      <c r="Y1495" s="547" t="s">
        <v>4205</v>
      </c>
      <c r="Z1495" s="547" t="s">
        <v>1587</v>
      </c>
      <c r="AA1495" s="547" t="s">
        <v>1587</v>
      </c>
      <c r="AB1495" s="550" t="s">
        <v>1587</v>
      </c>
    </row>
    <row r="1496" spans="1:28" ht="24" customHeight="1">
      <c r="A1496" s="606"/>
      <c r="B1496" s="544" t="s">
        <v>675</v>
      </c>
      <c r="C1496" s="551" t="s">
        <v>4250</v>
      </c>
      <c r="D1496" s="553" t="s">
        <v>4251</v>
      </c>
      <c r="E1496" s="563">
        <v>80</v>
      </c>
      <c r="F1496" s="563">
        <v>0</v>
      </c>
      <c r="G1496" s="563">
        <f t="shared" si="99"/>
        <v>80</v>
      </c>
      <c r="H1496" s="563">
        <v>0</v>
      </c>
      <c r="I1496" s="563">
        <f t="shared" si="98"/>
        <v>56</v>
      </c>
      <c r="J1496" s="563">
        <v>0</v>
      </c>
      <c r="K1496" s="563">
        <v>56</v>
      </c>
      <c r="L1496" s="741">
        <v>0</v>
      </c>
      <c r="M1496" s="965">
        <v>0.7</v>
      </c>
      <c r="N1496" s="653">
        <v>0</v>
      </c>
      <c r="O1496" s="746" t="s">
        <v>4212</v>
      </c>
      <c r="P1496" s="547" t="s">
        <v>1588</v>
      </c>
      <c r="Q1496" s="863">
        <v>0</v>
      </c>
      <c r="R1496" s="863">
        <v>0</v>
      </c>
      <c r="S1496" s="863">
        <v>0</v>
      </c>
      <c r="T1496" s="863">
        <v>0</v>
      </c>
      <c r="U1496" s="547" t="s">
        <v>7487</v>
      </c>
      <c r="V1496" s="547" t="s">
        <v>4252</v>
      </c>
      <c r="W1496" s="658">
        <v>350</v>
      </c>
      <c r="X1496" s="547" t="s">
        <v>2193</v>
      </c>
      <c r="Y1496" s="547" t="s">
        <v>4205</v>
      </c>
      <c r="Z1496" s="547" t="s">
        <v>1730</v>
      </c>
      <c r="AA1496" s="547" t="s">
        <v>1591</v>
      </c>
      <c r="AB1496" s="550" t="s">
        <v>1591</v>
      </c>
    </row>
    <row r="1497" spans="1:28" ht="24" customHeight="1">
      <c r="A1497" s="606"/>
      <c r="B1497" s="544" t="s">
        <v>675</v>
      </c>
      <c r="C1497" s="551" t="s">
        <v>4253</v>
      </c>
      <c r="D1497" s="553" t="s">
        <v>4254</v>
      </c>
      <c r="E1497" s="563">
        <v>60</v>
      </c>
      <c r="F1497" s="563">
        <v>0</v>
      </c>
      <c r="G1497" s="563">
        <f t="shared" si="99"/>
        <v>60</v>
      </c>
      <c r="H1497" s="563">
        <v>0</v>
      </c>
      <c r="I1497" s="563">
        <f t="shared" si="98"/>
        <v>48</v>
      </c>
      <c r="J1497" s="563">
        <v>0</v>
      </c>
      <c r="K1497" s="563">
        <v>48</v>
      </c>
      <c r="L1497" s="741">
        <v>0</v>
      </c>
      <c r="M1497" s="965">
        <v>0.8</v>
      </c>
      <c r="N1497" s="653">
        <v>0</v>
      </c>
      <c r="O1497" s="746" t="s">
        <v>4255</v>
      </c>
      <c r="P1497" s="547" t="s">
        <v>1588</v>
      </c>
      <c r="Q1497" s="863">
        <v>0</v>
      </c>
      <c r="R1497" s="863">
        <v>0</v>
      </c>
      <c r="S1497" s="863">
        <v>0</v>
      </c>
      <c r="T1497" s="863">
        <v>0</v>
      </c>
      <c r="U1497" s="547" t="s">
        <v>7487</v>
      </c>
      <c r="V1497" s="547" t="s">
        <v>4256</v>
      </c>
      <c r="W1497" s="658">
        <v>648</v>
      </c>
      <c r="X1497" s="547" t="s">
        <v>2193</v>
      </c>
      <c r="Y1497" s="547" t="s">
        <v>4205</v>
      </c>
      <c r="Z1497" s="547" t="s">
        <v>1729</v>
      </c>
      <c r="AA1497" s="547" t="s">
        <v>1591</v>
      </c>
      <c r="AB1497" s="550" t="s">
        <v>1591</v>
      </c>
    </row>
    <row r="1498" spans="1:28" ht="24" customHeight="1">
      <c r="A1498" s="606"/>
      <c r="B1498" s="544" t="s">
        <v>675</v>
      </c>
      <c r="C1498" s="551" t="s">
        <v>4257</v>
      </c>
      <c r="D1498" s="553" t="s">
        <v>4258</v>
      </c>
      <c r="E1498" s="563">
        <v>50</v>
      </c>
      <c r="F1498" s="563">
        <v>0</v>
      </c>
      <c r="G1498" s="563">
        <f t="shared" si="99"/>
        <v>50</v>
      </c>
      <c r="H1498" s="563">
        <v>0</v>
      </c>
      <c r="I1498" s="563">
        <f t="shared" si="98"/>
        <v>44</v>
      </c>
      <c r="J1498" s="563">
        <v>0</v>
      </c>
      <c r="K1498" s="563">
        <v>44</v>
      </c>
      <c r="L1498" s="741">
        <v>0</v>
      </c>
      <c r="M1498" s="965">
        <v>0.88</v>
      </c>
      <c r="N1498" s="653">
        <v>0</v>
      </c>
      <c r="O1498" s="746" t="s">
        <v>4259</v>
      </c>
      <c r="P1498" s="547" t="s">
        <v>1588</v>
      </c>
      <c r="Q1498" s="863">
        <v>0</v>
      </c>
      <c r="R1498" s="863">
        <v>0</v>
      </c>
      <c r="S1498" s="863">
        <v>0</v>
      </c>
      <c r="T1498" s="863">
        <v>0</v>
      </c>
      <c r="U1498" s="547" t="s">
        <v>7487</v>
      </c>
      <c r="V1498" s="547" t="s">
        <v>2080</v>
      </c>
      <c r="W1498" s="658">
        <v>360</v>
      </c>
      <c r="X1498" s="547" t="s">
        <v>2193</v>
      </c>
      <c r="Y1498" s="547" t="s">
        <v>4205</v>
      </c>
      <c r="Z1498" s="547" t="s">
        <v>1729</v>
      </c>
      <c r="AA1498" s="547" t="s">
        <v>1591</v>
      </c>
      <c r="AB1498" s="550" t="s">
        <v>1591</v>
      </c>
    </row>
    <row r="1499" spans="1:28" ht="24" customHeight="1">
      <c r="A1499" s="606"/>
      <c r="B1499" s="544" t="s">
        <v>675</v>
      </c>
      <c r="C1499" s="551" t="s">
        <v>4260</v>
      </c>
      <c r="D1499" s="553" t="s">
        <v>4261</v>
      </c>
      <c r="E1499" s="563">
        <v>45</v>
      </c>
      <c r="F1499" s="563">
        <v>0</v>
      </c>
      <c r="G1499" s="563">
        <f t="shared" si="99"/>
        <v>45</v>
      </c>
      <c r="H1499" s="563">
        <v>0</v>
      </c>
      <c r="I1499" s="563">
        <f t="shared" si="98"/>
        <v>37</v>
      </c>
      <c r="J1499" s="563">
        <v>0</v>
      </c>
      <c r="K1499" s="563">
        <v>37</v>
      </c>
      <c r="L1499" s="741">
        <v>0</v>
      </c>
      <c r="M1499" s="965">
        <v>0.82222222222222219</v>
      </c>
      <c r="N1499" s="653">
        <v>0</v>
      </c>
      <c r="O1499" s="746" t="s">
        <v>4262</v>
      </c>
      <c r="P1499" s="547" t="s">
        <v>1588</v>
      </c>
      <c r="Q1499" s="863">
        <v>0</v>
      </c>
      <c r="R1499" s="863">
        <v>0</v>
      </c>
      <c r="S1499" s="863">
        <v>0</v>
      </c>
      <c r="T1499" s="863">
        <v>0</v>
      </c>
      <c r="U1499" s="547" t="s">
        <v>7487</v>
      </c>
      <c r="V1499" s="547" t="s">
        <v>4263</v>
      </c>
      <c r="W1499" s="658"/>
      <c r="X1499" s="547"/>
      <c r="Y1499" s="547"/>
      <c r="Z1499" s="547"/>
      <c r="AA1499" s="547"/>
      <c r="AB1499" s="550"/>
    </row>
    <row r="1500" spans="1:28" ht="24" customHeight="1">
      <c r="A1500" s="606"/>
      <c r="B1500" s="544" t="s">
        <v>675</v>
      </c>
      <c r="C1500" s="551" t="s">
        <v>4264</v>
      </c>
      <c r="D1500" s="553" t="s">
        <v>4265</v>
      </c>
      <c r="E1500" s="563">
        <v>65</v>
      </c>
      <c r="F1500" s="563">
        <v>0</v>
      </c>
      <c r="G1500" s="563">
        <f t="shared" si="99"/>
        <v>65</v>
      </c>
      <c r="H1500" s="563">
        <v>0</v>
      </c>
      <c r="I1500" s="563">
        <f t="shared" si="98"/>
        <v>53</v>
      </c>
      <c r="J1500" s="563">
        <v>0</v>
      </c>
      <c r="K1500" s="563">
        <v>53</v>
      </c>
      <c r="L1500" s="741">
        <v>0</v>
      </c>
      <c r="M1500" s="965">
        <v>0.81538461538461537</v>
      </c>
      <c r="N1500" s="653">
        <v>0</v>
      </c>
      <c r="O1500" s="746" t="s">
        <v>4266</v>
      </c>
      <c r="P1500" s="547" t="s">
        <v>1588</v>
      </c>
      <c r="Q1500" s="863">
        <v>0</v>
      </c>
      <c r="R1500" s="863">
        <v>0</v>
      </c>
      <c r="S1500" s="863">
        <v>0</v>
      </c>
      <c r="T1500" s="863">
        <v>0</v>
      </c>
      <c r="U1500" s="547" t="s">
        <v>7487</v>
      </c>
      <c r="V1500" s="547" t="s">
        <v>4263</v>
      </c>
      <c r="W1500" s="658"/>
      <c r="X1500" s="547"/>
      <c r="Y1500" s="547"/>
      <c r="Z1500" s="547"/>
      <c r="AA1500" s="547"/>
      <c r="AB1500" s="550"/>
    </row>
    <row r="1501" spans="1:28" ht="24" customHeight="1">
      <c r="A1501" s="605" t="s">
        <v>1731</v>
      </c>
      <c r="B1501" s="544" t="s">
        <v>2201</v>
      </c>
      <c r="C1501" s="551" t="s">
        <v>2370</v>
      </c>
      <c r="D1501" s="553" t="s">
        <v>4267</v>
      </c>
      <c r="E1501" s="563">
        <f>F1501+G1501+H1501</f>
        <v>7500</v>
      </c>
      <c r="F1501" s="563">
        <v>0</v>
      </c>
      <c r="G1501" s="563">
        <v>0</v>
      </c>
      <c r="H1501" s="563">
        <v>7500</v>
      </c>
      <c r="I1501" s="563">
        <f>J1501+K1501+L1501</f>
        <v>6000</v>
      </c>
      <c r="J1501" s="563">
        <v>0</v>
      </c>
      <c r="K1501" s="563">
        <v>0</v>
      </c>
      <c r="L1501" s="741">
        <v>6000</v>
      </c>
      <c r="M1501" s="965">
        <v>0.94965870307167233</v>
      </c>
      <c r="N1501" s="653">
        <v>667.8</v>
      </c>
      <c r="O1501" s="746" t="s">
        <v>3347</v>
      </c>
      <c r="P1501" s="547" t="s">
        <v>1588</v>
      </c>
      <c r="Q1501" s="863">
        <v>32</v>
      </c>
      <c r="R1501" s="863">
        <v>0</v>
      </c>
      <c r="S1501" s="863">
        <v>11</v>
      </c>
      <c r="T1501" s="863">
        <v>0</v>
      </c>
      <c r="U1501" s="547" t="s">
        <v>7488</v>
      </c>
      <c r="V1501" s="547" t="s">
        <v>4268</v>
      </c>
      <c r="W1501" s="658">
        <v>20788</v>
      </c>
      <c r="X1501" s="547" t="s">
        <v>1532</v>
      </c>
      <c r="Y1501" s="547" t="s">
        <v>3336</v>
      </c>
      <c r="Z1501" s="547" t="s">
        <v>1587</v>
      </c>
      <c r="AA1501" s="547" t="s">
        <v>1596</v>
      </c>
      <c r="AB1501" s="550"/>
    </row>
    <row r="1502" spans="1:28" ht="24" customHeight="1">
      <c r="A1502" s="606"/>
      <c r="B1502" s="544" t="s">
        <v>675</v>
      </c>
      <c r="C1502" s="551" t="s">
        <v>4269</v>
      </c>
      <c r="D1502" s="553" t="s">
        <v>4270</v>
      </c>
      <c r="E1502" s="563">
        <f t="shared" ref="E1502:E1565" si="100">F1502+G1502+H1502</f>
        <v>30</v>
      </c>
      <c r="F1502" s="563">
        <v>0</v>
      </c>
      <c r="G1502" s="563">
        <v>0</v>
      </c>
      <c r="H1502" s="563">
        <v>30</v>
      </c>
      <c r="I1502" s="563">
        <f t="shared" ref="I1502:I1565" si="101">J1502+K1502+L1502</f>
        <v>25</v>
      </c>
      <c r="J1502" s="563">
        <v>0</v>
      </c>
      <c r="K1502" s="563">
        <v>0</v>
      </c>
      <c r="L1502" s="741">
        <v>25</v>
      </c>
      <c r="M1502" s="965">
        <v>0.83333333333333348</v>
      </c>
      <c r="N1502" s="653">
        <v>241.36333333333337</v>
      </c>
      <c r="O1502" s="746" t="s">
        <v>5698</v>
      </c>
      <c r="P1502" s="547" t="s">
        <v>1588</v>
      </c>
      <c r="Q1502" s="863">
        <v>0</v>
      </c>
      <c r="R1502" s="863">
        <v>0</v>
      </c>
      <c r="S1502" s="863">
        <v>0</v>
      </c>
      <c r="T1502" s="863">
        <v>0</v>
      </c>
      <c r="U1502" s="547"/>
      <c r="V1502" s="547" t="s">
        <v>2088</v>
      </c>
      <c r="W1502" s="658">
        <v>205</v>
      </c>
      <c r="X1502" s="547" t="s">
        <v>1532</v>
      </c>
      <c r="Y1502" s="547" t="s">
        <v>3336</v>
      </c>
      <c r="Z1502" s="547"/>
      <c r="AA1502" s="547"/>
      <c r="AB1502" s="550"/>
    </row>
    <row r="1503" spans="1:28" ht="24" customHeight="1">
      <c r="A1503" s="606"/>
      <c r="B1503" s="544" t="s">
        <v>675</v>
      </c>
      <c r="C1503" s="551" t="s">
        <v>4271</v>
      </c>
      <c r="D1503" s="553" t="s">
        <v>4272</v>
      </c>
      <c r="E1503" s="563">
        <f t="shared" si="100"/>
        <v>40</v>
      </c>
      <c r="F1503" s="563">
        <v>0</v>
      </c>
      <c r="G1503" s="563">
        <v>0</v>
      </c>
      <c r="H1503" s="563">
        <v>40</v>
      </c>
      <c r="I1503" s="563">
        <f t="shared" si="101"/>
        <v>30</v>
      </c>
      <c r="J1503" s="563">
        <v>0</v>
      </c>
      <c r="K1503" s="563">
        <v>0</v>
      </c>
      <c r="L1503" s="741">
        <v>30</v>
      </c>
      <c r="M1503" s="968">
        <v>0.75</v>
      </c>
      <c r="N1503" s="653">
        <v>217.227</v>
      </c>
      <c r="O1503" s="746" t="s">
        <v>1127</v>
      </c>
      <c r="P1503" s="547" t="s">
        <v>1588</v>
      </c>
      <c r="Q1503" s="863">
        <v>0</v>
      </c>
      <c r="R1503" s="863">
        <v>0</v>
      </c>
      <c r="S1503" s="863">
        <v>0</v>
      </c>
      <c r="T1503" s="863">
        <v>0</v>
      </c>
      <c r="U1503" s="547"/>
      <c r="V1503" s="547" t="s">
        <v>4273</v>
      </c>
      <c r="W1503" s="658">
        <v>174</v>
      </c>
      <c r="X1503" s="547" t="s">
        <v>1532</v>
      </c>
      <c r="Y1503" s="547" t="s">
        <v>3336</v>
      </c>
      <c r="Z1503" s="547"/>
      <c r="AA1503" s="547"/>
      <c r="AB1503" s="550"/>
    </row>
    <row r="1504" spans="1:28" ht="24" customHeight="1">
      <c r="A1504" s="606"/>
      <c r="B1504" s="544" t="s">
        <v>675</v>
      </c>
      <c r="C1504" s="551" t="s">
        <v>2133</v>
      </c>
      <c r="D1504" s="553" t="s">
        <v>4274</v>
      </c>
      <c r="E1504" s="563">
        <f t="shared" si="100"/>
        <v>30</v>
      </c>
      <c r="F1504" s="563">
        <v>0</v>
      </c>
      <c r="G1504" s="563">
        <v>0</v>
      </c>
      <c r="H1504" s="563">
        <v>30</v>
      </c>
      <c r="I1504" s="563">
        <f t="shared" si="101"/>
        <v>24</v>
      </c>
      <c r="J1504" s="563">
        <v>0</v>
      </c>
      <c r="K1504" s="563">
        <v>0</v>
      </c>
      <c r="L1504" s="741">
        <v>24</v>
      </c>
      <c r="M1504" s="965">
        <v>0.8</v>
      </c>
      <c r="N1504" s="653">
        <v>231.70880000000002</v>
      </c>
      <c r="O1504" s="746" t="s">
        <v>4275</v>
      </c>
      <c r="P1504" s="547" t="s">
        <v>1588</v>
      </c>
      <c r="Q1504" s="863">
        <v>0</v>
      </c>
      <c r="R1504" s="863">
        <v>0</v>
      </c>
      <c r="S1504" s="863">
        <v>0</v>
      </c>
      <c r="T1504" s="863">
        <v>0</v>
      </c>
      <c r="U1504" s="547"/>
      <c r="V1504" s="547" t="s">
        <v>4276</v>
      </c>
      <c r="W1504" s="658">
        <v>136</v>
      </c>
      <c r="X1504" s="547" t="s">
        <v>1532</v>
      </c>
      <c r="Y1504" s="547" t="s">
        <v>3336</v>
      </c>
      <c r="Z1504" s="547"/>
      <c r="AA1504" s="547"/>
      <c r="AB1504" s="550"/>
    </row>
    <row r="1505" spans="1:28" ht="24" customHeight="1">
      <c r="A1505" s="606"/>
      <c r="B1505" s="544" t="s">
        <v>675</v>
      </c>
      <c r="C1505" s="551" t="s">
        <v>6545</v>
      </c>
      <c r="D1505" s="553" t="s">
        <v>4277</v>
      </c>
      <c r="E1505" s="563">
        <f t="shared" si="100"/>
        <v>23</v>
      </c>
      <c r="F1505" s="563">
        <v>0</v>
      </c>
      <c r="G1505" s="563">
        <v>0</v>
      </c>
      <c r="H1505" s="563">
        <v>23</v>
      </c>
      <c r="I1505" s="563">
        <f t="shared" si="101"/>
        <v>19</v>
      </c>
      <c r="J1505" s="563">
        <v>0</v>
      </c>
      <c r="K1505" s="563">
        <v>0</v>
      </c>
      <c r="L1505" s="741">
        <v>19</v>
      </c>
      <c r="M1505" s="965">
        <v>0.82608695652173902</v>
      </c>
      <c r="N1505" s="653">
        <v>239.2645217391304</v>
      </c>
      <c r="O1505" s="746" t="s">
        <v>5089</v>
      </c>
      <c r="P1505" s="547" t="s">
        <v>1588</v>
      </c>
      <c r="Q1505" s="863">
        <v>0</v>
      </c>
      <c r="R1505" s="863">
        <v>0</v>
      </c>
      <c r="S1505" s="863">
        <v>0</v>
      </c>
      <c r="T1505" s="863">
        <v>0</v>
      </c>
      <c r="U1505" s="547"/>
      <c r="V1505" s="547" t="s">
        <v>4278</v>
      </c>
      <c r="W1505" s="658">
        <v>182</v>
      </c>
      <c r="X1505" s="547" t="s">
        <v>1532</v>
      </c>
      <c r="Y1505" s="547" t="s">
        <v>3336</v>
      </c>
      <c r="Z1505" s="547"/>
      <c r="AA1505" s="547"/>
      <c r="AB1505" s="550"/>
    </row>
    <row r="1506" spans="1:28" ht="24" customHeight="1">
      <c r="A1506" s="606"/>
      <c r="B1506" s="544" t="s">
        <v>675</v>
      </c>
      <c r="C1506" s="551" t="s">
        <v>6732</v>
      </c>
      <c r="D1506" s="553" t="s">
        <v>4279</v>
      </c>
      <c r="E1506" s="563">
        <f t="shared" si="100"/>
        <v>40</v>
      </c>
      <c r="F1506" s="563">
        <v>0</v>
      </c>
      <c r="G1506" s="563">
        <v>0</v>
      </c>
      <c r="H1506" s="563">
        <v>40</v>
      </c>
      <c r="I1506" s="563">
        <f t="shared" si="101"/>
        <v>32</v>
      </c>
      <c r="J1506" s="563">
        <v>0</v>
      </c>
      <c r="K1506" s="563">
        <v>0</v>
      </c>
      <c r="L1506" s="741">
        <v>32</v>
      </c>
      <c r="M1506" s="965">
        <v>0.8</v>
      </c>
      <c r="N1506" s="653">
        <v>231.70880000000002</v>
      </c>
      <c r="O1506" s="746" t="s">
        <v>1127</v>
      </c>
      <c r="P1506" s="547" t="s">
        <v>1588</v>
      </c>
      <c r="Q1506" s="863">
        <v>0</v>
      </c>
      <c r="R1506" s="863">
        <v>0</v>
      </c>
      <c r="S1506" s="863">
        <v>0</v>
      </c>
      <c r="T1506" s="863">
        <v>0</v>
      </c>
      <c r="U1506" s="547"/>
      <c r="V1506" s="547" t="s">
        <v>4280</v>
      </c>
      <c r="W1506" s="658">
        <v>243</v>
      </c>
      <c r="X1506" s="547" t="s">
        <v>1532</v>
      </c>
      <c r="Y1506" s="547" t="s">
        <v>3336</v>
      </c>
      <c r="Z1506" s="547"/>
      <c r="AA1506" s="547"/>
      <c r="AB1506" s="550"/>
    </row>
    <row r="1507" spans="1:28" ht="24" customHeight="1">
      <c r="A1507" s="606"/>
      <c r="B1507" s="544" t="s">
        <v>675</v>
      </c>
      <c r="C1507" s="551" t="s">
        <v>2164</v>
      </c>
      <c r="D1507" s="553" t="s">
        <v>4281</v>
      </c>
      <c r="E1507" s="563">
        <f>F1507+G1507+H1507</f>
        <v>45</v>
      </c>
      <c r="F1507" s="563">
        <v>0</v>
      </c>
      <c r="G1507" s="563">
        <v>0</v>
      </c>
      <c r="H1507" s="563">
        <v>45</v>
      </c>
      <c r="I1507" s="563">
        <f>J1507+K1507+L1507</f>
        <v>31</v>
      </c>
      <c r="J1507" s="563">
        <v>0</v>
      </c>
      <c r="K1507" s="563">
        <v>0</v>
      </c>
      <c r="L1507" s="741">
        <v>31</v>
      </c>
      <c r="M1507" s="965">
        <v>0.68888888888888888</v>
      </c>
      <c r="N1507" s="653">
        <v>199.5270222222222</v>
      </c>
      <c r="O1507" s="746" t="s">
        <v>4282</v>
      </c>
      <c r="P1507" s="547" t="s">
        <v>1588</v>
      </c>
      <c r="Q1507" s="863">
        <v>0</v>
      </c>
      <c r="R1507" s="863">
        <v>0</v>
      </c>
      <c r="S1507" s="863">
        <v>0</v>
      </c>
      <c r="T1507" s="863">
        <v>0</v>
      </c>
      <c r="U1507" s="547"/>
      <c r="V1507" s="547" t="s">
        <v>4283</v>
      </c>
      <c r="W1507" s="658">
        <v>404</v>
      </c>
      <c r="X1507" s="547" t="s">
        <v>1532</v>
      </c>
      <c r="Y1507" s="547" t="s">
        <v>3336</v>
      </c>
      <c r="Z1507" s="547"/>
      <c r="AA1507" s="547"/>
      <c r="AB1507" s="550"/>
    </row>
    <row r="1508" spans="1:28" ht="24" customHeight="1">
      <c r="A1508" s="606"/>
      <c r="B1508" s="544" t="s">
        <v>675</v>
      </c>
      <c r="C1508" s="551" t="s">
        <v>4284</v>
      </c>
      <c r="D1508" s="553" t="s">
        <v>4285</v>
      </c>
      <c r="E1508" s="563">
        <f>F1508+G1508+H1508</f>
        <v>35</v>
      </c>
      <c r="F1508" s="563">
        <v>0</v>
      </c>
      <c r="G1508" s="563">
        <v>0</v>
      </c>
      <c r="H1508" s="563">
        <v>35</v>
      </c>
      <c r="I1508" s="563">
        <f>J1508+K1508+L1508</f>
        <v>23</v>
      </c>
      <c r="J1508" s="563">
        <v>0</v>
      </c>
      <c r="K1508" s="563">
        <v>0</v>
      </c>
      <c r="L1508" s="741">
        <v>23</v>
      </c>
      <c r="M1508" s="965">
        <v>0.65714285714285703</v>
      </c>
      <c r="N1508" s="653">
        <v>190.33222857142854</v>
      </c>
      <c r="O1508" s="746" t="s">
        <v>4286</v>
      </c>
      <c r="P1508" s="547" t="s">
        <v>1588</v>
      </c>
      <c r="Q1508" s="863">
        <v>0</v>
      </c>
      <c r="R1508" s="863">
        <v>0</v>
      </c>
      <c r="S1508" s="863">
        <v>0</v>
      </c>
      <c r="T1508" s="863">
        <v>0</v>
      </c>
      <c r="U1508" s="547"/>
      <c r="V1508" s="547" t="s">
        <v>5319</v>
      </c>
      <c r="W1508" s="658">
        <v>338</v>
      </c>
      <c r="X1508" s="547" t="s">
        <v>1532</v>
      </c>
      <c r="Y1508" s="547" t="s">
        <v>3336</v>
      </c>
      <c r="Z1508" s="547"/>
      <c r="AA1508" s="547"/>
      <c r="AB1508" s="550"/>
    </row>
    <row r="1509" spans="1:28" ht="24" customHeight="1">
      <c r="A1509" s="606"/>
      <c r="B1509" s="544" t="s">
        <v>675</v>
      </c>
      <c r="C1509" s="551" t="s">
        <v>2392</v>
      </c>
      <c r="D1509" s="553" t="s">
        <v>4287</v>
      </c>
      <c r="E1509" s="563">
        <f t="shared" si="100"/>
        <v>30</v>
      </c>
      <c r="F1509" s="563">
        <v>0</v>
      </c>
      <c r="G1509" s="563">
        <v>0</v>
      </c>
      <c r="H1509" s="563">
        <v>30</v>
      </c>
      <c r="I1509" s="563">
        <f t="shared" si="101"/>
        <v>20</v>
      </c>
      <c r="J1509" s="563">
        <v>0</v>
      </c>
      <c r="K1509" s="563">
        <v>0</v>
      </c>
      <c r="L1509" s="741">
        <v>20</v>
      </c>
      <c r="M1509" s="965">
        <v>0.66666666666666652</v>
      </c>
      <c r="N1509" s="653">
        <v>193.09066666666664</v>
      </c>
      <c r="O1509" s="746" t="s">
        <v>4288</v>
      </c>
      <c r="P1509" s="547" t="s">
        <v>1588</v>
      </c>
      <c r="Q1509" s="863">
        <v>0</v>
      </c>
      <c r="R1509" s="863">
        <v>0</v>
      </c>
      <c r="S1509" s="863">
        <v>0</v>
      </c>
      <c r="T1509" s="863">
        <v>0</v>
      </c>
      <c r="U1509" s="547"/>
      <c r="V1509" s="547" t="s">
        <v>4289</v>
      </c>
      <c r="W1509" s="658">
        <v>318</v>
      </c>
      <c r="X1509" s="547" t="s">
        <v>1532</v>
      </c>
      <c r="Y1509" s="547" t="s">
        <v>3336</v>
      </c>
      <c r="Z1509" s="547"/>
      <c r="AA1509" s="547"/>
      <c r="AB1509" s="550"/>
    </row>
    <row r="1510" spans="1:28" ht="24" customHeight="1">
      <c r="A1510" s="606"/>
      <c r="B1510" s="544" t="s">
        <v>675</v>
      </c>
      <c r="C1510" s="551" t="s">
        <v>4290</v>
      </c>
      <c r="D1510" s="553" t="s">
        <v>4291</v>
      </c>
      <c r="E1510" s="563">
        <f>F1510+G1510+H1510</f>
        <v>45</v>
      </c>
      <c r="F1510" s="563">
        <v>0</v>
      </c>
      <c r="G1510" s="563">
        <v>0</v>
      </c>
      <c r="H1510" s="563">
        <v>45</v>
      </c>
      <c r="I1510" s="563">
        <f>J1510+K1510+L1510</f>
        <v>35</v>
      </c>
      <c r="J1510" s="563">
        <v>0</v>
      </c>
      <c r="K1510" s="563">
        <v>0</v>
      </c>
      <c r="L1510" s="741">
        <v>35</v>
      </c>
      <c r="M1510" s="965">
        <v>0.7777777777777779</v>
      </c>
      <c r="N1510" s="653">
        <v>225.27244444444446</v>
      </c>
      <c r="O1510" s="746" t="s">
        <v>5071</v>
      </c>
      <c r="P1510" s="547" t="s">
        <v>1588</v>
      </c>
      <c r="Q1510" s="863">
        <v>0</v>
      </c>
      <c r="R1510" s="863">
        <v>0</v>
      </c>
      <c r="S1510" s="863">
        <v>0</v>
      </c>
      <c r="T1510" s="863">
        <v>0</v>
      </c>
      <c r="U1510" s="547"/>
      <c r="V1510" s="547" t="s">
        <v>4292</v>
      </c>
      <c r="W1510" s="658">
        <v>330</v>
      </c>
      <c r="X1510" s="547" t="s">
        <v>1532</v>
      </c>
      <c r="Y1510" s="547" t="s">
        <v>3336</v>
      </c>
      <c r="Z1510" s="547"/>
      <c r="AA1510" s="547"/>
      <c r="AB1510" s="550"/>
    </row>
    <row r="1511" spans="1:28" ht="24" customHeight="1">
      <c r="A1511" s="606"/>
      <c r="B1511" s="544" t="s">
        <v>675</v>
      </c>
      <c r="C1511" s="551" t="s">
        <v>6655</v>
      </c>
      <c r="D1511" s="553" t="s">
        <v>4293</v>
      </c>
      <c r="E1511" s="563">
        <f t="shared" si="100"/>
        <v>40</v>
      </c>
      <c r="F1511" s="563">
        <v>0</v>
      </c>
      <c r="G1511" s="563">
        <v>0</v>
      </c>
      <c r="H1511" s="563">
        <v>40</v>
      </c>
      <c r="I1511" s="563">
        <f t="shared" si="101"/>
        <v>28</v>
      </c>
      <c r="J1511" s="563">
        <v>0</v>
      </c>
      <c r="K1511" s="563">
        <v>0</v>
      </c>
      <c r="L1511" s="741">
        <v>28</v>
      </c>
      <c r="M1511" s="965">
        <v>0.7</v>
      </c>
      <c r="N1511" s="653">
        <v>202.74519999999998</v>
      </c>
      <c r="O1511" s="746" t="s">
        <v>4294</v>
      </c>
      <c r="P1511" s="547" t="s">
        <v>1588</v>
      </c>
      <c r="Q1511" s="863">
        <v>0</v>
      </c>
      <c r="R1511" s="863">
        <v>0</v>
      </c>
      <c r="S1511" s="863">
        <v>0</v>
      </c>
      <c r="T1511" s="863">
        <v>0</v>
      </c>
      <c r="U1511" s="547"/>
      <c r="V1511" s="547" t="s">
        <v>4295</v>
      </c>
      <c r="W1511" s="658">
        <v>345</v>
      </c>
      <c r="X1511" s="547" t="s">
        <v>1532</v>
      </c>
      <c r="Y1511" s="547" t="s">
        <v>3336</v>
      </c>
      <c r="Z1511" s="547"/>
      <c r="AA1511" s="547"/>
      <c r="AB1511" s="550"/>
    </row>
    <row r="1512" spans="1:28" ht="24" customHeight="1">
      <c r="A1512" s="606"/>
      <c r="B1512" s="544" t="s">
        <v>675</v>
      </c>
      <c r="C1512" s="551" t="s">
        <v>4296</v>
      </c>
      <c r="D1512" s="553" t="s">
        <v>4297</v>
      </c>
      <c r="E1512" s="563">
        <f t="shared" si="100"/>
        <v>30</v>
      </c>
      <c r="F1512" s="563">
        <v>0</v>
      </c>
      <c r="G1512" s="563">
        <v>0</v>
      </c>
      <c r="H1512" s="563">
        <v>30</v>
      </c>
      <c r="I1512" s="563">
        <f t="shared" si="101"/>
        <v>22</v>
      </c>
      <c r="J1512" s="563">
        <v>0</v>
      </c>
      <c r="K1512" s="563">
        <v>0</v>
      </c>
      <c r="L1512" s="741">
        <v>22</v>
      </c>
      <c r="M1512" s="965">
        <v>0.73333333333333328</v>
      </c>
      <c r="N1512" s="653">
        <v>212.3997333333333</v>
      </c>
      <c r="O1512" s="746" t="s">
        <v>4298</v>
      </c>
      <c r="P1512" s="547" t="s">
        <v>1588</v>
      </c>
      <c r="Q1512" s="863">
        <v>0</v>
      </c>
      <c r="R1512" s="863">
        <v>0</v>
      </c>
      <c r="S1512" s="863">
        <v>0</v>
      </c>
      <c r="T1512" s="863">
        <v>0</v>
      </c>
      <c r="U1512" s="547"/>
      <c r="V1512" s="547" t="s">
        <v>4299</v>
      </c>
      <c r="W1512" s="658">
        <v>329</v>
      </c>
      <c r="X1512" s="547" t="s">
        <v>1532</v>
      </c>
      <c r="Y1512" s="547" t="s">
        <v>3336</v>
      </c>
      <c r="Z1512" s="547"/>
      <c r="AA1512" s="547"/>
      <c r="AB1512" s="550"/>
    </row>
    <row r="1513" spans="1:28" ht="24" customHeight="1">
      <c r="A1513" s="606"/>
      <c r="B1513" s="544" t="s">
        <v>675</v>
      </c>
      <c r="C1513" s="551" t="s">
        <v>4300</v>
      </c>
      <c r="D1513" s="553" t="s">
        <v>4301</v>
      </c>
      <c r="E1513" s="563">
        <f>F1513+G1513+H1513</f>
        <v>32</v>
      </c>
      <c r="F1513" s="563">
        <v>0</v>
      </c>
      <c r="G1513" s="563">
        <v>0</v>
      </c>
      <c r="H1513" s="563">
        <v>32</v>
      </c>
      <c r="I1513" s="563">
        <f>J1513+K1513+L1513</f>
        <v>21</v>
      </c>
      <c r="J1513" s="563">
        <v>0</v>
      </c>
      <c r="K1513" s="563">
        <v>0</v>
      </c>
      <c r="L1513" s="741">
        <v>21</v>
      </c>
      <c r="M1513" s="965">
        <v>0.65625</v>
      </c>
      <c r="N1513" s="653">
        <v>190.07362499999999</v>
      </c>
      <c r="O1513" s="746" t="s">
        <v>4302</v>
      </c>
      <c r="P1513" s="547" t="s">
        <v>1588</v>
      </c>
      <c r="Q1513" s="863">
        <v>0</v>
      </c>
      <c r="R1513" s="863">
        <v>0</v>
      </c>
      <c r="S1513" s="863">
        <v>0</v>
      </c>
      <c r="T1513" s="863">
        <v>0</v>
      </c>
      <c r="U1513" s="547"/>
      <c r="V1513" s="547" t="s">
        <v>4303</v>
      </c>
      <c r="W1513" s="658">
        <v>275</v>
      </c>
      <c r="X1513" s="547" t="s">
        <v>1532</v>
      </c>
      <c r="Y1513" s="547" t="s">
        <v>3336</v>
      </c>
      <c r="Z1513" s="547"/>
      <c r="AA1513" s="547"/>
      <c r="AB1513" s="550"/>
    </row>
    <row r="1514" spans="1:28" ht="24" customHeight="1">
      <c r="A1514" s="606"/>
      <c r="B1514" s="544" t="s">
        <v>675</v>
      </c>
      <c r="C1514" s="551" t="s">
        <v>4304</v>
      </c>
      <c r="D1514" s="553" t="s">
        <v>4305</v>
      </c>
      <c r="E1514" s="563">
        <f t="shared" si="100"/>
        <v>70</v>
      </c>
      <c r="F1514" s="563">
        <v>0</v>
      </c>
      <c r="G1514" s="563">
        <v>0</v>
      </c>
      <c r="H1514" s="563">
        <v>70</v>
      </c>
      <c r="I1514" s="563">
        <f t="shared" si="101"/>
        <v>51</v>
      </c>
      <c r="J1514" s="563">
        <v>0</v>
      </c>
      <c r="K1514" s="563">
        <v>0</v>
      </c>
      <c r="L1514" s="741">
        <v>51</v>
      </c>
      <c r="M1514" s="965">
        <v>0.72857142857142843</v>
      </c>
      <c r="N1514" s="653">
        <v>211.02051428571426</v>
      </c>
      <c r="O1514" s="746" t="s">
        <v>1127</v>
      </c>
      <c r="P1514" s="547" t="s">
        <v>1588</v>
      </c>
      <c r="Q1514" s="863">
        <v>0</v>
      </c>
      <c r="R1514" s="863">
        <v>0</v>
      </c>
      <c r="S1514" s="863">
        <v>0</v>
      </c>
      <c r="T1514" s="863">
        <v>0</v>
      </c>
      <c r="U1514" s="547"/>
      <c r="V1514" s="547" t="s">
        <v>4299</v>
      </c>
      <c r="W1514" s="658">
        <v>335</v>
      </c>
      <c r="X1514" s="547" t="s">
        <v>1532</v>
      </c>
      <c r="Y1514" s="547" t="s">
        <v>3336</v>
      </c>
      <c r="Z1514" s="547"/>
      <c r="AA1514" s="547"/>
      <c r="AB1514" s="550"/>
    </row>
    <row r="1515" spans="1:28" ht="24" customHeight="1">
      <c r="A1515" s="606"/>
      <c r="B1515" s="544" t="s">
        <v>675</v>
      </c>
      <c r="C1515" s="551" t="s">
        <v>4306</v>
      </c>
      <c r="D1515" s="553" t="s">
        <v>4307</v>
      </c>
      <c r="E1515" s="563">
        <f t="shared" si="100"/>
        <v>110</v>
      </c>
      <c r="F1515" s="563">
        <v>0</v>
      </c>
      <c r="G1515" s="563">
        <v>0</v>
      </c>
      <c r="H1515" s="563">
        <v>110</v>
      </c>
      <c r="I1515" s="563">
        <f t="shared" si="101"/>
        <v>70</v>
      </c>
      <c r="J1515" s="563">
        <v>0</v>
      </c>
      <c r="K1515" s="563">
        <v>0</v>
      </c>
      <c r="L1515" s="741">
        <v>70</v>
      </c>
      <c r="M1515" s="965">
        <v>0.63636363636363635</v>
      </c>
      <c r="N1515" s="653">
        <v>184.31381818181819</v>
      </c>
      <c r="O1515" s="746" t="s">
        <v>1127</v>
      </c>
      <c r="P1515" s="547" t="s">
        <v>1588</v>
      </c>
      <c r="Q1515" s="863">
        <v>0</v>
      </c>
      <c r="R1515" s="863">
        <v>0</v>
      </c>
      <c r="S1515" s="863">
        <v>0</v>
      </c>
      <c r="T1515" s="863">
        <v>0</v>
      </c>
      <c r="U1515" s="547"/>
      <c r="V1515" s="547" t="s">
        <v>4299</v>
      </c>
      <c r="W1515" s="658">
        <v>473</v>
      </c>
      <c r="X1515" s="547" t="s">
        <v>1532</v>
      </c>
      <c r="Y1515" s="547" t="s">
        <v>3336</v>
      </c>
      <c r="Z1515" s="547"/>
      <c r="AA1515" s="547"/>
      <c r="AB1515" s="550"/>
    </row>
    <row r="1516" spans="1:28" ht="24" customHeight="1">
      <c r="A1516" s="606"/>
      <c r="B1516" s="544" t="s">
        <v>675</v>
      </c>
      <c r="C1516" s="551" t="s">
        <v>4308</v>
      </c>
      <c r="D1516" s="553" t="s">
        <v>4309</v>
      </c>
      <c r="E1516" s="563">
        <f t="shared" si="100"/>
        <v>30</v>
      </c>
      <c r="F1516" s="563">
        <v>0</v>
      </c>
      <c r="G1516" s="563">
        <v>0</v>
      </c>
      <c r="H1516" s="563">
        <v>30</v>
      </c>
      <c r="I1516" s="563">
        <f t="shared" si="101"/>
        <v>21</v>
      </c>
      <c r="J1516" s="563">
        <v>0</v>
      </c>
      <c r="K1516" s="563">
        <v>0</v>
      </c>
      <c r="L1516" s="741">
        <v>21</v>
      </c>
      <c r="M1516" s="965">
        <v>0.7</v>
      </c>
      <c r="N1516" s="653">
        <v>202.74519999999998</v>
      </c>
      <c r="O1516" s="746" t="s">
        <v>4286</v>
      </c>
      <c r="P1516" s="547" t="s">
        <v>1588</v>
      </c>
      <c r="Q1516" s="863">
        <v>0</v>
      </c>
      <c r="R1516" s="863">
        <v>0</v>
      </c>
      <c r="S1516" s="863">
        <v>0</v>
      </c>
      <c r="T1516" s="863">
        <v>0</v>
      </c>
      <c r="U1516" s="547"/>
      <c r="V1516" s="547" t="s">
        <v>2098</v>
      </c>
      <c r="W1516" s="658">
        <v>310</v>
      </c>
      <c r="X1516" s="547" t="s">
        <v>1532</v>
      </c>
      <c r="Y1516" s="547" t="s">
        <v>3336</v>
      </c>
      <c r="Z1516" s="547"/>
      <c r="AA1516" s="547"/>
      <c r="AB1516" s="550"/>
    </row>
    <row r="1517" spans="1:28" ht="24" customHeight="1">
      <c r="A1517" s="606"/>
      <c r="B1517" s="544" t="s">
        <v>675</v>
      </c>
      <c r="C1517" s="551" t="s">
        <v>2043</v>
      </c>
      <c r="D1517" s="553" t="s">
        <v>4310</v>
      </c>
      <c r="E1517" s="563">
        <f t="shared" si="100"/>
        <v>60</v>
      </c>
      <c r="F1517" s="659">
        <v>0</v>
      </c>
      <c r="G1517" s="659">
        <v>0</v>
      </c>
      <c r="H1517" s="659">
        <v>60</v>
      </c>
      <c r="I1517" s="659">
        <f t="shared" si="101"/>
        <v>51</v>
      </c>
      <c r="J1517" s="659">
        <v>0</v>
      </c>
      <c r="K1517" s="659">
        <v>0</v>
      </c>
      <c r="L1517" s="741">
        <v>51</v>
      </c>
      <c r="M1517" s="965">
        <v>0.85</v>
      </c>
      <c r="N1517" s="653">
        <v>246.19060000000002</v>
      </c>
      <c r="O1517" s="746" t="s">
        <v>2967</v>
      </c>
      <c r="P1517" s="547" t="s">
        <v>1588</v>
      </c>
      <c r="Q1517" s="863">
        <v>0</v>
      </c>
      <c r="R1517" s="863">
        <v>0</v>
      </c>
      <c r="S1517" s="863">
        <v>0</v>
      </c>
      <c r="T1517" s="863">
        <v>0</v>
      </c>
      <c r="U1517" s="547"/>
      <c r="V1517" s="547" t="s">
        <v>4311</v>
      </c>
      <c r="W1517" s="658">
        <v>599</v>
      </c>
      <c r="X1517" s="547" t="s">
        <v>1532</v>
      </c>
      <c r="Y1517" s="547" t="s">
        <v>3336</v>
      </c>
      <c r="Z1517" s="547"/>
      <c r="AA1517" s="547"/>
      <c r="AB1517" s="550"/>
    </row>
    <row r="1518" spans="1:28" ht="24" customHeight="1">
      <c r="A1518" s="606"/>
      <c r="B1518" s="544" t="s">
        <v>675</v>
      </c>
      <c r="C1518" s="551" t="s">
        <v>4312</v>
      </c>
      <c r="D1518" s="553" t="s">
        <v>4313</v>
      </c>
      <c r="E1518" s="563">
        <f t="shared" si="100"/>
        <v>48</v>
      </c>
      <c r="F1518" s="659">
        <v>0</v>
      </c>
      <c r="G1518" s="659">
        <v>0</v>
      </c>
      <c r="H1518" s="659">
        <v>48</v>
      </c>
      <c r="I1518" s="659">
        <f t="shared" si="101"/>
        <v>39</v>
      </c>
      <c r="J1518" s="659">
        <v>0</v>
      </c>
      <c r="K1518" s="659">
        <v>0</v>
      </c>
      <c r="L1518" s="741">
        <v>39</v>
      </c>
      <c r="M1518" s="965">
        <v>0.8125</v>
      </c>
      <c r="N1518" s="653">
        <v>235.32925</v>
      </c>
      <c r="O1518" s="746" t="s">
        <v>4314</v>
      </c>
      <c r="P1518" s="547" t="s">
        <v>1588</v>
      </c>
      <c r="Q1518" s="863">
        <v>0</v>
      </c>
      <c r="R1518" s="863">
        <v>0</v>
      </c>
      <c r="S1518" s="863">
        <v>0</v>
      </c>
      <c r="T1518" s="863">
        <v>0</v>
      </c>
      <c r="U1518" s="547"/>
      <c r="V1518" s="547" t="s">
        <v>4315</v>
      </c>
      <c r="W1518" s="658">
        <v>488</v>
      </c>
      <c r="X1518" s="547" t="s">
        <v>1532</v>
      </c>
      <c r="Y1518" s="547" t="s">
        <v>3336</v>
      </c>
      <c r="Z1518" s="547"/>
      <c r="AA1518" s="547"/>
      <c r="AB1518" s="550"/>
    </row>
    <row r="1519" spans="1:28" ht="24" customHeight="1">
      <c r="A1519" s="606"/>
      <c r="B1519" s="544" t="s">
        <v>675</v>
      </c>
      <c r="C1519" s="551" t="s">
        <v>4316</v>
      </c>
      <c r="D1519" s="553" t="s">
        <v>4317</v>
      </c>
      <c r="E1519" s="563">
        <f>F1519+G1519+H1519</f>
        <v>30</v>
      </c>
      <c r="F1519" s="659">
        <v>0</v>
      </c>
      <c r="G1519" s="659">
        <v>0</v>
      </c>
      <c r="H1519" s="659">
        <v>30</v>
      </c>
      <c r="I1519" s="659">
        <f>J1519+K1519+L1519</f>
        <v>22</v>
      </c>
      <c r="J1519" s="659">
        <v>0</v>
      </c>
      <c r="K1519" s="659">
        <v>0</v>
      </c>
      <c r="L1519" s="741">
        <v>22</v>
      </c>
      <c r="M1519" s="965">
        <v>0.73333333333333328</v>
      </c>
      <c r="N1519" s="653">
        <v>212.3997333333333</v>
      </c>
      <c r="O1519" s="746" t="s">
        <v>4318</v>
      </c>
      <c r="P1519" s="547" t="s">
        <v>1588</v>
      </c>
      <c r="Q1519" s="863">
        <v>0</v>
      </c>
      <c r="R1519" s="863">
        <v>0</v>
      </c>
      <c r="S1519" s="863">
        <v>0</v>
      </c>
      <c r="T1519" s="863">
        <v>0</v>
      </c>
      <c r="U1519" s="547"/>
      <c r="V1519" s="547" t="s">
        <v>4319</v>
      </c>
      <c r="W1519" s="658">
        <v>444</v>
      </c>
      <c r="X1519" s="547" t="s">
        <v>1532</v>
      </c>
      <c r="Y1519" s="547" t="s">
        <v>3336</v>
      </c>
      <c r="Z1519" s="547"/>
      <c r="AA1519" s="547"/>
      <c r="AB1519" s="550"/>
    </row>
    <row r="1520" spans="1:28" ht="24" customHeight="1">
      <c r="A1520" s="606"/>
      <c r="B1520" s="544" t="s">
        <v>675</v>
      </c>
      <c r="C1520" s="551" t="s">
        <v>4320</v>
      </c>
      <c r="D1520" s="553" t="s">
        <v>4321</v>
      </c>
      <c r="E1520" s="563">
        <f t="shared" si="100"/>
        <v>120</v>
      </c>
      <c r="F1520" s="659">
        <v>0</v>
      </c>
      <c r="G1520" s="659">
        <v>0</v>
      </c>
      <c r="H1520" s="659">
        <v>120</v>
      </c>
      <c r="I1520" s="659">
        <f t="shared" si="101"/>
        <v>98</v>
      </c>
      <c r="J1520" s="659">
        <v>0</v>
      </c>
      <c r="K1520" s="659">
        <v>0</v>
      </c>
      <c r="L1520" s="741">
        <v>98</v>
      </c>
      <c r="M1520" s="965">
        <v>0.81666666666666676</v>
      </c>
      <c r="N1520" s="653">
        <v>236.5360666666667</v>
      </c>
      <c r="O1520" s="746" t="s">
        <v>4322</v>
      </c>
      <c r="P1520" s="547" t="s">
        <v>1588</v>
      </c>
      <c r="Q1520" s="863">
        <v>0</v>
      </c>
      <c r="R1520" s="863">
        <v>0</v>
      </c>
      <c r="S1520" s="863">
        <v>0</v>
      </c>
      <c r="T1520" s="863">
        <v>0</v>
      </c>
      <c r="U1520" s="547"/>
      <c r="V1520" s="547" t="s">
        <v>4323</v>
      </c>
      <c r="W1520" s="658">
        <v>890</v>
      </c>
      <c r="X1520" s="547" t="s">
        <v>1532</v>
      </c>
      <c r="Y1520" s="547" t="s">
        <v>3336</v>
      </c>
      <c r="Z1520" s="547"/>
      <c r="AA1520" s="547"/>
      <c r="AB1520" s="550"/>
    </row>
    <row r="1521" spans="1:28" ht="24" customHeight="1">
      <c r="A1521" s="605" t="s">
        <v>1732</v>
      </c>
      <c r="B1521" s="544" t="s">
        <v>2201</v>
      </c>
      <c r="C1521" s="551" t="s">
        <v>2040</v>
      </c>
      <c r="D1521" s="553" t="s">
        <v>4324</v>
      </c>
      <c r="E1521" s="659">
        <f t="shared" si="100"/>
        <v>11000</v>
      </c>
      <c r="F1521" s="659">
        <v>0</v>
      </c>
      <c r="G1521" s="659">
        <v>11000</v>
      </c>
      <c r="H1521" s="659">
        <v>0</v>
      </c>
      <c r="I1521" s="659">
        <f t="shared" si="101"/>
        <v>10600</v>
      </c>
      <c r="J1521" s="659">
        <v>0</v>
      </c>
      <c r="K1521" s="659">
        <v>10600</v>
      </c>
      <c r="L1521" s="741">
        <v>0</v>
      </c>
      <c r="M1521" s="965">
        <v>0.98095963442498091</v>
      </c>
      <c r="N1521" s="653">
        <v>1365.2800000000002</v>
      </c>
      <c r="O1521" s="746" t="s">
        <v>7271</v>
      </c>
      <c r="P1521" s="547" t="s">
        <v>1588</v>
      </c>
      <c r="Q1521" s="863">
        <v>26.2</v>
      </c>
      <c r="R1521" s="863">
        <v>0</v>
      </c>
      <c r="S1521" s="863">
        <v>21</v>
      </c>
      <c r="T1521" s="863">
        <v>0</v>
      </c>
      <c r="U1521" s="547" t="s">
        <v>7489</v>
      </c>
      <c r="V1521" s="548" t="s">
        <v>4325</v>
      </c>
      <c r="W1521" s="658">
        <v>20411</v>
      </c>
      <c r="X1521" s="547" t="s">
        <v>2193</v>
      </c>
      <c r="Y1521" s="547" t="s">
        <v>1533</v>
      </c>
      <c r="Z1521" s="547" t="s">
        <v>1733</v>
      </c>
      <c r="AA1521" s="547" t="s">
        <v>1591</v>
      </c>
      <c r="AB1521" s="550" t="s">
        <v>1591</v>
      </c>
    </row>
    <row r="1522" spans="1:28" ht="24" customHeight="1">
      <c r="A1522" s="606"/>
      <c r="B1522" s="544" t="s">
        <v>675</v>
      </c>
      <c r="C1522" s="551" t="s">
        <v>4326</v>
      </c>
      <c r="D1522" s="553" t="s">
        <v>4327</v>
      </c>
      <c r="E1522" s="659">
        <f t="shared" si="100"/>
        <v>20</v>
      </c>
      <c r="F1522" s="659">
        <v>0</v>
      </c>
      <c r="G1522" s="659">
        <v>20</v>
      </c>
      <c r="H1522" s="659">
        <v>0</v>
      </c>
      <c r="I1522" s="659">
        <f t="shared" si="101"/>
        <v>20</v>
      </c>
      <c r="J1522" s="659">
        <v>0</v>
      </c>
      <c r="K1522" s="659">
        <v>20</v>
      </c>
      <c r="L1522" s="741">
        <v>0</v>
      </c>
      <c r="M1522" s="965">
        <v>0</v>
      </c>
      <c r="N1522" s="653">
        <v>0</v>
      </c>
      <c r="O1522" s="746" t="s">
        <v>3230</v>
      </c>
      <c r="P1522" s="547" t="s">
        <v>1588</v>
      </c>
      <c r="Q1522" s="863">
        <v>0</v>
      </c>
      <c r="R1522" s="863">
        <v>0</v>
      </c>
      <c r="S1522" s="863">
        <v>0</v>
      </c>
      <c r="T1522" s="863">
        <v>0</v>
      </c>
      <c r="U1522" s="547" t="s">
        <v>7490</v>
      </c>
      <c r="V1522" s="547" t="s">
        <v>4328</v>
      </c>
      <c r="W1522" s="658">
        <v>295</v>
      </c>
      <c r="X1522" s="547" t="s">
        <v>2193</v>
      </c>
      <c r="Y1522" s="547" t="s">
        <v>3161</v>
      </c>
      <c r="Z1522" s="547" t="s">
        <v>4329</v>
      </c>
      <c r="AA1522" s="547" t="s">
        <v>1733</v>
      </c>
      <c r="AB1522" s="550" t="s">
        <v>1591</v>
      </c>
    </row>
    <row r="1523" spans="1:28" ht="24" customHeight="1">
      <c r="A1523" s="606"/>
      <c r="B1523" s="544" t="s">
        <v>675</v>
      </c>
      <c r="C1523" s="551" t="s">
        <v>4330</v>
      </c>
      <c r="D1523" s="553" t="s">
        <v>4331</v>
      </c>
      <c r="E1523" s="662">
        <f t="shared" si="100"/>
        <v>40</v>
      </c>
      <c r="F1523" s="659">
        <v>0</v>
      </c>
      <c r="G1523" s="662">
        <v>40</v>
      </c>
      <c r="H1523" s="659">
        <v>0</v>
      </c>
      <c r="I1523" s="662">
        <f t="shared" si="101"/>
        <v>40</v>
      </c>
      <c r="J1523" s="659">
        <v>0</v>
      </c>
      <c r="K1523" s="662">
        <v>40</v>
      </c>
      <c r="L1523" s="741">
        <v>0</v>
      </c>
      <c r="M1523" s="965">
        <v>0</v>
      </c>
      <c r="N1523" s="653">
        <v>0</v>
      </c>
      <c r="O1523" s="746" t="s">
        <v>4332</v>
      </c>
      <c r="P1523" s="547" t="s">
        <v>1588</v>
      </c>
      <c r="Q1523" s="863">
        <v>0</v>
      </c>
      <c r="R1523" s="863">
        <v>0</v>
      </c>
      <c r="S1523" s="863">
        <v>0</v>
      </c>
      <c r="T1523" s="863">
        <v>0</v>
      </c>
      <c r="U1523" s="547" t="s">
        <v>7490</v>
      </c>
      <c r="V1523" s="547" t="s">
        <v>4333</v>
      </c>
      <c r="W1523" s="658">
        <v>230</v>
      </c>
      <c r="X1523" s="547" t="s">
        <v>2193</v>
      </c>
      <c r="Y1523" s="547" t="s">
        <v>3161</v>
      </c>
      <c r="Z1523" s="547" t="s">
        <v>1733</v>
      </c>
      <c r="AA1523" s="547" t="s">
        <v>1733</v>
      </c>
      <c r="AB1523" s="550" t="s">
        <v>1591</v>
      </c>
    </row>
    <row r="1524" spans="1:28" ht="24" customHeight="1">
      <c r="A1524" s="606"/>
      <c r="B1524" s="544" t="s">
        <v>675</v>
      </c>
      <c r="C1524" s="551" t="s">
        <v>4334</v>
      </c>
      <c r="D1524" s="553" t="s">
        <v>4335</v>
      </c>
      <c r="E1524" s="659">
        <f t="shared" si="100"/>
        <v>60</v>
      </c>
      <c r="F1524" s="659">
        <v>0</v>
      </c>
      <c r="G1524" s="659">
        <v>60</v>
      </c>
      <c r="H1524" s="659">
        <v>0</v>
      </c>
      <c r="I1524" s="659">
        <f t="shared" si="101"/>
        <v>60</v>
      </c>
      <c r="J1524" s="659">
        <v>0</v>
      </c>
      <c r="K1524" s="659">
        <v>60</v>
      </c>
      <c r="L1524" s="741">
        <v>0</v>
      </c>
      <c r="M1524" s="965">
        <v>0</v>
      </c>
      <c r="N1524" s="653">
        <v>0</v>
      </c>
      <c r="O1524" s="746" t="s">
        <v>4237</v>
      </c>
      <c r="P1524" s="547" t="s">
        <v>1588</v>
      </c>
      <c r="Q1524" s="863">
        <v>0</v>
      </c>
      <c r="R1524" s="863">
        <v>0</v>
      </c>
      <c r="S1524" s="863">
        <v>0</v>
      </c>
      <c r="T1524" s="863">
        <v>0</v>
      </c>
      <c r="U1524" s="547" t="s">
        <v>7490</v>
      </c>
      <c r="V1524" s="547" t="s">
        <v>4336</v>
      </c>
      <c r="W1524" s="658">
        <v>332</v>
      </c>
      <c r="X1524" s="547" t="s">
        <v>2193</v>
      </c>
      <c r="Y1524" s="547" t="s">
        <v>3161</v>
      </c>
      <c r="Z1524" s="547" t="s">
        <v>3028</v>
      </c>
      <c r="AA1524" s="547" t="s">
        <v>1591</v>
      </c>
      <c r="AB1524" s="550" t="s">
        <v>1591</v>
      </c>
    </row>
    <row r="1525" spans="1:28" ht="24" customHeight="1">
      <c r="A1525" s="606"/>
      <c r="B1525" s="544" t="s">
        <v>675</v>
      </c>
      <c r="C1525" s="551" t="s">
        <v>4337</v>
      </c>
      <c r="D1525" s="553" t="s">
        <v>4338</v>
      </c>
      <c r="E1525" s="662">
        <f t="shared" si="100"/>
        <v>30</v>
      </c>
      <c r="F1525" s="659">
        <v>0</v>
      </c>
      <c r="G1525" s="662">
        <v>30</v>
      </c>
      <c r="H1525" s="659">
        <v>0</v>
      </c>
      <c r="I1525" s="662">
        <f t="shared" si="101"/>
        <v>30</v>
      </c>
      <c r="J1525" s="659">
        <v>0</v>
      </c>
      <c r="K1525" s="662">
        <v>30</v>
      </c>
      <c r="L1525" s="741">
        <v>0</v>
      </c>
      <c r="M1525" s="965">
        <v>0</v>
      </c>
      <c r="N1525" s="653">
        <v>0</v>
      </c>
      <c r="O1525" s="746" t="s">
        <v>4339</v>
      </c>
      <c r="P1525" s="547" t="s">
        <v>1588</v>
      </c>
      <c r="Q1525" s="863">
        <v>0</v>
      </c>
      <c r="R1525" s="863">
        <v>0</v>
      </c>
      <c r="S1525" s="863">
        <v>0</v>
      </c>
      <c r="T1525" s="863">
        <v>0</v>
      </c>
      <c r="U1525" s="547" t="s">
        <v>7490</v>
      </c>
      <c r="V1525" s="547" t="s">
        <v>4340</v>
      </c>
      <c r="W1525" s="658">
        <v>94</v>
      </c>
      <c r="X1525" s="547" t="s">
        <v>2193</v>
      </c>
      <c r="Y1525" s="547" t="s">
        <v>3161</v>
      </c>
      <c r="Z1525" s="547" t="s">
        <v>3028</v>
      </c>
      <c r="AA1525" s="547" t="s">
        <v>1591</v>
      </c>
      <c r="AB1525" s="550" t="s">
        <v>1591</v>
      </c>
    </row>
    <row r="1526" spans="1:28" ht="24" customHeight="1">
      <c r="A1526" s="606"/>
      <c r="B1526" s="544" t="s">
        <v>675</v>
      </c>
      <c r="C1526" s="551" t="s">
        <v>4341</v>
      </c>
      <c r="D1526" s="553" t="s">
        <v>4342</v>
      </c>
      <c r="E1526" s="662">
        <f t="shared" si="100"/>
        <v>30</v>
      </c>
      <c r="F1526" s="659">
        <v>0</v>
      </c>
      <c r="G1526" s="662">
        <v>30</v>
      </c>
      <c r="H1526" s="659">
        <v>0</v>
      </c>
      <c r="I1526" s="662">
        <f t="shared" si="101"/>
        <v>30</v>
      </c>
      <c r="J1526" s="659">
        <v>0</v>
      </c>
      <c r="K1526" s="662">
        <v>30</v>
      </c>
      <c r="L1526" s="741">
        <v>0</v>
      </c>
      <c r="M1526" s="965">
        <v>0</v>
      </c>
      <c r="N1526" s="653">
        <v>0</v>
      </c>
      <c r="O1526" s="746" t="s">
        <v>4343</v>
      </c>
      <c r="P1526" s="547" t="s">
        <v>1588</v>
      </c>
      <c r="Q1526" s="863">
        <v>0</v>
      </c>
      <c r="R1526" s="863">
        <v>0</v>
      </c>
      <c r="S1526" s="863">
        <v>0</v>
      </c>
      <c r="T1526" s="863">
        <v>0</v>
      </c>
      <c r="U1526" s="547" t="s">
        <v>7490</v>
      </c>
      <c r="V1526" s="547" t="s">
        <v>4276</v>
      </c>
      <c r="W1526" s="658">
        <v>67</v>
      </c>
      <c r="X1526" s="547" t="s">
        <v>2193</v>
      </c>
      <c r="Y1526" s="547" t="s">
        <v>3161</v>
      </c>
      <c r="Z1526" s="547" t="s">
        <v>3028</v>
      </c>
      <c r="AA1526" s="547" t="s">
        <v>1591</v>
      </c>
      <c r="AB1526" s="550" t="s">
        <v>1591</v>
      </c>
    </row>
    <row r="1527" spans="1:28" ht="24" customHeight="1">
      <c r="A1527" s="606"/>
      <c r="B1527" s="544" t="s">
        <v>675</v>
      </c>
      <c r="C1527" s="551" t="s">
        <v>4344</v>
      </c>
      <c r="D1527" s="553" t="s">
        <v>4345</v>
      </c>
      <c r="E1527" s="662">
        <f t="shared" si="100"/>
        <v>30</v>
      </c>
      <c r="F1527" s="659">
        <v>0</v>
      </c>
      <c r="G1527" s="662">
        <v>30</v>
      </c>
      <c r="H1527" s="659">
        <v>0</v>
      </c>
      <c r="I1527" s="662">
        <f t="shared" si="101"/>
        <v>30</v>
      </c>
      <c r="J1527" s="659">
        <v>0</v>
      </c>
      <c r="K1527" s="662">
        <v>30</v>
      </c>
      <c r="L1527" s="741">
        <v>0</v>
      </c>
      <c r="M1527" s="965">
        <v>0</v>
      </c>
      <c r="N1527" s="653">
        <v>0</v>
      </c>
      <c r="O1527" s="746" t="s">
        <v>4346</v>
      </c>
      <c r="P1527" s="547" t="s">
        <v>1588</v>
      </c>
      <c r="Q1527" s="863">
        <v>0</v>
      </c>
      <c r="R1527" s="863">
        <v>0</v>
      </c>
      <c r="S1527" s="863">
        <v>0</v>
      </c>
      <c r="T1527" s="863">
        <v>0</v>
      </c>
      <c r="U1527" s="547" t="s">
        <v>7490</v>
      </c>
      <c r="V1527" s="547" t="s">
        <v>4347</v>
      </c>
      <c r="W1527" s="658">
        <v>200</v>
      </c>
      <c r="X1527" s="547" t="s">
        <v>2193</v>
      </c>
      <c r="Y1527" s="547" t="s">
        <v>3161</v>
      </c>
      <c r="Z1527" s="547" t="s">
        <v>3028</v>
      </c>
      <c r="AA1527" s="547" t="s">
        <v>1591</v>
      </c>
      <c r="AB1527" s="550" t="s">
        <v>1591</v>
      </c>
    </row>
    <row r="1528" spans="1:28" ht="24" customHeight="1">
      <c r="A1528" s="606"/>
      <c r="B1528" s="544" t="s">
        <v>675</v>
      </c>
      <c r="C1528" s="551" t="s">
        <v>4348</v>
      </c>
      <c r="D1528" s="553" t="s">
        <v>4349</v>
      </c>
      <c r="E1528" s="563">
        <f t="shared" si="100"/>
        <v>45</v>
      </c>
      <c r="F1528" s="659">
        <v>0</v>
      </c>
      <c r="G1528" s="659">
        <v>45</v>
      </c>
      <c r="H1528" s="659">
        <v>0</v>
      </c>
      <c r="I1528" s="659">
        <f t="shared" si="101"/>
        <v>45</v>
      </c>
      <c r="J1528" s="659">
        <v>0</v>
      </c>
      <c r="K1528" s="659">
        <v>45</v>
      </c>
      <c r="L1528" s="741">
        <v>0</v>
      </c>
      <c r="M1528" s="965">
        <v>0</v>
      </c>
      <c r="N1528" s="653">
        <v>0</v>
      </c>
      <c r="O1528" s="746" t="s">
        <v>4350</v>
      </c>
      <c r="P1528" s="547" t="s">
        <v>1588</v>
      </c>
      <c r="Q1528" s="863">
        <v>0</v>
      </c>
      <c r="R1528" s="863">
        <v>0</v>
      </c>
      <c r="S1528" s="863">
        <v>0</v>
      </c>
      <c r="T1528" s="863">
        <v>0</v>
      </c>
      <c r="U1528" s="547" t="s">
        <v>7490</v>
      </c>
      <c r="V1528" s="548" t="s">
        <v>4351</v>
      </c>
      <c r="W1528" s="658">
        <v>876</v>
      </c>
      <c r="X1528" s="547" t="s">
        <v>2193</v>
      </c>
      <c r="Y1528" s="547" t="s">
        <v>3161</v>
      </c>
      <c r="Z1528" s="547" t="s">
        <v>4352</v>
      </c>
      <c r="AA1528" s="547" t="s">
        <v>1591</v>
      </c>
      <c r="AB1528" s="550" t="s">
        <v>1591</v>
      </c>
    </row>
    <row r="1529" spans="1:28" ht="24" customHeight="1">
      <c r="A1529" s="606"/>
      <c r="B1529" s="544" t="s">
        <v>675</v>
      </c>
      <c r="C1529" s="551" t="s">
        <v>4353</v>
      </c>
      <c r="D1529" s="553" t="s">
        <v>4354</v>
      </c>
      <c r="E1529" s="662">
        <f t="shared" si="100"/>
        <v>30</v>
      </c>
      <c r="F1529" s="659">
        <v>0</v>
      </c>
      <c r="G1529" s="662">
        <v>30</v>
      </c>
      <c r="H1529" s="659">
        <v>0</v>
      </c>
      <c r="I1529" s="662">
        <f t="shared" si="101"/>
        <v>30</v>
      </c>
      <c r="J1529" s="659">
        <v>0</v>
      </c>
      <c r="K1529" s="662">
        <v>30</v>
      </c>
      <c r="L1529" s="741">
        <v>0</v>
      </c>
      <c r="M1529" s="965">
        <v>0</v>
      </c>
      <c r="N1529" s="653">
        <v>0</v>
      </c>
      <c r="O1529" s="746" t="s">
        <v>4355</v>
      </c>
      <c r="P1529" s="547" t="s">
        <v>1588</v>
      </c>
      <c r="Q1529" s="863">
        <v>0</v>
      </c>
      <c r="R1529" s="863">
        <v>0</v>
      </c>
      <c r="S1529" s="863">
        <v>0</v>
      </c>
      <c r="T1529" s="863">
        <v>0</v>
      </c>
      <c r="U1529" s="547" t="s">
        <v>7490</v>
      </c>
      <c r="V1529" s="547" t="s">
        <v>4356</v>
      </c>
      <c r="W1529" s="658">
        <v>190</v>
      </c>
      <c r="X1529" s="547" t="s">
        <v>2193</v>
      </c>
      <c r="Y1529" s="547" t="s">
        <v>3161</v>
      </c>
      <c r="Z1529" s="547" t="s">
        <v>1734</v>
      </c>
      <c r="AA1529" s="547" t="s">
        <v>1591</v>
      </c>
      <c r="AB1529" s="550" t="s">
        <v>1591</v>
      </c>
    </row>
    <row r="1530" spans="1:28" ht="24" customHeight="1">
      <c r="A1530" s="606"/>
      <c r="B1530" s="544" t="s">
        <v>675</v>
      </c>
      <c r="C1530" s="551" t="s">
        <v>2105</v>
      </c>
      <c r="D1530" s="553" t="s">
        <v>4357</v>
      </c>
      <c r="E1530" s="662">
        <f t="shared" si="100"/>
        <v>30</v>
      </c>
      <c r="F1530" s="659">
        <v>0</v>
      </c>
      <c r="G1530" s="662">
        <v>30</v>
      </c>
      <c r="H1530" s="659">
        <v>0</v>
      </c>
      <c r="I1530" s="662">
        <f t="shared" si="101"/>
        <v>30</v>
      </c>
      <c r="J1530" s="659">
        <v>0</v>
      </c>
      <c r="K1530" s="662">
        <v>30</v>
      </c>
      <c r="L1530" s="741">
        <v>0</v>
      </c>
      <c r="M1530" s="965">
        <v>0</v>
      </c>
      <c r="N1530" s="653">
        <v>0</v>
      </c>
      <c r="O1530" s="746" t="s">
        <v>4358</v>
      </c>
      <c r="P1530" s="547" t="s">
        <v>1588</v>
      </c>
      <c r="Q1530" s="863">
        <v>0</v>
      </c>
      <c r="R1530" s="863">
        <v>0</v>
      </c>
      <c r="S1530" s="863">
        <v>0</v>
      </c>
      <c r="T1530" s="863">
        <v>0</v>
      </c>
      <c r="U1530" s="547" t="s">
        <v>7490</v>
      </c>
      <c r="V1530" s="547" t="s">
        <v>4359</v>
      </c>
      <c r="W1530" s="658">
        <v>362</v>
      </c>
      <c r="X1530" s="547" t="s">
        <v>2193</v>
      </c>
      <c r="Y1530" s="547" t="s">
        <v>3161</v>
      </c>
      <c r="Z1530" s="547" t="s">
        <v>1734</v>
      </c>
      <c r="AA1530" s="547" t="s">
        <v>1591</v>
      </c>
      <c r="AB1530" s="550" t="s">
        <v>1591</v>
      </c>
    </row>
    <row r="1531" spans="1:28" ht="24" customHeight="1">
      <c r="A1531" s="606"/>
      <c r="B1531" s="544" t="s">
        <v>675</v>
      </c>
      <c r="C1531" s="551" t="s">
        <v>811</v>
      </c>
      <c r="D1531" s="553" t="s">
        <v>4360</v>
      </c>
      <c r="E1531" s="662">
        <f t="shared" si="100"/>
        <v>40</v>
      </c>
      <c r="F1531" s="659">
        <v>0</v>
      </c>
      <c r="G1531" s="662">
        <v>40</v>
      </c>
      <c r="H1531" s="659">
        <v>0</v>
      </c>
      <c r="I1531" s="662">
        <f t="shared" si="101"/>
        <v>40</v>
      </c>
      <c r="J1531" s="659">
        <v>0</v>
      </c>
      <c r="K1531" s="662">
        <v>40</v>
      </c>
      <c r="L1531" s="741">
        <v>0</v>
      </c>
      <c r="M1531" s="965">
        <v>0</v>
      </c>
      <c r="N1531" s="653">
        <v>0</v>
      </c>
      <c r="O1531" s="746" t="s">
        <v>3948</v>
      </c>
      <c r="P1531" s="547" t="s">
        <v>1588</v>
      </c>
      <c r="Q1531" s="863">
        <v>0</v>
      </c>
      <c r="R1531" s="863">
        <v>0</v>
      </c>
      <c r="S1531" s="863">
        <v>0</v>
      </c>
      <c r="T1531" s="863">
        <v>0</v>
      </c>
      <c r="U1531" s="547" t="s">
        <v>7490</v>
      </c>
      <c r="V1531" s="547" t="s">
        <v>4361</v>
      </c>
      <c r="W1531" s="658">
        <v>380</v>
      </c>
      <c r="X1531" s="547" t="s">
        <v>2193</v>
      </c>
      <c r="Y1531" s="547" t="s">
        <v>3161</v>
      </c>
      <c r="Z1531" s="547" t="s">
        <v>1734</v>
      </c>
      <c r="AA1531" s="547" t="s">
        <v>1591</v>
      </c>
      <c r="AB1531" s="550" t="s">
        <v>1591</v>
      </c>
    </row>
    <row r="1532" spans="1:28" ht="24" customHeight="1">
      <c r="A1532" s="606"/>
      <c r="B1532" s="544" t="s">
        <v>675</v>
      </c>
      <c r="C1532" s="551" t="s">
        <v>4362</v>
      </c>
      <c r="D1532" s="553" t="s">
        <v>4363</v>
      </c>
      <c r="E1532" s="662">
        <f t="shared" si="100"/>
        <v>40</v>
      </c>
      <c r="F1532" s="659">
        <v>0</v>
      </c>
      <c r="G1532" s="662">
        <v>40</v>
      </c>
      <c r="H1532" s="659">
        <v>0</v>
      </c>
      <c r="I1532" s="662">
        <f t="shared" si="101"/>
        <v>40</v>
      </c>
      <c r="J1532" s="659">
        <v>0</v>
      </c>
      <c r="K1532" s="662">
        <v>40</v>
      </c>
      <c r="L1532" s="741">
        <v>0</v>
      </c>
      <c r="M1532" s="965">
        <v>0</v>
      </c>
      <c r="N1532" s="653">
        <v>0</v>
      </c>
      <c r="O1532" s="746" t="s">
        <v>6489</v>
      </c>
      <c r="P1532" s="547" t="s">
        <v>1588</v>
      </c>
      <c r="Q1532" s="863">
        <v>0</v>
      </c>
      <c r="R1532" s="863">
        <v>0</v>
      </c>
      <c r="S1532" s="863">
        <v>0</v>
      </c>
      <c r="T1532" s="863">
        <v>0</v>
      </c>
      <c r="U1532" s="547" t="s">
        <v>7490</v>
      </c>
      <c r="V1532" s="548" t="s">
        <v>4364</v>
      </c>
      <c r="W1532" s="658">
        <v>919</v>
      </c>
      <c r="X1532" s="547" t="s">
        <v>2193</v>
      </c>
      <c r="Y1532" s="547" t="s">
        <v>3161</v>
      </c>
      <c r="Z1532" s="547" t="s">
        <v>1734</v>
      </c>
      <c r="AA1532" s="547" t="s">
        <v>1591</v>
      </c>
      <c r="AB1532" s="550" t="s">
        <v>1591</v>
      </c>
    </row>
    <row r="1533" spans="1:28" ht="24" customHeight="1">
      <c r="A1533" s="606"/>
      <c r="B1533" s="544" t="s">
        <v>675</v>
      </c>
      <c r="C1533" s="551" t="s">
        <v>2125</v>
      </c>
      <c r="D1533" s="553" t="s">
        <v>4365</v>
      </c>
      <c r="E1533" s="659">
        <f t="shared" si="100"/>
        <v>50</v>
      </c>
      <c r="F1533" s="659">
        <v>0</v>
      </c>
      <c r="G1533" s="659">
        <v>50</v>
      </c>
      <c r="H1533" s="659">
        <v>0</v>
      </c>
      <c r="I1533" s="659">
        <f t="shared" si="101"/>
        <v>50</v>
      </c>
      <c r="J1533" s="659">
        <v>0</v>
      </c>
      <c r="K1533" s="659">
        <v>50</v>
      </c>
      <c r="L1533" s="741">
        <v>0</v>
      </c>
      <c r="M1533" s="965">
        <v>0</v>
      </c>
      <c r="N1533" s="653">
        <v>0</v>
      </c>
      <c r="O1533" s="746" t="s">
        <v>938</v>
      </c>
      <c r="P1533" s="547" t="s">
        <v>1588</v>
      </c>
      <c r="Q1533" s="863">
        <v>0</v>
      </c>
      <c r="R1533" s="863">
        <v>0</v>
      </c>
      <c r="S1533" s="863">
        <v>0</v>
      </c>
      <c r="T1533" s="863">
        <v>0</v>
      </c>
      <c r="U1533" s="547" t="s">
        <v>7490</v>
      </c>
      <c r="V1533" s="547" t="s">
        <v>4366</v>
      </c>
      <c r="W1533" s="658">
        <v>400</v>
      </c>
      <c r="X1533" s="547" t="s">
        <v>2193</v>
      </c>
      <c r="Y1533" s="547" t="s">
        <v>3161</v>
      </c>
      <c r="Z1533" s="547" t="s">
        <v>1735</v>
      </c>
      <c r="AA1533" s="547" t="s">
        <v>1733</v>
      </c>
      <c r="AB1533" s="550" t="s">
        <v>1591</v>
      </c>
    </row>
    <row r="1534" spans="1:28" ht="24" customHeight="1">
      <c r="A1534" s="606"/>
      <c r="B1534" s="544" t="s">
        <v>675</v>
      </c>
      <c r="C1534" s="551" t="s">
        <v>4367</v>
      </c>
      <c r="D1534" s="553" t="s">
        <v>4368</v>
      </c>
      <c r="E1534" s="662">
        <f t="shared" si="100"/>
        <v>30</v>
      </c>
      <c r="F1534" s="659">
        <v>0</v>
      </c>
      <c r="G1534" s="662">
        <v>30</v>
      </c>
      <c r="H1534" s="659">
        <v>0</v>
      </c>
      <c r="I1534" s="662">
        <f t="shared" si="101"/>
        <v>30</v>
      </c>
      <c r="J1534" s="659">
        <v>0</v>
      </c>
      <c r="K1534" s="662">
        <v>30</v>
      </c>
      <c r="L1534" s="741">
        <v>0</v>
      </c>
      <c r="M1534" s="965">
        <v>0</v>
      </c>
      <c r="N1534" s="653">
        <v>0</v>
      </c>
      <c r="O1534" s="746" t="s">
        <v>6489</v>
      </c>
      <c r="P1534" s="547" t="s">
        <v>1588</v>
      </c>
      <c r="Q1534" s="863">
        <v>0</v>
      </c>
      <c r="R1534" s="863">
        <v>0</v>
      </c>
      <c r="S1534" s="863">
        <v>0</v>
      </c>
      <c r="T1534" s="863">
        <v>0</v>
      </c>
      <c r="U1534" s="547" t="s">
        <v>7490</v>
      </c>
      <c r="V1534" s="547" t="s">
        <v>2075</v>
      </c>
      <c r="W1534" s="658">
        <v>320</v>
      </c>
      <c r="X1534" s="547" t="s">
        <v>2193</v>
      </c>
      <c r="Y1534" s="547" t="s">
        <v>3161</v>
      </c>
      <c r="Z1534" s="547" t="s">
        <v>1735</v>
      </c>
      <c r="AA1534" s="547" t="s">
        <v>1733</v>
      </c>
      <c r="AB1534" s="550" t="s">
        <v>1591</v>
      </c>
    </row>
    <row r="1535" spans="1:28" ht="24" customHeight="1">
      <c r="A1535" s="606"/>
      <c r="B1535" s="544" t="s">
        <v>675</v>
      </c>
      <c r="C1535" s="551" t="s">
        <v>6638</v>
      </c>
      <c r="D1535" s="553" t="s">
        <v>4369</v>
      </c>
      <c r="E1535" s="662">
        <f t="shared" si="100"/>
        <v>30</v>
      </c>
      <c r="F1535" s="659">
        <v>0</v>
      </c>
      <c r="G1535" s="662">
        <v>30</v>
      </c>
      <c r="H1535" s="659">
        <v>0</v>
      </c>
      <c r="I1535" s="662">
        <f t="shared" si="101"/>
        <v>30</v>
      </c>
      <c r="J1535" s="659">
        <v>0</v>
      </c>
      <c r="K1535" s="662">
        <v>30</v>
      </c>
      <c r="L1535" s="741">
        <v>0</v>
      </c>
      <c r="M1535" s="965">
        <v>0</v>
      </c>
      <c r="N1535" s="653">
        <v>0</v>
      </c>
      <c r="O1535" s="746" t="s">
        <v>4370</v>
      </c>
      <c r="P1535" s="547" t="s">
        <v>1588</v>
      </c>
      <c r="Q1535" s="863">
        <v>0</v>
      </c>
      <c r="R1535" s="863">
        <v>0</v>
      </c>
      <c r="S1535" s="863">
        <v>0</v>
      </c>
      <c r="T1535" s="863">
        <v>0</v>
      </c>
      <c r="U1535" s="547" t="s">
        <v>7490</v>
      </c>
      <c r="V1535" s="547" t="s">
        <v>2565</v>
      </c>
      <c r="W1535" s="658">
        <v>109</v>
      </c>
      <c r="X1535" s="547" t="s">
        <v>2193</v>
      </c>
      <c r="Y1535" s="547" t="s">
        <v>3161</v>
      </c>
      <c r="Z1535" s="547" t="s">
        <v>1735</v>
      </c>
      <c r="AA1535" s="547" t="s">
        <v>1733</v>
      </c>
      <c r="AB1535" s="550" t="s">
        <v>1591</v>
      </c>
    </row>
    <row r="1536" spans="1:28" ht="24" customHeight="1">
      <c r="A1536" s="606"/>
      <c r="B1536" s="544" t="s">
        <v>675</v>
      </c>
      <c r="C1536" s="551" t="s">
        <v>4371</v>
      </c>
      <c r="D1536" s="553" t="s">
        <v>4372</v>
      </c>
      <c r="E1536" s="662">
        <f t="shared" si="100"/>
        <v>40</v>
      </c>
      <c r="F1536" s="659">
        <v>0</v>
      </c>
      <c r="G1536" s="662">
        <v>40</v>
      </c>
      <c r="H1536" s="659">
        <v>0</v>
      </c>
      <c r="I1536" s="662">
        <f t="shared" si="101"/>
        <v>40</v>
      </c>
      <c r="J1536" s="659">
        <v>0</v>
      </c>
      <c r="K1536" s="662">
        <v>40</v>
      </c>
      <c r="L1536" s="741">
        <v>0</v>
      </c>
      <c r="M1536" s="965">
        <v>0</v>
      </c>
      <c r="N1536" s="653">
        <v>0</v>
      </c>
      <c r="O1536" s="746" t="s">
        <v>6489</v>
      </c>
      <c r="P1536" s="547" t="s">
        <v>1588</v>
      </c>
      <c r="Q1536" s="863">
        <v>0</v>
      </c>
      <c r="R1536" s="863">
        <v>0</v>
      </c>
      <c r="S1536" s="863">
        <v>0</v>
      </c>
      <c r="T1536" s="863">
        <v>0</v>
      </c>
      <c r="U1536" s="547" t="s">
        <v>7490</v>
      </c>
      <c r="V1536" s="548" t="s">
        <v>4373</v>
      </c>
      <c r="W1536" s="658">
        <v>671</v>
      </c>
      <c r="X1536" s="547" t="s">
        <v>2193</v>
      </c>
      <c r="Y1536" s="547" t="s">
        <v>3161</v>
      </c>
      <c r="Z1536" s="547" t="s">
        <v>1735</v>
      </c>
      <c r="AA1536" s="547" t="s">
        <v>1733</v>
      </c>
      <c r="AB1536" s="550" t="s">
        <v>1591</v>
      </c>
    </row>
    <row r="1537" spans="1:28" ht="24" customHeight="1">
      <c r="A1537" s="606"/>
      <c r="B1537" s="544" t="s">
        <v>675</v>
      </c>
      <c r="C1537" s="551" t="s">
        <v>4374</v>
      </c>
      <c r="D1537" s="553" t="s">
        <v>4375</v>
      </c>
      <c r="E1537" s="659">
        <f t="shared" si="100"/>
        <v>110</v>
      </c>
      <c r="F1537" s="659">
        <v>0</v>
      </c>
      <c r="G1537" s="659">
        <v>110</v>
      </c>
      <c r="H1537" s="659">
        <v>0</v>
      </c>
      <c r="I1537" s="659">
        <f t="shared" si="101"/>
        <v>110</v>
      </c>
      <c r="J1537" s="659">
        <v>0</v>
      </c>
      <c r="K1537" s="659">
        <v>110</v>
      </c>
      <c r="L1537" s="741">
        <v>0</v>
      </c>
      <c r="M1537" s="965">
        <v>0</v>
      </c>
      <c r="N1537" s="653">
        <v>0</v>
      </c>
      <c r="O1537" s="746" t="s">
        <v>4376</v>
      </c>
      <c r="P1537" s="547" t="s">
        <v>1588</v>
      </c>
      <c r="Q1537" s="863">
        <v>0</v>
      </c>
      <c r="R1537" s="863">
        <v>0</v>
      </c>
      <c r="S1537" s="863">
        <v>0</v>
      </c>
      <c r="T1537" s="863">
        <v>0</v>
      </c>
      <c r="U1537" s="547" t="s">
        <v>7490</v>
      </c>
      <c r="V1537" s="547" t="s">
        <v>4377</v>
      </c>
      <c r="W1537" s="658">
        <v>448</v>
      </c>
      <c r="X1537" s="547" t="s">
        <v>2193</v>
      </c>
      <c r="Y1537" s="547" t="s">
        <v>3161</v>
      </c>
      <c r="Z1537" s="547" t="s">
        <v>1730</v>
      </c>
      <c r="AA1537" s="547" t="s">
        <v>1591</v>
      </c>
      <c r="AB1537" s="550" t="s">
        <v>1591</v>
      </c>
    </row>
    <row r="1538" spans="1:28" ht="24" customHeight="1">
      <c r="A1538" s="606"/>
      <c r="B1538" s="544" t="s">
        <v>675</v>
      </c>
      <c r="C1538" s="551" t="s">
        <v>4378</v>
      </c>
      <c r="D1538" s="553" t="s">
        <v>4379</v>
      </c>
      <c r="E1538" s="659">
        <f t="shared" si="100"/>
        <v>60</v>
      </c>
      <c r="F1538" s="659">
        <v>0</v>
      </c>
      <c r="G1538" s="659">
        <v>60</v>
      </c>
      <c r="H1538" s="659">
        <v>0</v>
      </c>
      <c r="I1538" s="659">
        <f t="shared" si="101"/>
        <v>60</v>
      </c>
      <c r="J1538" s="659">
        <v>0</v>
      </c>
      <c r="K1538" s="659">
        <v>60</v>
      </c>
      <c r="L1538" s="741">
        <v>0</v>
      </c>
      <c r="M1538" s="965">
        <v>0</v>
      </c>
      <c r="N1538" s="653">
        <v>0</v>
      </c>
      <c r="O1538" s="746" t="s">
        <v>4380</v>
      </c>
      <c r="P1538" s="547" t="s">
        <v>1588</v>
      </c>
      <c r="Q1538" s="863">
        <v>0</v>
      </c>
      <c r="R1538" s="863">
        <v>0</v>
      </c>
      <c r="S1538" s="863">
        <v>0</v>
      </c>
      <c r="T1538" s="863">
        <v>0</v>
      </c>
      <c r="U1538" s="547" t="s">
        <v>7490</v>
      </c>
      <c r="V1538" s="547" t="s">
        <v>4328</v>
      </c>
      <c r="W1538" s="658">
        <v>307</v>
      </c>
      <c r="X1538" s="547" t="s">
        <v>2193</v>
      </c>
      <c r="Y1538" s="547" t="s">
        <v>3161</v>
      </c>
      <c r="Z1538" s="547" t="s">
        <v>1736</v>
      </c>
      <c r="AA1538" s="547" t="s">
        <v>1733</v>
      </c>
      <c r="AB1538" s="550" t="s">
        <v>1591</v>
      </c>
    </row>
    <row r="1539" spans="1:28" ht="24" customHeight="1">
      <c r="A1539" s="606"/>
      <c r="B1539" s="544" t="s">
        <v>675</v>
      </c>
      <c r="C1539" s="551" t="s">
        <v>4381</v>
      </c>
      <c r="D1539" s="553" t="s">
        <v>4382</v>
      </c>
      <c r="E1539" s="659">
        <f t="shared" si="100"/>
        <v>70</v>
      </c>
      <c r="F1539" s="659">
        <v>0</v>
      </c>
      <c r="G1539" s="659">
        <v>70</v>
      </c>
      <c r="H1539" s="659">
        <v>0</v>
      </c>
      <c r="I1539" s="659">
        <f t="shared" si="101"/>
        <v>70</v>
      </c>
      <c r="J1539" s="659">
        <v>0</v>
      </c>
      <c r="K1539" s="659">
        <v>70</v>
      </c>
      <c r="L1539" s="741">
        <v>0</v>
      </c>
      <c r="M1539" s="965">
        <v>0</v>
      </c>
      <c r="N1539" s="653">
        <v>0</v>
      </c>
      <c r="O1539" s="746" t="s">
        <v>4376</v>
      </c>
      <c r="P1539" s="547" t="s">
        <v>1588</v>
      </c>
      <c r="Q1539" s="863">
        <v>0</v>
      </c>
      <c r="R1539" s="863">
        <v>0</v>
      </c>
      <c r="S1539" s="863">
        <v>0</v>
      </c>
      <c r="T1539" s="863">
        <v>0</v>
      </c>
      <c r="U1539" s="547" t="s">
        <v>7490</v>
      </c>
      <c r="V1539" s="547" t="s">
        <v>4336</v>
      </c>
      <c r="W1539" s="658">
        <v>325</v>
      </c>
      <c r="X1539" s="547" t="s">
        <v>2193</v>
      </c>
      <c r="Y1539" s="547" t="s">
        <v>1533</v>
      </c>
      <c r="Z1539" s="547" t="s">
        <v>1736</v>
      </c>
      <c r="AA1539" s="547" t="s">
        <v>1733</v>
      </c>
      <c r="AB1539" s="550" t="s">
        <v>1591</v>
      </c>
    </row>
    <row r="1540" spans="1:28" ht="24" customHeight="1">
      <c r="A1540" s="606"/>
      <c r="B1540" s="544" t="s">
        <v>675</v>
      </c>
      <c r="C1540" s="551" t="s">
        <v>4987</v>
      </c>
      <c r="D1540" s="553" t="s">
        <v>4383</v>
      </c>
      <c r="E1540" s="659">
        <f t="shared" si="100"/>
        <v>50</v>
      </c>
      <c r="F1540" s="659">
        <v>0</v>
      </c>
      <c r="G1540" s="659">
        <v>50</v>
      </c>
      <c r="H1540" s="659">
        <v>0</v>
      </c>
      <c r="I1540" s="659">
        <f t="shared" si="101"/>
        <v>50</v>
      </c>
      <c r="J1540" s="659">
        <v>0</v>
      </c>
      <c r="K1540" s="659">
        <v>50</v>
      </c>
      <c r="L1540" s="741">
        <v>0</v>
      </c>
      <c r="M1540" s="965">
        <v>0</v>
      </c>
      <c r="N1540" s="653">
        <v>0</v>
      </c>
      <c r="O1540" s="746" t="s">
        <v>2964</v>
      </c>
      <c r="P1540" s="547" t="s">
        <v>1588</v>
      </c>
      <c r="Q1540" s="863">
        <v>0</v>
      </c>
      <c r="R1540" s="863">
        <v>0</v>
      </c>
      <c r="S1540" s="863">
        <v>0</v>
      </c>
      <c r="T1540" s="863">
        <v>0</v>
      </c>
      <c r="U1540" s="547" t="s">
        <v>7490</v>
      </c>
      <c r="V1540" s="547" t="s">
        <v>4377</v>
      </c>
      <c r="W1540" s="658">
        <v>262</v>
      </c>
      <c r="X1540" s="547" t="s">
        <v>2193</v>
      </c>
      <c r="Y1540" s="547" t="s">
        <v>3161</v>
      </c>
      <c r="Z1540" s="547" t="s">
        <v>1737</v>
      </c>
      <c r="AA1540" s="547" t="s">
        <v>1733</v>
      </c>
      <c r="AB1540" s="550" t="s">
        <v>1591</v>
      </c>
    </row>
    <row r="1541" spans="1:28" ht="24" customHeight="1">
      <c r="A1541" s="606"/>
      <c r="B1541" s="544" t="s">
        <v>675</v>
      </c>
      <c r="C1541" s="551" t="s">
        <v>6604</v>
      </c>
      <c r="D1541" s="553" t="s">
        <v>4384</v>
      </c>
      <c r="E1541" s="662">
        <f t="shared" si="100"/>
        <v>30</v>
      </c>
      <c r="F1541" s="659">
        <v>0</v>
      </c>
      <c r="G1541" s="662">
        <v>30</v>
      </c>
      <c r="H1541" s="659">
        <v>0</v>
      </c>
      <c r="I1541" s="662">
        <f t="shared" si="101"/>
        <v>30</v>
      </c>
      <c r="J1541" s="659">
        <v>0</v>
      </c>
      <c r="K1541" s="662">
        <v>30</v>
      </c>
      <c r="L1541" s="741">
        <v>0</v>
      </c>
      <c r="M1541" s="965">
        <v>0</v>
      </c>
      <c r="N1541" s="653">
        <v>0</v>
      </c>
      <c r="O1541" s="746" t="s">
        <v>7315</v>
      </c>
      <c r="P1541" s="547" t="s">
        <v>1588</v>
      </c>
      <c r="Q1541" s="863">
        <v>0</v>
      </c>
      <c r="R1541" s="863">
        <v>0</v>
      </c>
      <c r="S1541" s="863">
        <v>0</v>
      </c>
      <c r="T1541" s="863">
        <v>0</v>
      </c>
      <c r="U1541" s="547" t="s">
        <v>7490</v>
      </c>
      <c r="V1541" s="547" t="s">
        <v>4385</v>
      </c>
      <c r="W1541" s="658">
        <v>180</v>
      </c>
      <c r="X1541" s="547" t="s">
        <v>2193</v>
      </c>
      <c r="Y1541" s="547" t="s">
        <v>3161</v>
      </c>
      <c r="Z1541" s="547" t="s">
        <v>1737</v>
      </c>
      <c r="AA1541" s="547" t="s">
        <v>1733</v>
      </c>
      <c r="AB1541" s="550" t="s">
        <v>1591</v>
      </c>
    </row>
    <row r="1542" spans="1:28" ht="24" customHeight="1">
      <c r="A1542" s="606"/>
      <c r="B1542" s="544" t="s">
        <v>675</v>
      </c>
      <c r="C1542" s="551" t="s">
        <v>4386</v>
      </c>
      <c r="D1542" s="553" t="s">
        <v>4387</v>
      </c>
      <c r="E1542" s="662">
        <f t="shared" si="100"/>
        <v>45</v>
      </c>
      <c r="F1542" s="659">
        <v>0</v>
      </c>
      <c r="G1542" s="662">
        <v>45</v>
      </c>
      <c r="H1542" s="659">
        <v>0</v>
      </c>
      <c r="I1542" s="662">
        <f t="shared" si="101"/>
        <v>45</v>
      </c>
      <c r="J1542" s="659">
        <v>0</v>
      </c>
      <c r="K1542" s="662">
        <v>45</v>
      </c>
      <c r="L1542" s="741">
        <v>0</v>
      </c>
      <c r="M1542" s="965">
        <v>0</v>
      </c>
      <c r="N1542" s="653">
        <v>0</v>
      </c>
      <c r="O1542" s="746" t="s">
        <v>4388</v>
      </c>
      <c r="P1542" s="547" t="s">
        <v>1588</v>
      </c>
      <c r="Q1542" s="863">
        <v>0</v>
      </c>
      <c r="R1542" s="863">
        <v>0</v>
      </c>
      <c r="S1542" s="863">
        <v>0</v>
      </c>
      <c r="T1542" s="863">
        <v>0</v>
      </c>
      <c r="U1542" s="547" t="s">
        <v>7490</v>
      </c>
      <c r="V1542" s="547" t="s">
        <v>4389</v>
      </c>
      <c r="W1542" s="658">
        <v>499</v>
      </c>
      <c r="X1542" s="547" t="s">
        <v>2193</v>
      </c>
      <c r="Y1542" s="547" t="s">
        <v>3161</v>
      </c>
      <c r="Z1542" s="547" t="s">
        <v>1737</v>
      </c>
      <c r="AA1542" s="547" t="s">
        <v>1733</v>
      </c>
      <c r="AB1542" s="550" t="s">
        <v>1591</v>
      </c>
    </row>
    <row r="1543" spans="1:28" ht="24" customHeight="1">
      <c r="A1543" s="606"/>
      <c r="B1543" s="544" t="s">
        <v>675</v>
      </c>
      <c r="C1543" s="551" t="s">
        <v>4390</v>
      </c>
      <c r="D1543" s="553" t="s">
        <v>4391</v>
      </c>
      <c r="E1543" s="662">
        <f t="shared" si="100"/>
        <v>30</v>
      </c>
      <c r="F1543" s="659">
        <v>0</v>
      </c>
      <c r="G1543" s="662">
        <v>30</v>
      </c>
      <c r="H1543" s="659">
        <v>0</v>
      </c>
      <c r="I1543" s="662">
        <f t="shared" si="101"/>
        <v>30</v>
      </c>
      <c r="J1543" s="659">
        <v>0</v>
      </c>
      <c r="K1543" s="662">
        <v>30</v>
      </c>
      <c r="L1543" s="741">
        <v>0</v>
      </c>
      <c r="M1543" s="965">
        <v>0</v>
      </c>
      <c r="N1543" s="653">
        <v>0</v>
      </c>
      <c r="O1543" s="746" t="s">
        <v>7315</v>
      </c>
      <c r="P1543" s="547" t="s">
        <v>1588</v>
      </c>
      <c r="Q1543" s="863">
        <v>0</v>
      </c>
      <c r="R1543" s="863">
        <v>0</v>
      </c>
      <c r="S1543" s="863">
        <v>0</v>
      </c>
      <c r="T1543" s="863">
        <v>0</v>
      </c>
      <c r="U1543" s="547" t="s">
        <v>7490</v>
      </c>
      <c r="V1543" s="548" t="s">
        <v>4392</v>
      </c>
      <c r="W1543" s="658">
        <v>433</v>
      </c>
      <c r="X1543" s="547" t="s">
        <v>2193</v>
      </c>
      <c r="Y1543" s="547" t="s">
        <v>3161</v>
      </c>
      <c r="Z1543" s="547" t="s">
        <v>1737</v>
      </c>
      <c r="AA1543" s="547" t="s">
        <v>1733</v>
      </c>
      <c r="AB1543" s="550" t="s">
        <v>1591</v>
      </c>
    </row>
    <row r="1544" spans="1:28" ht="24" customHeight="1">
      <c r="A1544" s="606"/>
      <c r="B1544" s="544" t="s">
        <v>675</v>
      </c>
      <c r="C1544" s="551" t="s">
        <v>4393</v>
      </c>
      <c r="D1544" s="553" t="s">
        <v>4394</v>
      </c>
      <c r="E1544" s="659">
        <f t="shared" si="100"/>
        <v>50</v>
      </c>
      <c r="F1544" s="659">
        <v>0</v>
      </c>
      <c r="G1544" s="659">
        <v>50</v>
      </c>
      <c r="H1544" s="659">
        <v>0</v>
      </c>
      <c r="I1544" s="659">
        <f t="shared" si="101"/>
        <v>50</v>
      </c>
      <c r="J1544" s="659">
        <v>0</v>
      </c>
      <c r="K1544" s="659">
        <v>50</v>
      </c>
      <c r="L1544" s="741">
        <v>0</v>
      </c>
      <c r="M1544" s="965">
        <v>0</v>
      </c>
      <c r="N1544" s="653">
        <v>0</v>
      </c>
      <c r="O1544" s="746" t="s">
        <v>2964</v>
      </c>
      <c r="P1544" s="547" t="s">
        <v>1588</v>
      </c>
      <c r="Q1544" s="863">
        <v>0</v>
      </c>
      <c r="R1544" s="863">
        <v>0</v>
      </c>
      <c r="S1544" s="863">
        <v>0</v>
      </c>
      <c r="T1544" s="863">
        <v>0</v>
      </c>
      <c r="U1544" s="547" t="s">
        <v>7490</v>
      </c>
      <c r="V1544" s="547" t="s">
        <v>4336</v>
      </c>
      <c r="W1544" s="658">
        <v>226</v>
      </c>
      <c r="X1544" s="547" t="s">
        <v>2193</v>
      </c>
      <c r="Y1544" s="547" t="s">
        <v>3161</v>
      </c>
      <c r="Z1544" s="547" t="s">
        <v>1738</v>
      </c>
      <c r="AA1544" s="547" t="s">
        <v>1733</v>
      </c>
      <c r="AB1544" s="550" t="s">
        <v>1591</v>
      </c>
    </row>
    <row r="1545" spans="1:28" ht="24" customHeight="1">
      <c r="A1545" s="606"/>
      <c r="B1545" s="544" t="s">
        <v>675</v>
      </c>
      <c r="C1545" s="551" t="s">
        <v>4395</v>
      </c>
      <c r="D1545" s="553" t="s">
        <v>4396</v>
      </c>
      <c r="E1545" s="662">
        <f t="shared" si="100"/>
        <v>350</v>
      </c>
      <c r="F1545" s="659">
        <v>0</v>
      </c>
      <c r="G1545" s="662">
        <v>350</v>
      </c>
      <c r="H1545" s="659">
        <v>0</v>
      </c>
      <c r="I1545" s="662">
        <f t="shared" si="101"/>
        <v>350</v>
      </c>
      <c r="J1545" s="659">
        <v>0</v>
      </c>
      <c r="K1545" s="662">
        <v>350</v>
      </c>
      <c r="L1545" s="741">
        <v>0</v>
      </c>
      <c r="M1545" s="965">
        <v>0</v>
      </c>
      <c r="N1545" s="653">
        <v>0</v>
      </c>
      <c r="O1545" s="746" t="s">
        <v>4965</v>
      </c>
      <c r="P1545" s="547" t="s">
        <v>1588</v>
      </c>
      <c r="Q1545" s="863">
        <v>0</v>
      </c>
      <c r="R1545" s="863">
        <v>0</v>
      </c>
      <c r="S1545" s="863">
        <v>0</v>
      </c>
      <c r="T1545" s="863">
        <v>0</v>
      </c>
      <c r="U1545" s="547" t="s">
        <v>7490</v>
      </c>
      <c r="V1545" s="547" t="s">
        <v>4347</v>
      </c>
      <c r="W1545" s="658">
        <v>650</v>
      </c>
      <c r="X1545" s="547" t="s">
        <v>2193</v>
      </c>
      <c r="Y1545" s="547" t="s">
        <v>1533</v>
      </c>
      <c r="Z1545" s="547" t="s">
        <v>4397</v>
      </c>
      <c r="AA1545" s="547" t="s">
        <v>1733</v>
      </c>
      <c r="AB1545" s="550" t="s">
        <v>1591</v>
      </c>
    </row>
    <row r="1546" spans="1:28" ht="24" customHeight="1">
      <c r="A1546" s="606"/>
      <c r="B1546" s="544" t="s">
        <v>675</v>
      </c>
      <c r="C1546" s="551" t="s">
        <v>4398</v>
      </c>
      <c r="D1546" s="553" t="s">
        <v>4399</v>
      </c>
      <c r="E1546" s="662">
        <f t="shared" si="100"/>
        <v>40</v>
      </c>
      <c r="F1546" s="659">
        <v>0</v>
      </c>
      <c r="G1546" s="662">
        <v>40</v>
      </c>
      <c r="H1546" s="659">
        <v>0</v>
      </c>
      <c r="I1546" s="662">
        <f t="shared" si="101"/>
        <v>40</v>
      </c>
      <c r="J1546" s="659">
        <v>0</v>
      </c>
      <c r="K1546" s="662">
        <v>40</v>
      </c>
      <c r="L1546" s="741">
        <v>0</v>
      </c>
      <c r="M1546" s="965">
        <v>0</v>
      </c>
      <c r="N1546" s="653">
        <v>0</v>
      </c>
      <c r="O1546" s="746" t="s">
        <v>4400</v>
      </c>
      <c r="P1546" s="547" t="s">
        <v>1588</v>
      </c>
      <c r="Q1546" s="863">
        <v>0</v>
      </c>
      <c r="R1546" s="863">
        <v>0</v>
      </c>
      <c r="S1546" s="863">
        <v>0</v>
      </c>
      <c r="T1546" s="863">
        <v>0</v>
      </c>
      <c r="U1546" s="547" t="s">
        <v>7490</v>
      </c>
      <c r="V1546" s="547" t="s">
        <v>6722</v>
      </c>
      <c r="W1546" s="658">
        <v>332</v>
      </c>
      <c r="X1546" s="547" t="s">
        <v>2193</v>
      </c>
      <c r="Y1546" s="547" t="s">
        <v>3161</v>
      </c>
      <c r="Z1546" s="547" t="s">
        <v>1733</v>
      </c>
      <c r="AA1546" s="547" t="s">
        <v>1733</v>
      </c>
      <c r="AB1546" s="550" t="s">
        <v>1591</v>
      </c>
    </row>
    <row r="1547" spans="1:28" ht="24" customHeight="1">
      <c r="A1547" s="606"/>
      <c r="B1547" s="544" t="s">
        <v>675</v>
      </c>
      <c r="C1547" s="551" t="s">
        <v>4401</v>
      </c>
      <c r="D1547" s="553" t="s">
        <v>4402</v>
      </c>
      <c r="E1547" s="662">
        <f t="shared" si="100"/>
        <v>30</v>
      </c>
      <c r="F1547" s="659">
        <v>0</v>
      </c>
      <c r="G1547" s="662">
        <v>30</v>
      </c>
      <c r="H1547" s="659">
        <v>0</v>
      </c>
      <c r="I1547" s="662">
        <f t="shared" si="101"/>
        <v>30</v>
      </c>
      <c r="J1547" s="659">
        <v>0</v>
      </c>
      <c r="K1547" s="662">
        <v>30</v>
      </c>
      <c r="L1547" s="741">
        <v>0</v>
      </c>
      <c r="M1547" s="965">
        <v>0</v>
      </c>
      <c r="N1547" s="653">
        <v>0</v>
      </c>
      <c r="O1547" s="746" t="s">
        <v>4186</v>
      </c>
      <c r="P1547" s="547" t="s">
        <v>1588</v>
      </c>
      <c r="Q1547" s="863">
        <v>0</v>
      </c>
      <c r="R1547" s="863">
        <v>0</v>
      </c>
      <c r="S1547" s="863">
        <v>0</v>
      </c>
      <c r="T1547" s="863">
        <v>0</v>
      </c>
      <c r="U1547" s="547" t="s">
        <v>7490</v>
      </c>
      <c r="V1547" s="547" t="s">
        <v>4403</v>
      </c>
      <c r="W1547" s="658">
        <v>296</v>
      </c>
      <c r="X1547" s="547" t="s">
        <v>2193</v>
      </c>
      <c r="Y1547" s="547" t="s">
        <v>4404</v>
      </c>
      <c r="Z1547" s="547" t="s">
        <v>1733</v>
      </c>
      <c r="AA1547" s="547" t="s">
        <v>1733</v>
      </c>
      <c r="AB1547" s="550" t="s">
        <v>1591</v>
      </c>
    </row>
    <row r="1548" spans="1:28" ht="24" customHeight="1">
      <c r="A1548" s="605" t="s">
        <v>4405</v>
      </c>
      <c r="B1548" s="544" t="s">
        <v>675</v>
      </c>
      <c r="C1548" s="551" t="s">
        <v>4406</v>
      </c>
      <c r="D1548" s="553" t="s">
        <v>4407</v>
      </c>
      <c r="E1548" s="662">
        <f t="shared" si="100"/>
        <v>80</v>
      </c>
      <c r="F1548" s="659">
        <v>0</v>
      </c>
      <c r="G1548" s="659">
        <v>80</v>
      </c>
      <c r="H1548" s="659">
        <v>0</v>
      </c>
      <c r="I1548" s="662">
        <f t="shared" si="101"/>
        <v>56</v>
      </c>
      <c r="J1548" s="659">
        <v>0</v>
      </c>
      <c r="K1548" s="659">
        <v>56</v>
      </c>
      <c r="L1548" s="741">
        <v>0</v>
      </c>
      <c r="M1548" s="965">
        <v>0.7</v>
      </c>
      <c r="N1548" s="653">
        <v>0</v>
      </c>
      <c r="O1548" s="746" t="s">
        <v>780</v>
      </c>
      <c r="P1548" s="547" t="s">
        <v>1588</v>
      </c>
      <c r="Q1548" s="863">
        <v>0</v>
      </c>
      <c r="R1548" s="863">
        <v>0</v>
      </c>
      <c r="S1548" s="863">
        <v>0</v>
      </c>
      <c r="T1548" s="863">
        <v>0</v>
      </c>
      <c r="U1548" s="547" t="s">
        <v>7491</v>
      </c>
      <c r="V1548" s="547" t="s">
        <v>4408</v>
      </c>
      <c r="W1548" s="658">
        <v>250</v>
      </c>
      <c r="X1548" s="547" t="s">
        <v>1532</v>
      </c>
      <c r="Y1548" s="547" t="s">
        <v>3161</v>
      </c>
      <c r="Z1548" s="547"/>
      <c r="AA1548" s="547"/>
      <c r="AB1548" s="550" t="s">
        <v>1934</v>
      </c>
    </row>
    <row r="1549" spans="1:28" ht="24" customHeight="1">
      <c r="A1549" s="606"/>
      <c r="B1549" s="544" t="s">
        <v>675</v>
      </c>
      <c r="C1549" s="551" t="s">
        <v>5739</v>
      </c>
      <c r="D1549" s="553" t="s">
        <v>4409</v>
      </c>
      <c r="E1549" s="659">
        <f t="shared" si="100"/>
        <v>50</v>
      </c>
      <c r="F1549" s="659">
        <v>0</v>
      </c>
      <c r="G1549" s="659">
        <v>50</v>
      </c>
      <c r="H1549" s="659">
        <v>0</v>
      </c>
      <c r="I1549" s="659">
        <f t="shared" si="101"/>
        <v>35</v>
      </c>
      <c r="J1549" s="659">
        <v>0</v>
      </c>
      <c r="K1549" s="659">
        <v>35</v>
      </c>
      <c r="L1549" s="741">
        <v>0</v>
      </c>
      <c r="M1549" s="965">
        <v>0.7</v>
      </c>
      <c r="N1549" s="653">
        <v>0</v>
      </c>
      <c r="O1549" s="746" t="s">
        <v>4410</v>
      </c>
      <c r="P1549" s="547" t="s">
        <v>1588</v>
      </c>
      <c r="Q1549" s="863">
        <v>0</v>
      </c>
      <c r="R1549" s="863">
        <v>0</v>
      </c>
      <c r="S1549" s="863">
        <v>0</v>
      </c>
      <c r="T1549" s="863">
        <v>0</v>
      </c>
      <c r="U1549" s="547" t="s">
        <v>7491</v>
      </c>
      <c r="V1549" s="547" t="s">
        <v>4411</v>
      </c>
      <c r="W1549" s="658">
        <v>100</v>
      </c>
      <c r="X1549" s="547" t="s">
        <v>1532</v>
      </c>
      <c r="Y1549" s="547" t="s">
        <v>3161</v>
      </c>
      <c r="Z1549" s="547"/>
      <c r="AA1549" s="547"/>
      <c r="AB1549" s="550" t="s">
        <v>1934</v>
      </c>
    </row>
    <row r="1550" spans="1:28" ht="24" customHeight="1">
      <c r="A1550" s="606"/>
      <c r="B1550" s="544" t="s">
        <v>675</v>
      </c>
      <c r="C1550" s="551" t="s">
        <v>4412</v>
      </c>
      <c r="D1550" s="553" t="s">
        <v>4413</v>
      </c>
      <c r="E1550" s="659">
        <f t="shared" si="100"/>
        <v>50</v>
      </c>
      <c r="F1550" s="659">
        <v>0</v>
      </c>
      <c r="G1550" s="659">
        <v>50</v>
      </c>
      <c r="H1550" s="659">
        <v>0</v>
      </c>
      <c r="I1550" s="659">
        <f t="shared" si="101"/>
        <v>35</v>
      </c>
      <c r="J1550" s="659">
        <v>0</v>
      </c>
      <c r="K1550" s="659">
        <v>35</v>
      </c>
      <c r="L1550" s="741">
        <v>0</v>
      </c>
      <c r="M1550" s="965">
        <v>0.7</v>
      </c>
      <c r="N1550" s="653">
        <v>0</v>
      </c>
      <c r="O1550" s="746" t="s">
        <v>4410</v>
      </c>
      <c r="P1550" s="547" t="s">
        <v>1588</v>
      </c>
      <c r="Q1550" s="863">
        <v>0</v>
      </c>
      <c r="R1550" s="863">
        <v>0</v>
      </c>
      <c r="S1550" s="863">
        <v>0</v>
      </c>
      <c r="T1550" s="863">
        <v>0</v>
      </c>
      <c r="U1550" s="547" t="s">
        <v>7491</v>
      </c>
      <c r="V1550" s="547" t="s">
        <v>4411</v>
      </c>
      <c r="W1550" s="658">
        <v>100</v>
      </c>
      <c r="X1550" s="547" t="s">
        <v>1532</v>
      </c>
      <c r="Y1550" s="547" t="s">
        <v>3232</v>
      </c>
      <c r="Z1550" s="547"/>
      <c r="AA1550" s="547"/>
      <c r="AB1550" s="550" t="s">
        <v>1934</v>
      </c>
    </row>
    <row r="1551" spans="1:28" ht="24" customHeight="1">
      <c r="A1551" s="606"/>
      <c r="B1551" s="544" t="s">
        <v>675</v>
      </c>
      <c r="C1551" s="551" t="s">
        <v>4414</v>
      </c>
      <c r="D1551" s="553" t="s">
        <v>4415</v>
      </c>
      <c r="E1551" s="659">
        <f t="shared" si="100"/>
        <v>30</v>
      </c>
      <c r="F1551" s="659">
        <v>0</v>
      </c>
      <c r="G1551" s="659">
        <v>30</v>
      </c>
      <c r="H1551" s="659">
        <v>0</v>
      </c>
      <c r="I1551" s="659">
        <f t="shared" si="101"/>
        <v>21</v>
      </c>
      <c r="J1551" s="659">
        <v>0</v>
      </c>
      <c r="K1551" s="659">
        <v>21</v>
      </c>
      <c r="L1551" s="741">
        <v>0</v>
      </c>
      <c r="M1551" s="965">
        <v>0.7</v>
      </c>
      <c r="N1551" s="653">
        <v>0</v>
      </c>
      <c r="O1551" s="746" t="s">
        <v>6431</v>
      </c>
      <c r="P1551" s="547" t="s">
        <v>1588</v>
      </c>
      <c r="Q1551" s="863">
        <v>0</v>
      </c>
      <c r="R1551" s="863">
        <v>0</v>
      </c>
      <c r="S1551" s="863">
        <v>0</v>
      </c>
      <c r="T1551" s="863">
        <v>0</v>
      </c>
      <c r="U1551" s="547" t="s">
        <v>7491</v>
      </c>
      <c r="V1551" s="547" t="s">
        <v>4416</v>
      </c>
      <c r="W1551" s="658">
        <v>150</v>
      </c>
      <c r="X1551" s="547" t="s">
        <v>1532</v>
      </c>
      <c r="Y1551" s="547" t="s">
        <v>3161</v>
      </c>
      <c r="Z1551" s="547"/>
      <c r="AA1551" s="547"/>
      <c r="AB1551" s="550" t="s">
        <v>1934</v>
      </c>
    </row>
    <row r="1552" spans="1:28" ht="24" customHeight="1">
      <c r="A1552" s="606"/>
      <c r="B1552" s="544" t="s">
        <v>675</v>
      </c>
      <c r="C1552" s="551" t="s">
        <v>4417</v>
      </c>
      <c r="D1552" s="553" t="s">
        <v>4418</v>
      </c>
      <c r="E1552" s="659">
        <f t="shared" si="100"/>
        <v>70</v>
      </c>
      <c r="F1552" s="659">
        <v>0</v>
      </c>
      <c r="G1552" s="659">
        <v>70</v>
      </c>
      <c r="H1552" s="659">
        <v>0</v>
      </c>
      <c r="I1552" s="659">
        <f t="shared" si="101"/>
        <v>49</v>
      </c>
      <c r="J1552" s="659">
        <v>0</v>
      </c>
      <c r="K1552" s="659">
        <v>49</v>
      </c>
      <c r="L1552" s="741">
        <v>0</v>
      </c>
      <c r="M1552" s="965">
        <v>0.7</v>
      </c>
      <c r="N1552" s="653">
        <v>0</v>
      </c>
      <c r="O1552" s="746" t="s">
        <v>4419</v>
      </c>
      <c r="P1552" s="547" t="s">
        <v>1588</v>
      </c>
      <c r="Q1552" s="863">
        <v>0</v>
      </c>
      <c r="R1552" s="863">
        <v>0</v>
      </c>
      <c r="S1552" s="863">
        <v>0</v>
      </c>
      <c r="T1552" s="863">
        <v>0</v>
      </c>
      <c r="U1552" s="547" t="s">
        <v>7491</v>
      </c>
      <c r="V1552" s="547" t="s">
        <v>4420</v>
      </c>
      <c r="W1552" s="658">
        <v>481</v>
      </c>
      <c r="X1552" s="547" t="s">
        <v>1532</v>
      </c>
      <c r="Y1552" s="547" t="s">
        <v>3161</v>
      </c>
      <c r="Z1552" s="547"/>
      <c r="AA1552" s="547"/>
      <c r="AB1552" s="550" t="s">
        <v>1934</v>
      </c>
    </row>
    <row r="1553" spans="1:28" ht="24" customHeight="1">
      <c r="A1553" s="606"/>
      <c r="B1553" s="544" t="s">
        <v>675</v>
      </c>
      <c r="C1553" s="551" t="s">
        <v>2032</v>
      </c>
      <c r="D1553" s="553" t="s">
        <v>4421</v>
      </c>
      <c r="E1553" s="659">
        <f t="shared" si="100"/>
        <v>90</v>
      </c>
      <c r="F1553" s="659">
        <v>0</v>
      </c>
      <c r="G1553" s="659">
        <v>90</v>
      </c>
      <c r="H1553" s="659">
        <v>0</v>
      </c>
      <c r="I1553" s="659">
        <f t="shared" si="101"/>
        <v>63</v>
      </c>
      <c r="J1553" s="659">
        <v>0</v>
      </c>
      <c r="K1553" s="659">
        <v>63</v>
      </c>
      <c r="L1553" s="741">
        <v>0</v>
      </c>
      <c r="M1553" s="965">
        <v>0.7</v>
      </c>
      <c r="N1553" s="653">
        <v>0</v>
      </c>
      <c r="O1553" s="746" t="s">
        <v>7315</v>
      </c>
      <c r="P1553" s="547" t="s">
        <v>1588</v>
      </c>
      <c r="Q1553" s="863">
        <v>0</v>
      </c>
      <c r="R1553" s="863">
        <v>0</v>
      </c>
      <c r="S1553" s="863">
        <v>0</v>
      </c>
      <c r="T1553" s="863">
        <v>0</v>
      </c>
      <c r="U1553" s="547" t="s">
        <v>7491</v>
      </c>
      <c r="V1553" s="547" t="s">
        <v>4422</v>
      </c>
      <c r="W1553" s="658">
        <v>684</v>
      </c>
      <c r="X1553" s="547" t="s">
        <v>1532</v>
      </c>
      <c r="Y1553" s="547" t="s">
        <v>3161</v>
      </c>
      <c r="Z1553" s="547"/>
      <c r="AA1553" s="547"/>
      <c r="AB1553" s="550" t="s">
        <v>1934</v>
      </c>
    </row>
    <row r="1554" spans="1:28" ht="24" customHeight="1">
      <c r="A1554" s="606"/>
      <c r="B1554" s="544" t="s">
        <v>675</v>
      </c>
      <c r="C1554" s="551" t="s">
        <v>3191</v>
      </c>
      <c r="D1554" s="553" t="s">
        <v>4423</v>
      </c>
      <c r="E1554" s="659">
        <f t="shared" si="100"/>
        <v>40</v>
      </c>
      <c r="F1554" s="659">
        <v>0</v>
      </c>
      <c r="G1554" s="659">
        <v>40</v>
      </c>
      <c r="H1554" s="659">
        <v>0</v>
      </c>
      <c r="I1554" s="659">
        <f t="shared" si="101"/>
        <v>28</v>
      </c>
      <c r="J1554" s="659">
        <v>0</v>
      </c>
      <c r="K1554" s="659">
        <v>28</v>
      </c>
      <c r="L1554" s="741">
        <v>0</v>
      </c>
      <c r="M1554" s="965">
        <v>0.7</v>
      </c>
      <c r="N1554" s="653">
        <v>0</v>
      </c>
      <c r="O1554" s="746" t="s">
        <v>4424</v>
      </c>
      <c r="P1554" s="547" t="s">
        <v>1588</v>
      </c>
      <c r="Q1554" s="863">
        <v>0</v>
      </c>
      <c r="R1554" s="863">
        <v>0</v>
      </c>
      <c r="S1554" s="863">
        <v>0</v>
      </c>
      <c r="T1554" s="863">
        <v>0</v>
      </c>
      <c r="U1554" s="547" t="s">
        <v>7491</v>
      </c>
      <c r="V1554" s="547" t="s">
        <v>2686</v>
      </c>
      <c r="W1554" s="658">
        <v>375</v>
      </c>
      <c r="X1554" s="547" t="s">
        <v>1532</v>
      </c>
      <c r="Y1554" s="547" t="s">
        <v>3161</v>
      </c>
      <c r="Z1554" s="547"/>
      <c r="AA1554" s="547"/>
      <c r="AB1554" s="550" t="s">
        <v>1934</v>
      </c>
    </row>
    <row r="1555" spans="1:28" ht="24" customHeight="1">
      <c r="A1555" s="606"/>
      <c r="B1555" s="544" t="s">
        <v>675</v>
      </c>
      <c r="C1555" s="551" t="s">
        <v>4425</v>
      </c>
      <c r="D1555" s="553" t="s">
        <v>4426</v>
      </c>
      <c r="E1555" s="659">
        <f t="shared" si="100"/>
        <v>50</v>
      </c>
      <c r="F1555" s="659">
        <v>0</v>
      </c>
      <c r="G1555" s="659">
        <v>50</v>
      </c>
      <c r="H1555" s="659">
        <v>0</v>
      </c>
      <c r="I1555" s="659">
        <f t="shared" si="101"/>
        <v>35</v>
      </c>
      <c r="J1555" s="659">
        <v>0</v>
      </c>
      <c r="K1555" s="659">
        <v>35</v>
      </c>
      <c r="L1555" s="741">
        <v>0</v>
      </c>
      <c r="M1555" s="965">
        <v>0.7</v>
      </c>
      <c r="N1555" s="653">
        <v>0</v>
      </c>
      <c r="O1555" s="746" t="s">
        <v>4427</v>
      </c>
      <c r="P1555" s="547" t="s">
        <v>1588</v>
      </c>
      <c r="Q1555" s="863">
        <v>0</v>
      </c>
      <c r="R1555" s="863">
        <v>0</v>
      </c>
      <c r="S1555" s="863">
        <v>0</v>
      </c>
      <c r="T1555" s="863">
        <v>0</v>
      </c>
      <c r="U1555" s="547" t="s">
        <v>7491</v>
      </c>
      <c r="V1555" s="547" t="s">
        <v>4428</v>
      </c>
      <c r="W1555" s="658">
        <v>200</v>
      </c>
      <c r="X1555" s="547" t="s">
        <v>1532</v>
      </c>
      <c r="Y1555" s="547" t="s">
        <v>3161</v>
      </c>
      <c r="Z1555" s="547"/>
      <c r="AA1555" s="547"/>
      <c r="AB1555" s="550" t="s">
        <v>1934</v>
      </c>
    </row>
    <row r="1556" spans="1:28" ht="24" customHeight="1">
      <c r="A1556" s="606"/>
      <c r="B1556" s="544" t="s">
        <v>675</v>
      </c>
      <c r="C1556" s="551" t="s">
        <v>4429</v>
      </c>
      <c r="D1556" s="553" t="s">
        <v>4430</v>
      </c>
      <c r="E1556" s="659">
        <f t="shared" si="100"/>
        <v>40</v>
      </c>
      <c r="F1556" s="659">
        <v>0</v>
      </c>
      <c r="G1556" s="659">
        <v>40</v>
      </c>
      <c r="H1556" s="659">
        <v>0</v>
      </c>
      <c r="I1556" s="659">
        <f t="shared" si="101"/>
        <v>28</v>
      </c>
      <c r="J1556" s="659">
        <v>0</v>
      </c>
      <c r="K1556" s="659">
        <v>28</v>
      </c>
      <c r="L1556" s="741">
        <v>0</v>
      </c>
      <c r="M1556" s="965">
        <v>0.7</v>
      </c>
      <c r="N1556" s="653">
        <v>0</v>
      </c>
      <c r="O1556" s="746" t="s">
        <v>4431</v>
      </c>
      <c r="P1556" s="547" t="s">
        <v>1588</v>
      </c>
      <c r="Q1556" s="863">
        <v>0</v>
      </c>
      <c r="R1556" s="863">
        <v>0</v>
      </c>
      <c r="S1556" s="863">
        <v>0</v>
      </c>
      <c r="T1556" s="863">
        <v>0</v>
      </c>
      <c r="U1556" s="547" t="s">
        <v>7491</v>
      </c>
      <c r="V1556" s="547" t="s">
        <v>4432</v>
      </c>
      <c r="W1556" s="658">
        <v>150</v>
      </c>
      <c r="X1556" s="547" t="s">
        <v>1532</v>
      </c>
      <c r="Y1556" s="547" t="s">
        <v>3161</v>
      </c>
      <c r="Z1556" s="547"/>
      <c r="AA1556" s="547"/>
      <c r="AB1556" s="550" t="s">
        <v>1934</v>
      </c>
    </row>
    <row r="1557" spans="1:28" ht="24" customHeight="1">
      <c r="A1557" s="606"/>
      <c r="B1557" s="544" t="s">
        <v>675</v>
      </c>
      <c r="C1557" s="551" t="s">
        <v>4433</v>
      </c>
      <c r="D1557" s="553" t="s">
        <v>4434</v>
      </c>
      <c r="E1557" s="659">
        <f t="shared" si="100"/>
        <v>70</v>
      </c>
      <c r="F1557" s="659">
        <v>0</v>
      </c>
      <c r="G1557" s="659">
        <v>70</v>
      </c>
      <c r="H1557" s="659">
        <v>0</v>
      </c>
      <c r="I1557" s="659">
        <f t="shared" si="101"/>
        <v>49</v>
      </c>
      <c r="J1557" s="659">
        <v>0</v>
      </c>
      <c r="K1557" s="659">
        <v>49</v>
      </c>
      <c r="L1557" s="741">
        <v>0</v>
      </c>
      <c r="M1557" s="965">
        <v>0.7</v>
      </c>
      <c r="N1557" s="653">
        <v>0</v>
      </c>
      <c r="O1557" s="746" t="s">
        <v>4424</v>
      </c>
      <c r="P1557" s="547" t="s">
        <v>1588</v>
      </c>
      <c r="Q1557" s="863">
        <v>0</v>
      </c>
      <c r="R1557" s="863">
        <v>0</v>
      </c>
      <c r="S1557" s="863">
        <v>0</v>
      </c>
      <c r="T1557" s="863">
        <v>0</v>
      </c>
      <c r="U1557" s="547" t="s">
        <v>7491</v>
      </c>
      <c r="V1557" s="547" t="s">
        <v>4435</v>
      </c>
      <c r="W1557" s="658">
        <v>490</v>
      </c>
      <c r="X1557" s="547" t="s">
        <v>1532</v>
      </c>
      <c r="Y1557" s="547" t="s">
        <v>3161</v>
      </c>
      <c r="Z1557" s="547"/>
      <c r="AA1557" s="547"/>
      <c r="AB1557" s="550" t="s">
        <v>1934</v>
      </c>
    </row>
    <row r="1558" spans="1:28" ht="24" customHeight="1">
      <c r="A1558" s="606"/>
      <c r="B1558" s="544" t="s">
        <v>675</v>
      </c>
      <c r="C1558" s="551" t="s">
        <v>4436</v>
      </c>
      <c r="D1558" s="553" t="s">
        <v>4437</v>
      </c>
      <c r="E1558" s="659">
        <f t="shared" si="100"/>
        <v>95</v>
      </c>
      <c r="F1558" s="659">
        <v>0</v>
      </c>
      <c r="G1558" s="659">
        <v>95</v>
      </c>
      <c r="H1558" s="659">
        <v>0</v>
      </c>
      <c r="I1558" s="659">
        <f t="shared" si="101"/>
        <v>66.5</v>
      </c>
      <c r="J1558" s="659">
        <v>0</v>
      </c>
      <c r="K1558" s="659">
        <v>66.5</v>
      </c>
      <c r="L1558" s="741">
        <v>0</v>
      </c>
      <c r="M1558" s="965">
        <v>0.7</v>
      </c>
      <c r="N1558" s="653">
        <v>0</v>
      </c>
      <c r="O1558" s="746" t="s">
        <v>4438</v>
      </c>
      <c r="P1558" s="547" t="s">
        <v>1588</v>
      </c>
      <c r="Q1558" s="863">
        <v>0</v>
      </c>
      <c r="R1558" s="863">
        <v>0</v>
      </c>
      <c r="S1558" s="863">
        <v>0</v>
      </c>
      <c r="T1558" s="863">
        <v>0</v>
      </c>
      <c r="U1558" s="547" t="s">
        <v>7491</v>
      </c>
      <c r="V1558" s="547" t="s">
        <v>4439</v>
      </c>
      <c r="W1558" s="658">
        <v>608</v>
      </c>
      <c r="X1558" s="547" t="s">
        <v>1532</v>
      </c>
      <c r="Y1558" s="547" t="s">
        <v>3161</v>
      </c>
      <c r="Z1558" s="547"/>
      <c r="AA1558" s="547"/>
      <c r="AB1558" s="550" t="s">
        <v>1934</v>
      </c>
    </row>
    <row r="1559" spans="1:28" ht="24" customHeight="1">
      <c r="A1559" s="606"/>
      <c r="B1559" s="544" t="s">
        <v>675</v>
      </c>
      <c r="C1559" s="551" t="s">
        <v>7084</v>
      </c>
      <c r="D1559" s="553" t="s">
        <v>4440</v>
      </c>
      <c r="E1559" s="659">
        <f t="shared" si="100"/>
        <v>50</v>
      </c>
      <c r="F1559" s="659">
        <v>0</v>
      </c>
      <c r="G1559" s="659">
        <v>50</v>
      </c>
      <c r="H1559" s="659">
        <v>0</v>
      </c>
      <c r="I1559" s="659">
        <f t="shared" si="101"/>
        <v>35</v>
      </c>
      <c r="J1559" s="659">
        <v>0</v>
      </c>
      <c r="K1559" s="659">
        <v>35</v>
      </c>
      <c r="L1559" s="741">
        <v>0</v>
      </c>
      <c r="M1559" s="965">
        <v>0.7</v>
      </c>
      <c r="N1559" s="653">
        <v>0</v>
      </c>
      <c r="O1559" s="746" t="s">
        <v>4441</v>
      </c>
      <c r="P1559" s="547" t="s">
        <v>1588</v>
      </c>
      <c r="Q1559" s="863">
        <v>0</v>
      </c>
      <c r="R1559" s="863">
        <v>0</v>
      </c>
      <c r="S1559" s="863">
        <v>0</v>
      </c>
      <c r="T1559" s="863">
        <v>0</v>
      </c>
      <c r="U1559" s="547" t="s">
        <v>7491</v>
      </c>
      <c r="V1559" s="547" t="s">
        <v>4442</v>
      </c>
      <c r="W1559" s="658">
        <v>405</v>
      </c>
      <c r="X1559" s="547" t="s">
        <v>1532</v>
      </c>
      <c r="Y1559" s="547" t="s">
        <v>3161</v>
      </c>
      <c r="Z1559" s="547"/>
      <c r="AA1559" s="547"/>
      <c r="AB1559" s="550" t="s">
        <v>1934</v>
      </c>
    </row>
    <row r="1560" spans="1:28" ht="24" customHeight="1">
      <c r="A1560" s="606"/>
      <c r="B1560" s="544" t="s">
        <v>675</v>
      </c>
      <c r="C1560" s="551" t="s">
        <v>4443</v>
      </c>
      <c r="D1560" s="553" t="s">
        <v>4444</v>
      </c>
      <c r="E1560" s="659">
        <f t="shared" si="100"/>
        <v>50</v>
      </c>
      <c r="F1560" s="659">
        <v>0</v>
      </c>
      <c r="G1560" s="659">
        <v>50</v>
      </c>
      <c r="H1560" s="659">
        <v>0</v>
      </c>
      <c r="I1560" s="659">
        <f t="shared" si="101"/>
        <v>35</v>
      </c>
      <c r="J1560" s="659">
        <v>0</v>
      </c>
      <c r="K1560" s="659">
        <v>35</v>
      </c>
      <c r="L1560" s="741">
        <v>0</v>
      </c>
      <c r="M1560" s="965">
        <v>0.7</v>
      </c>
      <c r="N1560" s="653">
        <v>0</v>
      </c>
      <c r="O1560" s="746" t="s">
        <v>4427</v>
      </c>
      <c r="P1560" s="547" t="s">
        <v>1588</v>
      </c>
      <c r="Q1560" s="863">
        <v>0</v>
      </c>
      <c r="R1560" s="863">
        <v>0</v>
      </c>
      <c r="S1560" s="863">
        <v>0</v>
      </c>
      <c r="T1560" s="863">
        <v>0</v>
      </c>
      <c r="U1560" s="547" t="s">
        <v>7491</v>
      </c>
      <c r="V1560" s="547" t="s">
        <v>4411</v>
      </c>
      <c r="W1560" s="658">
        <v>150</v>
      </c>
      <c r="X1560" s="547" t="s">
        <v>1532</v>
      </c>
      <c r="Y1560" s="547" t="s">
        <v>3161</v>
      </c>
      <c r="Z1560" s="547"/>
      <c r="AA1560" s="547"/>
      <c r="AB1560" s="550" t="s">
        <v>1934</v>
      </c>
    </row>
    <row r="1561" spans="1:28" ht="24" customHeight="1">
      <c r="A1561" s="606"/>
      <c r="B1561" s="544" t="s">
        <v>675</v>
      </c>
      <c r="C1561" s="551" t="s">
        <v>4445</v>
      </c>
      <c r="D1561" s="553" t="s">
        <v>4446</v>
      </c>
      <c r="E1561" s="659">
        <f t="shared" si="100"/>
        <v>80</v>
      </c>
      <c r="F1561" s="659">
        <v>0</v>
      </c>
      <c r="G1561" s="659">
        <v>80</v>
      </c>
      <c r="H1561" s="659">
        <v>0</v>
      </c>
      <c r="I1561" s="659">
        <f t="shared" si="101"/>
        <v>56</v>
      </c>
      <c r="J1561" s="659">
        <v>0</v>
      </c>
      <c r="K1561" s="659">
        <v>56</v>
      </c>
      <c r="L1561" s="741">
        <v>0</v>
      </c>
      <c r="M1561" s="965">
        <v>0.7</v>
      </c>
      <c r="N1561" s="653">
        <v>0</v>
      </c>
      <c r="O1561" s="746" t="s">
        <v>4424</v>
      </c>
      <c r="P1561" s="547" t="s">
        <v>1588</v>
      </c>
      <c r="Q1561" s="863">
        <v>0</v>
      </c>
      <c r="R1561" s="863">
        <v>0</v>
      </c>
      <c r="S1561" s="863">
        <v>0</v>
      </c>
      <c r="T1561" s="863">
        <v>0</v>
      </c>
      <c r="U1561" s="547" t="s">
        <v>7491</v>
      </c>
      <c r="V1561" s="547" t="s">
        <v>4447</v>
      </c>
      <c r="W1561" s="658">
        <v>390</v>
      </c>
      <c r="X1561" s="547" t="s">
        <v>1532</v>
      </c>
      <c r="Y1561" s="547" t="s">
        <v>3161</v>
      </c>
      <c r="Z1561" s="547"/>
      <c r="AA1561" s="547"/>
      <c r="AB1561" s="550" t="s">
        <v>1934</v>
      </c>
    </row>
    <row r="1562" spans="1:28" ht="24" customHeight="1">
      <c r="A1562" s="606"/>
      <c r="B1562" s="544" t="s">
        <v>675</v>
      </c>
      <c r="C1562" s="551" t="s">
        <v>6539</v>
      </c>
      <c r="D1562" s="553" t="s">
        <v>4448</v>
      </c>
      <c r="E1562" s="659">
        <f t="shared" si="100"/>
        <v>60</v>
      </c>
      <c r="F1562" s="659">
        <v>0</v>
      </c>
      <c r="G1562" s="659">
        <v>60</v>
      </c>
      <c r="H1562" s="659">
        <v>0</v>
      </c>
      <c r="I1562" s="659">
        <f t="shared" si="101"/>
        <v>42</v>
      </c>
      <c r="J1562" s="659">
        <v>0</v>
      </c>
      <c r="K1562" s="659">
        <v>42</v>
      </c>
      <c r="L1562" s="741">
        <v>0</v>
      </c>
      <c r="M1562" s="965">
        <v>0.7</v>
      </c>
      <c r="N1562" s="653">
        <v>0</v>
      </c>
      <c r="O1562" s="746" t="s">
        <v>4438</v>
      </c>
      <c r="P1562" s="547" t="s">
        <v>1588</v>
      </c>
      <c r="Q1562" s="863">
        <v>0</v>
      </c>
      <c r="R1562" s="863">
        <v>0</v>
      </c>
      <c r="S1562" s="863">
        <v>0</v>
      </c>
      <c r="T1562" s="863">
        <v>0</v>
      </c>
      <c r="U1562" s="547" t="s">
        <v>7491</v>
      </c>
      <c r="V1562" s="547" t="s">
        <v>4449</v>
      </c>
      <c r="W1562" s="658">
        <v>386</v>
      </c>
      <c r="X1562" s="547" t="s">
        <v>1532</v>
      </c>
      <c r="Y1562" s="547" t="s">
        <v>3161</v>
      </c>
      <c r="Z1562" s="547"/>
      <c r="AA1562" s="547"/>
      <c r="AB1562" s="550" t="s">
        <v>1934</v>
      </c>
    </row>
    <row r="1563" spans="1:28" ht="24" customHeight="1">
      <c r="A1563" s="606"/>
      <c r="B1563" s="544" t="s">
        <v>675</v>
      </c>
      <c r="C1563" s="551" t="s">
        <v>4450</v>
      </c>
      <c r="D1563" s="553" t="s">
        <v>4451</v>
      </c>
      <c r="E1563" s="659">
        <f t="shared" si="100"/>
        <v>40</v>
      </c>
      <c r="F1563" s="659">
        <v>0</v>
      </c>
      <c r="G1563" s="659">
        <v>40</v>
      </c>
      <c r="H1563" s="659">
        <v>0</v>
      </c>
      <c r="I1563" s="659">
        <f t="shared" si="101"/>
        <v>28</v>
      </c>
      <c r="J1563" s="659">
        <v>0</v>
      </c>
      <c r="K1563" s="659">
        <v>28</v>
      </c>
      <c r="L1563" s="741">
        <v>0</v>
      </c>
      <c r="M1563" s="965">
        <v>0.7</v>
      </c>
      <c r="N1563" s="653">
        <v>0</v>
      </c>
      <c r="O1563" s="746" t="s">
        <v>4438</v>
      </c>
      <c r="P1563" s="547" t="s">
        <v>1588</v>
      </c>
      <c r="Q1563" s="863">
        <v>0</v>
      </c>
      <c r="R1563" s="863">
        <v>0</v>
      </c>
      <c r="S1563" s="863">
        <v>0</v>
      </c>
      <c r="T1563" s="863">
        <v>0</v>
      </c>
      <c r="U1563" s="547" t="s">
        <v>7491</v>
      </c>
      <c r="V1563" s="547" t="s">
        <v>4452</v>
      </c>
      <c r="W1563" s="658">
        <v>391</v>
      </c>
      <c r="X1563" s="547" t="s">
        <v>1532</v>
      </c>
      <c r="Y1563" s="547" t="s">
        <v>3161</v>
      </c>
      <c r="Z1563" s="547"/>
      <c r="AA1563" s="547"/>
      <c r="AB1563" s="550" t="s">
        <v>1934</v>
      </c>
    </row>
    <row r="1564" spans="1:28" ht="24" customHeight="1">
      <c r="A1564" s="606"/>
      <c r="B1564" s="544" t="s">
        <v>675</v>
      </c>
      <c r="C1564" s="551" t="s">
        <v>4453</v>
      </c>
      <c r="D1564" s="553" t="s">
        <v>4454</v>
      </c>
      <c r="E1564" s="659">
        <f t="shared" si="100"/>
        <v>50</v>
      </c>
      <c r="F1564" s="659">
        <v>0</v>
      </c>
      <c r="G1564" s="659">
        <v>50</v>
      </c>
      <c r="H1564" s="659">
        <v>0</v>
      </c>
      <c r="I1564" s="659">
        <f t="shared" si="101"/>
        <v>35</v>
      </c>
      <c r="J1564" s="659">
        <v>0</v>
      </c>
      <c r="K1564" s="659">
        <v>35</v>
      </c>
      <c r="L1564" s="741">
        <v>0</v>
      </c>
      <c r="M1564" s="965">
        <v>0.7</v>
      </c>
      <c r="N1564" s="653">
        <v>0</v>
      </c>
      <c r="O1564" s="746" t="s">
        <v>4424</v>
      </c>
      <c r="P1564" s="547" t="s">
        <v>1588</v>
      </c>
      <c r="Q1564" s="863">
        <v>0</v>
      </c>
      <c r="R1564" s="863">
        <v>0</v>
      </c>
      <c r="S1564" s="863">
        <v>0</v>
      </c>
      <c r="T1564" s="863">
        <v>0</v>
      </c>
      <c r="U1564" s="547" t="s">
        <v>7491</v>
      </c>
      <c r="V1564" s="547" t="s">
        <v>4455</v>
      </c>
      <c r="W1564" s="658">
        <v>275</v>
      </c>
      <c r="X1564" s="547" t="s">
        <v>1532</v>
      </c>
      <c r="Y1564" s="547" t="s">
        <v>3161</v>
      </c>
      <c r="Z1564" s="547"/>
      <c r="AA1564" s="547"/>
      <c r="AB1564" s="550" t="s">
        <v>1934</v>
      </c>
    </row>
    <row r="1565" spans="1:28" ht="24" customHeight="1">
      <c r="A1565" s="606"/>
      <c r="B1565" s="544" t="s">
        <v>675</v>
      </c>
      <c r="C1565" s="551" t="s">
        <v>4830</v>
      </c>
      <c r="D1565" s="553" t="s">
        <v>4456</v>
      </c>
      <c r="E1565" s="659">
        <f t="shared" si="100"/>
        <v>100</v>
      </c>
      <c r="F1565" s="659">
        <v>0</v>
      </c>
      <c r="G1565" s="659">
        <v>100</v>
      </c>
      <c r="H1565" s="659">
        <v>0</v>
      </c>
      <c r="I1565" s="659">
        <f t="shared" si="101"/>
        <v>70</v>
      </c>
      <c r="J1565" s="659">
        <v>0</v>
      </c>
      <c r="K1565" s="659">
        <v>70</v>
      </c>
      <c r="L1565" s="741">
        <v>0</v>
      </c>
      <c r="M1565" s="965">
        <v>0.7</v>
      </c>
      <c r="N1565" s="653">
        <v>0</v>
      </c>
      <c r="O1565" s="746" t="s">
        <v>4424</v>
      </c>
      <c r="P1565" s="547" t="s">
        <v>1588</v>
      </c>
      <c r="Q1565" s="863">
        <v>0</v>
      </c>
      <c r="R1565" s="863">
        <v>0</v>
      </c>
      <c r="S1565" s="863">
        <v>0</v>
      </c>
      <c r="T1565" s="863">
        <v>0</v>
      </c>
      <c r="U1565" s="547" t="s">
        <v>7491</v>
      </c>
      <c r="V1565" s="547" t="s">
        <v>4457</v>
      </c>
      <c r="W1565" s="658">
        <v>390</v>
      </c>
      <c r="X1565" s="547" t="s">
        <v>1532</v>
      </c>
      <c r="Y1565" s="547" t="s">
        <v>3161</v>
      </c>
      <c r="Z1565" s="547"/>
      <c r="AA1565" s="547"/>
      <c r="AB1565" s="550" t="s">
        <v>1934</v>
      </c>
    </row>
    <row r="1566" spans="1:28" ht="24" customHeight="1">
      <c r="A1566" s="606"/>
      <c r="B1566" s="544" t="s">
        <v>675</v>
      </c>
      <c r="C1566" s="551" t="s">
        <v>4458</v>
      </c>
      <c r="D1566" s="553" t="s">
        <v>4459</v>
      </c>
      <c r="E1566" s="659">
        <f t="shared" ref="E1566:E1571" si="102">F1566+G1566+H1566</f>
        <v>70</v>
      </c>
      <c r="F1566" s="659">
        <v>0</v>
      </c>
      <c r="G1566" s="659">
        <v>70</v>
      </c>
      <c r="H1566" s="659">
        <v>0</v>
      </c>
      <c r="I1566" s="659">
        <f t="shared" ref="I1566:I1571" si="103">J1566+K1566+L1566</f>
        <v>49</v>
      </c>
      <c r="J1566" s="659">
        <v>0</v>
      </c>
      <c r="K1566" s="659">
        <v>49</v>
      </c>
      <c r="L1566" s="741">
        <v>0</v>
      </c>
      <c r="M1566" s="965">
        <v>0.7</v>
      </c>
      <c r="N1566" s="653">
        <v>0</v>
      </c>
      <c r="O1566" s="746" t="s">
        <v>4424</v>
      </c>
      <c r="P1566" s="547" t="s">
        <v>1588</v>
      </c>
      <c r="Q1566" s="863">
        <v>0</v>
      </c>
      <c r="R1566" s="863">
        <v>0</v>
      </c>
      <c r="S1566" s="863">
        <v>0</v>
      </c>
      <c r="T1566" s="863">
        <v>0</v>
      </c>
      <c r="U1566" s="547" t="s">
        <v>7491</v>
      </c>
      <c r="V1566" s="547" t="s">
        <v>4457</v>
      </c>
      <c r="W1566" s="658">
        <v>220</v>
      </c>
      <c r="X1566" s="547" t="s">
        <v>1532</v>
      </c>
      <c r="Y1566" s="547" t="s">
        <v>3161</v>
      </c>
      <c r="Z1566" s="547"/>
      <c r="AA1566" s="547"/>
      <c r="AB1566" s="550" t="s">
        <v>1934</v>
      </c>
    </row>
    <row r="1567" spans="1:28" ht="24" customHeight="1">
      <c r="A1567" s="606"/>
      <c r="B1567" s="544" t="s">
        <v>675</v>
      </c>
      <c r="C1567" s="551" t="s">
        <v>4460</v>
      </c>
      <c r="D1567" s="553" t="s">
        <v>4461</v>
      </c>
      <c r="E1567" s="659">
        <f t="shared" si="102"/>
        <v>100</v>
      </c>
      <c r="F1567" s="659">
        <v>0</v>
      </c>
      <c r="G1567" s="659">
        <v>100</v>
      </c>
      <c r="H1567" s="659">
        <v>0</v>
      </c>
      <c r="I1567" s="659">
        <f t="shared" si="103"/>
        <v>70</v>
      </c>
      <c r="J1567" s="659">
        <v>0</v>
      </c>
      <c r="K1567" s="659">
        <v>70</v>
      </c>
      <c r="L1567" s="741">
        <v>0</v>
      </c>
      <c r="M1567" s="965">
        <v>0.7</v>
      </c>
      <c r="N1567" s="653">
        <v>0</v>
      </c>
      <c r="O1567" s="746" t="s">
        <v>4438</v>
      </c>
      <c r="P1567" s="547" t="s">
        <v>1588</v>
      </c>
      <c r="Q1567" s="863">
        <v>0</v>
      </c>
      <c r="R1567" s="863">
        <v>0</v>
      </c>
      <c r="S1567" s="863">
        <v>0</v>
      </c>
      <c r="T1567" s="863">
        <v>0</v>
      </c>
      <c r="U1567" s="547" t="s">
        <v>7491</v>
      </c>
      <c r="V1567" s="547" t="s">
        <v>4462</v>
      </c>
      <c r="W1567" s="658">
        <v>486</v>
      </c>
      <c r="X1567" s="547" t="s">
        <v>1532</v>
      </c>
      <c r="Y1567" s="547" t="s">
        <v>3161</v>
      </c>
      <c r="Z1567" s="547"/>
      <c r="AA1567" s="547"/>
      <c r="AB1567" s="550" t="s">
        <v>1934</v>
      </c>
    </row>
    <row r="1568" spans="1:28" ht="24" customHeight="1">
      <c r="A1568" s="606"/>
      <c r="B1568" s="544" t="s">
        <v>675</v>
      </c>
      <c r="C1568" s="551" t="s">
        <v>4463</v>
      </c>
      <c r="D1568" s="553" t="s">
        <v>4464</v>
      </c>
      <c r="E1568" s="659">
        <f t="shared" si="102"/>
        <v>40</v>
      </c>
      <c r="F1568" s="659">
        <v>0</v>
      </c>
      <c r="G1568" s="659">
        <v>40</v>
      </c>
      <c r="H1568" s="659">
        <v>0</v>
      </c>
      <c r="I1568" s="659">
        <f t="shared" si="103"/>
        <v>28</v>
      </c>
      <c r="J1568" s="659">
        <v>0</v>
      </c>
      <c r="K1568" s="659">
        <v>28</v>
      </c>
      <c r="L1568" s="741">
        <v>0</v>
      </c>
      <c r="M1568" s="965">
        <v>0.7</v>
      </c>
      <c r="N1568" s="653">
        <v>0</v>
      </c>
      <c r="O1568" s="746" t="s">
        <v>4438</v>
      </c>
      <c r="P1568" s="547" t="s">
        <v>1588</v>
      </c>
      <c r="Q1568" s="863">
        <v>0</v>
      </c>
      <c r="R1568" s="863">
        <v>0</v>
      </c>
      <c r="S1568" s="863">
        <v>0</v>
      </c>
      <c r="T1568" s="863">
        <v>0</v>
      </c>
      <c r="U1568" s="547" t="s">
        <v>7491</v>
      </c>
      <c r="V1568" s="547" t="s">
        <v>4465</v>
      </c>
      <c r="W1568" s="658">
        <v>400</v>
      </c>
      <c r="X1568" s="547" t="s">
        <v>1532</v>
      </c>
      <c r="Y1568" s="547" t="s">
        <v>3161</v>
      </c>
      <c r="Z1568" s="547"/>
      <c r="AA1568" s="547"/>
      <c r="AB1568" s="550" t="s">
        <v>1934</v>
      </c>
    </row>
    <row r="1569" spans="1:28" ht="24" customHeight="1">
      <c r="A1569" s="606"/>
      <c r="B1569" s="544" t="s">
        <v>675</v>
      </c>
      <c r="C1569" s="551" t="s">
        <v>4466</v>
      </c>
      <c r="D1569" s="553" t="s">
        <v>4467</v>
      </c>
      <c r="E1569" s="659">
        <f t="shared" si="102"/>
        <v>90</v>
      </c>
      <c r="F1569" s="659">
        <v>0</v>
      </c>
      <c r="G1569" s="659">
        <v>90</v>
      </c>
      <c r="H1569" s="659">
        <v>0</v>
      </c>
      <c r="I1569" s="659">
        <f t="shared" si="103"/>
        <v>63</v>
      </c>
      <c r="J1569" s="659">
        <v>0</v>
      </c>
      <c r="K1569" s="659">
        <v>63</v>
      </c>
      <c r="L1569" s="741">
        <v>0</v>
      </c>
      <c r="M1569" s="965">
        <v>0.7</v>
      </c>
      <c r="N1569" s="653">
        <v>0</v>
      </c>
      <c r="O1569" s="746" t="s">
        <v>4438</v>
      </c>
      <c r="P1569" s="547" t="s">
        <v>1588</v>
      </c>
      <c r="Q1569" s="863">
        <v>0</v>
      </c>
      <c r="R1569" s="863">
        <v>0</v>
      </c>
      <c r="S1569" s="863">
        <v>0</v>
      </c>
      <c r="T1569" s="863">
        <v>0</v>
      </c>
      <c r="U1569" s="547" t="s">
        <v>7491</v>
      </c>
      <c r="V1569" s="547" t="s">
        <v>2159</v>
      </c>
      <c r="W1569" s="658">
        <v>585</v>
      </c>
      <c r="X1569" s="547" t="s">
        <v>1532</v>
      </c>
      <c r="Y1569" s="547" t="s">
        <v>3161</v>
      </c>
      <c r="Z1569" s="547"/>
      <c r="AA1569" s="547"/>
      <c r="AB1569" s="550" t="s">
        <v>1934</v>
      </c>
    </row>
    <row r="1570" spans="1:28" ht="24" customHeight="1">
      <c r="A1570" s="606"/>
      <c r="B1570" s="544" t="s">
        <v>675</v>
      </c>
      <c r="C1570" s="551" t="s">
        <v>4468</v>
      </c>
      <c r="D1570" s="553" t="s">
        <v>4469</v>
      </c>
      <c r="E1570" s="659">
        <f t="shared" si="102"/>
        <v>35</v>
      </c>
      <c r="F1570" s="659">
        <v>0</v>
      </c>
      <c r="G1570" s="659">
        <v>35</v>
      </c>
      <c r="H1570" s="659">
        <v>0</v>
      </c>
      <c r="I1570" s="659">
        <f t="shared" si="103"/>
        <v>24.5</v>
      </c>
      <c r="J1570" s="659">
        <v>0</v>
      </c>
      <c r="K1570" s="659">
        <v>24.5</v>
      </c>
      <c r="L1570" s="741">
        <v>0</v>
      </c>
      <c r="M1570" s="965">
        <v>0.7</v>
      </c>
      <c r="N1570" s="653">
        <v>0</v>
      </c>
      <c r="O1570" s="746" t="s">
        <v>4438</v>
      </c>
      <c r="P1570" s="547" t="s">
        <v>1588</v>
      </c>
      <c r="Q1570" s="863">
        <v>0</v>
      </c>
      <c r="R1570" s="863">
        <v>0</v>
      </c>
      <c r="S1570" s="863">
        <v>0</v>
      </c>
      <c r="T1570" s="863">
        <v>0</v>
      </c>
      <c r="U1570" s="547" t="s">
        <v>7491</v>
      </c>
      <c r="V1570" s="547" t="s">
        <v>4470</v>
      </c>
      <c r="W1570" s="658">
        <v>608</v>
      </c>
      <c r="X1570" s="547" t="s">
        <v>1532</v>
      </c>
      <c r="Y1570" s="547" t="s">
        <v>3161</v>
      </c>
      <c r="Z1570" s="547"/>
      <c r="AA1570" s="547"/>
      <c r="AB1570" s="550" t="s">
        <v>1934</v>
      </c>
    </row>
    <row r="1571" spans="1:28" ht="24" customHeight="1">
      <c r="A1571" s="606"/>
      <c r="B1571" s="544" t="s">
        <v>675</v>
      </c>
      <c r="C1571" s="551" t="s">
        <v>6341</v>
      </c>
      <c r="D1571" s="553" t="s">
        <v>4471</v>
      </c>
      <c r="E1571" s="659">
        <f t="shared" si="102"/>
        <v>30</v>
      </c>
      <c r="F1571" s="659">
        <v>0</v>
      </c>
      <c r="G1571" s="659">
        <v>30</v>
      </c>
      <c r="H1571" s="659">
        <v>0</v>
      </c>
      <c r="I1571" s="659">
        <f t="shared" si="103"/>
        <v>21</v>
      </c>
      <c r="J1571" s="659">
        <v>0</v>
      </c>
      <c r="K1571" s="659">
        <v>21</v>
      </c>
      <c r="L1571" s="741">
        <v>0</v>
      </c>
      <c r="M1571" s="965">
        <v>0.7</v>
      </c>
      <c r="N1571" s="653">
        <v>0</v>
      </c>
      <c r="O1571" s="746" t="s">
        <v>2770</v>
      </c>
      <c r="P1571" s="547" t="s">
        <v>1588</v>
      </c>
      <c r="Q1571" s="863">
        <v>0</v>
      </c>
      <c r="R1571" s="863">
        <v>0</v>
      </c>
      <c r="S1571" s="863">
        <v>0</v>
      </c>
      <c r="T1571" s="863">
        <v>0</v>
      </c>
      <c r="U1571" s="547" t="s">
        <v>7491</v>
      </c>
      <c r="V1571" s="547" t="s">
        <v>4472</v>
      </c>
      <c r="W1571" s="658">
        <v>800</v>
      </c>
      <c r="X1571" s="547" t="s">
        <v>1532</v>
      </c>
      <c r="Y1571" s="547" t="s">
        <v>3161</v>
      </c>
      <c r="Z1571" s="547"/>
      <c r="AA1571" s="547"/>
      <c r="AB1571" s="550" t="s">
        <v>1934</v>
      </c>
    </row>
    <row r="1572" spans="1:28" ht="24" customHeight="1">
      <c r="A1572" s="605" t="s">
        <v>1740</v>
      </c>
      <c r="B1572" s="544" t="s">
        <v>2201</v>
      </c>
      <c r="C1572" s="551" t="s">
        <v>1741</v>
      </c>
      <c r="D1572" s="553" t="s">
        <v>4473</v>
      </c>
      <c r="E1572" s="659">
        <f t="shared" ref="E1572:E1619" si="104">SUM(F1572:H1572)</f>
        <v>4000</v>
      </c>
      <c r="F1572" s="659">
        <v>0</v>
      </c>
      <c r="G1572" s="659">
        <v>0</v>
      </c>
      <c r="H1572" s="659">
        <v>4000</v>
      </c>
      <c r="I1572" s="659">
        <f t="shared" ref="I1572:I1619" si="105">SUM(J1572:L1572)</f>
        <v>3792</v>
      </c>
      <c r="J1572" s="659">
        <v>0</v>
      </c>
      <c r="K1572" s="659">
        <v>0</v>
      </c>
      <c r="L1572" s="741">
        <v>3792</v>
      </c>
      <c r="M1572" s="965">
        <v>0.77872340425531916</v>
      </c>
      <c r="N1572" s="653">
        <v>69.393600000000006</v>
      </c>
      <c r="O1572" s="746" t="s">
        <v>2371</v>
      </c>
      <c r="P1572" s="547" t="s">
        <v>1588</v>
      </c>
      <c r="Q1572" s="863">
        <v>30</v>
      </c>
      <c r="R1572" s="863">
        <v>0</v>
      </c>
      <c r="S1572" s="863">
        <v>0</v>
      </c>
      <c r="T1572" s="863">
        <v>0</v>
      </c>
      <c r="U1572" s="547" t="s">
        <v>7492</v>
      </c>
      <c r="V1572" s="548" t="s">
        <v>4474</v>
      </c>
      <c r="W1572" s="658">
        <v>21262</v>
      </c>
      <c r="X1572" s="547" t="s">
        <v>2193</v>
      </c>
      <c r="Y1572" s="547" t="s">
        <v>3161</v>
      </c>
      <c r="Z1572" s="547" t="s">
        <v>4475</v>
      </c>
      <c r="AA1572" s="547" t="s">
        <v>4475</v>
      </c>
      <c r="AB1572" s="550"/>
    </row>
    <row r="1573" spans="1:28" ht="24" customHeight="1">
      <c r="A1573" s="606"/>
      <c r="B1573" s="544" t="s">
        <v>675</v>
      </c>
      <c r="C1573" s="551" t="s">
        <v>4476</v>
      </c>
      <c r="D1573" s="553" t="s">
        <v>4477</v>
      </c>
      <c r="E1573" s="659">
        <f>SUM(F1573:H1573)</f>
        <v>15</v>
      </c>
      <c r="F1573" s="659">
        <v>0</v>
      </c>
      <c r="G1573" s="659">
        <v>15</v>
      </c>
      <c r="H1573" s="659">
        <v>0</v>
      </c>
      <c r="I1573" s="659">
        <f>SUM(J1573:L1573)</f>
        <v>11.9</v>
      </c>
      <c r="J1573" s="659">
        <v>0</v>
      </c>
      <c r="K1573" s="659">
        <v>0</v>
      </c>
      <c r="L1573" s="741">
        <v>11.9</v>
      </c>
      <c r="M1573" s="965">
        <v>0.88</v>
      </c>
      <c r="N1573" s="653">
        <v>41</v>
      </c>
      <c r="O1573" s="746" t="s">
        <v>3419</v>
      </c>
      <c r="P1573" s="547" t="s">
        <v>1588</v>
      </c>
      <c r="Q1573" s="863">
        <v>0</v>
      </c>
      <c r="R1573" s="863">
        <v>0</v>
      </c>
      <c r="S1573" s="863">
        <v>0</v>
      </c>
      <c r="T1573" s="863">
        <v>0</v>
      </c>
      <c r="U1573" s="547" t="s">
        <v>7492</v>
      </c>
      <c r="V1573" s="548" t="s">
        <v>4478</v>
      </c>
      <c r="W1573" s="658">
        <v>96</v>
      </c>
      <c r="X1573" s="547"/>
      <c r="Y1573" s="547" t="s">
        <v>3161</v>
      </c>
      <c r="Z1573" s="547" t="s">
        <v>4479</v>
      </c>
      <c r="AA1573" s="547" t="s">
        <v>4479</v>
      </c>
      <c r="AB1573" s="550"/>
    </row>
    <row r="1574" spans="1:28" ht="24" customHeight="1">
      <c r="A1574" s="606"/>
      <c r="B1574" s="544" t="s">
        <v>675</v>
      </c>
      <c r="C1574" s="551" t="s">
        <v>4480</v>
      </c>
      <c r="D1574" s="553" t="s">
        <v>4481</v>
      </c>
      <c r="E1574" s="659">
        <f>SUM(F1574:H1574)</f>
        <v>25</v>
      </c>
      <c r="F1574" s="659">
        <v>0</v>
      </c>
      <c r="G1574" s="659">
        <v>25</v>
      </c>
      <c r="H1574" s="659">
        <v>0</v>
      </c>
      <c r="I1574" s="659">
        <f>SUM(J1574:L1574)</f>
        <v>21</v>
      </c>
      <c r="J1574" s="659">
        <v>0</v>
      </c>
      <c r="K1574" s="659">
        <v>0</v>
      </c>
      <c r="L1574" s="741">
        <v>21</v>
      </c>
      <c r="M1574" s="968">
        <v>0.95</v>
      </c>
      <c r="N1574" s="653">
        <v>103</v>
      </c>
      <c r="O1574" s="746" t="s">
        <v>3419</v>
      </c>
      <c r="P1574" s="547" t="s">
        <v>1588</v>
      </c>
      <c r="Q1574" s="863">
        <v>0</v>
      </c>
      <c r="R1574" s="863">
        <v>0</v>
      </c>
      <c r="S1574" s="863">
        <v>0</v>
      </c>
      <c r="T1574" s="863">
        <v>0</v>
      </c>
      <c r="U1574" s="547" t="s">
        <v>7492</v>
      </c>
      <c r="V1574" s="548" t="s">
        <v>4482</v>
      </c>
      <c r="W1574" s="658">
        <v>96</v>
      </c>
      <c r="X1574" s="547"/>
      <c r="Y1574" s="547" t="s">
        <v>3161</v>
      </c>
      <c r="Z1574" s="547"/>
      <c r="AA1574" s="547"/>
      <c r="AB1574" s="550"/>
    </row>
    <row r="1575" spans="1:28" ht="24" customHeight="1">
      <c r="A1575" s="606"/>
      <c r="B1575" s="544" t="s">
        <v>675</v>
      </c>
      <c r="C1575" s="551" t="s">
        <v>4483</v>
      </c>
      <c r="D1575" s="553" t="s">
        <v>4484</v>
      </c>
      <c r="E1575" s="659">
        <f>SUM(F1575:H1575)</f>
        <v>50</v>
      </c>
      <c r="F1575" s="659">
        <v>0</v>
      </c>
      <c r="G1575" s="659">
        <v>50</v>
      </c>
      <c r="H1575" s="659">
        <v>0</v>
      </c>
      <c r="I1575" s="659">
        <f>SUM(J1575:L1575)</f>
        <v>39.5</v>
      </c>
      <c r="J1575" s="659">
        <v>0</v>
      </c>
      <c r="K1575" s="659">
        <v>0</v>
      </c>
      <c r="L1575" s="741">
        <v>39.5</v>
      </c>
      <c r="M1575" s="965">
        <v>0.93</v>
      </c>
      <c r="N1575" s="653">
        <v>179</v>
      </c>
      <c r="O1575" s="746" t="s">
        <v>4485</v>
      </c>
      <c r="P1575" s="547" t="s">
        <v>1588</v>
      </c>
      <c r="Q1575" s="863">
        <v>0</v>
      </c>
      <c r="R1575" s="863">
        <v>0</v>
      </c>
      <c r="S1575" s="863">
        <v>0</v>
      </c>
      <c r="T1575" s="863">
        <v>0</v>
      </c>
      <c r="U1575" s="547" t="s">
        <v>7492</v>
      </c>
      <c r="V1575" s="548" t="s">
        <v>4486</v>
      </c>
      <c r="W1575" s="658">
        <v>360</v>
      </c>
      <c r="X1575" s="547"/>
      <c r="Y1575" s="547" t="s">
        <v>3161</v>
      </c>
      <c r="Z1575" s="547" t="s">
        <v>4475</v>
      </c>
      <c r="AA1575" s="547" t="s">
        <v>4475</v>
      </c>
      <c r="AB1575" s="550"/>
    </row>
    <row r="1576" spans="1:28" ht="24" customHeight="1">
      <c r="A1576" s="606"/>
      <c r="B1576" s="544" t="s">
        <v>675</v>
      </c>
      <c r="C1576" s="551" t="s">
        <v>4487</v>
      </c>
      <c r="D1576" s="553" t="s">
        <v>4488</v>
      </c>
      <c r="E1576" s="659">
        <f t="shared" si="104"/>
        <v>60</v>
      </c>
      <c r="F1576" s="659">
        <v>0</v>
      </c>
      <c r="G1576" s="659">
        <v>60</v>
      </c>
      <c r="H1576" s="659">
        <v>0</v>
      </c>
      <c r="I1576" s="659">
        <f t="shared" si="105"/>
        <v>50.4</v>
      </c>
      <c r="J1576" s="659">
        <v>0</v>
      </c>
      <c r="K1576" s="659">
        <v>0</v>
      </c>
      <c r="L1576" s="741">
        <v>50.4</v>
      </c>
      <c r="M1576" s="965">
        <v>0.95</v>
      </c>
      <c r="N1576" s="653">
        <v>261</v>
      </c>
      <c r="O1576" s="746" t="s">
        <v>4489</v>
      </c>
      <c r="P1576" s="547" t="s">
        <v>1588</v>
      </c>
      <c r="Q1576" s="863">
        <v>0</v>
      </c>
      <c r="R1576" s="863">
        <v>0</v>
      </c>
      <c r="S1576" s="863">
        <v>0</v>
      </c>
      <c r="T1576" s="863">
        <v>0</v>
      </c>
      <c r="U1576" s="547" t="s">
        <v>7492</v>
      </c>
      <c r="V1576" s="548" t="s">
        <v>4490</v>
      </c>
      <c r="W1576" s="658">
        <v>312</v>
      </c>
      <c r="X1576" s="547"/>
      <c r="Y1576" s="547" t="s">
        <v>3161</v>
      </c>
      <c r="Z1576" s="547" t="s">
        <v>4491</v>
      </c>
      <c r="AA1576" s="547" t="s">
        <v>4491</v>
      </c>
      <c r="AB1576" s="550"/>
    </row>
    <row r="1577" spans="1:28" ht="24" customHeight="1">
      <c r="A1577" s="606"/>
      <c r="B1577" s="544" t="s">
        <v>675</v>
      </c>
      <c r="C1577" s="551" t="s">
        <v>2001</v>
      </c>
      <c r="D1577" s="553" t="s">
        <v>4492</v>
      </c>
      <c r="E1577" s="659">
        <f t="shared" si="104"/>
        <v>23</v>
      </c>
      <c r="F1577" s="659">
        <v>0</v>
      </c>
      <c r="G1577" s="659">
        <v>23</v>
      </c>
      <c r="H1577" s="659">
        <v>0</v>
      </c>
      <c r="I1577" s="659">
        <f t="shared" si="105"/>
        <v>18.399999999999999</v>
      </c>
      <c r="J1577" s="659">
        <v>0</v>
      </c>
      <c r="K1577" s="659">
        <v>0</v>
      </c>
      <c r="L1577" s="741">
        <v>18.399999999999999</v>
      </c>
      <c r="M1577" s="965">
        <v>0.9</v>
      </c>
      <c r="N1577" s="653">
        <v>68</v>
      </c>
      <c r="O1577" s="746" t="s">
        <v>4493</v>
      </c>
      <c r="P1577" s="547" t="s">
        <v>1588</v>
      </c>
      <c r="Q1577" s="863">
        <v>0</v>
      </c>
      <c r="R1577" s="863">
        <v>0</v>
      </c>
      <c r="S1577" s="863">
        <v>0</v>
      </c>
      <c r="T1577" s="863">
        <v>0</v>
      </c>
      <c r="U1577" s="547" t="s">
        <v>7492</v>
      </c>
      <c r="V1577" s="548" t="s">
        <v>7181</v>
      </c>
      <c r="W1577" s="658">
        <v>218</v>
      </c>
      <c r="X1577" s="547"/>
      <c r="Y1577" s="547" t="s">
        <v>3161</v>
      </c>
      <c r="Z1577" s="547" t="s">
        <v>4494</v>
      </c>
      <c r="AA1577" s="547" t="s">
        <v>4494</v>
      </c>
      <c r="AB1577" s="550"/>
    </row>
    <row r="1578" spans="1:28" ht="24" customHeight="1">
      <c r="A1578" s="606"/>
      <c r="B1578" s="544" t="s">
        <v>675</v>
      </c>
      <c r="C1578" s="551" t="s">
        <v>4495</v>
      </c>
      <c r="D1578" s="553" t="s">
        <v>4496</v>
      </c>
      <c r="E1578" s="659">
        <f t="shared" si="104"/>
        <v>110</v>
      </c>
      <c r="F1578" s="659">
        <v>0</v>
      </c>
      <c r="G1578" s="659">
        <v>110</v>
      </c>
      <c r="H1578" s="659">
        <v>0</v>
      </c>
      <c r="I1578" s="659">
        <f t="shared" si="105"/>
        <v>95.1</v>
      </c>
      <c r="J1578" s="659">
        <v>0</v>
      </c>
      <c r="K1578" s="659">
        <v>0</v>
      </c>
      <c r="L1578" s="741">
        <v>95.1</v>
      </c>
      <c r="M1578" s="965">
        <v>0.94</v>
      </c>
      <c r="N1578" s="653">
        <v>543</v>
      </c>
      <c r="O1578" s="746" t="s">
        <v>4485</v>
      </c>
      <c r="P1578" s="547" t="s">
        <v>1588</v>
      </c>
      <c r="Q1578" s="863">
        <v>0</v>
      </c>
      <c r="R1578" s="863">
        <v>0</v>
      </c>
      <c r="S1578" s="863">
        <v>0</v>
      </c>
      <c r="T1578" s="863">
        <v>0</v>
      </c>
      <c r="U1578" s="547" t="s">
        <v>7492</v>
      </c>
      <c r="V1578" s="548" t="s">
        <v>4497</v>
      </c>
      <c r="W1578" s="658">
        <v>314</v>
      </c>
      <c r="X1578" s="547"/>
      <c r="Y1578" s="547" t="s">
        <v>3161</v>
      </c>
      <c r="Z1578" s="547" t="s">
        <v>4494</v>
      </c>
      <c r="AA1578" s="547" t="s">
        <v>4494</v>
      </c>
      <c r="AB1578" s="550"/>
    </row>
    <row r="1579" spans="1:28" ht="24" customHeight="1">
      <c r="A1579" s="606"/>
      <c r="B1579" s="544" t="s">
        <v>675</v>
      </c>
      <c r="C1579" s="551" t="s">
        <v>4498</v>
      </c>
      <c r="D1579" s="553" t="s">
        <v>4499</v>
      </c>
      <c r="E1579" s="659">
        <f t="shared" si="104"/>
        <v>80</v>
      </c>
      <c r="F1579" s="659">
        <v>0</v>
      </c>
      <c r="G1579" s="659">
        <v>80</v>
      </c>
      <c r="H1579" s="659">
        <v>0</v>
      </c>
      <c r="I1579" s="659">
        <f t="shared" si="105"/>
        <v>73.7</v>
      </c>
      <c r="J1579" s="659">
        <v>0</v>
      </c>
      <c r="K1579" s="659">
        <v>0</v>
      </c>
      <c r="L1579" s="741">
        <v>73.7</v>
      </c>
      <c r="M1579" s="965">
        <v>0.95</v>
      </c>
      <c r="N1579" s="653">
        <v>308</v>
      </c>
      <c r="O1579" s="746" t="s">
        <v>4489</v>
      </c>
      <c r="P1579" s="547" t="s">
        <v>1588</v>
      </c>
      <c r="Q1579" s="863">
        <v>0</v>
      </c>
      <c r="R1579" s="863">
        <v>0</v>
      </c>
      <c r="S1579" s="863">
        <v>0</v>
      </c>
      <c r="T1579" s="863">
        <v>0</v>
      </c>
      <c r="U1579" s="547" t="s">
        <v>7492</v>
      </c>
      <c r="V1579" s="548" t="s">
        <v>4500</v>
      </c>
      <c r="W1579" s="658">
        <v>532</v>
      </c>
      <c r="X1579" s="547"/>
      <c r="Y1579" s="547" t="s">
        <v>3161</v>
      </c>
      <c r="Z1579" s="547" t="s">
        <v>4479</v>
      </c>
      <c r="AA1579" s="547" t="s">
        <v>4479</v>
      </c>
      <c r="AB1579" s="550"/>
    </row>
    <row r="1580" spans="1:28" ht="24" customHeight="1">
      <c r="A1580" s="606"/>
      <c r="B1580" s="544" t="s">
        <v>675</v>
      </c>
      <c r="C1580" s="551" t="s">
        <v>4501</v>
      </c>
      <c r="D1580" s="553" t="s">
        <v>4502</v>
      </c>
      <c r="E1580" s="659">
        <f t="shared" si="104"/>
        <v>40</v>
      </c>
      <c r="F1580" s="659">
        <v>0</v>
      </c>
      <c r="G1580" s="659">
        <v>40</v>
      </c>
      <c r="H1580" s="659">
        <v>0</v>
      </c>
      <c r="I1580" s="659">
        <f t="shared" si="105"/>
        <v>27.8</v>
      </c>
      <c r="J1580" s="659">
        <v>0</v>
      </c>
      <c r="K1580" s="659">
        <v>0</v>
      </c>
      <c r="L1580" s="741">
        <v>27.8</v>
      </c>
      <c r="M1580" s="965">
        <v>0.92</v>
      </c>
      <c r="N1580" s="653">
        <v>133</v>
      </c>
      <c r="O1580" s="746" t="s">
        <v>4489</v>
      </c>
      <c r="P1580" s="547" t="s">
        <v>1588</v>
      </c>
      <c r="Q1580" s="863">
        <v>0</v>
      </c>
      <c r="R1580" s="863">
        <v>0</v>
      </c>
      <c r="S1580" s="863">
        <v>0</v>
      </c>
      <c r="T1580" s="863">
        <v>0</v>
      </c>
      <c r="U1580" s="547" t="s">
        <v>7492</v>
      </c>
      <c r="V1580" s="548" t="s">
        <v>4503</v>
      </c>
      <c r="W1580" s="658">
        <v>310</v>
      </c>
      <c r="X1580" s="547"/>
      <c r="Y1580" s="547" t="s">
        <v>1533</v>
      </c>
      <c r="Z1580" s="547" t="s">
        <v>4479</v>
      </c>
      <c r="AA1580" s="547" t="s">
        <v>4479</v>
      </c>
      <c r="AB1580" s="550"/>
    </row>
    <row r="1581" spans="1:28" ht="24" customHeight="1">
      <c r="A1581" s="606"/>
      <c r="B1581" s="544" t="s">
        <v>675</v>
      </c>
      <c r="C1581" s="551" t="s">
        <v>4504</v>
      </c>
      <c r="D1581" s="553" t="s">
        <v>4505</v>
      </c>
      <c r="E1581" s="659">
        <f t="shared" si="104"/>
        <v>40</v>
      </c>
      <c r="F1581" s="659">
        <v>0</v>
      </c>
      <c r="G1581" s="659">
        <v>40</v>
      </c>
      <c r="H1581" s="659">
        <v>0</v>
      </c>
      <c r="I1581" s="659">
        <f t="shared" si="105"/>
        <v>31.4</v>
      </c>
      <c r="J1581" s="659">
        <v>0</v>
      </c>
      <c r="K1581" s="659">
        <v>0</v>
      </c>
      <c r="L1581" s="741">
        <v>31.4</v>
      </c>
      <c r="M1581" s="965">
        <v>0.96</v>
      </c>
      <c r="N1581" s="653">
        <v>119</v>
      </c>
      <c r="O1581" s="746" t="s">
        <v>3419</v>
      </c>
      <c r="P1581" s="547" t="s">
        <v>1588</v>
      </c>
      <c r="Q1581" s="863">
        <v>0</v>
      </c>
      <c r="R1581" s="863">
        <v>0</v>
      </c>
      <c r="S1581" s="863">
        <v>0</v>
      </c>
      <c r="T1581" s="863">
        <v>0</v>
      </c>
      <c r="U1581" s="547" t="s">
        <v>7492</v>
      </c>
      <c r="V1581" s="548" t="s">
        <v>4506</v>
      </c>
      <c r="W1581" s="658">
        <v>390</v>
      </c>
      <c r="X1581" s="547"/>
      <c r="Y1581" s="547" t="s">
        <v>1533</v>
      </c>
      <c r="Z1581" s="547"/>
      <c r="AA1581" s="547"/>
      <c r="AB1581" s="550"/>
    </row>
    <row r="1582" spans="1:28" ht="24" customHeight="1">
      <c r="A1582" s="606"/>
      <c r="B1582" s="544" t="s">
        <v>675</v>
      </c>
      <c r="C1582" s="551" t="s">
        <v>4507</v>
      </c>
      <c r="D1582" s="553" t="s">
        <v>4508</v>
      </c>
      <c r="E1582" s="659">
        <f t="shared" si="104"/>
        <v>45</v>
      </c>
      <c r="F1582" s="659">
        <v>0</v>
      </c>
      <c r="G1582" s="659">
        <v>45</v>
      </c>
      <c r="H1582" s="659">
        <v>0</v>
      </c>
      <c r="I1582" s="659">
        <f t="shared" si="105"/>
        <v>39.299999999999997</v>
      </c>
      <c r="J1582" s="659">
        <v>0</v>
      </c>
      <c r="K1582" s="659">
        <v>0</v>
      </c>
      <c r="L1582" s="741">
        <v>39.299999999999997</v>
      </c>
      <c r="M1582" s="965">
        <v>0.89</v>
      </c>
      <c r="N1582" s="653">
        <v>169</v>
      </c>
      <c r="O1582" s="746" t="s">
        <v>4509</v>
      </c>
      <c r="P1582" s="547" t="s">
        <v>1588</v>
      </c>
      <c r="Q1582" s="863">
        <v>0</v>
      </c>
      <c r="R1582" s="863">
        <v>0</v>
      </c>
      <c r="S1582" s="863">
        <v>0</v>
      </c>
      <c r="T1582" s="863">
        <v>0</v>
      </c>
      <c r="U1582" s="547" t="s">
        <v>7492</v>
      </c>
      <c r="V1582" s="548" t="s">
        <v>4510</v>
      </c>
      <c r="W1582" s="658">
        <v>102</v>
      </c>
      <c r="X1582" s="547"/>
      <c r="Y1582" s="547" t="s">
        <v>1533</v>
      </c>
      <c r="Z1582" s="547"/>
      <c r="AA1582" s="547"/>
      <c r="AB1582" s="550"/>
    </row>
    <row r="1583" spans="1:28" ht="24" customHeight="1">
      <c r="A1583" s="606"/>
      <c r="B1583" s="544" t="s">
        <v>675</v>
      </c>
      <c r="C1583" s="551" t="s">
        <v>4511</v>
      </c>
      <c r="D1583" s="553" t="s">
        <v>4512</v>
      </c>
      <c r="E1583" s="659">
        <f t="shared" si="104"/>
        <v>80</v>
      </c>
      <c r="F1583" s="659">
        <v>0</v>
      </c>
      <c r="G1583" s="659">
        <v>80</v>
      </c>
      <c r="H1583" s="659">
        <v>0</v>
      </c>
      <c r="I1583" s="659">
        <f t="shared" si="105"/>
        <v>69.599999999999994</v>
      </c>
      <c r="J1583" s="659">
        <v>0</v>
      </c>
      <c r="K1583" s="659">
        <v>0</v>
      </c>
      <c r="L1583" s="741">
        <v>69.599999999999994</v>
      </c>
      <c r="M1583" s="965">
        <v>0.9</v>
      </c>
      <c r="N1583" s="653">
        <v>322</v>
      </c>
      <c r="O1583" s="746" t="s">
        <v>4509</v>
      </c>
      <c r="P1583" s="547" t="s">
        <v>1588</v>
      </c>
      <c r="Q1583" s="863">
        <v>0</v>
      </c>
      <c r="R1583" s="863">
        <v>0</v>
      </c>
      <c r="S1583" s="863">
        <v>0</v>
      </c>
      <c r="T1583" s="863">
        <v>0</v>
      </c>
      <c r="U1583" s="547" t="s">
        <v>7492</v>
      </c>
      <c r="V1583" s="548" t="s">
        <v>4510</v>
      </c>
      <c r="W1583" s="658">
        <v>182</v>
      </c>
      <c r="X1583" s="547"/>
      <c r="Y1583" s="547" t="s">
        <v>3161</v>
      </c>
      <c r="Z1583" s="547" t="s">
        <v>1594</v>
      </c>
      <c r="AA1583" s="547" t="s">
        <v>1594</v>
      </c>
      <c r="AB1583" s="550"/>
    </row>
    <row r="1584" spans="1:28" ht="24" customHeight="1">
      <c r="A1584" s="606"/>
      <c r="B1584" s="544" t="s">
        <v>675</v>
      </c>
      <c r="C1584" s="551" t="s">
        <v>4513</v>
      </c>
      <c r="D1584" s="553" t="s">
        <v>4514</v>
      </c>
      <c r="E1584" s="659">
        <f t="shared" si="104"/>
        <v>50</v>
      </c>
      <c r="F1584" s="659">
        <v>0</v>
      </c>
      <c r="G1584" s="659">
        <v>50</v>
      </c>
      <c r="H1584" s="659">
        <v>0</v>
      </c>
      <c r="I1584" s="659">
        <f t="shared" si="105"/>
        <v>43.3</v>
      </c>
      <c r="J1584" s="659">
        <v>0</v>
      </c>
      <c r="K1584" s="659">
        <v>0</v>
      </c>
      <c r="L1584" s="741">
        <v>43.3</v>
      </c>
      <c r="M1584" s="965">
        <v>0.87</v>
      </c>
      <c r="N1584" s="653">
        <v>148</v>
      </c>
      <c r="O1584" s="746" t="s">
        <v>4489</v>
      </c>
      <c r="P1584" s="547" t="s">
        <v>1588</v>
      </c>
      <c r="Q1584" s="863">
        <v>0</v>
      </c>
      <c r="R1584" s="863">
        <v>0</v>
      </c>
      <c r="S1584" s="863">
        <v>0</v>
      </c>
      <c r="T1584" s="863">
        <v>0</v>
      </c>
      <c r="U1584" s="547" t="s">
        <v>7492</v>
      </c>
      <c r="V1584" s="548" t="s">
        <v>4515</v>
      </c>
      <c r="W1584" s="658">
        <v>178</v>
      </c>
      <c r="X1584" s="547"/>
      <c r="Y1584" s="547" t="s">
        <v>3161</v>
      </c>
      <c r="Z1584" s="547" t="s">
        <v>1594</v>
      </c>
      <c r="AA1584" s="547" t="s">
        <v>1594</v>
      </c>
      <c r="AB1584" s="550"/>
    </row>
    <row r="1585" spans="1:28" ht="24" customHeight="1">
      <c r="A1585" s="606"/>
      <c r="B1585" s="544" t="s">
        <v>675</v>
      </c>
      <c r="C1585" s="551" t="s">
        <v>926</v>
      </c>
      <c r="D1585" s="553" t="s">
        <v>4508</v>
      </c>
      <c r="E1585" s="659">
        <f t="shared" si="104"/>
        <v>65</v>
      </c>
      <c r="F1585" s="659">
        <v>0</v>
      </c>
      <c r="G1585" s="659">
        <v>65</v>
      </c>
      <c r="H1585" s="659">
        <v>0</v>
      </c>
      <c r="I1585" s="659">
        <f t="shared" si="105"/>
        <v>61.5</v>
      </c>
      <c r="J1585" s="659">
        <v>0</v>
      </c>
      <c r="K1585" s="659">
        <v>0</v>
      </c>
      <c r="L1585" s="741">
        <v>61.5</v>
      </c>
      <c r="M1585" s="965">
        <v>0.93</v>
      </c>
      <c r="N1585" s="653">
        <v>373</v>
      </c>
      <c r="O1585" s="746" t="s">
        <v>4485</v>
      </c>
      <c r="P1585" s="547" t="s">
        <v>1588</v>
      </c>
      <c r="Q1585" s="863">
        <v>0</v>
      </c>
      <c r="R1585" s="863">
        <v>0</v>
      </c>
      <c r="S1585" s="863">
        <v>0</v>
      </c>
      <c r="T1585" s="863">
        <v>0</v>
      </c>
      <c r="U1585" s="547" t="s">
        <v>7492</v>
      </c>
      <c r="V1585" s="548" t="s">
        <v>4516</v>
      </c>
      <c r="W1585" s="658">
        <v>307</v>
      </c>
      <c r="X1585" s="547"/>
      <c r="Y1585" s="547" t="s">
        <v>3161</v>
      </c>
      <c r="Z1585" s="547"/>
      <c r="AA1585" s="547"/>
      <c r="AB1585" s="550"/>
    </row>
    <row r="1586" spans="1:28" ht="24" customHeight="1">
      <c r="A1586" s="606"/>
      <c r="B1586" s="544" t="s">
        <v>675</v>
      </c>
      <c r="C1586" s="551" t="s">
        <v>4517</v>
      </c>
      <c r="D1586" s="553" t="s">
        <v>4518</v>
      </c>
      <c r="E1586" s="659">
        <f t="shared" si="104"/>
        <v>40</v>
      </c>
      <c r="F1586" s="659">
        <v>0</v>
      </c>
      <c r="G1586" s="659">
        <v>40</v>
      </c>
      <c r="H1586" s="659">
        <v>0</v>
      </c>
      <c r="I1586" s="659">
        <f t="shared" si="105"/>
        <v>32.299999999999997</v>
      </c>
      <c r="J1586" s="659">
        <v>0</v>
      </c>
      <c r="K1586" s="659">
        <v>0</v>
      </c>
      <c r="L1586" s="741">
        <v>32.299999999999997</v>
      </c>
      <c r="M1586" s="965">
        <v>0.95</v>
      </c>
      <c r="N1586" s="653">
        <v>141</v>
      </c>
      <c r="O1586" s="746" t="s">
        <v>2967</v>
      </c>
      <c r="P1586" s="547" t="s">
        <v>1588</v>
      </c>
      <c r="Q1586" s="863">
        <v>0</v>
      </c>
      <c r="R1586" s="863">
        <v>0</v>
      </c>
      <c r="S1586" s="863">
        <v>0</v>
      </c>
      <c r="T1586" s="863">
        <v>0</v>
      </c>
      <c r="U1586" s="547" t="s">
        <v>7492</v>
      </c>
      <c r="V1586" s="548" t="s">
        <v>4519</v>
      </c>
      <c r="W1586" s="658">
        <v>293</v>
      </c>
      <c r="X1586" s="547"/>
      <c r="Y1586" s="547" t="s">
        <v>3161</v>
      </c>
      <c r="Z1586" s="547"/>
      <c r="AA1586" s="547"/>
      <c r="AB1586" s="550"/>
    </row>
    <row r="1587" spans="1:28" ht="24" customHeight="1">
      <c r="A1587" s="606"/>
      <c r="B1587" s="544" t="s">
        <v>675</v>
      </c>
      <c r="C1587" s="551" t="s">
        <v>1720</v>
      </c>
      <c r="D1587" s="553" t="s">
        <v>4520</v>
      </c>
      <c r="E1587" s="659">
        <f t="shared" si="104"/>
        <v>50</v>
      </c>
      <c r="F1587" s="659">
        <v>0</v>
      </c>
      <c r="G1587" s="659">
        <v>50</v>
      </c>
      <c r="H1587" s="659">
        <v>0</v>
      </c>
      <c r="I1587" s="659">
        <f t="shared" si="105"/>
        <v>32</v>
      </c>
      <c r="J1587" s="659">
        <v>0</v>
      </c>
      <c r="K1587" s="659">
        <v>0</v>
      </c>
      <c r="L1587" s="741">
        <v>32</v>
      </c>
      <c r="M1587" s="965">
        <v>0.95</v>
      </c>
      <c r="N1587" s="653">
        <v>127</v>
      </c>
      <c r="O1587" s="746" t="s">
        <v>2964</v>
      </c>
      <c r="P1587" s="547" t="s">
        <v>1588</v>
      </c>
      <c r="Q1587" s="863">
        <v>0</v>
      </c>
      <c r="R1587" s="863">
        <v>0</v>
      </c>
      <c r="S1587" s="863">
        <v>0</v>
      </c>
      <c r="T1587" s="863">
        <v>0</v>
      </c>
      <c r="U1587" s="547" t="s">
        <v>7492</v>
      </c>
      <c r="V1587" s="548" t="s">
        <v>4521</v>
      </c>
      <c r="W1587" s="658">
        <v>310</v>
      </c>
      <c r="X1587" s="547"/>
      <c r="Y1587" s="547" t="s">
        <v>1533</v>
      </c>
      <c r="Z1587" s="547"/>
      <c r="AA1587" s="547"/>
      <c r="AB1587" s="550"/>
    </row>
    <row r="1588" spans="1:28" ht="24" customHeight="1">
      <c r="A1588" s="606"/>
      <c r="B1588" s="544" t="s">
        <v>675</v>
      </c>
      <c r="C1588" s="551" t="s">
        <v>4522</v>
      </c>
      <c r="D1588" s="553" t="s">
        <v>4523</v>
      </c>
      <c r="E1588" s="659">
        <f t="shared" si="104"/>
        <v>200</v>
      </c>
      <c r="F1588" s="659">
        <v>0</v>
      </c>
      <c r="G1588" s="659">
        <v>200</v>
      </c>
      <c r="H1588" s="659">
        <v>0</v>
      </c>
      <c r="I1588" s="659">
        <f t="shared" si="105"/>
        <v>137.80000000000001</v>
      </c>
      <c r="J1588" s="659">
        <v>0</v>
      </c>
      <c r="K1588" s="659">
        <v>0</v>
      </c>
      <c r="L1588" s="741">
        <v>137.80000000000001</v>
      </c>
      <c r="M1588" s="965">
        <v>0.95</v>
      </c>
      <c r="N1588" s="653">
        <v>878</v>
      </c>
      <c r="O1588" s="746" t="s">
        <v>4524</v>
      </c>
      <c r="P1588" s="547" t="s">
        <v>1588</v>
      </c>
      <c r="Q1588" s="863">
        <v>0</v>
      </c>
      <c r="R1588" s="863">
        <v>0</v>
      </c>
      <c r="S1588" s="863">
        <v>0</v>
      </c>
      <c r="T1588" s="863">
        <v>0</v>
      </c>
      <c r="U1588" s="547" t="s">
        <v>7492</v>
      </c>
      <c r="V1588" s="548" t="s">
        <v>4525</v>
      </c>
      <c r="W1588" s="658">
        <v>855</v>
      </c>
      <c r="X1588" s="547"/>
      <c r="Y1588" s="547" t="s">
        <v>3161</v>
      </c>
      <c r="Z1588" s="547"/>
      <c r="AA1588" s="547"/>
      <c r="AB1588" s="550"/>
    </row>
    <row r="1589" spans="1:28" ht="24" customHeight="1">
      <c r="A1589" s="606"/>
      <c r="B1589" s="544" t="s">
        <v>675</v>
      </c>
      <c r="C1589" s="551" t="s">
        <v>4526</v>
      </c>
      <c r="D1589" s="553" t="s">
        <v>4527</v>
      </c>
      <c r="E1589" s="659">
        <f t="shared" si="104"/>
        <v>150</v>
      </c>
      <c r="F1589" s="659">
        <v>0</v>
      </c>
      <c r="G1589" s="659">
        <v>150</v>
      </c>
      <c r="H1589" s="659">
        <v>0</v>
      </c>
      <c r="I1589" s="659">
        <f t="shared" si="105"/>
        <v>91.4</v>
      </c>
      <c r="J1589" s="659">
        <v>0</v>
      </c>
      <c r="K1589" s="659">
        <v>0</v>
      </c>
      <c r="L1589" s="741">
        <v>91.4</v>
      </c>
      <c r="M1589" s="965">
        <v>0.9</v>
      </c>
      <c r="N1589" s="653">
        <v>349</v>
      </c>
      <c r="O1589" s="746" t="s">
        <v>4223</v>
      </c>
      <c r="P1589" s="547" t="s">
        <v>1588</v>
      </c>
      <c r="Q1589" s="863">
        <v>0</v>
      </c>
      <c r="R1589" s="863">
        <v>0</v>
      </c>
      <c r="S1589" s="863">
        <v>0</v>
      </c>
      <c r="T1589" s="863">
        <v>0</v>
      </c>
      <c r="U1589" s="547" t="s">
        <v>7492</v>
      </c>
      <c r="V1589" s="548" t="s">
        <v>4528</v>
      </c>
      <c r="W1589" s="658">
        <v>510</v>
      </c>
      <c r="X1589" s="547"/>
      <c r="Y1589" s="547" t="s">
        <v>3161</v>
      </c>
      <c r="Z1589" s="547"/>
      <c r="AA1589" s="547"/>
      <c r="AB1589" s="550"/>
    </row>
    <row r="1590" spans="1:28" ht="24" customHeight="1">
      <c r="A1590" s="605" t="s">
        <v>1742</v>
      </c>
      <c r="B1590" s="544" t="s">
        <v>2201</v>
      </c>
      <c r="C1590" s="551" t="s">
        <v>2438</v>
      </c>
      <c r="D1590" s="553" t="s">
        <v>2058</v>
      </c>
      <c r="E1590" s="659">
        <f t="shared" si="104"/>
        <v>550</v>
      </c>
      <c r="F1590" s="563">
        <v>0</v>
      </c>
      <c r="G1590" s="563">
        <v>0</v>
      </c>
      <c r="H1590" s="563">
        <v>550</v>
      </c>
      <c r="I1590" s="659">
        <f t="shared" si="105"/>
        <v>230</v>
      </c>
      <c r="J1590" s="563">
        <v>0</v>
      </c>
      <c r="K1590" s="563">
        <v>0</v>
      </c>
      <c r="L1590" s="741">
        <v>230</v>
      </c>
      <c r="M1590" s="965">
        <v>0.92838196286472152</v>
      </c>
      <c r="N1590" s="653">
        <v>24.15</v>
      </c>
      <c r="O1590" s="746" t="s">
        <v>4529</v>
      </c>
      <c r="P1590" s="547" t="s">
        <v>1588</v>
      </c>
      <c r="Q1590" s="863">
        <v>0</v>
      </c>
      <c r="R1590" s="863">
        <v>0</v>
      </c>
      <c r="S1590" s="863">
        <v>0</v>
      </c>
      <c r="T1590" s="863">
        <v>0</v>
      </c>
      <c r="U1590" s="547" t="s">
        <v>4530</v>
      </c>
      <c r="V1590" s="548" t="s">
        <v>4531</v>
      </c>
      <c r="W1590" s="658">
        <v>7673</v>
      </c>
      <c r="X1590" s="547" t="s">
        <v>1532</v>
      </c>
      <c r="Y1590" s="547" t="s">
        <v>3399</v>
      </c>
      <c r="Z1590" s="547" t="s">
        <v>1704</v>
      </c>
      <c r="AA1590" s="547" t="s">
        <v>1704</v>
      </c>
      <c r="AB1590" s="550" t="s">
        <v>1596</v>
      </c>
    </row>
    <row r="1591" spans="1:28" ht="24" customHeight="1">
      <c r="A1591" s="606"/>
      <c r="B1591" s="544" t="s">
        <v>2201</v>
      </c>
      <c r="C1591" s="551" t="s">
        <v>384</v>
      </c>
      <c r="D1591" s="553" t="s">
        <v>2056</v>
      </c>
      <c r="E1591" s="563">
        <f t="shared" si="104"/>
        <v>550</v>
      </c>
      <c r="F1591" s="563">
        <v>0</v>
      </c>
      <c r="G1591" s="563">
        <v>0</v>
      </c>
      <c r="H1591" s="563">
        <v>550</v>
      </c>
      <c r="I1591" s="563">
        <f t="shared" si="105"/>
        <v>285</v>
      </c>
      <c r="J1591" s="563">
        <v>0</v>
      </c>
      <c r="K1591" s="563">
        <v>0</v>
      </c>
      <c r="L1591" s="741">
        <v>285</v>
      </c>
      <c r="M1591" s="965">
        <v>0.91836734693877553</v>
      </c>
      <c r="N1591" s="653">
        <v>11.5425</v>
      </c>
      <c r="O1591" s="746" t="s">
        <v>2967</v>
      </c>
      <c r="P1591" s="547" t="s">
        <v>1588</v>
      </c>
      <c r="Q1591" s="863">
        <v>0</v>
      </c>
      <c r="R1591" s="863">
        <v>0</v>
      </c>
      <c r="S1591" s="863">
        <v>0</v>
      </c>
      <c r="T1591" s="863">
        <v>0</v>
      </c>
      <c r="U1591" s="547" t="s">
        <v>4532</v>
      </c>
      <c r="V1591" s="548" t="s">
        <v>4533</v>
      </c>
      <c r="W1591" s="658">
        <v>8709</v>
      </c>
      <c r="X1591" s="547" t="s">
        <v>1532</v>
      </c>
      <c r="Y1591" s="547" t="s">
        <v>3399</v>
      </c>
      <c r="Z1591" s="547"/>
      <c r="AA1591" s="547"/>
      <c r="AB1591" s="550" t="s">
        <v>1596</v>
      </c>
    </row>
    <row r="1592" spans="1:28" ht="24" customHeight="1">
      <c r="A1592" s="606"/>
      <c r="B1592" s="544" t="s">
        <v>675</v>
      </c>
      <c r="C1592" s="551" t="s">
        <v>4534</v>
      </c>
      <c r="D1592" s="553" t="s">
        <v>4535</v>
      </c>
      <c r="E1592" s="563">
        <f t="shared" si="104"/>
        <v>20</v>
      </c>
      <c r="F1592" s="563">
        <v>0</v>
      </c>
      <c r="G1592" s="563">
        <v>20</v>
      </c>
      <c r="H1592" s="563">
        <v>0</v>
      </c>
      <c r="I1592" s="563">
        <f t="shared" si="105"/>
        <v>15</v>
      </c>
      <c r="J1592" s="563">
        <v>0</v>
      </c>
      <c r="K1592" s="563">
        <v>15</v>
      </c>
      <c r="L1592" s="741">
        <v>0</v>
      </c>
      <c r="M1592" s="965">
        <v>0.75</v>
      </c>
      <c r="N1592" s="653">
        <v>0</v>
      </c>
      <c r="O1592" s="746" t="s">
        <v>4536</v>
      </c>
      <c r="P1592" s="547" t="s">
        <v>1588</v>
      </c>
      <c r="Q1592" s="863">
        <v>0</v>
      </c>
      <c r="R1592" s="863">
        <v>0</v>
      </c>
      <c r="S1592" s="863">
        <v>0</v>
      </c>
      <c r="T1592" s="863">
        <v>0</v>
      </c>
      <c r="U1592" s="547" t="s">
        <v>4537</v>
      </c>
      <c r="V1592" s="548" t="s">
        <v>4538</v>
      </c>
      <c r="W1592" s="658">
        <v>185</v>
      </c>
      <c r="X1592" s="547" t="s">
        <v>1532</v>
      </c>
      <c r="Y1592" s="547" t="s">
        <v>3399</v>
      </c>
      <c r="Z1592" s="547"/>
      <c r="AA1592" s="547"/>
      <c r="AB1592" s="550" t="s">
        <v>1596</v>
      </c>
    </row>
    <row r="1593" spans="1:28" ht="24" customHeight="1">
      <c r="A1593" s="606"/>
      <c r="B1593" s="544" t="s">
        <v>675</v>
      </c>
      <c r="C1593" s="551" t="s">
        <v>4539</v>
      </c>
      <c r="D1593" s="553" t="s">
        <v>4540</v>
      </c>
      <c r="E1593" s="563">
        <f t="shared" si="104"/>
        <v>20</v>
      </c>
      <c r="F1593" s="563">
        <v>0</v>
      </c>
      <c r="G1593" s="563">
        <v>20</v>
      </c>
      <c r="H1593" s="563">
        <v>0</v>
      </c>
      <c r="I1593" s="563">
        <f t="shared" si="105"/>
        <v>17</v>
      </c>
      <c r="J1593" s="563">
        <v>0</v>
      </c>
      <c r="K1593" s="563">
        <v>17</v>
      </c>
      <c r="L1593" s="741">
        <v>0</v>
      </c>
      <c r="M1593" s="965">
        <v>0.8</v>
      </c>
      <c r="N1593" s="653">
        <v>0</v>
      </c>
      <c r="O1593" s="746" t="s">
        <v>4536</v>
      </c>
      <c r="P1593" s="547" t="s">
        <v>1588</v>
      </c>
      <c r="Q1593" s="863">
        <v>0</v>
      </c>
      <c r="R1593" s="863">
        <v>0</v>
      </c>
      <c r="S1593" s="863">
        <v>0</v>
      </c>
      <c r="T1593" s="863">
        <v>0</v>
      </c>
      <c r="U1593" s="547" t="s">
        <v>4541</v>
      </c>
      <c r="V1593" s="548" t="s">
        <v>4542</v>
      </c>
      <c r="W1593" s="658">
        <v>188</v>
      </c>
      <c r="X1593" s="547" t="s">
        <v>1532</v>
      </c>
      <c r="Y1593" s="547" t="s">
        <v>3399</v>
      </c>
      <c r="Z1593" s="547"/>
      <c r="AA1593" s="547"/>
      <c r="AB1593" s="550" t="s">
        <v>1596</v>
      </c>
    </row>
    <row r="1594" spans="1:28" ht="24" customHeight="1">
      <c r="A1594" s="606"/>
      <c r="B1594" s="544" t="s">
        <v>675</v>
      </c>
      <c r="C1594" s="551" t="s">
        <v>4543</v>
      </c>
      <c r="D1594" s="553" t="s">
        <v>4544</v>
      </c>
      <c r="E1594" s="563">
        <f t="shared" si="104"/>
        <v>20</v>
      </c>
      <c r="F1594" s="563">
        <v>0</v>
      </c>
      <c r="G1594" s="563">
        <v>20</v>
      </c>
      <c r="H1594" s="563">
        <v>0</v>
      </c>
      <c r="I1594" s="563">
        <f t="shared" si="105"/>
        <v>15</v>
      </c>
      <c r="J1594" s="563">
        <v>0</v>
      </c>
      <c r="K1594" s="563">
        <v>15</v>
      </c>
      <c r="L1594" s="741">
        <v>0</v>
      </c>
      <c r="M1594" s="965">
        <v>0.75</v>
      </c>
      <c r="N1594" s="653">
        <v>0</v>
      </c>
      <c r="O1594" s="746" t="s">
        <v>4545</v>
      </c>
      <c r="P1594" s="547" t="s">
        <v>1588</v>
      </c>
      <c r="Q1594" s="863">
        <v>0</v>
      </c>
      <c r="R1594" s="863">
        <v>0</v>
      </c>
      <c r="S1594" s="863">
        <v>0</v>
      </c>
      <c r="T1594" s="863">
        <v>0</v>
      </c>
      <c r="U1594" s="547" t="s">
        <v>4546</v>
      </c>
      <c r="V1594" s="548" t="s">
        <v>4547</v>
      </c>
      <c r="W1594" s="658">
        <v>134</v>
      </c>
      <c r="X1594" s="547" t="s">
        <v>1532</v>
      </c>
      <c r="Y1594" s="547" t="s">
        <v>4548</v>
      </c>
      <c r="Z1594" s="547"/>
      <c r="AA1594" s="547"/>
      <c r="AB1594" s="550" t="s">
        <v>1596</v>
      </c>
    </row>
    <row r="1595" spans="1:28" ht="24" customHeight="1">
      <c r="A1595" s="606"/>
      <c r="B1595" s="544" t="s">
        <v>675</v>
      </c>
      <c r="C1595" s="551" t="s">
        <v>4549</v>
      </c>
      <c r="D1595" s="553" t="s">
        <v>4550</v>
      </c>
      <c r="E1595" s="563">
        <f t="shared" si="104"/>
        <v>30</v>
      </c>
      <c r="F1595" s="563">
        <v>0</v>
      </c>
      <c r="G1595" s="563">
        <v>30</v>
      </c>
      <c r="H1595" s="563">
        <v>0</v>
      </c>
      <c r="I1595" s="563">
        <f t="shared" si="105"/>
        <v>22</v>
      </c>
      <c r="J1595" s="563">
        <v>0</v>
      </c>
      <c r="K1595" s="563">
        <v>22</v>
      </c>
      <c r="L1595" s="741">
        <v>0</v>
      </c>
      <c r="M1595" s="965">
        <v>0.73</v>
      </c>
      <c r="N1595" s="653">
        <v>0</v>
      </c>
      <c r="O1595" s="746" t="s">
        <v>4536</v>
      </c>
      <c r="P1595" s="547" t="s">
        <v>1588</v>
      </c>
      <c r="Q1595" s="863">
        <v>0</v>
      </c>
      <c r="R1595" s="863">
        <v>0</v>
      </c>
      <c r="S1595" s="863">
        <v>0</v>
      </c>
      <c r="T1595" s="863">
        <v>0</v>
      </c>
      <c r="U1595" s="547" t="s">
        <v>4546</v>
      </c>
      <c r="V1595" s="548" t="s">
        <v>4551</v>
      </c>
      <c r="W1595" s="658">
        <v>180</v>
      </c>
      <c r="X1595" s="547" t="s">
        <v>1532</v>
      </c>
      <c r="Y1595" s="547" t="s">
        <v>3399</v>
      </c>
      <c r="Z1595" s="547"/>
      <c r="AA1595" s="547"/>
      <c r="AB1595" s="550" t="s">
        <v>1596</v>
      </c>
    </row>
    <row r="1596" spans="1:28" ht="24" customHeight="1">
      <c r="A1596" s="606"/>
      <c r="B1596" s="544" t="s">
        <v>675</v>
      </c>
      <c r="C1596" s="551" t="s">
        <v>4552</v>
      </c>
      <c r="D1596" s="553" t="s">
        <v>4553</v>
      </c>
      <c r="E1596" s="563">
        <f t="shared" si="104"/>
        <v>36</v>
      </c>
      <c r="F1596" s="563">
        <v>0</v>
      </c>
      <c r="G1596" s="563">
        <v>36</v>
      </c>
      <c r="H1596" s="563">
        <v>0</v>
      </c>
      <c r="I1596" s="563">
        <f t="shared" si="105"/>
        <v>27</v>
      </c>
      <c r="J1596" s="563">
        <v>0</v>
      </c>
      <c r="K1596" s="563">
        <v>27</v>
      </c>
      <c r="L1596" s="741">
        <v>0</v>
      </c>
      <c r="M1596" s="965">
        <v>0.75</v>
      </c>
      <c r="N1596" s="653">
        <v>0</v>
      </c>
      <c r="O1596" s="746" t="s">
        <v>4554</v>
      </c>
      <c r="P1596" s="547" t="s">
        <v>1588</v>
      </c>
      <c r="Q1596" s="863">
        <v>0</v>
      </c>
      <c r="R1596" s="863">
        <v>0</v>
      </c>
      <c r="S1596" s="863">
        <v>0</v>
      </c>
      <c r="T1596" s="863">
        <v>0</v>
      </c>
      <c r="U1596" s="547" t="s">
        <v>4555</v>
      </c>
      <c r="V1596" s="548" t="s">
        <v>4556</v>
      </c>
      <c r="W1596" s="658">
        <v>196</v>
      </c>
      <c r="X1596" s="547" t="s">
        <v>1532</v>
      </c>
      <c r="Y1596" s="547" t="s">
        <v>3399</v>
      </c>
      <c r="Z1596" s="547"/>
      <c r="AA1596" s="547"/>
      <c r="AB1596" s="550" t="s">
        <v>1596</v>
      </c>
    </row>
    <row r="1597" spans="1:28" ht="24" customHeight="1">
      <c r="A1597" s="606"/>
      <c r="B1597" s="544" t="s">
        <v>675</v>
      </c>
      <c r="C1597" s="551" t="s">
        <v>4557</v>
      </c>
      <c r="D1597" s="553" t="s">
        <v>2057</v>
      </c>
      <c r="E1597" s="563">
        <f t="shared" si="104"/>
        <v>18</v>
      </c>
      <c r="F1597" s="563">
        <v>0</v>
      </c>
      <c r="G1597" s="563">
        <v>18</v>
      </c>
      <c r="H1597" s="563">
        <v>0</v>
      </c>
      <c r="I1597" s="563">
        <f t="shared" si="105"/>
        <v>0</v>
      </c>
      <c r="J1597" s="563">
        <v>0</v>
      </c>
      <c r="K1597" s="563">
        <v>0</v>
      </c>
      <c r="L1597" s="741">
        <v>0</v>
      </c>
      <c r="M1597" s="965">
        <v>0</v>
      </c>
      <c r="N1597" s="653">
        <v>0</v>
      </c>
      <c r="O1597" s="746" t="s">
        <v>4545</v>
      </c>
      <c r="P1597" s="547" t="s">
        <v>1588</v>
      </c>
      <c r="Q1597" s="863">
        <v>0</v>
      </c>
      <c r="R1597" s="863">
        <v>0</v>
      </c>
      <c r="S1597" s="863">
        <v>0</v>
      </c>
      <c r="T1597" s="863">
        <v>0</v>
      </c>
      <c r="U1597" s="547" t="s">
        <v>4555</v>
      </c>
      <c r="V1597" s="548" t="s">
        <v>2026</v>
      </c>
      <c r="W1597" s="658">
        <v>88</v>
      </c>
      <c r="X1597" s="547" t="s">
        <v>1532</v>
      </c>
      <c r="Y1597" s="547" t="s">
        <v>4548</v>
      </c>
      <c r="Z1597" s="547"/>
      <c r="AA1597" s="547"/>
      <c r="AB1597" s="550" t="s">
        <v>1596</v>
      </c>
    </row>
    <row r="1598" spans="1:28" ht="24" customHeight="1">
      <c r="A1598" s="606"/>
      <c r="B1598" s="544" t="s">
        <v>675</v>
      </c>
      <c r="C1598" s="551" t="s">
        <v>4558</v>
      </c>
      <c r="D1598" s="553" t="s">
        <v>4559</v>
      </c>
      <c r="E1598" s="563">
        <f t="shared" si="104"/>
        <v>30</v>
      </c>
      <c r="F1598" s="563">
        <v>0</v>
      </c>
      <c r="G1598" s="563">
        <v>30</v>
      </c>
      <c r="H1598" s="563">
        <v>0</v>
      </c>
      <c r="I1598" s="563">
        <f t="shared" si="105"/>
        <v>25</v>
      </c>
      <c r="J1598" s="563">
        <v>0</v>
      </c>
      <c r="K1598" s="563">
        <v>25</v>
      </c>
      <c r="L1598" s="741">
        <v>0</v>
      </c>
      <c r="M1598" s="965">
        <v>0.83</v>
      </c>
      <c r="N1598" s="653">
        <v>0</v>
      </c>
      <c r="O1598" s="746" t="s">
        <v>4545</v>
      </c>
      <c r="P1598" s="547" t="s">
        <v>1588</v>
      </c>
      <c r="Q1598" s="863">
        <v>0</v>
      </c>
      <c r="R1598" s="863">
        <v>0</v>
      </c>
      <c r="S1598" s="863">
        <v>0</v>
      </c>
      <c r="T1598" s="863">
        <v>0</v>
      </c>
      <c r="U1598" s="547" t="s">
        <v>4555</v>
      </c>
      <c r="V1598" s="548" t="s">
        <v>2368</v>
      </c>
      <c r="W1598" s="658">
        <v>289</v>
      </c>
      <c r="X1598" s="547" t="s">
        <v>1532</v>
      </c>
      <c r="Y1598" s="547" t="s">
        <v>3399</v>
      </c>
      <c r="Z1598" s="547"/>
      <c r="AA1598" s="547"/>
      <c r="AB1598" s="550" t="s">
        <v>1596</v>
      </c>
    </row>
    <row r="1599" spans="1:28" ht="24" customHeight="1">
      <c r="A1599" s="606"/>
      <c r="B1599" s="544" t="s">
        <v>675</v>
      </c>
      <c r="C1599" s="551" t="s">
        <v>4560</v>
      </c>
      <c r="D1599" s="553" t="s">
        <v>4559</v>
      </c>
      <c r="E1599" s="563">
        <f t="shared" si="104"/>
        <v>15</v>
      </c>
      <c r="F1599" s="563">
        <v>0</v>
      </c>
      <c r="G1599" s="563">
        <v>15</v>
      </c>
      <c r="H1599" s="563">
        <v>0</v>
      </c>
      <c r="I1599" s="563">
        <f t="shared" si="105"/>
        <v>13</v>
      </c>
      <c r="J1599" s="563">
        <v>0</v>
      </c>
      <c r="K1599" s="563">
        <v>13</v>
      </c>
      <c r="L1599" s="741">
        <v>0</v>
      </c>
      <c r="M1599" s="965">
        <v>0.87</v>
      </c>
      <c r="N1599" s="653">
        <v>0</v>
      </c>
      <c r="O1599" s="746" t="s">
        <v>4561</v>
      </c>
      <c r="P1599" s="547" t="s">
        <v>1588</v>
      </c>
      <c r="Q1599" s="863">
        <v>0</v>
      </c>
      <c r="R1599" s="863">
        <v>0</v>
      </c>
      <c r="S1599" s="863">
        <v>0</v>
      </c>
      <c r="T1599" s="863">
        <v>0</v>
      </c>
      <c r="U1599" s="547" t="s">
        <v>4555</v>
      </c>
      <c r="V1599" s="548" t="s">
        <v>4562</v>
      </c>
      <c r="W1599" s="658">
        <v>226</v>
      </c>
      <c r="X1599" s="547" t="s">
        <v>1532</v>
      </c>
      <c r="Y1599" s="547" t="s">
        <v>3399</v>
      </c>
      <c r="Z1599" s="547"/>
      <c r="AA1599" s="547"/>
      <c r="AB1599" s="550" t="s">
        <v>1596</v>
      </c>
    </row>
    <row r="1600" spans="1:28" ht="24" customHeight="1">
      <c r="A1600" s="606"/>
      <c r="B1600" s="544" t="s">
        <v>675</v>
      </c>
      <c r="C1600" s="551" t="s">
        <v>4563</v>
      </c>
      <c r="D1600" s="553" t="s">
        <v>4564</v>
      </c>
      <c r="E1600" s="563">
        <f t="shared" si="104"/>
        <v>32</v>
      </c>
      <c r="F1600" s="563">
        <v>0</v>
      </c>
      <c r="G1600" s="563">
        <v>32</v>
      </c>
      <c r="H1600" s="563">
        <v>0</v>
      </c>
      <c r="I1600" s="563">
        <f t="shared" si="105"/>
        <v>25</v>
      </c>
      <c r="J1600" s="563">
        <v>0</v>
      </c>
      <c r="K1600" s="563">
        <v>25</v>
      </c>
      <c r="L1600" s="741">
        <v>0</v>
      </c>
      <c r="M1600" s="965">
        <v>0.78</v>
      </c>
      <c r="N1600" s="653">
        <v>0</v>
      </c>
      <c r="O1600" s="746" t="s">
        <v>2526</v>
      </c>
      <c r="P1600" s="547" t="s">
        <v>1588</v>
      </c>
      <c r="Q1600" s="863">
        <v>0</v>
      </c>
      <c r="R1600" s="863">
        <v>0</v>
      </c>
      <c r="S1600" s="863">
        <v>0</v>
      </c>
      <c r="T1600" s="863">
        <v>0</v>
      </c>
      <c r="U1600" s="547" t="s">
        <v>4555</v>
      </c>
      <c r="V1600" s="548" t="s">
        <v>4565</v>
      </c>
      <c r="W1600" s="658">
        <v>169</v>
      </c>
      <c r="X1600" s="547" t="s">
        <v>1532</v>
      </c>
      <c r="Y1600" s="547" t="s">
        <v>3399</v>
      </c>
      <c r="Z1600" s="547"/>
      <c r="AA1600" s="547"/>
      <c r="AB1600" s="550" t="s">
        <v>1596</v>
      </c>
    </row>
    <row r="1601" spans="1:28" ht="24" customHeight="1">
      <c r="A1601" s="606"/>
      <c r="B1601" s="544" t="s">
        <v>675</v>
      </c>
      <c r="C1601" s="551" t="s">
        <v>4566</v>
      </c>
      <c r="D1601" s="553" t="s">
        <v>4564</v>
      </c>
      <c r="E1601" s="563">
        <f t="shared" si="104"/>
        <v>70</v>
      </c>
      <c r="F1601" s="563">
        <v>0</v>
      </c>
      <c r="G1601" s="563">
        <v>70</v>
      </c>
      <c r="H1601" s="563">
        <v>0</v>
      </c>
      <c r="I1601" s="563">
        <f t="shared" si="105"/>
        <v>65</v>
      </c>
      <c r="J1601" s="563">
        <v>0</v>
      </c>
      <c r="K1601" s="563">
        <v>65</v>
      </c>
      <c r="L1601" s="741">
        <v>0</v>
      </c>
      <c r="M1601" s="965">
        <v>0.93</v>
      </c>
      <c r="N1601" s="653">
        <v>0</v>
      </c>
      <c r="O1601" s="746" t="s">
        <v>2964</v>
      </c>
      <c r="P1601" s="547" t="s">
        <v>1588</v>
      </c>
      <c r="Q1601" s="863">
        <v>0</v>
      </c>
      <c r="R1601" s="863">
        <v>0</v>
      </c>
      <c r="S1601" s="863">
        <v>0</v>
      </c>
      <c r="T1601" s="863">
        <v>0</v>
      </c>
      <c r="U1601" s="547" t="s">
        <v>4555</v>
      </c>
      <c r="V1601" s="548" t="s">
        <v>4562</v>
      </c>
      <c r="W1601" s="658">
        <v>323</v>
      </c>
      <c r="X1601" s="547" t="s">
        <v>1532</v>
      </c>
      <c r="Y1601" s="547" t="s">
        <v>3399</v>
      </c>
      <c r="Z1601" s="547"/>
      <c r="AA1601" s="547"/>
      <c r="AB1601" s="550" t="s">
        <v>1596</v>
      </c>
    </row>
    <row r="1602" spans="1:28" ht="24" customHeight="1">
      <c r="A1602" s="606"/>
      <c r="B1602" s="544" t="s">
        <v>675</v>
      </c>
      <c r="C1602" s="551" t="s">
        <v>4567</v>
      </c>
      <c r="D1602" s="553" t="s">
        <v>4568</v>
      </c>
      <c r="E1602" s="563">
        <f t="shared" si="104"/>
        <v>50</v>
      </c>
      <c r="F1602" s="563">
        <v>0</v>
      </c>
      <c r="G1602" s="563">
        <v>50</v>
      </c>
      <c r="H1602" s="563">
        <v>0</v>
      </c>
      <c r="I1602" s="563">
        <f t="shared" si="105"/>
        <v>38</v>
      </c>
      <c r="J1602" s="563">
        <v>0</v>
      </c>
      <c r="K1602" s="563">
        <v>38</v>
      </c>
      <c r="L1602" s="741">
        <v>0</v>
      </c>
      <c r="M1602" s="965">
        <v>0.76</v>
      </c>
      <c r="N1602" s="653">
        <v>0</v>
      </c>
      <c r="O1602" s="746" t="s">
        <v>5698</v>
      </c>
      <c r="P1602" s="547" t="s">
        <v>1588</v>
      </c>
      <c r="Q1602" s="863">
        <v>0</v>
      </c>
      <c r="R1602" s="863">
        <v>0</v>
      </c>
      <c r="S1602" s="863">
        <v>0</v>
      </c>
      <c r="T1602" s="863">
        <v>0</v>
      </c>
      <c r="U1602" s="547" t="s">
        <v>4555</v>
      </c>
      <c r="V1602" s="548" t="s">
        <v>4569</v>
      </c>
      <c r="W1602" s="658">
        <v>283</v>
      </c>
      <c r="X1602" s="547" t="s">
        <v>1532</v>
      </c>
      <c r="Y1602" s="547" t="s">
        <v>3399</v>
      </c>
      <c r="Z1602" s="547"/>
      <c r="AA1602" s="547"/>
      <c r="AB1602" s="550" t="s">
        <v>1596</v>
      </c>
    </row>
    <row r="1603" spans="1:28" ht="24" customHeight="1">
      <c r="A1603" s="606"/>
      <c r="B1603" s="544" t="s">
        <v>675</v>
      </c>
      <c r="C1603" s="551" t="s">
        <v>4570</v>
      </c>
      <c r="D1603" s="553" t="s">
        <v>4571</v>
      </c>
      <c r="E1603" s="563">
        <f t="shared" si="104"/>
        <v>40</v>
      </c>
      <c r="F1603" s="563">
        <v>0</v>
      </c>
      <c r="G1603" s="563">
        <v>40</v>
      </c>
      <c r="H1603" s="563">
        <v>0</v>
      </c>
      <c r="I1603" s="563">
        <f t="shared" si="105"/>
        <v>32</v>
      </c>
      <c r="J1603" s="563">
        <v>0</v>
      </c>
      <c r="K1603" s="563">
        <v>32</v>
      </c>
      <c r="L1603" s="741">
        <v>0</v>
      </c>
      <c r="M1603" s="965">
        <v>0.8</v>
      </c>
      <c r="N1603" s="653">
        <v>0</v>
      </c>
      <c r="O1603" s="746" t="s">
        <v>5698</v>
      </c>
      <c r="P1603" s="547" t="s">
        <v>1588</v>
      </c>
      <c r="Q1603" s="863">
        <v>0</v>
      </c>
      <c r="R1603" s="863">
        <v>0</v>
      </c>
      <c r="S1603" s="863">
        <v>0</v>
      </c>
      <c r="T1603" s="863">
        <v>0</v>
      </c>
      <c r="U1603" s="547" t="s">
        <v>4555</v>
      </c>
      <c r="V1603" s="548" t="s">
        <v>5188</v>
      </c>
      <c r="W1603" s="658">
        <v>257</v>
      </c>
      <c r="X1603" s="547" t="s">
        <v>1532</v>
      </c>
      <c r="Y1603" s="547" t="s">
        <v>3399</v>
      </c>
      <c r="Z1603" s="547"/>
      <c r="AA1603" s="547"/>
      <c r="AB1603" s="550" t="s">
        <v>1596</v>
      </c>
    </row>
    <row r="1604" spans="1:28" ht="24" customHeight="1">
      <c r="A1604" s="606"/>
      <c r="B1604" s="544" t="s">
        <v>675</v>
      </c>
      <c r="C1604" s="551" t="s">
        <v>4572</v>
      </c>
      <c r="D1604" s="553" t="s">
        <v>4573</v>
      </c>
      <c r="E1604" s="563">
        <f t="shared" si="104"/>
        <v>20</v>
      </c>
      <c r="F1604" s="563">
        <v>0</v>
      </c>
      <c r="G1604" s="563">
        <v>20</v>
      </c>
      <c r="H1604" s="563">
        <v>0</v>
      </c>
      <c r="I1604" s="563">
        <f t="shared" si="105"/>
        <v>18</v>
      </c>
      <c r="J1604" s="563">
        <v>0</v>
      </c>
      <c r="K1604" s="563">
        <v>18</v>
      </c>
      <c r="L1604" s="741">
        <v>0</v>
      </c>
      <c r="M1604" s="965">
        <v>0.9</v>
      </c>
      <c r="N1604" s="653">
        <v>0</v>
      </c>
      <c r="O1604" s="746" t="s">
        <v>4545</v>
      </c>
      <c r="P1604" s="547" t="s">
        <v>1588</v>
      </c>
      <c r="Q1604" s="863">
        <v>0</v>
      </c>
      <c r="R1604" s="863">
        <v>0</v>
      </c>
      <c r="S1604" s="863">
        <v>0</v>
      </c>
      <c r="T1604" s="863">
        <v>0</v>
      </c>
      <c r="U1604" s="547" t="s">
        <v>4555</v>
      </c>
      <c r="V1604" s="548" t="s">
        <v>4574</v>
      </c>
      <c r="W1604" s="658">
        <v>226</v>
      </c>
      <c r="X1604" s="547" t="s">
        <v>1532</v>
      </c>
      <c r="Y1604" s="547" t="s">
        <v>3399</v>
      </c>
      <c r="Z1604" s="547"/>
      <c r="AA1604" s="547"/>
      <c r="AB1604" s="550" t="s">
        <v>1596</v>
      </c>
    </row>
    <row r="1605" spans="1:28" ht="24" customHeight="1">
      <c r="A1605" s="606"/>
      <c r="B1605" s="544" t="s">
        <v>675</v>
      </c>
      <c r="C1605" s="551" t="s">
        <v>4575</v>
      </c>
      <c r="D1605" s="553" t="s">
        <v>4576</v>
      </c>
      <c r="E1605" s="563">
        <f t="shared" si="104"/>
        <v>95</v>
      </c>
      <c r="F1605" s="563">
        <v>0</v>
      </c>
      <c r="G1605" s="563">
        <v>95</v>
      </c>
      <c r="H1605" s="563">
        <v>0</v>
      </c>
      <c r="I1605" s="563">
        <f t="shared" si="105"/>
        <v>71</v>
      </c>
      <c r="J1605" s="563">
        <v>0</v>
      </c>
      <c r="K1605" s="563">
        <v>71</v>
      </c>
      <c r="L1605" s="741">
        <v>0</v>
      </c>
      <c r="M1605" s="965">
        <v>0.75</v>
      </c>
      <c r="N1605" s="653">
        <v>0</v>
      </c>
      <c r="O1605" s="746" t="s">
        <v>938</v>
      </c>
      <c r="P1605" s="547" t="s">
        <v>1588</v>
      </c>
      <c r="Q1605" s="863">
        <v>0</v>
      </c>
      <c r="R1605" s="863">
        <v>0</v>
      </c>
      <c r="S1605" s="863">
        <v>0</v>
      </c>
      <c r="T1605" s="863">
        <v>0</v>
      </c>
      <c r="U1605" s="547" t="s">
        <v>4555</v>
      </c>
      <c r="V1605" s="548" t="s">
        <v>4577</v>
      </c>
      <c r="W1605" s="658">
        <v>294</v>
      </c>
      <c r="X1605" s="547" t="s">
        <v>1532</v>
      </c>
      <c r="Y1605" s="547" t="s">
        <v>4548</v>
      </c>
      <c r="Z1605" s="547"/>
      <c r="AA1605" s="547"/>
      <c r="AB1605" s="550" t="s">
        <v>1596</v>
      </c>
    </row>
    <row r="1606" spans="1:28" ht="24" customHeight="1">
      <c r="A1606" s="606"/>
      <c r="B1606" s="544" t="s">
        <v>675</v>
      </c>
      <c r="C1606" s="551" t="s">
        <v>4578</v>
      </c>
      <c r="D1606" s="553" t="s">
        <v>4576</v>
      </c>
      <c r="E1606" s="563">
        <f t="shared" si="104"/>
        <v>100</v>
      </c>
      <c r="F1606" s="563">
        <v>0</v>
      </c>
      <c r="G1606" s="563">
        <v>100</v>
      </c>
      <c r="H1606" s="563">
        <v>0</v>
      </c>
      <c r="I1606" s="563">
        <f t="shared" si="105"/>
        <v>86</v>
      </c>
      <c r="J1606" s="563">
        <v>0</v>
      </c>
      <c r="K1606" s="563">
        <v>86</v>
      </c>
      <c r="L1606" s="741">
        <v>0</v>
      </c>
      <c r="M1606" s="965">
        <v>0.86</v>
      </c>
      <c r="N1606" s="653">
        <v>0</v>
      </c>
      <c r="O1606" s="746" t="s">
        <v>2964</v>
      </c>
      <c r="P1606" s="547" t="s">
        <v>1588</v>
      </c>
      <c r="Q1606" s="863">
        <v>0</v>
      </c>
      <c r="R1606" s="863">
        <v>0</v>
      </c>
      <c r="S1606" s="863">
        <v>0</v>
      </c>
      <c r="T1606" s="863">
        <v>0</v>
      </c>
      <c r="U1606" s="547" t="s">
        <v>4555</v>
      </c>
      <c r="V1606" s="548" t="s">
        <v>4579</v>
      </c>
      <c r="W1606" s="658">
        <v>357</v>
      </c>
      <c r="X1606" s="547" t="s">
        <v>1532</v>
      </c>
      <c r="Y1606" s="547" t="s">
        <v>3399</v>
      </c>
      <c r="Z1606" s="547"/>
      <c r="AA1606" s="547"/>
      <c r="AB1606" s="550" t="s">
        <v>1596</v>
      </c>
    </row>
    <row r="1607" spans="1:28" ht="24" customHeight="1">
      <c r="A1607" s="606"/>
      <c r="B1607" s="544" t="s">
        <v>675</v>
      </c>
      <c r="C1607" s="551" t="s">
        <v>4580</v>
      </c>
      <c r="D1607" s="553" t="s">
        <v>4576</v>
      </c>
      <c r="E1607" s="563">
        <f t="shared" si="104"/>
        <v>120</v>
      </c>
      <c r="F1607" s="563">
        <v>0</v>
      </c>
      <c r="G1607" s="563">
        <v>120</v>
      </c>
      <c r="H1607" s="563">
        <v>0</v>
      </c>
      <c r="I1607" s="563">
        <f t="shared" si="105"/>
        <v>92</v>
      </c>
      <c r="J1607" s="563">
        <v>0</v>
      </c>
      <c r="K1607" s="563">
        <v>92</v>
      </c>
      <c r="L1607" s="741">
        <v>0</v>
      </c>
      <c r="M1607" s="965">
        <v>0.77</v>
      </c>
      <c r="N1607" s="653">
        <v>0</v>
      </c>
      <c r="O1607" s="746" t="s">
        <v>2964</v>
      </c>
      <c r="P1607" s="547" t="s">
        <v>1588</v>
      </c>
      <c r="Q1607" s="863">
        <v>0</v>
      </c>
      <c r="R1607" s="863">
        <v>0</v>
      </c>
      <c r="S1607" s="863">
        <v>0</v>
      </c>
      <c r="T1607" s="863">
        <v>0</v>
      </c>
      <c r="U1607" s="547" t="s">
        <v>4555</v>
      </c>
      <c r="V1607" s="548" t="s">
        <v>4579</v>
      </c>
      <c r="W1607" s="658">
        <v>357</v>
      </c>
      <c r="X1607" s="547" t="s">
        <v>1532</v>
      </c>
      <c r="Y1607" s="547" t="s">
        <v>3399</v>
      </c>
      <c r="Z1607" s="547"/>
      <c r="AA1607" s="547"/>
      <c r="AB1607" s="550" t="s">
        <v>1596</v>
      </c>
    </row>
    <row r="1608" spans="1:28" ht="24" customHeight="1">
      <c r="A1608" s="606"/>
      <c r="B1608" s="544" t="s">
        <v>675</v>
      </c>
      <c r="C1608" s="551" t="s">
        <v>4581</v>
      </c>
      <c r="D1608" s="553" t="s">
        <v>4576</v>
      </c>
      <c r="E1608" s="563">
        <f t="shared" si="104"/>
        <v>160</v>
      </c>
      <c r="F1608" s="563">
        <v>0</v>
      </c>
      <c r="G1608" s="563">
        <v>160</v>
      </c>
      <c r="H1608" s="563">
        <v>0</v>
      </c>
      <c r="I1608" s="563">
        <f t="shared" si="105"/>
        <v>85</v>
      </c>
      <c r="J1608" s="563">
        <v>0</v>
      </c>
      <c r="K1608" s="563">
        <v>85</v>
      </c>
      <c r="L1608" s="741">
        <v>0</v>
      </c>
      <c r="M1608" s="965">
        <v>0.53</v>
      </c>
      <c r="N1608" s="653">
        <v>0</v>
      </c>
      <c r="O1608" s="746" t="s">
        <v>2964</v>
      </c>
      <c r="P1608" s="547" t="s">
        <v>1588</v>
      </c>
      <c r="Q1608" s="863">
        <v>0</v>
      </c>
      <c r="R1608" s="863">
        <v>0</v>
      </c>
      <c r="S1608" s="863">
        <v>0</v>
      </c>
      <c r="T1608" s="863">
        <v>0</v>
      </c>
      <c r="U1608" s="547" t="s">
        <v>4555</v>
      </c>
      <c r="V1608" s="548" t="s">
        <v>4579</v>
      </c>
      <c r="W1608" s="658">
        <v>409</v>
      </c>
      <c r="X1608" s="547" t="s">
        <v>1532</v>
      </c>
      <c r="Y1608" s="547" t="s">
        <v>3399</v>
      </c>
      <c r="Z1608" s="547"/>
      <c r="AA1608" s="547"/>
      <c r="AB1608" s="550" t="s">
        <v>1596</v>
      </c>
    </row>
    <row r="1609" spans="1:28" ht="24" customHeight="1">
      <c r="A1609" s="606"/>
      <c r="B1609" s="544" t="s">
        <v>675</v>
      </c>
      <c r="C1609" s="551" t="s">
        <v>4582</v>
      </c>
      <c r="D1609" s="553" t="s">
        <v>4583</v>
      </c>
      <c r="E1609" s="563">
        <f t="shared" si="104"/>
        <v>45</v>
      </c>
      <c r="F1609" s="563">
        <v>0</v>
      </c>
      <c r="G1609" s="563">
        <v>45</v>
      </c>
      <c r="H1609" s="563">
        <v>0</v>
      </c>
      <c r="I1609" s="563">
        <f t="shared" si="105"/>
        <v>30</v>
      </c>
      <c r="J1609" s="563">
        <v>0</v>
      </c>
      <c r="K1609" s="563">
        <v>30</v>
      </c>
      <c r="L1609" s="741">
        <v>0</v>
      </c>
      <c r="M1609" s="965">
        <v>0.67</v>
      </c>
      <c r="N1609" s="653">
        <v>0</v>
      </c>
      <c r="O1609" s="746" t="s">
        <v>7286</v>
      </c>
      <c r="P1609" s="547" t="s">
        <v>1588</v>
      </c>
      <c r="Q1609" s="863">
        <v>0</v>
      </c>
      <c r="R1609" s="863">
        <v>0</v>
      </c>
      <c r="S1609" s="863">
        <v>0</v>
      </c>
      <c r="T1609" s="863">
        <v>0</v>
      </c>
      <c r="U1609" s="547" t="s">
        <v>4555</v>
      </c>
      <c r="V1609" s="548" t="s">
        <v>4584</v>
      </c>
      <c r="W1609" s="658">
        <v>289</v>
      </c>
      <c r="X1609" s="547" t="s">
        <v>1532</v>
      </c>
      <c r="Y1609" s="547" t="s">
        <v>3399</v>
      </c>
      <c r="Z1609" s="547"/>
      <c r="AA1609" s="547"/>
      <c r="AB1609" s="550" t="s">
        <v>1596</v>
      </c>
    </row>
    <row r="1610" spans="1:28" ht="24" customHeight="1">
      <c r="A1610" s="606"/>
      <c r="B1610" s="544" t="s">
        <v>675</v>
      </c>
      <c r="C1610" s="551" t="s">
        <v>4585</v>
      </c>
      <c r="D1610" s="553" t="s">
        <v>4586</v>
      </c>
      <c r="E1610" s="563">
        <f t="shared" si="104"/>
        <v>30</v>
      </c>
      <c r="F1610" s="563">
        <v>0</v>
      </c>
      <c r="G1610" s="563">
        <v>30</v>
      </c>
      <c r="H1610" s="563">
        <v>0</v>
      </c>
      <c r="I1610" s="563">
        <f t="shared" si="105"/>
        <v>25</v>
      </c>
      <c r="J1610" s="563">
        <v>0</v>
      </c>
      <c r="K1610" s="563">
        <v>25</v>
      </c>
      <c r="L1610" s="741">
        <v>0</v>
      </c>
      <c r="M1610" s="965">
        <v>0.83</v>
      </c>
      <c r="N1610" s="653">
        <v>0</v>
      </c>
      <c r="O1610" s="746" t="s">
        <v>938</v>
      </c>
      <c r="P1610" s="547" t="s">
        <v>1588</v>
      </c>
      <c r="Q1610" s="863">
        <v>0</v>
      </c>
      <c r="R1610" s="863">
        <v>0</v>
      </c>
      <c r="S1610" s="863">
        <v>0</v>
      </c>
      <c r="T1610" s="863">
        <v>0</v>
      </c>
      <c r="U1610" s="547" t="s">
        <v>4587</v>
      </c>
      <c r="V1610" s="548" t="s">
        <v>4588</v>
      </c>
      <c r="W1610" s="658">
        <v>99</v>
      </c>
      <c r="X1610" s="547" t="s">
        <v>1532</v>
      </c>
      <c r="Y1610" s="547" t="s">
        <v>4548</v>
      </c>
      <c r="Z1610" s="547"/>
      <c r="AA1610" s="547"/>
      <c r="AB1610" s="550" t="s">
        <v>1596</v>
      </c>
    </row>
    <row r="1611" spans="1:28" ht="24" customHeight="1">
      <c r="A1611" s="606"/>
      <c r="B1611" s="544" t="s">
        <v>675</v>
      </c>
      <c r="C1611" s="551" t="s">
        <v>4589</v>
      </c>
      <c r="D1611" s="553" t="s">
        <v>4590</v>
      </c>
      <c r="E1611" s="563">
        <f t="shared" si="104"/>
        <v>20</v>
      </c>
      <c r="F1611" s="563">
        <v>0</v>
      </c>
      <c r="G1611" s="563">
        <v>20</v>
      </c>
      <c r="H1611" s="563">
        <v>0</v>
      </c>
      <c r="I1611" s="563">
        <f t="shared" si="105"/>
        <v>18</v>
      </c>
      <c r="J1611" s="563">
        <v>0</v>
      </c>
      <c r="K1611" s="563">
        <v>18</v>
      </c>
      <c r="L1611" s="741">
        <v>0</v>
      </c>
      <c r="M1611" s="965">
        <v>0.9</v>
      </c>
      <c r="N1611" s="653">
        <v>0</v>
      </c>
      <c r="O1611" s="746" t="s">
        <v>938</v>
      </c>
      <c r="P1611" s="547" t="s">
        <v>1588</v>
      </c>
      <c r="Q1611" s="863">
        <v>0</v>
      </c>
      <c r="R1611" s="863">
        <v>0</v>
      </c>
      <c r="S1611" s="863">
        <v>0</v>
      </c>
      <c r="T1611" s="863">
        <v>0</v>
      </c>
      <c r="U1611" s="547" t="s">
        <v>4587</v>
      </c>
      <c r="V1611" s="548" t="s">
        <v>4556</v>
      </c>
      <c r="W1611" s="658">
        <v>95</v>
      </c>
      <c r="X1611" s="547" t="s">
        <v>1532</v>
      </c>
      <c r="Y1611" s="547" t="s">
        <v>4548</v>
      </c>
      <c r="Z1611" s="547"/>
      <c r="AA1611" s="547"/>
      <c r="AB1611" s="550" t="s">
        <v>1596</v>
      </c>
    </row>
    <row r="1612" spans="1:28" ht="24" customHeight="1">
      <c r="A1612" s="606"/>
      <c r="B1612" s="544" t="s">
        <v>675</v>
      </c>
      <c r="C1612" s="551" t="s">
        <v>4591</v>
      </c>
      <c r="D1612" s="553" t="s">
        <v>4592</v>
      </c>
      <c r="E1612" s="563">
        <f t="shared" si="104"/>
        <v>20</v>
      </c>
      <c r="F1612" s="563">
        <v>0</v>
      </c>
      <c r="G1612" s="563">
        <v>20</v>
      </c>
      <c r="H1612" s="563">
        <v>0</v>
      </c>
      <c r="I1612" s="563">
        <f t="shared" si="105"/>
        <v>14</v>
      </c>
      <c r="J1612" s="563">
        <v>0</v>
      </c>
      <c r="K1612" s="563">
        <v>14</v>
      </c>
      <c r="L1612" s="741">
        <v>0</v>
      </c>
      <c r="M1612" s="965">
        <v>0.7</v>
      </c>
      <c r="N1612" s="653">
        <v>0</v>
      </c>
      <c r="O1612" s="746" t="s">
        <v>3451</v>
      </c>
      <c r="P1612" s="547" t="s">
        <v>1588</v>
      </c>
      <c r="Q1612" s="863">
        <v>0</v>
      </c>
      <c r="R1612" s="863">
        <v>0</v>
      </c>
      <c r="S1612" s="863">
        <v>0</v>
      </c>
      <c r="T1612" s="863">
        <v>0</v>
      </c>
      <c r="U1612" s="547" t="s">
        <v>4587</v>
      </c>
      <c r="V1612" s="548" t="s">
        <v>3052</v>
      </c>
      <c r="W1612" s="658">
        <v>173</v>
      </c>
      <c r="X1612" s="547" t="s">
        <v>1532</v>
      </c>
      <c r="Y1612" s="547" t="s">
        <v>3399</v>
      </c>
      <c r="Z1612" s="547"/>
      <c r="AA1612" s="547"/>
      <c r="AB1612" s="550" t="s">
        <v>1596</v>
      </c>
    </row>
    <row r="1613" spans="1:28" ht="24" customHeight="1">
      <c r="A1613" s="606"/>
      <c r="B1613" s="544" t="s">
        <v>675</v>
      </c>
      <c r="C1613" s="551" t="s">
        <v>4593</v>
      </c>
      <c r="D1613" s="553" t="s">
        <v>4594</v>
      </c>
      <c r="E1613" s="563">
        <f t="shared" si="104"/>
        <v>60</v>
      </c>
      <c r="F1613" s="563">
        <v>0</v>
      </c>
      <c r="G1613" s="563">
        <v>60</v>
      </c>
      <c r="H1613" s="563">
        <v>0</v>
      </c>
      <c r="I1613" s="563">
        <f t="shared" si="105"/>
        <v>47</v>
      </c>
      <c r="J1613" s="563">
        <v>0</v>
      </c>
      <c r="K1613" s="563">
        <v>47</v>
      </c>
      <c r="L1613" s="741">
        <v>0</v>
      </c>
      <c r="M1613" s="965">
        <v>0.78</v>
      </c>
      <c r="N1613" s="653">
        <v>0</v>
      </c>
      <c r="O1613" s="746" t="s">
        <v>4595</v>
      </c>
      <c r="P1613" s="547" t="s">
        <v>1588</v>
      </c>
      <c r="Q1613" s="863">
        <v>0</v>
      </c>
      <c r="R1613" s="863">
        <v>0</v>
      </c>
      <c r="S1613" s="863">
        <v>0</v>
      </c>
      <c r="T1613" s="863">
        <v>0</v>
      </c>
      <c r="U1613" s="547" t="s">
        <v>4596</v>
      </c>
      <c r="V1613" s="548" t="s">
        <v>4597</v>
      </c>
      <c r="W1613" s="658">
        <v>290</v>
      </c>
      <c r="X1613" s="547" t="s">
        <v>1532</v>
      </c>
      <c r="Y1613" s="547" t="s">
        <v>3399</v>
      </c>
      <c r="Z1613" s="547"/>
      <c r="AA1613" s="547"/>
      <c r="AB1613" s="550" t="s">
        <v>1596</v>
      </c>
    </row>
    <row r="1614" spans="1:28" ht="24" customHeight="1">
      <c r="A1614" s="606"/>
      <c r="B1614" s="544" t="s">
        <v>675</v>
      </c>
      <c r="C1614" s="551" t="s">
        <v>4598</v>
      </c>
      <c r="D1614" s="553" t="s">
        <v>4599</v>
      </c>
      <c r="E1614" s="563">
        <f t="shared" si="104"/>
        <v>30</v>
      </c>
      <c r="F1614" s="563">
        <v>0</v>
      </c>
      <c r="G1614" s="563">
        <v>30</v>
      </c>
      <c r="H1614" s="563">
        <v>0</v>
      </c>
      <c r="I1614" s="563">
        <f t="shared" si="105"/>
        <v>22</v>
      </c>
      <c r="J1614" s="563">
        <v>0</v>
      </c>
      <c r="K1614" s="563">
        <v>22</v>
      </c>
      <c r="L1614" s="741">
        <v>0</v>
      </c>
      <c r="M1614" s="965">
        <v>0.73</v>
      </c>
      <c r="N1614" s="653">
        <v>0</v>
      </c>
      <c r="O1614" s="746" t="s">
        <v>4536</v>
      </c>
      <c r="P1614" s="547" t="s">
        <v>1588</v>
      </c>
      <c r="Q1614" s="863">
        <v>0</v>
      </c>
      <c r="R1614" s="863">
        <v>0</v>
      </c>
      <c r="S1614" s="863">
        <v>0</v>
      </c>
      <c r="T1614" s="863">
        <v>0</v>
      </c>
      <c r="U1614" s="547" t="s">
        <v>4596</v>
      </c>
      <c r="V1614" s="548" t="s">
        <v>4600</v>
      </c>
      <c r="W1614" s="658">
        <v>304</v>
      </c>
      <c r="X1614" s="547" t="s">
        <v>1532</v>
      </c>
      <c r="Y1614" s="547" t="s">
        <v>3399</v>
      </c>
      <c r="Z1614" s="547"/>
      <c r="AA1614" s="547"/>
      <c r="AB1614" s="550" t="s">
        <v>1596</v>
      </c>
    </row>
    <row r="1615" spans="1:28" ht="24" customHeight="1">
      <c r="A1615" s="606"/>
      <c r="B1615" s="544" t="s">
        <v>675</v>
      </c>
      <c r="C1615" s="551" t="s">
        <v>4601</v>
      </c>
      <c r="D1615" s="553" t="s">
        <v>4602</v>
      </c>
      <c r="E1615" s="563">
        <f t="shared" si="104"/>
        <v>30</v>
      </c>
      <c r="F1615" s="563">
        <v>0</v>
      </c>
      <c r="G1615" s="563">
        <v>30</v>
      </c>
      <c r="H1615" s="563">
        <v>0</v>
      </c>
      <c r="I1615" s="563">
        <f t="shared" si="105"/>
        <v>24</v>
      </c>
      <c r="J1615" s="563">
        <v>0</v>
      </c>
      <c r="K1615" s="563">
        <v>24</v>
      </c>
      <c r="L1615" s="741">
        <v>0</v>
      </c>
      <c r="M1615" s="965">
        <v>0.8</v>
      </c>
      <c r="N1615" s="653">
        <v>0</v>
      </c>
      <c r="O1615" s="746" t="s">
        <v>2770</v>
      </c>
      <c r="P1615" s="547" t="s">
        <v>1588</v>
      </c>
      <c r="Q1615" s="863">
        <v>0</v>
      </c>
      <c r="R1615" s="863">
        <v>0</v>
      </c>
      <c r="S1615" s="863">
        <v>0</v>
      </c>
      <c r="T1615" s="863">
        <v>0</v>
      </c>
      <c r="U1615" s="547" t="s">
        <v>4596</v>
      </c>
      <c r="V1615" s="548" t="s">
        <v>4603</v>
      </c>
      <c r="W1615" s="658">
        <v>218</v>
      </c>
      <c r="X1615" s="547" t="s">
        <v>1532</v>
      </c>
      <c r="Y1615" s="547" t="s">
        <v>3399</v>
      </c>
      <c r="Z1615" s="547"/>
      <c r="AA1615" s="547"/>
      <c r="AB1615" s="550" t="s">
        <v>1596</v>
      </c>
    </row>
    <row r="1616" spans="1:28" ht="24" customHeight="1">
      <c r="A1616" s="606"/>
      <c r="B1616" s="544" t="s">
        <v>675</v>
      </c>
      <c r="C1616" s="551" t="s">
        <v>4604</v>
      </c>
      <c r="D1616" s="553" t="s">
        <v>4605</v>
      </c>
      <c r="E1616" s="563">
        <f t="shared" si="104"/>
        <v>20</v>
      </c>
      <c r="F1616" s="563">
        <v>0</v>
      </c>
      <c r="G1616" s="563">
        <v>20</v>
      </c>
      <c r="H1616" s="563">
        <v>0</v>
      </c>
      <c r="I1616" s="563">
        <f t="shared" si="105"/>
        <v>6</v>
      </c>
      <c r="J1616" s="563">
        <v>0</v>
      </c>
      <c r="K1616" s="563">
        <v>6</v>
      </c>
      <c r="L1616" s="741">
        <v>0</v>
      </c>
      <c r="M1616" s="965">
        <v>0.3</v>
      </c>
      <c r="N1616" s="653">
        <v>0</v>
      </c>
      <c r="O1616" s="746" t="s">
        <v>4561</v>
      </c>
      <c r="P1616" s="547" t="s">
        <v>1588</v>
      </c>
      <c r="Q1616" s="863">
        <v>0</v>
      </c>
      <c r="R1616" s="863">
        <v>0</v>
      </c>
      <c r="S1616" s="863">
        <v>0</v>
      </c>
      <c r="T1616" s="863">
        <v>0</v>
      </c>
      <c r="U1616" s="547" t="s">
        <v>4596</v>
      </c>
      <c r="V1616" s="548" t="s">
        <v>4606</v>
      </c>
      <c r="W1616" s="658">
        <v>98</v>
      </c>
      <c r="X1616" s="547" t="s">
        <v>1532</v>
      </c>
      <c r="Y1616" s="547" t="s">
        <v>3399</v>
      </c>
      <c r="Z1616" s="547"/>
      <c r="AA1616" s="547"/>
      <c r="AB1616" s="550" t="s">
        <v>1596</v>
      </c>
    </row>
    <row r="1617" spans="1:28" ht="24" customHeight="1">
      <c r="A1617" s="606"/>
      <c r="B1617" s="544" t="s">
        <v>675</v>
      </c>
      <c r="C1617" s="551" t="s">
        <v>4607</v>
      </c>
      <c r="D1617" s="553" t="s">
        <v>4608</v>
      </c>
      <c r="E1617" s="563">
        <f t="shared" si="104"/>
        <v>16</v>
      </c>
      <c r="F1617" s="563">
        <v>0</v>
      </c>
      <c r="G1617" s="563">
        <v>16</v>
      </c>
      <c r="H1617" s="563">
        <v>0</v>
      </c>
      <c r="I1617" s="563">
        <f t="shared" si="105"/>
        <v>13</v>
      </c>
      <c r="J1617" s="563">
        <v>0</v>
      </c>
      <c r="K1617" s="563">
        <v>13</v>
      </c>
      <c r="L1617" s="741">
        <v>0</v>
      </c>
      <c r="M1617" s="965">
        <v>0.81</v>
      </c>
      <c r="N1617" s="653">
        <v>0</v>
      </c>
      <c r="O1617" s="746" t="s">
        <v>2526</v>
      </c>
      <c r="P1617" s="547" t="s">
        <v>1588</v>
      </c>
      <c r="Q1617" s="863">
        <v>0</v>
      </c>
      <c r="R1617" s="863">
        <v>0</v>
      </c>
      <c r="S1617" s="863">
        <v>0</v>
      </c>
      <c r="T1617" s="863">
        <v>0</v>
      </c>
      <c r="U1617" s="547" t="s">
        <v>4609</v>
      </c>
      <c r="V1617" s="548" t="s">
        <v>4565</v>
      </c>
      <c r="W1617" s="658">
        <v>100</v>
      </c>
      <c r="X1617" s="547" t="s">
        <v>1532</v>
      </c>
      <c r="Y1617" s="547" t="s">
        <v>4548</v>
      </c>
      <c r="Z1617" s="547"/>
      <c r="AA1617" s="547"/>
      <c r="AB1617" s="550" t="s">
        <v>1596</v>
      </c>
    </row>
    <row r="1618" spans="1:28" ht="24" customHeight="1">
      <c r="A1618" s="606"/>
      <c r="B1618" s="544" t="s">
        <v>675</v>
      </c>
      <c r="C1618" s="551" t="s">
        <v>4610</v>
      </c>
      <c r="D1618" s="553" t="s">
        <v>4611</v>
      </c>
      <c r="E1618" s="563">
        <f t="shared" si="104"/>
        <v>100</v>
      </c>
      <c r="F1618" s="563">
        <v>0</v>
      </c>
      <c r="G1618" s="563">
        <v>100</v>
      </c>
      <c r="H1618" s="563">
        <v>0</v>
      </c>
      <c r="I1618" s="563">
        <f t="shared" si="105"/>
        <v>94</v>
      </c>
      <c r="J1618" s="563">
        <v>0</v>
      </c>
      <c r="K1618" s="563">
        <v>94</v>
      </c>
      <c r="L1618" s="741">
        <v>0</v>
      </c>
      <c r="M1618" s="965">
        <v>0.94</v>
      </c>
      <c r="N1618" s="653">
        <v>0</v>
      </c>
      <c r="O1618" s="746" t="s">
        <v>4612</v>
      </c>
      <c r="P1618" s="547" t="s">
        <v>1588</v>
      </c>
      <c r="Q1618" s="863">
        <v>0</v>
      </c>
      <c r="R1618" s="863">
        <v>0</v>
      </c>
      <c r="S1618" s="863">
        <v>0</v>
      </c>
      <c r="T1618" s="863">
        <v>0</v>
      </c>
      <c r="U1618" s="547" t="s">
        <v>4613</v>
      </c>
      <c r="V1618" s="548" t="s">
        <v>4614</v>
      </c>
      <c r="W1618" s="658">
        <v>591</v>
      </c>
      <c r="X1618" s="547" t="s">
        <v>1532</v>
      </c>
      <c r="Y1618" s="547" t="s">
        <v>3399</v>
      </c>
      <c r="Z1618" s="547"/>
      <c r="AA1618" s="547"/>
      <c r="AB1618" s="550" t="s">
        <v>1596</v>
      </c>
    </row>
    <row r="1619" spans="1:28" ht="24" customHeight="1">
      <c r="A1619" s="602"/>
      <c r="B1619" s="544" t="s">
        <v>675</v>
      </c>
      <c r="C1619" s="551" t="s">
        <v>4615</v>
      </c>
      <c r="D1619" s="553" t="s">
        <v>4616</v>
      </c>
      <c r="E1619" s="563">
        <f t="shared" si="104"/>
        <v>30</v>
      </c>
      <c r="F1619" s="563">
        <v>0</v>
      </c>
      <c r="G1619" s="563">
        <v>30</v>
      </c>
      <c r="H1619" s="563">
        <v>0</v>
      </c>
      <c r="I1619" s="563">
        <f t="shared" si="105"/>
        <v>20</v>
      </c>
      <c r="J1619" s="563">
        <v>0</v>
      </c>
      <c r="K1619" s="563">
        <v>20</v>
      </c>
      <c r="L1619" s="741">
        <v>0</v>
      </c>
      <c r="M1619" s="965">
        <v>0.67</v>
      </c>
      <c r="N1619" s="653">
        <v>0</v>
      </c>
      <c r="O1619" s="746" t="s">
        <v>4536</v>
      </c>
      <c r="P1619" s="547" t="s">
        <v>1588</v>
      </c>
      <c r="Q1619" s="863">
        <v>0</v>
      </c>
      <c r="R1619" s="863">
        <v>0</v>
      </c>
      <c r="S1619" s="863">
        <v>0</v>
      </c>
      <c r="T1619" s="863">
        <v>0</v>
      </c>
      <c r="U1619" s="547" t="s">
        <v>4613</v>
      </c>
      <c r="V1619" s="548" t="s">
        <v>3015</v>
      </c>
      <c r="W1619" s="658">
        <v>353</v>
      </c>
      <c r="X1619" s="547" t="s">
        <v>1532</v>
      </c>
      <c r="Y1619" s="547" t="s">
        <v>3399</v>
      </c>
      <c r="Z1619" s="547"/>
      <c r="AA1619" s="547"/>
      <c r="AB1619" s="550" t="s">
        <v>1596</v>
      </c>
    </row>
    <row r="1620" spans="1:28" ht="24" customHeight="1">
      <c r="A1620" s="583" t="s">
        <v>1743</v>
      </c>
      <c r="B1620" s="458" t="s">
        <v>6047</v>
      </c>
      <c r="C1620" s="458"/>
      <c r="D1620" s="510"/>
      <c r="E1620" s="498" t="s">
        <v>7346</v>
      </c>
      <c r="F1620" s="498">
        <v>0</v>
      </c>
      <c r="G1620" s="498" t="s">
        <v>7347</v>
      </c>
      <c r="H1620" s="498" t="s">
        <v>7349</v>
      </c>
      <c r="I1620" s="498" t="s">
        <v>7348</v>
      </c>
      <c r="J1620" s="498">
        <v>0</v>
      </c>
      <c r="K1620" s="498" t="s">
        <v>7350</v>
      </c>
      <c r="L1620" s="668" t="s">
        <v>7351</v>
      </c>
      <c r="M1620" s="956"/>
      <c r="N1620" s="498" t="s">
        <v>7352</v>
      </c>
      <c r="O1620" s="669" t="s">
        <v>1588</v>
      </c>
      <c r="P1620" s="463" t="s">
        <v>1588</v>
      </c>
      <c r="Q1620" s="852">
        <f>Q1621+Q1734</f>
        <v>1767.4341369863012</v>
      </c>
      <c r="R1620" s="852">
        <f>R1621+R1734</f>
        <v>1614.6</v>
      </c>
      <c r="S1620" s="852">
        <f>S1621+S1734</f>
        <v>380.03835616438357</v>
      </c>
      <c r="T1620" s="852">
        <f>T1621+T1734</f>
        <v>9</v>
      </c>
      <c r="U1620" s="463" t="s">
        <v>7537</v>
      </c>
      <c r="V1620" s="463"/>
      <c r="W1620" s="498">
        <f>W1621+W1734</f>
        <v>1244610.8500000001</v>
      </c>
      <c r="X1620" s="463"/>
      <c r="Y1620" s="463"/>
      <c r="Z1620" s="463"/>
      <c r="AA1620" s="463"/>
      <c r="AB1620" s="459"/>
    </row>
    <row r="1621" spans="1:28" ht="24" customHeight="1">
      <c r="A1621" s="582" t="s">
        <v>1674</v>
      </c>
      <c r="B1621" s="458" t="s">
        <v>6045</v>
      </c>
      <c r="C1621" s="579"/>
      <c r="D1621" s="579"/>
      <c r="E1621" s="498" t="s">
        <v>6243</v>
      </c>
      <c r="F1621" s="498">
        <v>0</v>
      </c>
      <c r="G1621" s="498" t="s">
        <v>6244</v>
      </c>
      <c r="H1621" s="498" t="s">
        <v>6245</v>
      </c>
      <c r="I1621" s="498" t="s">
        <v>6246</v>
      </c>
      <c r="J1621" s="498">
        <v>0</v>
      </c>
      <c r="K1621" s="498" t="s">
        <v>6247</v>
      </c>
      <c r="L1621" s="668" t="s">
        <v>6248</v>
      </c>
      <c r="M1621" s="956"/>
      <c r="N1621" s="498" t="s">
        <v>6249</v>
      </c>
      <c r="O1621" s="669" t="s">
        <v>1588</v>
      </c>
      <c r="P1621" s="463" t="s">
        <v>1588</v>
      </c>
      <c r="Q1621" s="852">
        <f>SUM(Q1622:Q1733)</f>
        <v>1513.9341369863012</v>
      </c>
      <c r="R1621" s="852">
        <f>SUM(R1622:R1733)</f>
        <v>1614.6</v>
      </c>
      <c r="S1621" s="852">
        <f>SUM(S1622:S1733)</f>
        <v>370.03835616438357</v>
      </c>
      <c r="T1621" s="852">
        <f>SUM(T1622:T1733)</f>
        <v>0</v>
      </c>
      <c r="U1621" s="463"/>
      <c r="V1621" s="463"/>
      <c r="W1621" s="498">
        <f>SUM(W1622:W1733)</f>
        <v>915727</v>
      </c>
      <c r="X1621" s="463"/>
      <c r="Y1621" s="463"/>
      <c r="Z1621" s="463"/>
      <c r="AA1621" s="463"/>
      <c r="AB1621" s="459"/>
    </row>
    <row r="1622" spans="1:28" ht="24" customHeight="1">
      <c r="A1622" s="582" t="s">
        <v>1744</v>
      </c>
      <c r="B1622" s="460" t="s">
        <v>2201</v>
      </c>
      <c r="C1622" s="458" t="s">
        <v>2373</v>
      </c>
      <c r="D1622" s="510" t="s">
        <v>4617</v>
      </c>
      <c r="E1622" s="498">
        <f>SUM(F1622:H1622)</f>
        <v>80000</v>
      </c>
      <c r="F1622" s="498">
        <v>0</v>
      </c>
      <c r="G1622" s="498">
        <v>80000</v>
      </c>
      <c r="H1622" s="498">
        <v>0</v>
      </c>
      <c r="I1622" s="498">
        <f>SUM(J1622:L1622)</f>
        <v>78835</v>
      </c>
      <c r="J1622" s="498">
        <v>0</v>
      </c>
      <c r="K1622" s="498">
        <v>78835</v>
      </c>
      <c r="L1622" s="668" t="s">
        <v>3211</v>
      </c>
      <c r="M1622" s="965">
        <v>0.92116788321167886</v>
      </c>
      <c r="N1622" s="653">
        <v>4974.4885000000004</v>
      </c>
      <c r="O1622" s="715" t="s">
        <v>1535</v>
      </c>
      <c r="P1622" s="501" t="s">
        <v>1588</v>
      </c>
      <c r="Q1622" s="852">
        <v>418</v>
      </c>
      <c r="R1622" s="852">
        <v>0</v>
      </c>
      <c r="S1622" s="852">
        <v>0</v>
      </c>
      <c r="T1622" s="852">
        <v>0</v>
      </c>
      <c r="U1622" s="501" t="s">
        <v>2450</v>
      </c>
      <c r="V1622" s="566" t="s">
        <v>4618</v>
      </c>
      <c r="W1622" s="498">
        <v>101800</v>
      </c>
      <c r="X1622" s="501" t="s">
        <v>2193</v>
      </c>
      <c r="Y1622" s="501" t="s">
        <v>3232</v>
      </c>
      <c r="Z1622" s="501"/>
      <c r="AA1622" s="501"/>
      <c r="AB1622" s="502" t="s">
        <v>1536</v>
      </c>
    </row>
    <row r="1623" spans="1:28" ht="24" customHeight="1">
      <c r="A1623" s="584"/>
      <c r="B1623" s="460" t="s">
        <v>2201</v>
      </c>
      <c r="C1623" s="458" t="s">
        <v>2059</v>
      </c>
      <c r="D1623" s="510" t="s">
        <v>4619</v>
      </c>
      <c r="E1623" s="498">
        <f>SUM(F1623:H1623)</f>
        <v>12000</v>
      </c>
      <c r="F1623" s="498">
        <v>0</v>
      </c>
      <c r="G1623" s="498">
        <v>0</v>
      </c>
      <c r="H1623" s="498">
        <v>12000</v>
      </c>
      <c r="I1623" s="498">
        <f>SUM(J1623:L1623)</f>
        <v>6720</v>
      </c>
      <c r="J1623" s="498">
        <v>0</v>
      </c>
      <c r="K1623" s="498">
        <v>0</v>
      </c>
      <c r="L1623" s="668">
        <v>6720</v>
      </c>
      <c r="M1623" s="969">
        <v>0.89828080229226359</v>
      </c>
      <c r="N1623" s="653">
        <v>421.34399999999999</v>
      </c>
      <c r="O1623" s="715" t="s">
        <v>3268</v>
      </c>
      <c r="P1623" s="501" t="s">
        <v>1588</v>
      </c>
      <c r="Q1623" s="852">
        <v>5.5</v>
      </c>
      <c r="R1623" s="852">
        <v>0</v>
      </c>
      <c r="S1623" s="852">
        <v>0</v>
      </c>
      <c r="T1623" s="852">
        <v>0</v>
      </c>
      <c r="U1623" s="501" t="s">
        <v>4620</v>
      </c>
      <c r="V1623" s="501" t="s">
        <v>4621</v>
      </c>
      <c r="W1623" s="498">
        <v>36000</v>
      </c>
      <c r="X1623" s="501" t="s">
        <v>2193</v>
      </c>
      <c r="Y1623" s="501" t="s">
        <v>3161</v>
      </c>
      <c r="Z1623" s="501"/>
      <c r="AA1623" s="501"/>
      <c r="AB1623" s="502" t="s">
        <v>1536</v>
      </c>
    </row>
    <row r="1624" spans="1:28" ht="24" customHeight="1">
      <c r="A1624" s="584"/>
      <c r="B1624" s="460" t="s">
        <v>2201</v>
      </c>
      <c r="C1624" s="458" t="s">
        <v>2061</v>
      </c>
      <c r="D1624" s="510" t="s">
        <v>4622</v>
      </c>
      <c r="E1624" s="498">
        <f>SUM(F1624:H1624)</f>
        <v>25000</v>
      </c>
      <c r="F1624" s="498">
        <v>0</v>
      </c>
      <c r="G1624" s="498">
        <v>0</v>
      </c>
      <c r="H1624" s="498">
        <v>25000</v>
      </c>
      <c r="I1624" s="498">
        <f>SUM(J1624:L1624)</f>
        <v>7304</v>
      </c>
      <c r="J1624" s="498">
        <v>0</v>
      </c>
      <c r="K1624" s="498">
        <v>0</v>
      </c>
      <c r="L1624" s="668">
        <v>7304</v>
      </c>
      <c r="M1624" s="956">
        <v>0.95031446540880504</v>
      </c>
      <c r="N1624" s="653">
        <v>551.81719999999996</v>
      </c>
      <c r="O1624" s="715" t="s">
        <v>4623</v>
      </c>
      <c r="P1624" s="501" t="s">
        <v>1588</v>
      </c>
      <c r="Q1624" s="852">
        <v>23</v>
      </c>
      <c r="R1624" s="852">
        <v>0</v>
      </c>
      <c r="S1624" s="852">
        <v>0</v>
      </c>
      <c r="T1624" s="852">
        <v>0</v>
      </c>
      <c r="U1624" s="501" t="s">
        <v>2451</v>
      </c>
      <c r="V1624" s="566" t="s">
        <v>4624</v>
      </c>
      <c r="W1624" s="498">
        <v>40000</v>
      </c>
      <c r="X1624" s="501" t="s">
        <v>2193</v>
      </c>
      <c r="Y1624" s="501" t="s">
        <v>3161</v>
      </c>
      <c r="Z1624" s="501"/>
      <c r="AA1624" s="501"/>
      <c r="AB1624" s="502" t="s">
        <v>1536</v>
      </c>
    </row>
    <row r="1625" spans="1:28" ht="24" customHeight="1">
      <c r="A1625" s="584"/>
      <c r="B1625" s="460" t="s">
        <v>675</v>
      </c>
      <c r="C1625" s="458" t="s">
        <v>4625</v>
      </c>
      <c r="D1625" s="510" t="s">
        <v>4626</v>
      </c>
      <c r="E1625" s="498">
        <f>SUM(F1625:H1625)</f>
        <v>45</v>
      </c>
      <c r="F1625" s="498">
        <v>0</v>
      </c>
      <c r="G1625" s="498">
        <v>45</v>
      </c>
      <c r="H1625" s="498">
        <v>0</v>
      </c>
      <c r="I1625" s="498">
        <f>SUM(J1625:L1625)</f>
        <v>7.2</v>
      </c>
      <c r="J1625" s="498">
        <v>0</v>
      </c>
      <c r="K1625" s="498">
        <v>7.2</v>
      </c>
      <c r="L1625" s="668">
        <v>0</v>
      </c>
      <c r="M1625" s="965">
        <v>0.9</v>
      </c>
      <c r="N1625" s="653">
        <v>0.39</v>
      </c>
      <c r="O1625" s="715" t="s">
        <v>4627</v>
      </c>
      <c r="P1625" s="501" t="s">
        <v>1588</v>
      </c>
      <c r="Q1625" s="852">
        <v>0</v>
      </c>
      <c r="R1625" s="852">
        <v>0</v>
      </c>
      <c r="S1625" s="852">
        <v>0</v>
      </c>
      <c r="T1625" s="852">
        <v>0</v>
      </c>
      <c r="U1625" s="501" t="s">
        <v>2450</v>
      </c>
      <c r="V1625" s="566" t="s">
        <v>2090</v>
      </c>
      <c r="W1625" s="498">
        <v>312</v>
      </c>
      <c r="X1625" s="501" t="s">
        <v>2193</v>
      </c>
      <c r="Y1625" s="501" t="s">
        <v>4628</v>
      </c>
      <c r="Z1625" s="501"/>
      <c r="AA1625" s="501"/>
      <c r="AB1625" s="502" t="s">
        <v>1536</v>
      </c>
    </row>
    <row r="1626" spans="1:28" ht="24" customHeight="1">
      <c r="A1626" s="584"/>
      <c r="B1626" s="460" t="s">
        <v>675</v>
      </c>
      <c r="C1626" s="458" t="s">
        <v>4629</v>
      </c>
      <c r="D1626" s="510" t="s">
        <v>4630</v>
      </c>
      <c r="E1626" s="498">
        <f>SUM(F1626:H1626)</f>
        <v>50</v>
      </c>
      <c r="F1626" s="498">
        <v>0</v>
      </c>
      <c r="G1626" s="498">
        <v>50</v>
      </c>
      <c r="H1626" s="498">
        <v>0</v>
      </c>
      <c r="I1626" s="498">
        <f>SUM(J1626:L1626)</f>
        <v>7</v>
      </c>
      <c r="J1626" s="498">
        <v>0</v>
      </c>
      <c r="K1626" s="498">
        <v>7</v>
      </c>
      <c r="L1626" s="668">
        <v>0</v>
      </c>
      <c r="M1626" s="965">
        <v>0.88800000000000001</v>
      </c>
      <c r="N1626" s="653">
        <v>0.28000000000000003</v>
      </c>
      <c r="O1626" s="715" t="s">
        <v>5737</v>
      </c>
      <c r="P1626" s="501" t="s">
        <v>1588</v>
      </c>
      <c r="Q1626" s="852">
        <v>0</v>
      </c>
      <c r="R1626" s="852">
        <v>0</v>
      </c>
      <c r="S1626" s="852">
        <v>0</v>
      </c>
      <c r="T1626" s="852">
        <v>0</v>
      </c>
      <c r="U1626" s="501" t="s">
        <v>2450</v>
      </c>
      <c r="V1626" s="566" t="s">
        <v>4631</v>
      </c>
      <c r="W1626" s="498">
        <v>186</v>
      </c>
      <c r="X1626" s="501" t="s">
        <v>2193</v>
      </c>
      <c r="Y1626" s="501" t="s">
        <v>4628</v>
      </c>
      <c r="Z1626" s="501"/>
      <c r="AA1626" s="501" t="s">
        <v>1895</v>
      </c>
      <c r="AB1626" s="502" t="s">
        <v>1536</v>
      </c>
    </row>
    <row r="1627" spans="1:28" ht="24" customHeight="1">
      <c r="A1627" s="582" t="s">
        <v>1894</v>
      </c>
      <c r="B1627" s="460" t="s">
        <v>2201</v>
      </c>
      <c r="C1627" s="458" t="s">
        <v>2374</v>
      </c>
      <c r="D1627" s="510" t="s">
        <v>2063</v>
      </c>
      <c r="E1627" s="653">
        <f>F1627+G1627+H1627</f>
        <v>110000</v>
      </c>
      <c r="F1627" s="653">
        <v>0</v>
      </c>
      <c r="G1627" s="653">
        <v>0</v>
      </c>
      <c r="H1627" s="655">
        <v>110000</v>
      </c>
      <c r="I1627" s="655">
        <f t="shared" ref="I1627:I1633" si="106">J1627+K1627+L1627</f>
        <v>108598</v>
      </c>
      <c r="J1627" s="655">
        <v>0</v>
      </c>
      <c r="K1627" s="655">
        <v>0</v>
      </c>
      <c r="L1627" s="710">
        <v>108598</v>
      </c>
      <c r="M1627" s="956">
        <v>0.9676190476190476</v>
      </c>
      <c r="N1627" s="653">
        <v>5516.7783999999992</v>
      </c>
      <c r="O1627" s="715" t="s">
        <v>4632</v>
      </c>
      <c r="P1627" s="501" t="s">
        <v>1588</v>
      </c>
      <c r="Q1627" s="854">
        <v>106</v>
      </c>
      <c r="R1627" s="864">
        <v>1505</v>
      </c>
      <c r="S1627" s="854">
        <v>96</v>
      </c>
      <c r="T1627" s="854">
        <v>0</v>
      </c>
      <c r="U1627" s="501" t="s">
        <v>2452</v>
      </c>
      <c r="V1627" s="501" t="s">
        <v>4633</v>
      </c>
      <c r="W1627" s="498">
        <v>35879</v>
      </c>
      <c r="X1627" s="501" t="s">
        <v>2193</v>
      </c>
      <c r="Y1627" s="501" t="s">
        <v>3232</v>
      </c>
      <c r="Z1627" s="501" t="s">
        <v>4634</v>
      </c>
      <c r="AA1627" s="501" t="s">
        <v>1895</v>
      </c>
      <c r="AB1627" s="502" t="s">
        <v>1587</v>
      </c>
    </row>
    <row r="1628" spans="1:28" ht="24" customHeight="1">
      <c r="A1628" s="584"/>
      <c r="B1628" s="460" t="s">
        <v>2201</v>
      </c>
      <c r="C1628" s="458" t="s">
        <v>2065</v>
      </c>
      <c r="D1628" s="510" t="s">
        <v>4635</v>
      </c>
      <c r="E1628" s="653">
        <f t="shared" ref="E1628:E1633" si="107">F1628+G1628+H1628</f>
        <v>18000</v>
      </c>
      <c r="F1628" s="653">
        <v>0</v>
      </c>
      <c r="G1628" s="653">
        <v>0</v>
      </c>
      <c r="H1628" s="653">
        <v>18000</v>
      </c>
      <c r="I1628" s="653">
        <f t="shared" si="106"/>
        <v>8095</v>
      </c>
      <c r="J1628" s="653">
        <v>0</v>
      </c>
      <c r="K1628" s="653">
        <v>0</v>
      </c>
      <c r="L1628" s="698">
        <v>8095</v>
      </c>
      <c r="M1628" s="956">
        <v>0.94364754098360659</v>
      </c>
      <c r="N1628" s="653">
        <v>745.54949999999997</v>
      </c>
      <c r="O1628" s="715" t="s">
        <v>4636</v>
      </c>
      <c r="P1628" s="501" t="s">
        <v>1588</v>
      </c>
      <c r="Q1628" s="854">
        <v>0</v>
      </c>
      <c r="R1628" s="854">
        <v>0</v>
      </c>
      <c r="S1628" s="854">
        <v>0</v>
      </c>
      <c r="T1628" s="854">
        <v>0</v>
      </c>
      <c r="U1628" s="501" t="s">
        <v>4637</v>
      </c>
      <c r="V1628" s="501" t="s">
        <v>2066</v>
      </c>
      <c r="W1628" s="498">
        <v>44344</v>
      </c>
      <c r="X1628" s="501" t="s">
        <v>2193</v>
      </c>
      <c r="Y1628" s="501" t="s">
        <v>3336</v>
      </c>
      <c r="Z1628" s="501"/>
      <c r="AA1628" s="501" t="s">
        <v>1895</v>
      </c>
      <c r="AB1628" s="502" t="s">
        <v>1587</v>
      </c>
    </row>
    <row r="1629" spans="1:28" ht="24" customHeight="1">
      <c r="A1629" s="584"/>
      <c r="B1629" s="460" t="s">
        <v>2201</v>
      </c>
      <c r="C1629" s="458" t="s">
        <v>279</v>
      </c>
      <c r="D1629" s="510" t="s">
        <v>4638</v>
      </c>
      <c r="E1629" s="653">
        <f t="shared" si="107"/>
        <v>5000</v>
      </c>
      <c r="F1629" s="653">
        <v>0</v>
      </c>
      <c r="G1629" s="653">
        <v>0</v>
      </c>
      <c r="H1629" s="653">
        <v>5000</v>
      </c>
      <c r="I1629" s="653">
        <f t="shared" si="106"/>
        <v>1881</v>
      </c>
      <c r="J1629" s="653">
        <v>0</v>
      </c>
      <c r="K1629" s="653">
        <v>0</v>
      </c>
      <c r="L1629" s="698">
        <v>1881</v>
      </c>
      <c r="M1629" s="956">
        <v>0.97199170124481327</v>
      </c>
      <c r="N1629" s="653">
        <v>176.24970000000002</v>
      </c>
      <c r="O1629" s="715" t="s">
        <v>4639</v>
      </c>
      <c r="P1629" s="501" t="s">
        <v>1588</v>
      </c>
      <c r="Q1629" s="854">
        <v>0</v>
      </c>
      <c r="R1629" s="854">
        <v>0</v>
      </c>
      <c r="S1629" s="854">
        <v>0</v>
      </c>
      <c r="T1629" s="854">
        <v>0</v>
      </c>
      <c r="U1629" s="501" t="s">
        <v>4640</v>
      </c>
      <c r="V1629" s="501" t="s">
        <v>2062</v>
      </c>
      <c r="W1629" s="498">
        <v>19375</v>
      </c>
      <c r="X1629" s="501" t="s">
        <v>2199</v>
      </c>
      <c r="Y1629" s="501" t="s">
        <v>3336</v>
      </c>
      <c r="Z1629" s="501" t="s">
        <v>4641</v>
      </c>
      <c r="AA1629" s="501" t="s">
        <v>1704</v>
      </c>
      <c r="AB1629" s="502" t="s">
        <v>1587</v>
      </c>
    </row>
    <row r="1630" spans="1:28" ht="24" customHeight="1">
      <c r="A1630" s="584"/>
      <c r="B1630" s="460" t="s">
        <v>2201</v>
      </c>
      <c r="C1630" s="458" t="s">
        <v>280</v>
      </c>
      <c r="D1630" s="510" t="s">
        <v>4642</v>
      </c>
      <c r="E1630" s="653">
        <f t="shared" si="107"/>
        <v>300</v>
      </c>
      <c r="F1630" s="653">
        <v>0</v>
      </c>
      <c r="G1630" s="653">
        <v>0</v>
      </c>
      <c r="H1630" s="653">
        <v>300</v>
      </c>
      <c r="I1630" s="653">
        <f t="shared" si="106"/>
        <v>176</v>
      </c>
      <c r="J1630" s="653">
        <v>0</v>
      </c>
      <c r="K1630" s="653">
        <v>0</v>
      </c>
      <c r="L1630" s="698">
        <v>176</v>
      </c>
      <c r="M1630" s="956">
        <v>0.82649572649572656</v>
      </c>
      <c r="N1630" s="653">
        <v>17.019200000000001</v>
      </c>
      <c r="O1630" s="715" t="s">
        <v>4643</v>
      </c>
      <c r="P1630" s="501" t="s">
        <v>1588</v>
      </c>
      <c r="Q1630" s="854">
        <v>0</v>
      </c>
      <c r="R1630" s="854">
        <v>0</v>
      </c>
      <c r="S1630" s="854">
        <v>0</v>
      </c>
      <c r="T1630" s="854">
        <v>0</v>
      </c>
      <c r="U1630" s="501" t="s">
        <v>4644</v>
      </c>
      <c r="V1630" s="501" t="s">
        <v>2064</v>
      </c>
      <c r="W1630" s="498">
        <v>3103</v>
      </c>
      <c r="X1630" s="501" t="s">
        <v>2193</v>
      </c>
      <c r="Y1630" s="501" t="s">
        <v>3336</v>
      </c>
      <c r="Z1630" s="501" t="s">
        <v>1897</v>
      </c>
      <c r="AA1630" s="501" t="s">
        <v>1589</v>
      </c>
      <c r="AB1630" s="502" t="s">
        <v>1589</v>
      </c>
    </row>
    <row r="1631" spans="1:28" ht="24" customHeight="1">
      <c r="A1631" s="584"/>
      <c r="B1631" s="460" t="s">
        <v>2201</v>
      </c>
      <c r="C1631" s="458" t="s">
        <v>281</v>
      </c>
      <c r="D1631" s="510" t="s">
        <v>4645</v>
      </c>
      <c r="E1631" s="653">
        <f t="shared" si="107"/>
        <v>300</v>
      </c>
      <c r="F1631" s="653">
        <v>0</v>
      </c>
      <c r="G1631" s="653">
        <v>0</v>
      </c>
      <c r="H1631" s="653">
        <v>300</v>
      </c>
      <c r="I1631" s="653">
        <f t="shared" si="106"/>
        <v>105</v>
      </c>
      <c r="J1631" s="653">
        <v>0</v>
      </c>
      <c r="K1631" s="653">
        <v>0</v>
      </c>
      <c r="L1631" s="698">
        <v>105</v>
      </c>
      <c r="M1631" s="956">
        <v>0.97411003236245952</v>
      </c>
      <c r="N1631" s="653">
        <v>12.641999999999999</v>
      </c>
      <c r="O1631" s="715" t="s">
        <v>4643</v>
      </c>
      <c r="P1631" s="501" t="s">
        <v>1588</v>
      </c>
      <c r="Q1631" s="854">
        <v>0</v>
      </c>
      <c r="R1631" s="854">
        <v>0</v>
      </c>
      <c r="S1631" s="854">
        <v>0</v>
      </c>
      <c r="T1631" s="854">
        <v>0</v>
      </c>
      <c r="U1631" s="501" t="s">
        <v>4644</v>
      </c>
      <c r="V1631" s="501" t="s">
        <v>2064</v>
      </c>
      <c r="W1631" s="498">
        <v>2327</v>
      </c>
      <c r="X1631" s="501" t="s">
        <v>2193</v>
      </c>
      <c r="Y1631" s="501" t="s">
        <v>3336</v>
      </c>
      <c r="Z1631" s="501" t="s">
        <v>1897</v>
      </c>
      <c r="AA1631" s="501" t="s">
        <v>1589</v>
      </c>
      <c r="AB1631" s="502" t="s">
        <v>1589</v>
      </c>
    </row>
    <row r="1632" spans="1:28" ht="24" customHeight="1">
      <c r="A1632" s="584"/>
      <c r="B1632" s="460" t="s">
        <v>2201</v>
      </c>
      <c r="C1632" s="458" t="s">
        <v>282</v>
      </c>
      <c r="D1632" s="510" t="s">
        <v>4646</v>
      </c>
      <c r="E1632" s="653">
        <f t="shared" si="107"/>
        <v>300</v>
      </c>
      <c r="F1632" s="653">
        <v>0</v>
      </c>
      <c r="G1632" s="653">
        <v>0</v>
      </c>
      <c r="H1632" s="653">
        <v>300</v>
      </c>
      <c r="I1632" s="653">
        <f t="shared" si="106"/>
        <v>171</v>
      </c>
      <c r="J1632" s="653">
        <v>0</v>
      </c>
      <c r="K1632" s="653">
        <v>0</v>
      </c>
      <c r="L1632" s="698">
        <v>171</v>
      </c>
      <c r="M1632" s="956">
        <v>0.93680884676145337</v>
      </c>
      <c r="N1632" s="653">
        <v>10.1403</v>
      </c>
      <c r="O1632" s="715" t="s">
        <v>4643</v>
      </c>
      <c r="P1632" s="501" t="s">
        <v>1588</v>
      </c>
      <c r="Q1632" s="854">
        <v>0</v>
      </c>
      <c r="R1632" s="854">
        <v>0</v>
      </c>
      <c r="S1632" s="854">
        <v>0</v>
      </c>
      <c r="T1632" s="854">
        <v>0</v>
      </c>
      <c r="U1632" s="501" t="s">
        <v>4644</v>
      </c>
      <c r="V1632" s="501" t="s">
        <v>2064</v>
      </c>
      <c r="W1632" s="498">
        <v>2328</v>
      </c>
      <c r="X1632" s="501" t="s">
        <v>2193</v>
      </c>
      <c r="Y1632" s="501" t="s">
        <v>3336</v>
      </c>
      <c r="Z1632" s="501" t="s">
        <v>4647</v>
      </c>
      <c r="AA1632" s="501" t="s">
        <v>1589</v>
      </c>
      <c r="AB1632" s="502" t="s">
        <v>1589</v>
      </c>
    </row>
    <row r="1633" spans="1:28" ht="24" customHeight="1">
      <c r="A1633" s="584"/>
      <c r="B1633" s="460" t="s">
        <v>675</v>
      </c>
      <c r="C1633" s="458" t="s">
        <v>7075</v>
      </c>
      <c r="D1633" s="510" t="s">
        <v>4648</v>
      </c>
      <c r="E1633" s="653">
        <f t="shared" si="107"/>
        <v>60</v>
      </c>
      <c r="F1633" s="653">
        <v>0</v>
      </c>
      <c r="G1633" s="653">
        <v>0</v>
      </c>
      <c r="H1633" s="653">
        <v>60</v>
      </c>
      <c r="I1633" s="653">
        <f t="shared" si="106"/>
        <v>30</v>
      </c>
      <c r="J1633" s="653">
        <v>0</v>
      </c>
      <c r="K1633" s="653">
        <v>0</v>
      </c>
      <c r="L1633" s="698">
        <v>30</v>
      </c>
      <c r="M1633" s="965">
        <v>0.84599999999999997</v>
      </c>
      <c r="N1633" s="653">
        <v>2</v>
      </c>
      <c r="O1633" s="715" t="s">
        <v>3176</v>
      </c>
      <c r="P1633" s="501" t="s">
        <v>1588</v>
      </c>
      <c r="Q1633" s="854">
        <v>0</v>
      </c>
      <c r="R1633" s="854">
        <v>0</v>
      </c>
      <c r="S1633" s="854">
        <v>0</v>
      </c>
      <c r="T1633" s="854">
        <v>0</v>
      </c>
      <c r="U1633" s="501" t="s">
        <v>4649</v>
      </c>
      <c r="V1633" s="501" t="s">
        <v>4650</v>
      </c>
      <c r="W1633" s="498">
        <v>628</v>
      </c>
      <c r="X1633" s="501" t="s">
        <v>2193</v>
      </c>
      <c r="Y1633" s="501" t="s">
        <v>3232</v>
      </c>
      <c r="Z1633" s="501"/>
      <c r="AA1633" s="501"/>
      <c r="AB1633" s="502" t="s">
        <v>1587</v>
      </c>
    </row>
    <row r="1634" spans="1:28" ht="24" customHeight="1">
      <c r="A1634" s="582" t="s">
        <v>1898</v>
      </c>
      <c r="B1634" s="460" t="s">
        <v>2201</v>
      </c>
      <c r="C1634" s="458" t="s">
        <v>4651</v>
      </c>
      <c r="D1634" s="510" t="s">
        <v>4652</v>
      </c>
      <c r="E1634" s="498">
        <f>SUM(F1634:H1634)</f>
        <v>80000</v>
      </c>
      <c r="F1634" s="498">
        <v>0</v>
      </c>
      <c r="G1634" s="498">
        <v>80000</v>
      </c>
      <c r="H1634" s="498">
        <v>0</v>
      </c>
      <c r="I1634" s="498">
        <f>SUM(J1634:L1634)</f>
        <v>68162</v>
      </c>
      <c r="J1634" s="498">
        <v>0</v>
      </c>
      <c r="K1634" s="498">
        <v>68162</v>
      </c>
      <c r="L1634" s="668" t="s">
        <v>3211</v>
      </c>
      <c r="M1634" s="956">
        <v>0.95861148197596802</v>
      </c>
      <c r="N1634" s="653">
        <v>4894.0316000000003</v>
      </c>
      <c r="O1634" s="715" t="s">
        <v>1535</v>
      </c>
      <c r="P1634" s="501" t="s">
        <v>1588</v>
      </c>
      <c r="Q1634" s="852">
        <v>86.4</v>
      </c>
      <c r="R1634" s="852">
        <v>0</v>
      </c>
      <c r="S1634" s="852">
        <v>35</v>
      </c>
      <c r="T1634" s="852">
        <v>0</v>
      </c>
      <c r="U1634" s="501" t="s">
        <v>2453</v>
      </c>
      <c r="V1634" s="566" t="s">
        <v>2069</v>
      </c>
      <c r="W1634" s="498">
        <v>74909</v>
      </c>
      <c r="X1634" s="501" t="s">
        <v>2199</v>
      </c>
      <c r="Y1634" s="501"/>
      <c r="Z1634" s="501" t="s">
        <v>1899</v>
      </c>
      <c r="AA1634" s="501" t="s">
        <v>1589</v>
      </c>
      <c r="AB1634" s="502" t="s">
        <v>4653</v>
      </c>
    </row>
    <row r="1635" spans="1:28" ht="24" customHeight="1">
      <c r="A1635" s="584"/>
      <c r="B1635" s="460" t="s">
        <v>675</v>
      </c>
      <c r="C1635" s="551" t="s">
        <v>4654</v>
      </c>
      <c r="D1635" s="510" t="s">
        <v>1925</v>
      </c>
      <c r="E1635" s="498">
        <f>SUM(F1635:H1635)</f>
        <v>45</v>
      </c>
      <c r="F1635" s="498">
        <v>0</v>
      </c>
      <c r="G1635" s="498">
        <v>45</v>
      </c>
      <c r="H1635" s="498">
        <v>0</v>
      </c>
      <c r="I1635" s="498">
        <f>SUM(J1635:L1635)</f>
        <v>38</v>
      </c>
      <c r="J1635" s="498">
        <v>0</v>
      </c>
      <c r="K1635" s="498">
        <v>38</v>
      </c>
      <c r="L1635" s="668">
        <v>0</v>
      </c>
      <c r="M1635" s="965">
        <v>0.67700000000000005</v>
      </c>
      <c r="N1635" s="653">
        <v>196.08357200000003</v>
      </c>
      <c r="O1635" s="715" t="s">
        <v>4655</v>
      </c>
      <c r="P1635" s="501" t="s">
        <v>1588</v>
      </c>
      <c r="Q1635" s="852">
        <v>0</v>
      </c>
      <c r="R1635" s="852">
        <v>0</v>
      </c>
      <c r="S1635" s="852">
        <v>0</v>
      </c>
      <c r="T1635" s="852">
        <v>0</v>
      </c>
      <c r="U1635" s="501" t="s">
        <v>4656</v>
      </c>
      <c r="V1635" s="566" t="s">
        <v>4657</v>
      </c>
      <c r="W1635" s="498">
        <v>195</v>
      </c>
      <c r="X1635" s="501" t="s">
        <v>2199</v>
      </c>
      <c r="Y1635" s="501" t="s">
        <v>3336</v>
      </c>
      <c r="Z1635" s="501" t="s">
        <v>1899</v>
      </c>
      <c r="AA1635" s="501" t="s">
        <v>1589</v>
      </c>
      <c r="AB1635" s="502" t="s">
        <v>4653</v>
      </c>
    </row>
    <row r="1636" spans="1:28" ht="24" customHeight="1">
      <c r="A1636" s="584"/>
      <c r="B1636" s="460" t="s">
        <v>675</v>
      </c>
      <c r="C1636" s="551" t="s">
        <v>4658</v>
      </c>
      <c r="D1636" s="510" t="s">
        <v>1838</v>
      </c>
      <c r="E1636" s="498">
        <f>SUM(F1636:H1636)</f>
        <v>30</v>
      </c>
      <c r="F1636" s="498">
        <v>0</v>
      </c>
      <c r="G1636" s="498">
        <v>30</v>
      </c>
      <c r="H1636" s="498">
        <v>0</v>
      </c>
      <c r="I1636" s="498">
        <f t="shared" ref="I1636:I1649" si="108">SUM(J1636:L1636)</f>
        <v>24</v>
      </c>
      <c r="J1636" s="498">
        <v>0</v>
      </c>
      <c r="K1636" s="498">
        <v>24</v>
      </c>
      <c r="L1636" s="668">
        <v>0</v>
      </c>
      <c r="M1636" s="965">
        <v>0.68</v>
      </c>
      <c r="N1636" s="653">
        <v>196.95248000000001</v>
      </c>
      <c r="O1636" s="715" t="s">
        <v>4659</v>
      </c>
      <c r="P1636" s="501" t="s">
        <v>1588</v>
      </c>
      <c r="Q1636" s="852">
        <v>0</v>
      </c>
      <c r="R1636" s="852">
        <v>0</v>
      </c>
      <c r="S1636" s="852">
        <v>0</v>
      </c>
      <c r="T1636" s="852">
        <v>0</v>
      </c>
      <c r="U1636" s="501" t="s">
        <v>4656</v>
      </c>
      <c r="V1636" s="566" t="s">
        <v>2047</v>
      </c>
      <c r="W1636" s="498">
        <v>100</v>
      </c>
      <c r="X1636" s="501" t="s">
        <v>2199</v>
      </c>
      <c r="Y1636" s="501" t="s">
        <v>3336</v>
      </c>
      <c r="Z1636" s="501" t="s">
        <v>1899</v>
      </c>
      <c r="AA1636" s="501" t="s">
        <v>1589</v>
      </c>
      <c r="AB1636" s="502" t="s">
        <v>4653</v>
      </c>
    </row>
    <row r="1637" spans="1:28" ht="24" customHeight="1">
      <c r="A1637" s="584"/>
      <c r="B1637" s="460" t="s">
        <v>675</v>
      </c>
      <c r="C1637" s="551" t="s">
        <v>877</v>
      </c>
      <c r="D1637" s="510" t="s">
        <v>1964</v>
      </c>
      <c r="E1637" s="498">
        <f t="shared" ref="E1637:E1649" si="109">SUM(F1637:H1637)</f>
        <v>30</v>
      </c>
      <c r="F1637" s="498">
        <v>0</v>
      </c>
      <c r="G1637" s="498">
        <v>30</v>
      </c>
      <c r="H1637" s="498">
        <v>0</v>
      </c>
      <c r="I1637" s="498">
        <f t="shared" si="108"/>
        <v>26</v>
      </c>
      <c r="J1637" s="498">
        <v>0</v>
      </c>
      <c r="K1637" s="498">
        <v>26</v>
      </c>
      <c r="L1637" s="668">
        <v>0</v>
      </c>
      <c r="M1637" s="965">
        <v>0.90200000000000002</v>
      </c>
      <c r="N1637" s="653">
        <v>261.25167200000004</v>
      </c>
      <c r="O1637" s="715" t="s">
        <v>4660</v>
      </c>
      <c r="P1637" s="501" t="s">
        <v>1588</v>
      </c>
      <c r="Q1637" s="852">
        <v>0</v>
      </c>
      <c r="R1637" s="852">
        <v>0</v>
      </c>
      <c r="S1637" s="852">
        <v>0</v>
      </c>
      <c r="T1637" s="852">
        <v>0</v>
      </c>
      <c r="U1637" s="501" t="s">
        <v>4656</v>
      </c>
      <c r="V1637" s="566" t="s">
        <v>4661</v>
      </c>
      <c r="W1637" s="498">
        <v>200</v>
      </c>
      <c r="X1637" s="501" t="s">
        <v>2199</v>
      </c>
      <c r="Y1637" s="501" t="s">
        <v>3232</v>
      </c>
      <c r="Z1637" s="501" t="s">
        <v>1899</v>
      </c>
      <c r="AA1637" s="501" t="s">
        <v>1589</v>
      </c>
      <c r="AB1637" s="502" t="s">
        <v>4653</v>
      </c>
    </row>
    <row r="1638" spans="1:28" ht="24" customHeight="1">
      <c r="A1638" s="584"/>
      <c r="B1638" s="460" t="s">
        <v>675</v>
      </c>
      <c r="C1638" s="551" t="s">
        <v>4662</v>
      </c>
      <c r="D1638" s="510" t="s">
        <v>1925</v>
      </c>
      <c r="E1638" s="498">
        <f t="shared" si="109"/>
        <v>40</v>
      </c>
      <c r="F1638" s="498">
        <v>0</v>
      </c>
      <c r="G1638" s="498">
        <v>40</v>
      </c>
      <c r="H1638" s="498">
        <v>0</v>
      </c>
      <c r="I1638" s="498">
        <f t="shared" si="108"/>
        <v>35</v>
      </c>
      <c r="J1638" s="498">
        <v>0</v>
      </c>
      <c r="K1638" s="498">
        <v>35</v>
      </c>
      <c r="L1638" s="668">
        <v>0</v>
      </c>
      <c r="M1638" s="965">
        <v>0.88400000000000001</v>
      </c>
      <c r="N1638" s="653">
        <v>256.03822400000001</v>
      </c>
      <c r="O1638" s="715" t="s">
        <v>4663</v>
      </c>
      <c r="P1638" s="501" t="s">
        <v>1588</v>
      </c>
      <c r="Q1638" s="852">
        <v>0</v>
      </c>
      <c r="R1638" s="852">
        <v>0</v>
      </c>
      <c r="S1638" s="852">
        <v>0</v>
      </c>
      <c r="T1638" s="852">
        <v>0</v>
      </c>
      <c r="U1638" s="501" t="s">
        <v>4656</v>
      </c>
      <c r="V1638" s="566" t="s">
        <v>4490</v>
      </c>
      <c r="W1638" s="498">
        <v>190</v>
      </c>
      <c r="X1638" s="501" t="s">
        <v>2199</v>
      </c>
      <c r="Y1638" s="501" t="s">
        <v>3336</v>
      </c>
      <c r="Z1638" s="501" t="s">
        <v>1899</v>
      </c>
      <c r="AA1638" s="501" t="s">
        <v>1589</v>
      </c>
      <c r="AB1638" s="502" t="s">
        <v>4653</v>
      </c>
    </row>
    <row r="1639" spans="1:28" ht="24" customHeight="1">
      <c r="A1639" s="584"/>
      <c r="B1639" s="460" t="s">
        <v>675</v>
      </c>
      <c r="C1639" s="551" t="s">
        <v>811</v>
      </c>
      <c r="D1639" s="510" t="s">
        <v>1966</v>
      </c>
      <c r="E1639" s="498">
        <f t="shared" si="109"/>
        <v>48</v>
      </c>
      <c r="F1639" s="498">
        <v>0</v>
      </c>
      <c r="G1639" s="498">
        <v>48</v>
      </c>
      <c r="H1639" s="498">
        <v>0</v>
      </c>
      <c r="I1639" s="498">
        <f t="shared" si="108"/>
        <v>42</v>
      </c>
      <c r="J1639" s="498">
        <v>0</v>
      </c>
      <c r="K1639" s="498">
        <v>42</v>
      </c>
      <c r="L1639" s="668">
        <v>0</v>
      </c>
      <c r="M1639" s="965">
        <v>0.79200000000000004</v>
      </c>
      <c r="N1639" s="653">
        <v>229.39171200000001</v>
      </c>
      <c r="O1639" s="715" t="s">
        <v>4664</v>
      </c>
      <c r="P1639" s="501" t="s">
        <v>1588</v>
      </c>
      <c r="Q1639" s="852">
        <v>0</v>
      </c>
      <c r="R1639" s="852">
        <v>0</v>
      </c>
      <c r="S1639" s="852">
        <v>0</v>
      </c>
      <c r="T1639" s="852">
        <v>0</v>
      </c>
      <c r="U1639" s="501" t="s">
        <v>4656</v>
      </c>
      <c r="V1639" s="566" t="s">
        <v>4665</v>
      </c>
      <c r="W1639" s="498">
        <v>240</v>
      </c>
      <c r="X1639" s="501" t="s">
        <v>2199</v>
      </c>
      <c r="Y1639" s="501" t="s">
        <v>3336</v>
      </c>
      <c r="Z1639" s="501" t="s">
        <v>1967</v>
      </c>
      <c r="AA1639" s="501" t="s">
        <v>1589</v>
      </c>
      <c r="AB1639" s="502" t="s">
        <v>4653</v>
      </c>
    </row>
    <row r="1640" spans="1:28" ht="24" customHeight="1">
      <c r="A1640" s="584"/>
      <c r="B1640" s="460" t="s">
        <v>675</v>
      </c>
      <c r="C1640" s="551" t="s">
        <v>4666</v>
      </c>
      <c r="D1640" s="510" t="s">
        <v>1962</v>
      </c>
      <c r="E1640" s="498">
        <f t="shared" si="109"/>
        <v>34</v>
      </c>
      <c r="F1640" s="498">
        <v>0</v>
      </c>
      <c r="G1640" s="498">
        <v>34</v>
      </c>
      <c r="H1640" s="498">
        <v>0</v>
      </c>
      <c r="I1640" s="498">
        <f t="shared" si="108"/>
        <v>30</v>
      </c>
      <c r="J1640" s="498">
        <v>0</v>
      </c>
      <c r="K1640" s="498">
        <v>30</v>
      </c>
      <c r="L1640" s="668">
        <v>0</v>
      </c>
      <c r="M1640" s="965">
        <v>0.71400000000000008</v>
      </c>
      <c r="N1640" s="653">
        <v>206.80010400000003</v>
      </c>
      <c r="O1640" s="715" t="s">
        <v>4667</v>
      </c>
      <c r="P1640" s="501" t="s">
        <v>1588</v>
      </c>
      <c r="Q1640" s="852">
        <v>0</v>
      </c>
      <c r="R1640" s="852">
        <v>0</v>
      </c>
      <c r="S1640" s="852">
        <v>0</v>
      </c>
      <c r="T1640" s="852">
        <v>0</v>
      </c>
      <c r="U1640" s="501" t="s">
        <v>4656</v>
      </c>
      <c r="V1640" s="566" t="s">
        <v>4668</v>
      </c>
      <c r="W1640" s="498">
        <v>150</v>
      </c>
      <c r="X1640" s="501" t="s">
        <v>2199</v>
      </c>
      <c r="Y1640" s="501" t="s">
        <v>3232</v>
      </c>
      <c r="Z1640" s="501" t="s">
        <v>1899</v>
      </c>
      <c r="AA1640" s="501" t="s">
        <v>1589</v>
      </c>
      <c r="AB1640" s="502" t="s">
        <v>4653</v>
      </c>
    </row>
    <row r="1641" spans="1:28" ht="24" customHeight="1">
      <c r="A1641" s="584"/>
      <c r="B1641" s="460" t="s">
        <v>675</v>
      </c>
      <c r="C1641" s="551" t="s">
        <v>4669</v>
      </c>
      <c r="D1641" s="510" t="s">
        <v>1961</v>
      </c>
      <c r="E1641" s="498">
        <f t="shared" si="109"/>
        <v>20</v>
      </c>
      <c r="F1641" s="498">
        <v>0</v>
      </c>
      <c r="G1641" s="498">
        <v>20</v>
      </c>
      <c r="H1641" s="498">
        <v>0</v>
      </c>
      <c r="I1641" s="498">
        <f t="shared" si="108"/>
        <v>18</v>
      </c>
      <c r="J1641" s="498">
        <v>0</v>
      </c>
      <c r="K1641" s="498">
        <v>18</v>
      </c>
      <c r="L1641" s="668">
        <v>0</v>
      </c>
      <c r="M1641" s="965">
        <v>0.69700000000000006</v>
      </c>
      <c r="N1641" s="653">
        <v>201.87629200000001</v>
      </c>
      <c r="O1641" s="715" t="s">
        <v>4659</v>
      </c>
      <c r="P1641" s="501" t="s">
        <v>1588</v>
      </c>
      <c r="Q1641" s="852">
        <v>0</v>
      </c>
      <c r="R1641" s="852">
        <v>0</v>
      </c>
      <c r="S1641" s="852">
        <v>0</v>
      </c>
      <c r="T1641" s="852">
        <v>0</v>
      </c>
      <c r="U1641" s="501" t="s">
        <v>4656</v>
      </c>
      <c r="V1641" s="566" t="s">
        <v>4670</v>
      </c>
      <c r="W1641" s="498">
        <v>100</v>
      </c>
      <c r="X1641" s="501" t="s">
        <v>2199</v>
      </c>
      <c r="Y1641" s="501" t="s">
        <v>3336</v>
      </c>
      <c r="Z1641" s="501" t="s">
        <v>1899</v>
      </c>
      <c r="AA1641" s="501" t="s">
        <v>1589</v>
      </c>
      <c r="AB1641" s="502" t="s">
        <v>4653</v>
      </c>
    </row>
    <row r="1642" spans="1:28" ht="24" customHeight="1">
      <c r="A1642" s="584"/>
      <c r="B1642" s="460" t="s">
        <v>675</v>
      </c>
      <c r="C1642" s="551" t="s">
        <v>4671</v>
      </c>
      <c r="D1642" s="510" t="s">
        <v>1925</v>
      </c>
      <c r="E1642" s="498">
        <f t="shared" si="109"/>
        <v>35</v>
      </c>
      <c r="F1642" s="498">
        <v>0</v>
      </c>
      <c r="G1642" s="498">
        <v>35</v>
      </c>
      <c r="H1642" s="498">
        <v>0</v>
      </c>
      <c r="I1642" s="498">
        <f t="shared" si="108"/>
        <v>30</v>
      </c>
      <c r="J1642" s="498">
        <v>0</v>
      </c>
      <c r="K1642" s="498">
        <v>30</v>
      </c>
      <c r="L1642" s="668">
        <v>0</v>
      </c>
      <c r="M1642" s="965">
        <v>0.79799999999999993</v>
      </c>
      <c r="N1642" s="653">
        <v>231.12952799999999</v>
      </c>
      <c r="O1642" s="715" t="s">
        <v>4672</v>
      </c>
      <c r="P1642" s="501" t="s">
        <v>1588</v>
      </c>
      <c r="Q1642" s="852">
        <v>0</v>
      </c>
      <c r="R1642" s="852">
        <v>0</v>
      </c>
      <c r="S1642" s="852">
        <v>0</v>
      </c>
      <c r="T1642" s="852">
        <v>0</v>
      </c>
      <c r="U1642" s="501" t="s">
        <v>4656</v>
      </c>
      <c r="V1642" s="566" t="s">
        <v>4673</v>
      </c>
      <c r="W1642" s="498">
        <v>200</v>
      </c>
      <c r="X1642" s="501" t="s">
        <v>2199</v>
      </c>
      <c r="Y1642" s="501" t="s">
        <v>3336</v>
      </c>
      <c r="Z1642" s="501" t="s">
        <v>1899</v>
      </c>
      <c r="AA1642" s="501" t="s">
        <v>1589</v>
      </c>
      <c r="AB1642" s="502" t="s">
        <v>4653</v>
      </c>
    </row>
    <row r="1643" spans="1:28" ht="24" customHeight="1">
      <c r="A1643" s="584"/>
      <c r="B1643" s="460" t="s">
        <v>675</v>
      </c>
      <c r="C1643" s="551" t="s">
        <v>4674</v>
      </c>
      <c r="D1643" s="510" t="s">
        <v>1925</v>
      </c>
      <c r="E1643" s="498">
        <f t="shared" si="109"/>
        <v>30</v>
      </c>
      <c r="F1643" s="498">
        <v>0</v>
      </c>
      <c r="G1643" s="498">
        <v>30</v>
      </c>
      <c r="H1643" s="498">
        <v>0</v>
      </c>
      <c r="I1643" s="498">
        <f t="shared" si="108"/>
        <v>24</v>
      </c>
      <c r="J1643" s="498">
        <v>0</v>
      </c>
      <c r="K1643" s="498">
        <v>24</v>
      </c>
      <c r="L1643" s="668">
        <v>0</v>
      </c>
      <c r="M1643" s="965">
        <v>0.80099999999999993</v>
      </c>
      <c r="N1643" s="653">
        <v>231.998436</v>
      </c>
      <c r="O1643" s="715" t="s">
        <v>4675</v>
      </c>
      <c r="P1643" s="501" t="s">
        <v>1588</v>
      </c>
      <c r="Q1643" s="852">
        <v>0</v>
      </c>
      <c r="R1643" s="852">
        <v>0</v>
      </c>
      <c r="S1643" s="852">
        <v>0</v>
      </c>
      <c r="T1643" s="852">
        <v>0</v>
      </c>
      <c r="U1643" s="501" t="s">
        <v>4656</v>
      </c>
      <c r="V1643" s="566" t="s">
        <v>4668</v>
      </c>
      <c r="W1643" s="498">
        <v>150</v>
      </c>
      <c r="X1643" s="501" t="s">
        <v>2199</v>
      </c>
      <c r="Y1643" s="501" t="s">
        <v>3336</v>
      </c>
      <c r="Z1643" s="501" t="s">
        <v>1899</v>
      </c>
      <c r="AA1643" s="501" t="s">
        <v>1589</v>
      </c>
      <c r="AB1643" s="502" t="s">
        <v>4653</v>
      </c>
    </row>
    <row r="1644" spans="1:28" ht="24" customHeight="1">
      <c r="A1644" s="584"/>
      <c r="B1644" s="460" t="s">
        <v>675</v>
      </c>
      <c r="C1644" s="551" t="s">
        <v>2854</v>
      </c>
      <c r="D1644" s="510" t="s">
        <v>1925</v>
      </c>
      <c r="E1644" s="498">
        <f t="shared" si="109"/>
        <v>24</v>
      </c>
      <c r="F1644" s="498">
        <v>0</v>
      </c>
      <c r="G1644" s="498">
        <v>24</v>
      </c>
      <c r="H1644" s="498">
        <v>0</v>
      </c>
      <c r="I1644" s="498">
        <f t="shared" si="108"/>
        <v>20</v>
      </c>
      <c r="J1644" s="498">
        <v>0</v>
      </c>
      <c r="K1644" s="498">
        <v>20</v>
      </c>
      <c r="L1644" s="668">
        <v>0</v>
      </c>
      <c r="M1644" s="965">
        <v>0.80700000000000005</v>
      </c>
      <c r="N1644" s="653">
        <v>233.73625200000001</v>
      </c>
      <c r="O1644" s="715" t="s">
        <v>4659</v>
      </c>
      <c r="P1644" s="501" t="s">
        <v>1588</v>
      </c>
      <c r="Q1644" s="852">
        <v>0</v>
      </c>
      <c r="R1644" s="852">
        <v>0</v>
      </c>
      <c r="S1644" s="852">
        <v>0</v>
      </c>
      <c r="T1644" s="852">
        <v>0</v>
      </c>
      <c r="U1644" s="501" t="s">
        <v>4656</v>
      </c>
      <c r="V1644" s="566" t="s">
        <v>4670</v>
      </c>
      <c r="W1644" s="498">
        <v>150</v>
      </c>
      <c r="X1644" s="501" t="s">
        <v>2199</v>
      </c>
      <c r="Y1644" s="501" t="s">
        <v>3336</v>
      </c>
      <c r="Z1644" s="501" t="s">
        <v>1899</v>
      </c>
      <c r="AA1644" s="501" t="s">
        <v>1589</v>
      </c>
      <c r="AB1644" s="502" t="s">
        <v>4653</v>
      </c>
    </row>
    <row r="1645" spans="1:28" ht="24" customHeight="1">
      <c r="A1645" s="584"/>
      <c r="B1645" s="460" t="s">
        <v>675</v>
      </c>
      <c r="C1645" s="551" t="s">
        <v>5503</v>
      </c>
      <c r="D1645" s="510" t="s">
        <v>1900</v>
      </c>
      <c r="E1645" s="498">
        <f t="shared" si="109"/>
        <v>50</v>
      </c>
      <c r="F1645" s="498">
        <v>0</v>
      </c>
      <c r="G1645" s="498">
        <v>50</v>
      </c>
      <c r="H1645" s="498">
        <v>0</v>
      </c>
      <c r="I1645" s="498">
        <f t="shared" si="108"/>
        <v>40</v>
      </c>
      <c r="J1645" s="498">
        <v>0</v>
      </c>
      <c r="K1645" s="498">
        <v>40</v>
      </c>
      <c r="L1645" s="668">
        <v>0</v>
      </c>
      <c r="M1645" s="965">
        <v>0.80799999999999994</v>
      </c>
      <c r="N1645" s="653">
        <v>234.02588799999998</v>
      </c>
      <c r="O1645" s="715" t="s">
        <v>4664</v>
      </c>
      <c r="P1645" s="501" t="s">
        <v>1588</v>
      </c>
      <c r="Q1645" s="852">
        <v>0</v>
      </c>
      <c r="R1645" s="852">
        <v>0</v>
      </c>
      <c r="S1645" s="852">
        <v>0</v>
      </c>
      <c r="T1645" s="852">
        <v>0</v>
      </c>
      <c r="U1645" s="501" t="s">
        <v>4656</v>
      </c>
      <c r="V1645" s="566" t="s">
        <v>4676</v>
      </c>
      <c r="W1645" s="498">
        <v>260</v>
      </c>
      <c r="X1645" s="501" t="s">
        <v>2199</v>
      </c>
      <c r="Y1645" s="501" t="s">
        <v>3336</v>
      </c>
      <c r="Z1645" s="501" t="s">
        <v>1899</v>
      </c>
      <c r="AA1645" s="501" t="s">
        <v>1589</v>
      </c>
      <c r="AB1645" s="502" t="s">
        <v>4653</v>
      </c>
    </row>
    <row r="1646" spans="1:28" ht="24" customHeight="1">
      <c r="A1646" s="584"/>
      <c r="B1646" s="460" t="s">
        <v>675</v>
      </c>
      <c r="C1646" s="551" t="s">
        <v>4677</v>
      </c>
      <c r="D1646" s="510" t="s">
        <v>1965</v>
      </c>
      <c r="E1646" s="498">
        <f t="shared" si="109"/>
        <v>40</v>
      </c>
      <c r="F1646" s="498">
        <v>0</v>
      </c>
      <c r="G1646" s="498">
        <v>40</v>
      </c>
      <c r="H1646" s="498">
        <v>0</v>
      </c>
      <c r="I1646" s="498">
        <f t="shared" si="108"/>
        <v>35</v>
      </c>
      <c r="J1646" s="498">
        <v>0</v>
      </c>
      <c r="K1646" s="498">
        <v>35</v>
      </c>
      <c r="L1646" s="668">
        <v>0</v>
      </c>
      <c r="M1646" s="965">
        <v>0.70099999999999996</v>
      </c>
      <c r="N1646" s="653">
        <v>203.03483599999998</v>
      </c>
      <c r="O1646" s="715" t="s">
        <v>4667</v>
      </c>
      <c r="P1646" s="501" t="s">
        <v>1588</v>
      </c>
      <c r="Q1646" s="852">
        <v>0</v>
      </c>
      <c r="R1646" s="852">
        <v>0</v>
      </c>
      <c r="S1646" s="852">
        <v>0</v>
      </c>
      <c r="T1646" s="852">
        <v>0</v>
      </c>
      <c r="U1646" s="501" t="s">
        <v>4656</v>
      </c>
      <c r="V1646" s="566" t="s">
        <v>4676</v>
      </c>
      <c r="W1646" s="498">
        <v>240</v>
      </c>
      <c r="X1646" s="501" t="s">
        <v>2199</v>
      </c>
      <c r="Y1646" s="501" t="s">
        <v>3232</v>
      </c>
      <c r="Z1646" s="501" t="s">
        <v>1899</v>
      </c>
      <c r="AA1646" s="501" t="s">
        <v>1589</v>
      </c>
      <c r="AB1646" s="502" t="s">
        <v>4653</v>
      </c>
    </row>
    <row r="1647" spans="1:28" ht="24" customHeight="1">
      <c r="A1647" s="584"/>
      <c r="B1647" s="460" t="s">
        <v>675</v>
      </c>
      <c r="C1647" s="551" t="s">
        <v>2773</v>
      </c>
      <c r="D1647" s="510" t="s">
        <v>1925</v>
      </c>
      <c r="E1647" s="498">
        <f t="shared" si="109"/>
        <v>35</v>
      </c>
      <c r="F1647" s="498">
        <v>0</v>
      </c>
      <c r="G1647" s="498">
        <v>35</v>
      </c>
      <c r="H1647" s="498">
        <v>0</v>
      </c>
      <c r="I1647" s="498">
        <f t="shared" si="108"/>
        <v>30</v>
      </c>
      <c r="J1647" s="498">
        <v>0</v>
      </c>
      <c r="K1647" s="498">
        <v>30</v>
      </c>
      <c r="L1647" s="668">
        <v>0</v>
      </c>
      <c r="M1647" s="965">
        <v>0.77500000000000002</v>
      </c>
      <c r="N1647" s="653">
        <v>224.46789999999999</v>
      </c>
      <c r="O1647" s="715" t="s">
        <v>2303</v>
      </c>
      <c r="P1647" s="501" t="s">
        <v>1588</v>
      </c>
      <c r="Q1647" s="852">
        <v>0</v>
      </c>
      <c r="R1647" s="852">
        <v>0</v>
      </c>
      <c r="S1647" s="852">
        <v>0</v>
      </c>
      <c r="T1647" s="852">
        <v>0</v>
      </c>
      <c r="U1647" s="501" t="s">
        <v>4656</v>
      </c>
      <c r="V1647" s="566" t="s">
        <v>4676</v>
      </c>
      <c r="W1647" s="498">
        <v>267</v>
      </c>
      <c r="X1647" s="501" t="s">
        <v>2199</v>
      </c>
      <c r="Y1647" s="501" t="s">
        <v>3336</v>
      </c>
      <c r="Z1647" s="501" t="s">
        <v>1899</v>
      </c>
      <c r="AA1647" s="501" t="s">
        <v>1589</v>
      </c>
      <c r="AB1647" s="502" t="s">
        <v>4653</v>
      </c>
    </row>
    <row r="1648" spans="1:28" ht="24" customHeight="1">
      <c r="A1648" s="584"/>
      <c r="B1648" s="460" t="s">
        <v>675</v>
      </c>
      <c r="C1648" s="551" t="s">
        <v>4678</v>
      </c>
      <c r="D1648" s="510" t="s">
        <v>1963</v>
      </c>
      <c r="E1648" s="498">
        <f t="shared" si="109"/>
        <v>100</v>
      </c>
      <c r="F1648" s="498">
        <v>0</v>
      </c>
      <c r="G1648" s="498">
        <v>100</v>
      </c>
      <c r="H1648" s="498">
        <v>0</v>
      </c>
      <c r="I1648" s="498">
        <f t="shared" si="108"/>
        <v>71.5</v>
      </c>
      <c r="J1648" s="498">
        <v>0</v>
      </c>
      <c r="K1648" s="498">
        <v>71.5</v>
      </c>
      <c r="L1648" s="668">
        <v>0</v>
      </c>
      <c r="M1648" s="956">
        <v>0.98299999999999998</v>
      </c>
      <c r="N1648" s="653">
        <v>0</v>
      </c>
      <c r="O1648" s="715" t="s">
        <v>4627</v>
      </c>
      <c r="P1648" s="501" t="s">
        <v>1588</v>
      </c>
      <c r="Q1648" s="852">
        <v>0</v>
      </c>
      <c r="R1648" s="852">
        <v>0</v>
      </c>
      <c r="S1648" s="852">
        <v>0</v>
      </c>
      <c r="T1648" s="852">
        <v>0</v>
      </c>
      <c r="U1648" s="501" t="s">
        <v>2453</v>
      </c>
      <c r="V1648" s="566" t="s">
        <v>4679</v>
      </c>
      <c r="W1648" s="498">
        <v>953</v>
      </c>
      <c r="X1648" s="501" t="s">
        <v>2199</v>
      </c>
      <c r="Y1648" s="501"/>
      <c r="Z1648" s="501" t="s">
        <v>1899</v>
      </c>
      <c r="AA1648" s="501" t="s">
        <v>1589</v>
      </c>
      <c r="AB1648" s="502" t="s">
        <v>4653</v>
      </c>
    </row>
    <row r="1649" spans="1:28" ht="24" customHeight="1">
      <c r="A1649" s="584"/>
      <c r="B1649" s="460" t="s">
        <v>675</v>
      </c>
      <c r="C1649" s="551" t="s">
        <v>2005</v>
      </c>
      <c r="D1649" s="510" t="s">
        <v>1964</v>
      </c>
      <c r="E1649" s="498">
        <f t="shared" si="109"/>
        <v>390</v>
      </c>
      <c r="F1649" s="498">
        <v>0</v>
      </c>
      <c r="G1649" s="498">
        <v>390</v>
      </c>
      <c r="H1649" s="498">
        <v>0</v>
      </c>
      <c r="I1649" s="498">
        <f t="shared" si="108"/>
        <v>242</v>
      </c>
      <c r="J1649" s="498">
        <v>0</v>
      </c>
      <c r="K1649" s="498">
        <v>242</v>
      </c>
      <c r="L1649" s="668">
        <v>0</v>
      </c>
      <c r="M1649" s="956">
        <v>0.90400000000000003</v>
      </c>
      <c r="N1649" s="653">
        <v>0</v>
      </c>
      <c r="O1649" s="715" t="s">
        <v>4660</v>
      </c>
      <c r="P1649" s="501" t="s">
        <v>1588</v>
      </c>
      <c r="Q1649" s="852">
        <v>0</v>
      </c>
      <c r="R1649" s="852">
        <v>0</v>
      </c>
      <c r="S1649" s="852">
        <v>0</v>
      </c>
      <c r="T1649" s="852">
        <v>0</v>
      </c>
      <c r="U1649" s="501" t="s">
        <v>4680</v>
      </c>
      <c r="V1649" s="566" t="s">
        <v>4515</v>
      </c>
      <c r="W1649" s="498">
        <v>500</v>
      </c>
      <c r="X1649" s="501" t="s">
        <v>2193</v>
      </c>
      <c r="Y1649" s="501"/>
      <c r="Z1649" s="501" t="s">
        <v>1899</v>
      </c>
      <c r="AA1649" s="501" t="s">
        <v>1589</v>
      </c>
      <c r="AB1649" s="502" t="s">
        <v>4653</v>
      </c>
    </row>
    <row r="1650" spans="1:28" ht="24" customHeight="1">
      <c r="A1650" s="582" t="s">
        <v>1968</v>
      </c>
      <c r="B1650" s="460" t="s">
        <v>2201</v>
      </c>
      <c r="C1650" s="458" t="s">
        <v>2325</v>
      </c>
      <c r="D1650" s="510" t="str">
        <f>A1650</f>
        <v>안동시</v>
      </c>
      <c r="E1650" s="498">
        <f>F1650+G1650+H1650</f>
        <v>54000</v>
      </c>
      <c r="F1650" s="498">
        <v>0</v>
      </c>
      <c r="G1650" s="498">
        <v>54000</v>
      </c>
      <c r="H1650" s="498">
        <v>0</v>
      </c>
      <c r="I1650" s="498">
        <v>50739</v>
      </c>
      <c r="J1650" s="498">
        <v>0</v>
      </c>
      <c r="K1650" s="498">
        <v>50739</v>
      </c>
      <c r="L1650" s="668">
        <v>0</v>
      </c>
      <c r="M1650" s="956">
        <v>0.97387755102040796</v>
      </c>
      <c r="N1650" s="653">
        <v>6053.162699999998</v>
      </c>
      <c r="O1650" s="715" t="s">
        <v>1535</v>
      </c>
      <c r="P1650" s="501" t="s">
        <v>1588</v>
      </c>
      <c r="Q1650" s="852">
        <v>141.5</v>
      </c>
      <c r="R1650" s="852">
        <v>109.6</v>
      </c>
      <c r="S1650" s="852">
        <v>94.7</v>
      </c>
      <c r="T1650" s="852">
        <v>0</v>
      </c>
      <c r="U1650" s="501" t="s">
        <v>2454</v>
      </c>
      <c r="V1650" s="501" t="s">
        <v>4681</v>
      </c>
      <c r="W1650" s="498">
        <v>48242</v>
      </c>
      <c r="X1650" s="501" t="s">
        <v>2199</v>
      </c>
      <c r="Y1650" s="501" t="s">
        <v>3336</v>
      </c>
      <c r="Z1650" s="501" t="s">
        <v>1588</v>
      </c>
      <c r="AA1650" s="501" t="s">
        <v>1589</v>
      </c>
      <c r="AB1650" s="502" t="s">
        <v>1589</v>
      </c>
    </row>
    <row r="1651" spans="1:28" ht="24" customHeight="1">
      <c r="A1651" s="584"/>
      <c r="B1651" s="460" t="s">
        <v>675</v>
      </c>
      <c r="C1651" s="458" t="s">
        <v>4682</v>
      </c>
      <c r="D1651" s="510" t="s">
        <v>4683</v>
      </c>
      <c r="E1651" s="498">
        <f>F1651+G1651+H1651</f>
        <v>160</v>
      </c>
      <c r="F1651" s="498">
        <v>0</v>
      </c>
      <c r="G1651" s="498">
        <v>160</v>
      </c>
      <c r="H1651" s="498">
        <v>0</v>
      </c>
      <c r="I1651" s="498">
        <f>J1651+K1651+L1651</f>
        <v>121.7</v>
      </c>
      <c r="J1651" s="498">
        <v>0</v>
      </c>
      <c r="K1651" s="498">
        <v>121.7</v>
      </c>
      <c r="L1651" s="668">
        <v>0</v>
      </c>
      <c r="M1651" s="956">
        <v>0.76300000000000001</v>
      </c>
      <c r="N1651" s="653">
        <v>745.64250000000004</v>
      </c>
      <c r="O1651" s="715" t="s">
        <v>5224</v>
      </c>
      <c r="P1651" s="501" t="s">
        <v>1588</v>
      </c>
      <c r="Q1651" s="852">
        <v>0</v>
      </c>
      <c r="R1651" s="852">
        <v>0</v>
      </c>
      <c r="S1651" s="852">
        <v>0</v>
      </c>
      <c r="T1651" s="852">
        <v>0</v>
      </c>
      <c r="U1651" s="501" t="s">
        <v>4684</v>
      </c>
      <c r="V1651" s="501" t="s">
        <v>4685</v>
      </c>
      <c r="W1651" s="498">
        <v>400</v>
      </c>
      <c r="X1651" s="501" t="s">
        <v>2199</v>
      </c>
      <c r="Y1651" s="501" t="s">
        <v>3232</v>
      </c>
      <c r="Z1651" s="501" t="s">
        <v>4686</v>
      </c>
      <c r="AA1651" s="501" t="s">
        <v>1589</v>
      </c>
      <c r="AB1651" s="502" t="s">
        <v>1589</v>
      </c>
    </row>
    <row r="1652" spans="1:28" ht="24" customHeight="1">
      <c r="A1652" s="584"/>
      <c r="B1652" s="460" t="s">
        <v>675</v>
      </c>
      <c r="C1652" s="458" t="s">
        <v>4687</v>
      </c>
      <c r="D1652" s="510" t="s">
        <v>4688</v>
      </c>
      <c r="E1652" s="498">
        <f>F1652+G1652+H1652</f>
        <v>34</v>
      </c>
      <c r="F1652" s="498">
        <v>0</v>
      </c>
      <c r="G1652" s="498">
        <v>34</v>
      </c>
      <c r="H1652" s="498">
        <v>0</v>
      </c>
      <c r="I1652" s="498">
        <f>J1652+K1652+L1652</f>
        <v>15</v>
      </c>
      <c r="J1652" s="498">
        <v>0</v>
      </c>
      <c r="K1652" s="498">
        <v>15</v>
      </c>
      <c r="L1652" s="668">
        <v>0</v>
      </c>
      <c r="M1652" s="956">
        <v>0.441</v>
      </c>
      <c r="N1652" s="653">
        <v>56.293999999999997</v>
      </c>
      <c r="O1652" s="715" t="s">
        <v>5089</v>
      </c>
      <c r="P1652" s="501" t="s">
        <v>1588</v>
      </c>
      <c r="Q1652" s="852">
        <v>0</v>
      </c>
      <c r="R1652" s="852">
        <v>0</v>
      </c>
      <c r="S1652" s="852">
        <v>0</v>
      </c>
      <c r="T1652" s="852">
        <v>0</v>
      </c>
      <c r="U1652" s="501" t="s">
        <v>4684</v>
      </c>
      <c r="V1652" s="501" t="s">
        <v>4689</v>
      </c>
      <c r="W1652" s="498">
        <v>100</v>
      </c>
      <c r="X1652" s="501" t="s">
        <v>2199</v>
      </c>
      <c r="Y1652" s="501" t="s">
        <v>3336</v>
      </c>
      <c r="Z1652" s="501" t="s">
        <v>1588</v>
      </c>
      <c r="AA1652" s="501" t="s">
        <v>1589</v>
      </c>
      <c r="AB1652" s="502" t="s">
        <v>1589</v>
      </c>
    </row>
    <row r="1653" spans="1:28" ht="24" customHeight="1">
      <c r="A1653" s="582" t="s">
        <v>1969</v>
      </c>
      <c r="B1653" s="460" t="s">
        <v>2201</v>
      </c>
      <c r="C1653" s="458" t="s">
        <v>2326</v>
      </c>
      <c r="D1653" s="510" t="s">
        <v>2327</v>
      </c>
      <c r="E1653" s="498">
        <f t="shared" ref="E1653:E1683" si="110">F1653+G1653+H1653</f>
        <v>330000</v>
      </c>
      <c r="F1653" s="498">
        <v>0</v>
      </c>
      <c r="G1653" s="498">
        <v>0</v>
      </c>
      <c r="H1653" s="498">
        <v>330000</v>
      </c>
      <c r="I1653" s="498">
        <f t="shared" ref="I1653:I1683" si="111">J1653+K1653+L1653</f>
        <v>313959</v>
      </c>
      <c r="J1653" s="498">
        <v>0</v>
      </c>
      <c r="K1653" s="498">
        <v>0</v>
      </c>
      <c r="L1653" s="668">
        <v>313959</v>
      </c>
      <c r="M1653" s="956">
        <v>0.93202883625128741</v>
      </c>
      <c r="N1653" s="653">
        <v>28413.289499999999</v>
      </c>
      <c r="O1653" s="715" t="s">
        <v>3215</v>
      </c>
      <c r="P1653" s="501" t="s">
        <v>3215</v>
      </c>
      <c r="Q1653" s="852">
        <v>110.6</v>
      </c>
      <c r="R1653" s="852">
        <v>0</v>
      </c>
      <c r="S1653" s="852">
        <v>0</v>
      </c>
      <c r="T1653" s="852">
        <v>0</v>
      </c>
      <c r="U1653" s="501" t="s">
        <v>2455</v>
      </c>
      <c r="V1653" s="501" t="s">
        <v>4690</v>
      </c>
      <c r="W1653" s="498">
        <v>128101</v>
      </c>
      <c r="X1653" s="501" t="s">
        <v>2199</v>
      </c>
      <c r="Y1653" s="501" t="s">
        <v>3161</v>
      </c>
      <c r="Z1653" s="501" t="s">
        <v>4691</v>
      </c>
      <c r="AA1653" s="501" t="s">
        <v>1589</v>
      </c>
      <c r="AB1653" s="502" t="s">
        <v>1589</v>
      </c>
    </row>
    <row r="1654" spans="1:28" ht="24" customHeight="1">
      <c r="A1654" s="584"/>
      <c r="B1654" s="460" t="s">
        <v>2201</v>
      </c>
      <c r="C1654" s="458" t="s">
        <v>283</v>
      </c>
      <c r="D1654" s="510" t="s">
        <v>4692</v>
      </c>
      <c r="E1654" s="498">
        <f t="shared" si="110"/>
        <v>500</v>
      </c>
      <c r="F1654" s="498">
        <v>0</v>
      </c>
      <c r="G1654" s="498">
        <v>0</v>
      </c>
      <c r="H1654" s="498">
        <v>500</v>
      </c>
      <c r="I1654" s="498">
        <f t="shared" si="111"/>
        <v>247</v>
      </c>
      <c r="J1654" s="498">
        <v>0</v>
      </c>
      <c r="K1654" s="498">
        <v>0</v>
      </c>
      <c r="L1654" s="668">
        <v>247</v>
      </c>
      <c r="M1654" s="956">
        <v>0.99061032863849763</v>
      </c>
      <c r="N1654" s="653">
        <v>36.481899999999996</v>
      </c>
      <c r="O1654" s="715" t="s">
        <v>3347</v>
      </c>
      <c r="P1654" s="501" t="s">
        <v>3347</v>
      </c>
      <c r="Q1654" s="852">
        <v>0</v>
      </c>
      <c r="R1654" s="852">
        <v>0</v>
      </c>
      <c r="S1654" s="852">
        <v>0</v>
      </c>
      <c r="T1654" s="852">
        <v>0</v>
      </c>
      <c r="U1654" s="501" t="s">
        <v>7493</v>
      </c>
      <c r="V1654" s="501" t="s">
        <v>4693</v>
      </c>
      <c r="W1654" s="498">
        <v>6300</v>
      </c>
      <c r="X1654" s="501" t="s">
        <v>2199</v>
      </c>
      <c r="Y1654" s="501" t="s">
        <v>3211</v>
      </c>
      <c r="Z1654" s="501" t="s">
        <v>1588</v>
      </c>
      <c r="AA1654" s="501" t="s">
        <v>1589</v>
      </c>
      <c r="AB1654" s="502" t="s">
        <v>1589</v>
      </c>
    </row>
    <row r="1655" spans="1:28" ht="24" customHeight="1">
      <c r="A1655" s="584"/>
      <c r="B1655" s="460" t="s">
        <v>2201</v>
      </c>
      <c r="C1655" s="458" t="s">
        <v>4694</v>
      </c>
      <c r="D1655" s="510" t="s">
        <v>4695</v>
      </c>
      <c r="E1655" s="498">
        <f t="shared" si="110"/>
        <v>50000</v>
      </c>
      <c r="F1655" s="498">
        <v>0</v>
      </c>
      <c r="G1655" s="498">
        <v>0</v>
      </c>
      <c r="H1655" s="498">
        <v>50000</v>
      </c>
      <c r="I1655" s="498">
        <f t="shared" si="111"/>
        <v>23451</v>
      </c>
      <c r="J1655" s="498">
        <v>0</v>
      </c>
      <c r="K1655" s="498">
        <v>0</v>
      </c>
      <c r="L1655" s="668">
        <v>23451</v>
      </c>
      <c r="M1655" s="956">
        <v>0.96467391304347838</v>
      </c>
      <c r="N1655" s="653">
        <v>1665.021</v>
      </c>
      <c r="O1655" s="715" t="s">
        <v>5429</v>
      </c>
      <c r="P1655" s="501" t="s">
        <v>5429</v>
      </c>
      <c r="Q1655" s="852">
        <v>0</v>
      </c>
      <c r="R1655" s="852">
        <v>0</v>
      </c>
      <c r="S1655" s="852">
        <v>0</v>
      </c>
      <c r="T1655" s="852">
        <v>0</v>
      </c>
      <c r="U1655" s="501" t="s">
        <v>7494</v>
      </c>
      <c r="V1655" s="501" t="s">
        <v>4696</v>
      </c>
      <c r="W1655" s="498">
        <v>47700</v>
      </c>
      <c r="X1655" s="501" t="s">
        <v>2199</v>
      </c>
      <c r="Y1655" s="501" t="s">
        <v>3161</v>
      </c>
      <c r="Z1655" s="501" t="s">
        <v>4697</v>
      </c>
      <c r="AA1655" s="501" t="s">
        <v>1589</v>
      </c>
      <c r="AB1655" s="502" t="s">
        <v>1589</v>
      </c>
    </row>
    <row r="1656" spans="1:28" ht="24" customHeight="1">
      <c r="A1656" s="584"/>
      <c r="B1656" s="460" t="s">
        <v>2201</v>
      </c>
      <c r="C1656" s="458" t="s">
        <v>285</v>
      </c>
      <c r="D1656" s="510" t="s">
        <v>4698</v>
      </c>
      <c r="E1656" s="498">
        <f t="shared" si="110"/>
        <v>9000</v>
      </c>
      <c r="F1656" s="498">
        <v>0</v>
      </c>
      <c r="G1656" s="498">
        <v>0</v>
      </c>
      <c r="H1656" s="498">
        <v>9000</v>
      </c>
      <c r="I1656" s="498">
        <f t="shared" si="111"/>
        <v>5400</v>
      </c>
      <c r="J1656" s="498">
        <v>0</v>
      </c>
      <c r="K1656" s="498">
        <v>0</v>
      </c>
      <c r="L1656" s="668">
        <v>5400</v>
      </c>
      <c r="M1656" s="956">
        <v>0.97811816192560175</v>
      </c>
      <c r="N1656" s="653">
        <v>482.76000000000005</v>
      </c>
      <c r="O1656" s="715" t="s">
        <v>4699</v>
      </c>
      <c r="P1656" s="501" t="s">
        <v>4700</v>
      </c>
      <c r="Q1656" s="852">
        <v>0</v>
      </c>
      <c r="R1656" s="852">
        <v>0</v>
      </c>
      <c r="S1656" s="852">
        <v>0</v>
      </c>
      <c r="T1656" s="852">
        <v>0</v>
      </c>
      <c r="U1656" s="501" t="s">
        <v>7495</v>
      </c>
      <c r="V1656" s="501" t="s">
        <v>4701</v>
      </c>
      <c r="W1656" s="498">
        <v>22208</v>
      </c>
      <c r="X1656" s="501" t="s">
        <v>2199</v>
      </c>
      <c r="Y1656" s="501" t="s">
        <v>3336</v>
      </c>
      <c r="Z1656" s="501" t="s">
        <v>1899</v>
      </c>
      <c r="AA1656" s="501" t="s">
        <v>1589</v>
      </c>
      <c r="AB1656" s="502" t="s">
        <v>1589</v>
      </c>
    </row>
    <row r="1657" spans="1:28" ht="24" customHeight="1">
      <c r="A1657" s="584"/>
      <c r="B1657" s="460" t="s">
        <v>675</v>
      </c>
      <c r="C1657" s="458" t="s">
        <v>4702</v>
      </c>
      <c r="D1657" s="510" t="s">
        <v>4703</v>
      </c>
      <c r="E1657" s="498">
        <f t="shared" si="110"/>
        <v>30</v>
      </c>
      <c r="F1657" s="498">
        <v>0</v>
      </c>
      <c r="G1657" s="498">
        <v>30</v>
      </c>
      <c r="H1657" s="498">
        <v>0</v>
      </c>
      <c r="I1657" s="498">
        <f t="shared" si="111"/>
        <v>30</v>
      </c>
      <c r="J1657" s="498">
        <v>0</v>
      </c>
      <c r="K1657" s="498">
        <v>30</v>
      </c>
      <c r="L1657" s="668">
        <v>0</v>
      </c>
      <c r="M1657" s="956">
        <v>0.97</v>
      </c>
      <c r="N1657" s="653">
        <v>5.2</v>
      </c>
      <c r="O1657" s="715" t="s">
        <v>1408</v>
      </c>
      <c r="P1657" s="501" t="s">
        <v>1588</v>
      </c>
      <c r="Q1657" s="852">
        <v>0</v>
      </c>
      <c r="R1657" s="852">
        <v>0</v>
      </c>
      <c r="S1657" s="852">
        <v>0</v>
      </c>
      <c r="T1657" s="852">
        <v>0</v>
      </c>
      <c r="U1657" s="501" t="s">
        <v>7496</v>
      </c>
      <c r="V1657" s="501" t="s">
        <v>4704</v>
      </c>
      <c r="W1657" s="498">
        <v>192</v>
      </c>
      <c r="X1657" s="501" t="s">
        <v>2199</v>
      </c>
      <c r="Y1657" s="501" t="s">
        <v>1588</v>
      </c>
      <c r="Z1657" s="501" t="s">
        <v>4697</v>
      </c>
      <c r="AA1657" s="501" t="s">
        <v>1589</v>
      </c>
      <c r="AB1657" s="502" t="s">
        <v>1589</v>
      </c>
    </row>
    <row r="1658" spans="1:28" ht="24" customHeight="1">
      <c r="A1658" s="584"/>
      <c r="B1658" s="460" t="s">
        <v>675</v>
      </c>
      <c r="C1658" s="458" t="s">
        <v>4705</v>
      </c>
      <c r="D1658" s="510" t="s">
        <v>4706</v>
      </c>
      <c r="E1658" s="498">
        <f t="shared" si="110"/>
        <v>30</v>
      </c>
      <c r="F1658" s="498">
        <v>0</v>
      </c>
      <c r="G1658" s="498">
        <v>30</v>
      </c>
      <c r="H1658" s="498">
        <v>0</v>
      </c>
      <c r="I1658" s="498">
        <f t="shared" si="111"/>
        <v>30</v>
      </c>
      <c r="J1658" s="498">
        <v>0</v>
      </c>
      <c r="K1658" s="498">
        <v>30</v>
      </c>
      <c r="L1658" s="668">
        <v>0</v>
      </c>
      <c r="M1658" s="968">
        <v>0.96</v>
      </c>
      <c r="N1658" s="653">
        <v>2.1</v>
      </c>
      <c r="O1658" s="715" t="s">
        <v>1408</v>
      </c>
      <c r="P1658" s="501" t="s">
        <v>1588</v>
      </c>
      <c r="Q1658" s="852">
        <v>0</v>
      </c>
      <c r="R1658" s="852">
        <v>0</v>
      </c>
      <c r="S1658" s="852">
        <v>0</v>
      </c>
      <c r="T1658" s="852">
        <v>0</v>
      </c>
      <c r="U1658" s="501" t="s">
        <v>7496</v>
      </c>
      <c r="V1658" s="501" t="s">
        <v>4707</v>
      </c>
      <c r="W1658" s="498">
        <v>218</v>
      </c>
      <c r="X1658" s="501" t="s">
        <v>2199</v>
      </c>
      <c r="Y1658" s="501" t="s">
        <v>1588</v>
      </c>
      <c r="Z1658" s="501" t="s">
        <v>4708</v>
      </c>
      <c r="AA1658" s="501" t="s">
        <v>1589</v>
      </c>
      <c r="AB1658" s="502" t="s">
        <v>1589</v>
      </c>
    </row>
    <row r="1659" spans="1:28" ht="24" customHeight="1">
      <c r="A1659" s="584"/>
      <c r="B1659" s="460" t="s">
        <v>675</v>
      </c>
      <c r="C1659" s="458" t="s">
        <v>4709</v>
      </c>
      <c r="D1659" s="510" t="s">
        <v>4710</v>
      </c>
      <c r="E1659" s="498">
        <f t="shared" si="110"/>
        <v>40</v>
      </c>
      <c r="F1659" s="498">
        <v>0</v>
      </c>
      <c r="G1659" s="498">
        <v>40</v>
      </c>
      <c r="H1659" s="498">
        <v>0</v>
      </c>
      <c r="I1659" s="498">
        <f t="shared" si="111"/>
        <v>34</v>
      </c>
      <c r="J1659" s="498">
        <v>0</v>
      </c>
      <c r="K1659" s="498">
        <v>34</v>
      </c>
      <c r="L1659" s="668">
        <v>0</v>
      </c>
      <c r="M1659" s="956">
        <v>0.99</v>
      </c>
      <c r="N1659" s="653">
        <v>84</v>
      </c>
      <c r="O1659" s="715" t="s">
        <v>3718</v>
      </c>
      <c r="P1659" s="501" t="s">
        <v>1588</v>
      </c>
      <c r="Q1659" s="852">
        <v>0</v>
      </c>
      <c r="R1659" s="852">
        <v>0</v>
      </c>
      <c r="S1659" s="852">
        <v>0</v>
      </c>
      <c r="T1659" s="852">
        <v>0</v>
      </c>
      <c r="U1659" s="501" t="s">
        <v>7496</v>
      </c>
      <c r="V1659" s="501" t="s">
        <v>4711</v>
      </c>
      <c r="W1659" s="498">
        <v>399</v>
      </c>
      <c r="X1659" s="501" t="s">
        <v>2199</v>
      </c>
      <c r="Y1659" s="501" t="s">
        <v>1588</v>
      </c>
      <c r="Z1659" s="501" t="s">
        <v>4708</v>
      </c>
      <c r="AA1659" s="501" t="s">
        <v>1589</v>
      </c>
      <c r="AB1659" s="502" t="s">
        <v>1589</v>
      </c>
    </row>
    <row r="1660" spans="1:28" ht="24" customHeight="1">
      <c r="A1660" s="584"/>
      <c r="B1660" s="460" t="s">
        <v>675</v>
      </c>
      <c r="C1660" s="458" t="s">
        <v>907</v>
      </c>
      <c r="D1660" s="510" t="s">
        <v>4712</v>
      </c>
      <c r="E1660" s="498">
        <f t="shared" si="110"/>
        <v>165</v>
      </c>
      <c r="F1660" s="498">
        <v>0</v>
      </c>
      <c r="G1660" s="498">
        <v>165</v>
      </c>
      <c r="H1660" s="498">
        <v>0</v>
      </c>
      <c r="I1660" s="498">
        <f t="shared" si="111"/>
        <v>165</v>
      </c>
      <c r="J1660" s="498">
        <v>0</v>
      </c>
      <c r="K1660" s="498">
        <v>165</v>
      </c>
      <c r="L1660" s="668">
        <v>0</v>
      </c>
      <c r="M1660" s="956">
        <v>0.98</v>
      </c>
      <c r="N1660" s="653">
        <v>7.4</v>
      </c>
      <c r="O1660" s="715" t="s">
        <v>3742</v>
      </c>
      <c r="P1660" s="501" t="s">
        <v>1588</v>
      </c>
      <c r="Q1660" s="852">
        <v>0</v>
      </c>
      <c r="R1660" s="852">
        <v>0</v>
      </c>
      <c r="S1660" s="852">
        <v>0</v>
      </c>
      <c r="T1660" s="852">
        <v>0</v>
      </c>
      <c r="U1660" s="501" t="s">
        <v>7496</v>
      </c>
      <c r="V1660" s="501" t="s">
        <v>4713</v>
      </c>
      <c r="W1660" s="498">
        <v>378</v>
      </c>
      <c r="X1660" s="501" t="s">
        <v>2199</v>
      </c>
      <c r="Y1660" s="501" t="s">
        <v>1588</v>
      </c>
      <c r="Z1660" s="501" t="s">
        <v>1970</v>
      </c>
      <c r="AA1660" s="501" t="s">
        <v>1589</v>
      </c>
      <c r="AB1660" s="502" t="s">
        <v>1589</v>
      </c>
    </row>
    <row r="1661" spans="1:28" ht="24" customHeight="1">
      <c r="A1661" s="584"/>
      <c r="B1661" s="460" t="s">
        <v>675</v>
      </c>
      <c r="C1661" s="458" t="s">
        <v>4714</v>
      </c>
      <c r="D1661" s="510" t="s">
        <v>4715</v>
      </c>
      <c r="E1661" s="498">
        <f t="shared" si="110"/>
        <v>85</v>
      </c>
      <c r="F1661" s="498">
        <v>0</v>
      </c>
      <c r="G1661" s="498">
        <v>85</v>
      </c>
      <c r="H1661" s="498">
        <v>0</v>
      </c>
      <c r="I1661" s="498">
        <f t="shared" si="111"/>
        <v>40</v>
      </c>
      <c r="J1661" s="498">
        <v>0</v>
      </c>
      <c r="K1661" s="498">
        <v>40</v>
      </c>
      <c r="L1661" s="668">
        <v>0</v>
      </c>
      <c r="M1661" s="956">
        <v>0.98</v>
      </c>
      <c r="N1661" s="653">
        <v>2</v>
      </c>
      <c r="O1661" s="715" t="s">
        <v>5033</v>
      </c>
      <c r="P1661" s="501" t="s">
        <v>1588</v>
      </c>
      <c r="Q1661" s="852">
        <v>0</v>
      </c>
      <c r="R1661" s="852">
        <v>0</v>
      </c>
      <c r="S1661" s="852">
        <v>0</v>
      </c>
      <c r="T1661" s="852">
        <v>0</v>
      </c>
      <c r="U1661" s="501" t="s">
        <v>7496</v>
      </c>
      <c r="V1661" s="501" t="s">
        <v>4716</v>
      </c>
      <c r="W1661" s="498">
        <v>850</v>
      </c>
      <c r="X1661" s="501" t="s">
        <v>2199</v>
      </c>
      <c r="Y1661" s="501" t="s">
        <v>1588</v>
      </c>
      <c r="Z1661" s="501" t="s">
        <v>1899</v>
      </c>
      <c r="AA1661" s="501" t="s">
        <v>1589</v>
      </c>
      <c r="AB1661" s="502" t="s">
        <v>1589</v>
      </c>
    </row>
    <row r="1662" spans="1:28" ht="24" customHeight="1">
      <c r="A1662" s="584"/>
      <c r="B1662" s="460" t="s">
        <v>675</v>
      </c>
      <c r="C1662" s="458" t="s">
        <v>4717</v>
      </c>
      <c r="D1662" s="510" t="s">
        <v>4718</v>
      </c>
      <c r="E1662" s="498">
        <f t="shared" si="110"/>
        <v>45</v>
      </c>
      <c r="F1662" s="498">
        <v>0</v>
      </c>
      <c r="G1662" s="498">
        <v>45</v>
      </c>
      <c r="H1662" s="498">
        <v>0</v>
      </c>
      <c r="I1662" s="498">
        <f t="shared" si="111"/>
        <v>29</v>
      </c>
      <c r="J1662" s="498">
        <v>0</v>
      </c>
      <c r="K1662" s="498">
        <v>29</v>
      </c>
      <c r="L1662" s="668">
        <v>0</v>
      </c>
      <c r="M1662" s="956">
        <v>0.96</v>
      </c>
      <c r="N1662" s="653">
        <v>3.6</v>
      </c>
      <c r="O1662" s="715" t="s">
        <v>3718</v>
      </c>
      <c r="P1662" s="501" t="s">
        <v>1588</v>
      </c>
      <c r="Q1662" s="852">
        <v>0</v>
      </c>
      <c r="R1662" s="852">
        <v>0</v>
      </c>
      <c r="S1662" s="852">
        <v>0</v>
      </c>
      <c r="T1662" s="852">
        <v>0</v>
      </c>
      <c r="U1662" s="501" t="s">
        <v>7496</v>
      </c>
      <c r="V1662" s="501" t="s">
        <v>4719</v>
      </c>
      <c r="W1662" s="498">
        <v>100</v>
      </c>
      <c r="X1662" s="501" t="s">
        <v>2199</v>
      </c>
      <c r="Y1662" s="501" t="s">
        <v>1588</v>
      </c>
      <c r="Z1662" s="501" t="s">
        <v>4708</v>
      </c>
      <c r="AA1662" s="501" t="s">
        <v>1589</v>
      </c>
      <c r="AB1662" s="502" t="s">
        <v>1589</v>
      </c>
    </row>
    <row r="1663" spans="1:28" ht="24" customHeight="1">
      <c r="A1663" s="584"/>
      <c r="B1663" s="460" t="s">
        <v>675</v>
      </c>
      <c r="C1663" s="458" t="s">
        <v>4720</v>
      </c>
      <c r="D1663" s="510" t="s">
        <v>4721</v>
      </c>
      <c r="E1663" s="498">
        <f t="shared" si="110"/>
        <v>30</v>
      </c>
      <c r="F1663" s="498">
        <v>0</v>
      </c>
      <c r="G1663" s="498">
        <v>30</v>
      </c>
      <c r="H1663" s="498">
        <v>0</v>
      </c>
      <c r="I1663" s="498">
        <f t="shared" si="111"/>
        <v>30</v>
      </c>
      <c r="J1663" s="498">
        <v>0</v>
      </c>
      <c r="K1663" s="498">
        <v>30</v>
      </c>
      <c r="L1663" s="668">
        <v>0</v>
      </c>
      <c r="M1663" s="956">
        <v>0.7</v>
      </c>
      <c r="N1663" s="653">
        <v>1.7</v>
      </c>
      <c r="O1663" s="715" t="s">
        <v>1408</v>
      </c>
      <c r="P1663" s="501" t="s">
        <v>1588</v>
      </c>
      <c r="Q1663" s="852">
        <v>0</v>
      </c>
      <c r="R1663" s="852">
        <v>0</v>
      </c>
      <c r="S1663" s="852">
        <v>0</v>
      </c>
      <c r="T1663" s="852">
        <v>0</v>
      </c>
      <c r="U1663" s="501" t="s">
        <v>7496</v>
      </c>
      <c r="V1663" s="501" t="s">
        <v>4722</v>
      </c>
      <c r="W1663" s="498">
        <v>198</v>
      </c>
      <c r="X1663" s="501" t="s">
        <v>2199</v>
      </c>
      <c r="Y1663" s="501" t="s">
        <v>1588</v>
      </c>
      <c r="Z1663" s="501" t="s">
        <v>4697</v>
      </c>
      <c r="AA1663" s="501" t="s">
        <v>1589</v>
      </c>
      <c r="AB1663" s="502" t="s">
        <v>1589</v>
      </c>
    </row>
    <row r="1664" spans="1:28" ht="24" customHeight="1">
      <c r="A1664" s="584"/>
      <c r="B1664" s="460" t="s">
        <v>675</v>
      </c>
      <c r="C1664" s="458" t="s">
        <v>4723</v>
      </c>
      <c r="D1664" s="510" t="s">
        <v>4724</v>
      </c>
      <c r="E1664" s="498">
        <f t="shared" si="110"/>
        <v>80</v>
      </c>
      <c r="F1664" s="498">
        <v>0</v>
      </c>
      <c r="G1664" s="498">
        <v>80</v>
      </c>
      <c r="H1664" s="498">
        <v>0</v>
      </c>
      <c r="I1664" s="498">
        <f t="shared" si="111"/>
        <v>80</v>
      </c>
      <c r="J1664" s="498">
        <v>0</v>
      </c>
      <c r="K1664" s="498">
        <v>80</v>
      </c>
      <c r="L1664" s="668">
        <v>0</v>
      </c>
      <c r="M1664" s="956">
        <v>0.96</v>
      </c>
      <c r="N1664" s="653">
        <v>8</v>
      </c>
      <c r="O1664" s="715" t="s">
        <v>3718</v>
      </c>
      <c r="P1664" s="501" t="s">
        <v>1588</v>
      </c>
      <c r="Q1664" s="852">
        <v>0</v>
      </c>
      <c r="R1664" s="852">
        <v>0</v>
      </c>
      <c r="S1664" s="852">
        <v>0</v>
      </c>
      <c r="T1664" s="852">
        <v>0</v>
      </c>
      <c r="U1664" s="501" t="s">
        <v>7496</v>
      </c>
      <c r="V1664" s="501" t="s">
        <v>4725</v>
      </c>
      <c r="W1664" s="498">
        <v>1008</v>
      </c>
      <c r="X1664" s="501" t="s">
        <v>2199</v>
      </c>
      <c r="Y1664" s="501" t="s">
        <v>1588</v>
      </c>
      <c r="Z1664" s="501" t="s">
        <v>1899</v>
      </c>
      <c r="AA1664" s="501" t="s">
        <v>1589</v>
      </c>
      <c r="AB1664" s="502" t="s">
        <v>1589</v>
      </c>
    </row>
    <row r="1665" spans="1:28" ht="24" customHeight="1">
      <c r="A1665" s="584"/>
      <c r="B1665" s="460" t="s">
        <v>675</v>
      </c>
      <c r="C1665" s="458" t="s">
        <v>4726</v>
      </c>
      <c r="D1665" s="510" t="s">
        <v>4727</v>
      </c>
      <c r="E1665" s="498">
        <f t="shared" si="110"/>
        <v>50</v>
      </c>
      <c r="F1665" s="498">
        <v>0</v>
      </c>
      <c r="G1665" s="498">
        <v>50</v>
      </c>
      <c r="H1665" s="498">
        <v>0</v>
      </c>
      <c r="I1665" s="498">
        <f t="shared" si="111"/>
        <v>62</v>
      </c>
      <c r="J1665" s="498">
        <v>0</v>
      </c>
      <c r="K1665" s="498">
        <v>62</v>
      </c>
      <c r="L1665" s="668">
        <v>0</v>
      </c>
      <c r="M1665" s="956">
        <v>0.98</v>
      </c>
      <c r="N1665" s="653">
        <v>7.9</v>
      </c>
      <c r="O1665" s="715" t="s">
        <v>3274</v>
      </c>
      <c r="P1665" s="501" t="s">
        <v>1588</v>
      </c>
      <c r="Q1665" s="852">
        <v>0</v>
      </c>
      <c r="R1665" s="852">
        <v>0</v>
      </c>
      <c r="S1665" s="852">
        <v>0</v>
      </c>
      <c r="T1665" s="852">
        <v>0</v>
      </c>
      <c r="U1665" s="501" t="s">
        <v>7496</v>
      </c>
      <c r="V1665" s="501" t="s">
        <v>4725</v>
      </c>
      <c r="W1665" s="498">
        <v>729</v>
      </c>
      <c r="X1665" s="501" t="s">
        <v>2199</v>
      </c>
      <c r="Y1665" s="501" t="s">
        <v>1588</v>
      </c>
      <c r="Z1665" s="501" t="s">
        <v>1899</v>
      </c>
      <c r="AA1665" s="501" t="s">
        <v>1589</v>
      </c>
      <c r="AB1665" s="502" t="s">
        <v>1589</v>
      </c>
    </row>
    <row r="1666" spans="1:28" ht="24" customHeight="1">
      <c r="A1666" s="584"/>
      <c r="B1666" s="460" t="s">
        <v>675</v>
      </c>
      <c r="C1666" s="458" t="s">
        <v>4728</v>
      </c>
      <c r="D1666" s="510" t="s">
        <v>4729</v>
      </c>
      <c r="E1666" s="498">
        <f t="shared" si="110"/>
        <v>65</v>
      </c>
      <c r="F1666" s="498">
        <v>0</v>
      </c>
      <c r="G1666" s="498">
        <v>65</v>
      </c>
      <c r="H1666" s="498">
        <v>0</v>
      </c>
      <c r="I1666" s="498">
        <f t="shared" si="111"/>
        <v>25</v>
      </c>
      <c r="J1666" s="498">
        <v>0</v>
      </c>
      <c r="K1666" s="498">
        <v>25</v>
      </c>
      <c r="L1666" s="668">
        <v>0</v>
      </c>
      <c r="M1666" s="956">
        <v>0.98</v>
      </c>
      <c r="N1666" s="653">
        <v>5.7</v>
      </c>
      <c r="O1666" s="715" t="s">
        <v>4730</v>
      </c>
      <c r="P1666" s="501" t="s">
        <v>1588</v>
      </c>
      <c r="Q1666" s="852">
        <v>0</v>
      </c>
      <c r="R1666" s="852">
        <v>0</v>
      </c>
      <c r="S1666" s="852">
        <v>0</v>
      </c>
      <c r="T1666" s="852">
        <v>0</v>
      </c>
      <c r="U1666" s="501" t="s">
        <v>7496</v>
      </c>
      <c r="V1666" s="501" t="s">
        <v>4731</v>
      </c>
      <c r="W1666" s="498">
        <v>777</v>
      </c>
      <c r="X1666" s="501" t="s">
        <v>2199</v>
      </c>
      <c r="Y1666" s="501" t="s">
        <v>1588</v>
      </c>
      <c r="Z1666" s="501" t="s">
        <v>1970</v>
      </c>
      <c r="AA1666" s="501" t="s">
        <v>1589</v>
      </c>
      <c r="AB1666" s="502" t="s">
        <v>1589</v>
      </c>
    </row>
    <row r="1667" spans="1:28" ht="24" customHeight="1">
      <c r="A1667" s="584"/>
      <c r="B1667" s="460" t="s">
        <v>675</v>
      </c>
      <c r="C1667" s="458" t="s">
        <v>4732</v>
      </c>
      <c r="D1667" s="510" t="s">
        <v>4733</v>
      </c>
      <c r="E1667" s="498">
        <f t="shared" si="110"/>
        <v>80</v>
      </c>
      <c r="F1667" s="498">
        <v>0</v>
      </c>
      <c r="G1667" s="498">
        <v>80</v>
      </c>
      <c r="H1667" s="498">
        <v>0</v>
      </c>
      <c r="I1667" s="498">
        <f t="shared" si="111"/>
        <v>49</v>
      </c>
      <c r="J1667" s="498">
        <v>0</v>
      </c>
      <c r="K1667" s="498">
        <v>49</v>
      </c>
      <c r="L1667" s="668">
        <v>0</v>
      </c>
      <c r="M1667" s="956">
        <v>0.92</v>
      </c>
      <c r="N1667" s="653">
        <v>4.3</v>
      </c>
      <c r="O1667" s="715" t="s">
        <v>3718</v>
      </c>
      <c r="P1667" s="501" t="s">
        <v>1588</v>
      </c>
      <c r="Q1667" s="852">
        <v>0</v>
      </c>
      <c r="R1667" s="852">
        <v>0</v>
      </c>
      <c r="S1667" s="852">
        <v>0</v>
      </c>
      <c r="T1667" s="852">
        <v>0</v>
      </c>
      <c r="U1667" s="501" t="s">
        <v>7496</v>
      </c>
      <c r="V1667" s="501" t="s">
        <v>4734</v>
      </c>
      <c r="W1667" s="498">
        <v>783</v>
      </c>
      <c r="X1667" s="501" t="s">
        <v>2199</v>
      </c>
      <c r="Y1667" s="501" t="s">
        <v>1588</v>
      </c>
      <c r="Z1667" s="501" t="s">
        <v>1899</v>
      </c>
      <c r="AA1667" s="501" t="s">
        <v>1589</v>
      </c>
      <c r="AB1667" s="502" t="s">
        <v>1589</v>
      </c>
    </row>
    <row r="1668" spans="1:28" ht="24" customHeight="1">
      <c r="A1668" s="584"/>
      <c r="B1668" s="460" t="s">
        <v>675</v>
      </c>
      <c r="C1668" s="458" t="s">
        <v>4735</v>
      </c>
      <c r="D1668" s="510" t="s">
        <v>4736</v>
      </c>
      <c r="E1668" s="498">
        <f t="shared" si="110"/>
        <v>100</v>
      </c>
      <c r="F1668" s="498">
        <v>0</v>
      </c>
      <c r="G1668" s="498">
        <v>100</v>
      </c>
      <c r="H1668" s="498">
        <v>0</v>
      </c>
      <c r="I1668" s="498">
        <f t="shared" si="111"/>
        <v>60</v>
      </c>
      <c r="J1668" s="498">
        <v>0</v>
      </c>
      <c r="K1668" s="498">
        <v>60</v>
      </c>
      <c r="L1668" s="668">
        <v>0</v>
      </c>
      <c r="M1668" s="956">
        <v>0.97</v>
      </c>
      <c r="N1668" s="653">
        <v>7.4</v>
      </c>
      <c r="O1668" s="715" t="s">
        <v>3718</v>
      </c>
      <c r="P1668" s="501" t="s">
        <v>1588</v>
      </c>
      <c r="Q1668" s="852">
        <v>0</v>
      </c>
      <c r="R1668" s="852">
        <v>0</v>
      </c>
      <c r="S1668" s="852">
        <v>0</v>
      </c>
      <c r="T1668" s="852">
        <v>0</v>
      </c>
      <c r="U1668" s="501" t="s">
        <v>7496</v>
      </c>
      <c r="V1668" s="501" t="s">
        <v>4737</v>
      </c>
      <c r="W1668" s="498">
        <v>1000</v>
      </c>
      <c r="X1668" s="501" t="s">
        <v>2199</v>
      </c>
      <c r="Y1668" s="501" t="s">
        <v>1588</v>
      </c>
      <c r="Z1668" s="501" t="s">
        <v>4738</v>
      </c>
      <c r="AA1668" s="501" t="s">
        <v>1589</v>
      </c>
      <c r="AB1668" s="502" t="s">
        <v>1589</v>
      </c>
    </row>
    <row r="1669" spans="1:28" ht="24" customHeight="1">
      <c r="A1669" s="607" t="s">
        <v>2008</v>
      </c>
      <c r="B1669" s="460" t="s">
        <v>2201</v>
      </c>
      <c r="C1669" s="756" t="s">
        <v>2328</v>
      </c>
      <c r="D1669" s="757" t="s">
        <v>4739</v>
      </c>
      <c r="E1669" s="498">
        <f t="shared" si="110"/>
        <v>40000</v>
      </c>
      <c r="F1669" s="758">
        <v>0</v>
      </c>
      <c r="G1669" s="653">
        <v>40000</v>
      </c>
      <c r="H1669" s="758">
        <v>0</v>
      </c>
      <c r="I1669" s="758">
        <f t="shared" si="111"/>
        <v>48177.769941291583</v>
      </c>
      <c r="J1669" s="758">
        <v>0</v>
      </c>
      <c r="K1669" s="653">
        <v>48177.769941291583</v>
      </c>
      <c r="L1669" s="759">
        <v>0</v>
      </c>
      <c r="M1669" s="956">
        <v>0.96597222222222223</v>
      </c>
      <c r="N1669" s="653">
        <v>6701.5277988336602</v>
      </c>
      <c r="O1669" s="760" t="s">
        <v>623</v>
      </c>
      <c r="P1669" s="567" t="s">
        <v>1588</v>
      </c>
      <c r="Q1669" s="865">
        <v>115.03413698630126</v>
      </c>
      <c r="R1669" s="865">
        <v>0</v>
      </c>
      <c r="S1669" s="865">
        <v>124.23835616438356</v>
      </c>
      <c r="T1669" s="865">
        <v>0</v>
      </c>
      <c r="U1669" s="567" t="s">
        <v>7497</v>
      </c>
      <c r="V1669" s="567" t="s">
        <v>4740</v>
      </c>
      <c r="W1669" s="653">
        <v>53019</v>
      </c>
      <c r="X1669" s="501" t="s">
        <v>2193</v>
      </c>
      <c r="Y1669" s="567" t="s">
        <v>3336</v>
      </c>
      <c r="Z1669" s="567" t="s">
        <v>1607</v>
      </c>
      <c r="AA1669" s="567" t="s">
        <v>1924</v>
      </c>
      <c r="AB1669" s="569" t="s">
        <v>1589</v>
      </c>
    </row>
    <row r="1670" spans="1:28" ht="24" customHeight="1">
      <c r="A1670" s="608"/>
      <c r="B1670" s="460" t="s">
        <v>675</v>
      </c>
      <c r="C1670" s="458" t="s">
        <v>4741</v>
      </c>
      <c r="D1670" s="510" t="s">
        <v>4742</v>
      </c>
      <c r="E1670" s="498">
        <f t="shared" si="110"/>
        <v>25</v>
      </c>
      <c r="F1670" s="498">
        <v>0</v>
      </c>
      <c r="G1670" s="498">
        <v>25</v>
      </c>
      <c r="H1670" s="498">
        <v>0</v>
      </c>
      <c r="I1670" s="498">
        <f t="shared" si="111"/>
        <v>20</v>
      </c>
      <c r="J1670" s="498">
        <v>0</v>
      </c>
      <c r="K1670" s="498">
        <v>20</v>
      </c>
      <c r="L1670" s="668">
        <v>0</v>
      </c>
      <c r="M1670" s="956">
        <v>0.94900000000000007</v>
      </c>
      <c r="N1670" s="653">
        <v>5000</v>
      </c>
      <c r="O1670" s="715" t="s">
        <v>4743</v>
      </c>
      <c r="P1670" s="501" t="s">
        <v>1588</v>
      </c>
      <c r="Q1670" s="852">
        <v>0</v>
      </c>
      <c r="R1670" s="852">
        <v>0</v>
      </c>
      <c r="S1670" s="852">
        <v>0</v>
      </c>
      <c r="T1670" s="852">
        <v>0</v>
      </c>
      <c r="U1670" s="501" t="s">
        <v>7498</v>
      </c>
      <c r="V1670" s="566" t="s">
        <v>4744</v>
      </c>
      <c r="W1670" s="498">
        <v>150</v>
      </c>
      <c r="X1670" s="501" t="s">
        <v>2199</v>
      </c>
      <c r="Y1670" s="501" t="s">
        <v>3161</v>
      </c>
      <c r="Z1670" s="478" t="s">
        <v>4745</v>
      </c>
      <c r="AA1670" s="501" t="s">
        <v>1924</v>
      </c>
      <c r="AB1670" s="570" t="s">
        <v>1589</v>
      </c>
    </row>
    <row r="1671" spans="1:28" ht="24" customHeight="1">
      <c r="A1671" s="608"/>
      <c r="B1671" s="460" t="s">
        <v>675</v>
      </c>
      <c r="C1671" s="458" t="s">
        <v>4746</v>
      </c>
      <c r="D1671" s="510" t="s">
        <v>4747</v>
      </c>
      <c r="E1671" s="498">
        <f t="shared" si="110"/>
        <v>30</v>
      </c>
      <c r="F1671" s="498">
        <v>0</v>
      </c>
      <c r="G1671" s="498">
        <v>30</v>
      </c>
      <c r="H1671" s="498">
        <v>0</v>
      </c>
      <c r="I1671" s="498">
        <f t="shared" si="111"/>
        <v>24</v>
      </c>
      <c r="J1671" s="498">
        <v>0</v>
      </c>
      <c r="K1671" s="498">
        <v>24</v>
      </c>
      <c r="L1671" s="668">
        <v>0</v>
      </c>
      <c r="M1671" s="956">
        <v>0.94900000000000007</v>
      </c>
      <c r="N1671" s="653">
        <v>6000</v>
      </c>
      <c r="O1671" s="715" t="s">
        <v>4743</v>
      </c>
      <c r="P1671" s="501" t="s">
        <v>1588</v>
      </c>
      <c r="Q1671" s="852">
        <v>0</v>
      </c>
      <c r="R1671" s="852">
        <v>0</v>
      </c>
      <c r="S1671" s="852">
        <v>0</v>
      </c>
      <c r="T1671" s="852">
        <v>0</v>
      </c>
      <c r="U1671" s="501" t="s">
        <v>7498</v>
      </c>
      <c r="V1671" s="566" t="s">
        <v>5204</v>
      </c>
      <c r="W1671" s="498">
        <v>180</v>
      </c>
      <c r="X1671" s="501" t="s">
        <v>2199</v>
      </c>
      <c r="Y1671" s="501" t="s">
        <v>3161</v>
      </c>
      <c r="Z1671" s="478" t="s">
        <v>1828</v>
      </c>
      <c r="AA1671" s="501" t="s">
        <v>1924</v>
      </c>
      <c r="AB1671" s="570" t="s">
        <v>1589</v>
      </c>
    </row>
    <row r="1672" spans="1:28" ht="24" customHeight="1">
      <c r="A1672" s="608"/>
      <c r="B1672" s="460" t="s">
        <v>675</v>
      </c>
      <c r="C1672" s="458" t="s">
        <v>4748</v>
      </c>
      <c r="D1672" s="510" t="s">
        <v>4749</v>
      </c>
      <c r="E1672" s="482">
        <f t="shared" si="110"/>
        <v>20</v>
      </c>
      <c r="F1672" s="482">
        <v>0</v>
      </c>
      <c r="G1672" s="482">
        <v>20</v>
      </c>
      <c r="H1672" s="482">
        <v>0</v>
      </c>
      <c r="I1672" s="482">
        <f t="shared" si="111"/>
        <v>16</v>
      </c>
      <c r="J1672" s="482">
        <v>0</v>
      </c>
      <c r="K1672" s="482">
        <v>16</v>
      </c>
      <c r="L1672" s="761">
        <v>0</v>
      </c>
      <c r="M1672" s="963" t="e">
        <v>#VALUE!</v>
      </c>
      <c r="N1672" s="653">
        <v>0</v>
      </c>
      <c r="O1672" s="762" t="s">
        <v>5737</v>
      </c>
      <c r="P1672" s="478" t="s">
        <v>1588</v>
      </c>
      <c r="Q1672" s="853">
        <v>0</v>
      </c>
      <c r="R1672" s="853">
        <v>0</v>
      </c>
      <c r="S1672" s="853">
        <v>0</v>
      </c>
      <c r="T1672" s="853">
        <v>0</v>
      </c>
      <c r="U1672" s="501" t="s">
        <v>7498</v>
      </c>
      <c r="V1672" s="623" t="s">
        <v>4751</v>
      </c>
      <c r="W1672" s="498">
        <v>150</v>
      </c>
      <c r="X1672" s="501" t="s">
        <v>2199</v>
      </c>
      <c r="Y1672" s="501" t="s">
        <v>3161</v>
      </c>
      <c r="Z1672" s="571" t="s">
        <v>4745</v>
      </c>
      <c r="AA1672" s="501" t="s">
        <v>1924</v>
      </c>
      <c r="AB1672" s="570" t="s">
        <v>1589</v>
      </c>
    </row>
    <row r="1673" spans="1:28" ht="24" customHeight="1">
      <c r="A1673" s="608"/>
      <c r="B1673" s="460" t="s">
        <v>675</v>
      </c>
      <c r="C1673" s="458" t="s">
        <v>4752</v>
      </c>
      <c r="D1673" s="510" t="s">
        <v>4753</v>
      </c>
      <c r="E1673" s="482">
        <f t="shared" si="110"/>
        <v>200</v>
      </c>
      <c r="F1673" s="482">
        <v>0</v>
      </c>
      <c r="G1673" s="482">
        <v>200</v>
      </c>
      <c r="H1673" s="482">
        <v>0</v>
      </c>
      <c r="I1673" s="482">
        <f t="shared" si="111"/>
        <v>160</v>
      </c>
      <c r="J1673" s="482">
        <v>0</v>
      </c>
      <c r="K1673" s="482">
        <v>160</v>
      </c>
      <c r="L1673" s="761">
        <v>0</v>
      </c>
      <c r="M1673" s="963">
        <v>0.96799999999999997</v>
      </c>
      <c r="N1673" s="653">
        <v>40000</v>
      </c>
      <c r="O1673" s="762" t="s">
        <v>5224</v>
      </c>
      <c r="P1673" s="478" t="s">
        <v>1588</v>
      </c>
      <c r="Q1673" s="853">
        <v>0</v>
      </c>
      <c r="R1673" s="853">
        <v>0</v>
      </c>
      <c r="S1673" s="853">
        <v>0</v>
      </c>
      <c r="T1673" s="853">
        <v>0</v>
      </c>
      <c r="U1673" s="501" t="s">
        <v>7498</v>
      </c>
      <c r="V1673" s="623" t="s">
        <v>4754</v>
      </c>
      <c r="W1673" s="498">
        <v>235</v>
      </c>
      <c r="X1673" s="501" t="s">
        <v>2199</v>
      </c>
      <c r="Y1673" s="501" t="s">
        <v>3161</v>
      </c>
      <c r="Z1673" s="478" t="s">
        <v>1828</v>
      </c>
      <c r="AA1673" s="501" t="s">
        <v>1924</v>
      </c>
      <c r="AB1673" s="570" t="s">
        <v>1589</v>
      </c>
    </row>
    <row r="1674" spans="1:28" ht="24" customHeight="1">
      <c r="A1674" s="608"/>
      <c r="B1674" s="460" t="s">
        <v>675</v>
      </c>
      <c r="C1674" s="458" t="s">
        <v>4755</v>
      </c>
      <c r="D1674" s="510" t="s">
        <v>4756</v>
      </c>
      <c r="E1674" s="482">
        <f t="shared" si="110"/>
        <v>30</v>
      </c>
      <c r="F1674" s="482">
        <v>0</v>
      </c>
      <c r="G1674" s="482">
        <v>30</v>
      </c>
      <c r="H1674" s="482">
        <v>0</v>
      </c>
      <c r="I1674" s="482">
        <f t="shared" si="111"/>
        <v>24</v>
      </c>
      <c r="J1674" s="482">
        <v>0</v>
      </c>
      <c r="K1674" s="482">
        <v>24</v>
      </c>
      <c r="L1674" s="761">
        <v>0</v>
      </c>
      <c r="M1674" s="963">
        <v>0.82599999999999996</v>
      </c>
      <c r="N1674" s="653">
        <v>6000</v>
      </c>
      <c r="O1674" s="762" t="s">
        <v>1127</v>
      </c>
      <c r="P1674" s="478" t="s">
        <v>1588</v>
      </c>
      <c r="Q1674" s="853">
        <v>0</v>
      </c>
      <c r="R1674" s="853">
        <v>0</v>
      </c>
      <c r="S1674" s="853">
        <v>0</v>
      </c>
      <c r="T1674" s="853">
        <v>0</v>
      </c>
      <c r="U1674" s="501" t="s">
        <v>7498</v>
      </c>
      <c r="V1674" s="624" t="s">
        <v>4757</v>
      </c>
      <c r="W1674" s="498">
        <v>180</v>
      </c>
      <c r="X1674" s="501" t="s">
        <v>2199</v>
      </c>
      <c r="Y1674" s="501" t="s">
        <v>3161</v>
      </c>
      <c r="Z1674" s="478" t="s">
        <v>4758</v>
      </c>
      <c r="AA1674" s="501" t="s">
        <v>1924</v>
      </c>
      <c r="AB1674" s="570" t="s">
        <v>1589</v>
      </c>
    </row>
    <row r="1675" spans="1:28" ht="24" customHeight="1">
      <c r="A1675" s="608"/>
      <c r="B1675" s="460" t="s">
        <v>675</v>
      </c>
      <c r="C1675" s="458" t="s">
        <v>4759</v>
      </c>
      <c r="D1675" s="510" t="s">
        <v>4756</v>
      </c>
      <c r="E1675" s="482">
        <f t="shared" si="110"/>
        <v>30</v>
      </c>
      <c r="F1675" s="482">
        <v>0</v>
      </c>
      <c r="G1675" s="482">
        <v>30</v>
      </c>
      <c r="H1675" s="482">
        <v>0</v>
      </c>
      <c r="I1675" s="482">
        <f t="shared" si="111"/>
        <v>24</v>
      </c>
      <c r="J1675" s="482">
        <v>0</v>
      </c>
      <c r="K1675" s="482">
        <v>24</v>
      </c>
      <c r="L1675" s="761">
        <v>0</v>
      </c>
      <c r="M1675" s="963">
        <v>0.97400000000000009</v>
      </c>
      <c r="N1675" s="653">
        <v>6000</v>
      </c>
      <c r="O1675" s="762" t="s">
        <v>5224</v>
      </c>
      <c r="P1675" s="478" t="s">
        <v>1588</v>
      </c>
      <c r="Q1675" s="853">
        <v>0</v>
      </c>
      <c r="R1675" s="853">
        <v>0</v>
      </c>
      <c r="S1675" s="853">
        <v>0</v>
      </c>
      <c r="T1675" s="853">
        <v>0</v>
      </c>
      <c r="U1675" s="501" t="s">
        <v>7498</v>
      </c>
      <c r="V1675" s="623" t="s">
        <v>4760</v>
      </c>
      <c r="W1675" s="498">
        <v>180</v>
      </c>
      <c r="X1675" s="501" t="s">
        <v>2199</v>
      </c>
      <c r="Y1675" s="501" t="s">
        <v>3161</v>
      </c>
      <c r="Z1675" s="478" t="s">
        <v>4758</v>
      </c>
      <c r="AA1675" s="501" t="s">
        <v>1924</v>
      </c>
      <c r="AB1675" s="570" t="s">
        <v>1589</v>
      </c>
    </row>
    <row r="1676" spans="1:28" ht="24" customHeight="1">
      <c r="A1676" s="608"/>
      <c r="B1676" s="460" t="s">
        <v>675</v>
      </c>
      <c r="C1676" s="458" t="s">
        <v>4761</v>
      </c>
      <c r="D1676" s="510" t="s">
        <v>4762</v>
      </c>
      <c r="E1676" s="482">
        <f t="shared" si="110"/>
        <v>30</v>
      </c>
      <c r="F1676" s="482">
        <v>0</v>
      </c>
      <c r="G1676" s="482">
        <v>30</v>
      </c>
      <c r="H1676" s="482">
        <v>0</v>
      </c>
      <c r="I1676" s="482">
        <f t="shared" si="111"/>
        <v>24</v>
      </c>
      <c r="J1676" s="482">
        <v>0</v>
      </c>
      <c r="K1676" s="482">
        <v>24</v>
      </c>
      <c r="L1676" s="761">
        <v>0</v>
      </c>
      <c r="M1676" s="963">
        <v>0.85199999999999998</v>
      </c>
      <c r="N1676" s="653">
        <v>6000</v>
      </c>
      <c r="O1676" s="762" t="s">
        <v>4763</v>
      </c>
      <c r="P1676" s="478" t="s">
        <v>1588</v>
      </c>
      <c r="Q1676" s="853">
        <v>0</v>
      </c>
      <c r="R1676" s="853">
        <v>0</v>
      </c>
      <c r="S1676" s="853">
        <v>0</v>
      </c>
      <c r="T1676" s="853">
        <v>0</v>
      </c>
      <c r="U1676" s="501" t="s">
        <v>7498</v>
      </c>
      <c r="V1676" s="623" t="s">
        <v>4764</v>
      </c>
      <c r="W1676" s="498">
        <v>219</v>
      </c>
      <c r="X1676" s="501" t="s">
        <v>2199</v>
      </c>
      <c r="Y1676" s="501" t="s">
        <v>3161</v>
      </c>
      <c r="Z1676" s="478" t="s">
        <v>1924</v>
      </c>
      <c r="AA1676" s="501" t="s">
        <v>1924</v>
      </c>
      <c r="AB1676" s="570" t="s">
        <v>1589</v>
      </c>
    </row>
    <row r="1677" spans="1:28" ht="24" customHeight="1">
      <c r="A1677" s="584"/>
      <c r="B1677" s="460" t="s">
        <v>675</v>
      </c>
      <c r="C1677" s="458" t="s">
        <v>4765</v>
      </c>
      <c r="D1677" s="510" t="s">
        <v>4766</v>
      </c>
      <c r="E1677" s="498">
        <f t="shared" si="110"/>
        <v>50</v>
      </c>
      <c r="F1677" s="498">
        <v>0</v>
      </c>
      <c r="G1677" s="498">
        <v>0</v>
      </c>
      <c r="H1677" s="498">
        <v>50</v>
      </c>
      <c r="I1677" s="498">
        <f t="shared" si="111"/>
        <v>40</v>
      </c>
      <c r="J1677" s="498">
        <v>0</v>
      </c>
      <c r="K1677" s="498">
        <v>0</v>
      </c>
      <c r="L1677" s="668">
        <v>40</v>
      </c>
      <c r="M1677" s="956">
        <v>0.93500000000000005</v>
      </c>
      <c r="N1677" s="653">
        <v>4010</v>
      </c>
      <c r="O1677" s="715" t="s">
        <v>3176</v>
      </c>
      <c r="P1677" s="501" t="s">
        <v>3274</v>
      </c>
      <c r="Q1677" s="852">
        <v>0</v>
      </c>
      <c r="R1677" s="852">
        <v>0</v>
      </c>
      <c r="S1677" s="852">
        <v>0</v>
      </c>
      <c r="T1677" s="853">
        <v>0</v>
      </c>
      <c r="U1677" s="501" t="s">
        <v>7498</v>
      </c>
      <c r="V1677" s="566" t="s">
        <v>4764</v>
      </c>
      <c r="W1677" s="498">
        <v>219</v>
      </c>
      <c r="X1677" s="501" t="s">
        <v>2199</v>
      </c>
      <c r="Y1677" s="501" t="s">
        <v>3161</v>
      </c>
      <c r="Z1677" s="478" t="s">
        <v>4745</v>
      </c>
      <c r="AA1677" s="501" t="s">
        <v>1924</v>
      </c>
      <c r="AB1677" s="570" t="s">
        <v>1589</v>
      </c>
    </row>
    <row r="1678" spans="1:28" ht="24" customHeight="1">
      <c r="A1678" s="584"/>
      <c r="B1678" s="460" t="s">
        <v>675</v>
      </c>
      <c r="C1678" s="458" t="s">
        <v>4767</v>
      </c>
      <c r="D1678" s="510" t="s">
        <v>4749</v>
      </c>
      <c r="E1678" s="498">
        <f t="shared" si="110"/>
        <v>50</v>
      </c>
      <c r="F1678" s="498">
        <v>0</v>
      </c>
      <c r="G1678" s="498">
        <v>0</v>
      </c>
      <c r="H1678" s="498">
        <v>50</v>
      </c>
      <c r="I1678" s="498">
        <f t="shared" si="111"/>
        <v>40</v>
      </c>
      <c r="J1678" s="498">
        <v>0</v>
      </c>
      <c r="K1678" s="498">
        <v>0</v>
      </c>
      <c r="L1678" s="668">
        <v>40</v>
      </c>
      <c r="M1678" s="956">
        <v>0.65400000000000003</v>
      </c>
      <c r="N1678" s="653">
        <v>7500</v>
      </c>
      <c r="O1678" s="715" t="s">
        <v>4768</v>
      </c>
      <c r="P1678" s="501" t="s">
        <v>4769</v>
      </c>
      <c r="Q1678" s="852">
        <v>0</v>
      </c>
      <c r="R1678" s="852">
        <v>0</v>
      </c>
      <c r="S1678" s="852">
        <v>0</v>
      </c>
      <c r="T1678" s="853">
        <v>0</v>
      </c>
      <c r="U1678" s="501" t="s">
        <v>7498</v>
      </c>
      <c r="V1678" s="566" t="s">
        <v>4764</v>
      </c>
      <c r="W1678" s="498">
        <v>212</v>
      </c>
      <c r="X1678" s="501" t="s">
        <v>2199</v>
      </c>
      <c r="Y1678" s="501" t="s">
        <v>3161</v>
      </c>
      <c r="Z1678" s="478" t="s">
        <v>4745</v>
      </c>
      <c r="AA1678" s="501" t="s">
        <v>1924</v>
      </c>
      <c r="AB1678" s="570" t="s">
        <v>1589</v>
      </c>
    </row>
    <row r="1679" spans="1:28" ht="24" customHeight="1">
      <c r="A1679" s="584"/>
      <c r="B1679" s="460" t="s">
        <v>675</v>
      </c>
      <c r="C1679" s="458" t="s">
        <v>4770</v>
      </c>
      <c r="D1679" s="510" t="s">
        <v>4771</v>
      </c>
      <c r="E1679" s="498">
        <f t="shared" si="110"/>
        <v>35</v>
      </c>
      <c r="F1679" s="498">
        <v>0</v>
      </c>
      <c r="G1679" s="498">
        <v>0</v>
      </c>
      <c r="H1679" s="498">
        <v>35</v>
      </c>
      <c r="I1679" s="498">
        <f t="shared" si="111"/>
        <v>28</v>
      </c>
      <c r="J1679" s="498">
        <v>0</v>
      </c>
      <c r="K1679" s="498">
        <v>0</v>
      </c>
      <c r="L1679" s="668">
        <v>28</v>
      </c>
      <c r="M1679" s="956">
        <v>0.9890000000000001</v>
      </c>
      <c r="N1679" s="653">
        <v>4010</v>
      </c>
      <c r="O1679" s="715" t="s">
        <v>3176</v>
      </c>
      <c r="P1679" s="501" t="s">
        <v>3274</v>
      </c>
      <c r="Q1679" s="852">
        <v>0</v>
      </c>
      <c r="R1679" s="852">
        <v>0</v>
      </c>
      <c r="S1679" s="852">
        <v>0</v>
      </c>
      <c r="T1679" s="853">
        <v>0</v>
      </c>
      <c r="U1679" s="501" t="s">
        <v>7498</v>
      </c>
      <c r="V1679" s="566" t="s">
        <v>4772</v>
      </c>
      <c r="W1679" s="498">
        <v>89</v>
      </c>
      <c r="X1679" s="501" t="s">
        <v>2199</v>
      </c>
      <c r="Y1679" s="501" t="s">
        <v>3161</v>
      </c>
      <c r="Z1679" s="478" t="s">
        <v>4745</v>
      </c>
      <c r="AA1679" s="501" t="s">
        <v>1924</v>
      </c>
      <c r="AB1679" s="570" t="s">
        <v>1589</v>
      </c>
    </row>
    <row r="1680" spans="1:28" ht="24" customHeight="1">
      <c r="A1680" s="584"/>
      <c r="B1680" s="460" t="s">
        <v>675</v>
      </c>
      <c r="C1680" s="458" t="s">
        <v>4773</v>
      </c>
      <c r="D1680" s="510" t="s">
        <v>4753</v>
      </c>
      <c r="E1680" s="498">
        <f t="shared" si="110"/>
        <v>55</v>
      </c>
      <c r="F1680" s="498">
        <v>0</v>
      </c>
      <c r="G1680" s="498">
        <v>0</v>
      </c>
      <c r="H1680" s="498">
        <v>55</v>
      </c>
      <c r="I1680" s="498">
        <f t="shared" si="111"/>
        <v>44</v>
      </c>
      <c r="J1680" s="498">
        <v>0</v>
      </c>
      <c r="K1680" s="498">
        <v>0</v>
      </c>
      <c r="L1680" s="668">
        <v>44</v>
      </c>
      <c r="M1680" s="956">
        <v>0.92</v>
      </c>
      <c r="N1680" s="653">
        <v>8250</v>
      </c>
      <c r="O1680" s="715" t="s">
        <v>4768</v>
      </c>
      <c r="P1680" s="501" t="s">
        <v>4769</v>
      </c>
      <c r="Q1680" s="852">
        <v>0</v>
      </c>
      <c r="R1680" s="852">
        <v>0</v>
      </c>
      <c r="S1680" s="852">
        <v>0</v>
      </c>
      <c r="T1680" s="853">
        <v>0</v>
      </c>
      <c r="U1680" s="501" t="s">
        <v>7498</v>
      </c>
      <c r="V1680" s="566" t="s">
        <v>4774</v>
      </c>
      <c r="W1680" s="498">
        <v>218</v>
      </c>
      <c r="X1680" s="501" t="s">
        <v>2199</v>
      </c>
      <c r="Y1680" s="501" t="s">
        <v>3161</v>
      </c>
      <c r="Z1680" s="478" t="s">
        <v>1828</v>
      </c>
      <c r="AA1680" s="501" t="s">
        <v>1924</v>
      </c>
      <c r="AB1680" s="570" t="s">
        <v>1589</v>
      </c>
    </row>
    <row r="1681" spans="1:28" ht="24" customHeight="1">
      <c r="A1681" s="584"/>
      <c r="B1681" s="460" t="s">
        <v>675</v>
      </c>
      <c r="C1681" s="458" t="s">
        <v>4775</v>
      </c>
      <c r="D1681" s="510" t="s">
        <v>4776</v>
      </c>
      <c r="E1681" s="498">
        <f t="shared" si="110"/>
        <v>65</v>
      </c>
      <c r="F1681" s="498">
        <v>0</v>
      </c>
      <c r="G1681" s="498">
        <v>0</v>
      </c>
      <c r="H1681" s="498">
        <v>65</v>
      </c>
      <c r="I1681" s="498">
        <f t="shared" si="111"/>
        <v>52</v>
      </c>
      <c r="J1681" s="498">
        <v>0</v>
      </c>
      <c r="K1681" s="498">
        <v>0</v>
      </c>
      <c r="L1681" s="668">
        <v>52</v>
      </c>
      <c r="M1681" s="956">
        <v>0.94099999999999995</v>
      </c>
      <c r="N1681" s="653">
        <v>4010</v>
      </c>
      <c r="O1681" s="715" t="s">
        <v>3176</v>
      </c>
      <c r="P1681" s="501" t="s">
        <v>3274</v>
      </c>
      <c r="Q1681" s="852">
        <v>0</v>
      </c>
      <c r="R1681" s="852">
        <v>0</v>
      </c>
      <c r="S1681" s="852">
        <v>0</v>
      </c>
      <c r="T1681" s="853">
        <v>0</v>
      </c>
      <c r="U1681" s="501" t="s">
        <v>7498</v>
      </c>
      <c r="V1681" s="566" t="s">
        <v>4777</v>
      </c>
      <c r="W1681" s="498">
        <v>280</v>
      </c>
      <c r="X1681" s="501" t="s">
        <v>2199</v>
      </c>
      <c r="Y1681" s="501" t="s">
        <v>3161</v>
      </c>
      <c r="Z1681" s="478" t="s">
        <v>4778</v>
      </c>
      <c r="AA1681" s="501" t="s">
        <v>1924</v>
      </c>
      <c r="AB1681" s="570" t="s">
        <v>1589</v>
      </c>
    </row>
    <row r="1682" spans="1:28" ht="24" customHeight="1">
      <c r="A1682" s="584"/>
      <c r="B1682" s="460" t="s">
        <v>675</v>
      </c>
      <c r="C1682" s="458" t="s">
        <v>4779</v>
      </c>
      <c r="D1682" s="510" t="s">
        <v>4780</v>
      </c>
      <c r="E1682" s="498">
        <f t="shared" si="110"/>
        <v>55</v>
      </c>
      <c r="F1682" s="498">
        <v>0</v>
      </c>
      <c r="G1682" s="498">
        <v>0</v>
      </c>
      <c r="H1682" s="498">
        <v>55</v>
      </c>
      <c r="I1682" s="498">
        <f t="shared" si="111"/>
        <v>44</v>
      </c>
      <c r="J1682" s="498">
        <v>0</v>
      </c>
      <c r="K1682" s="498">
        <v>0</v>
      </c>
      <c r="L1682" s="668">
        <v>44</v>
      </c>
      <c r="M1682" s="956">
        <v>0.79599999999999993</v>
      </c>
      <c r="N1682" s="653">
        <v>4810</v>
      </c>
      <c r="O1682" s="715" t="s">
        <v>4781</v>
      </c>
      <c r="P1682" s="501" t="s">
        <v>3718</v>
      </c>
      <c r="Q1682" s="852">
        <v>0</v>
      </c>
      <c r="R1682" s="852">
        <v>0</v>
      </c>
      <c r="S1682" s="852">
        <v>0</v>
      </c>
      <c r="T1682" s="853">
        <v>0</v>
      </c>
      <c r="U1682" s="501" t="s">
        <v>7498</v>
      </c>
      <c r="V1682" s="566" t="s">
        <v>4782</v>
      </c>
      <c r="W1682" s="498">
        <v>280</v>
      </c>
      <c r="X1682" s="501" t="s">
        <v>2199</v>
      </c>
      <c r="Y1682" s="501" t="s">
        <v>3161</v>
      </c>
      <c r="Z1682" s="478" t="s">
        <v>1859</v>
      </c>
      <c r="AA1682" s="501" t="s">
        <v>1924</v>
      </c>
      <c r="AB1682" s="570" t="s">
        <v>1589</v>
      </c>
    </row>
    <row r="1683" spans="1:28" ht="24" customHeight="1">
      <c r="A1683" s="584"/>
      <c r="B1683" s="460" t="s">
        <v>675</v>
      </c>
      <c r="C1683" s="458" t="s">
        <v>2425</v>
      </c>
      <c r="D1683" s="510" t="s">
        <v>4783</v>
      </c>
      <c r="E1683" s="498">
        <f t="shared" si="110"/>
        <v>65</v>
      </c>
      <c r="F1683" s="498">
        <v>0</v>
      </c>
      <c r="G1683" s="498">
        <v>0</v>
      </c>
      <c r="H1683" s="498">
        <v>65</v>
      </c>
      <c r="I1683" s="498">
        <f t="shared" si="111"/>
        <v>52</v>
      </c>
      <c r="J1683" s="498">
        <v>0</v>
      </c>
      <c r="K1683" s="498">
        <v>0</v>
      </c>
      <c r="L1683" s="668">
        <v>52</v>
      </c>
      <c r="M1683" s="956">
        <v>0.94</v>
      </c>
      <c r="N1683" s="653">
        <v>4050</v>
      </c>
      <c r="O1683" s="715" t="s">
        <v>4784</v>
      </c>
      <c r="P1683" s="501" t="s">
        <v>1588</v>
      </c>
      <c r="Q1683" s="852">
        <v>0</v>
      </c>
      <c r="R1683" s="852">
        <v>0</v>
      </c>
      <c r="S1683" s="852">
        <v>0</v>
      </c>
      <c r="T1683" s="852">
        <v>0</v>
      </c>
      <c r="U1683" s="501" t="s">
        <v>7498</v>
      </c>
      <c r="V1683" s="501" t="s">
        <v>4785</v>
      </c>
      <c r="W1683" s="498">
        <v>400</v>
      </c>
      <c r="X1683" s="501" t="s">
        <v>2193</v>
      </c>
      <c r="Y1683" s="501" t="s">
        <v>3161</v>
      </c>
      <c r="Z1683" s="478" t="s">
        <v>1924</v>
      </c>
      <c r="AA1683" s="501" t="s">
        <v>1924</v>
      </c>
      <c r="AB1683" s="570" t="s">
        <v>1589</v>
      </c>
    </row>
    <row r="1684" spans="1:28" ht="24" customHeight="1">
      <c r="A1684" s="582" t="s">
        <v>1901</v>
      </c>
      <c r="B1684" s="460" t="s">
        <v>2201</v>
      </c>
      <c r="C1684" s="458" t="s">
        <v>2329</v>
      </c>
      <c r="D1684" s="510" t="s">
        <v>4786</v>
      </c>
      <c r="E1684" s="498">
        <f>F1684+G1684+H1684</f>
        <v>25000</v>
      </c>
      <c r="F1684" s="498">
        <v>0</v>
      </c>
      <c r="G1684" s="498">
        <v>25000</v>
      </c>
      <c r="H1684" s="498">
        <v>0</v>
      </c>
      <c r="I1684" s="498">
        <f>J1684+K1684+L1684</f>
        <v>27287</v>
      </c>
      <c r="J1684" s="498">
        <v>0</v>
      </c>
      <c r="K1684" s="653">
        <v>27287</v>
      </c>
      <c r="L1684" s="668">
        <v>0</v>
      </c>
      <c r="M1684" s="956">
        <v>0.863442389758179</v>
      </c>
      <c r="N1684" s="653">
        <v>1656.3208999999995</v>
      </c>
      <c r="O1684" s="715" t="s">
        <v>1535</v>
      </c>
      <c r="P1684" s="501" t="s">
        <v>1588</v>
      </c>
      <c r="Q1684" s="852">
        <v>56.6</v>
      </c>
      <c r="R1684" s="852">
        <v>0</v>
      </c>
      <c r="S1684" s="852">
        <v>0</v>
      </c>
      <c r="T1684" s="852">
        <v>0</v>
      </c>
      <c r="U1684" s="501" t="s">
        <v>4787</v>
      </c>
      <c r="V1684" s="625" t="s">
        <v>4788</v>
      </c>
      <c r="W1684" s="653">
        <v>17661</v>
      </c>
      <c r="X1684" s="501" t="s">
        <v>2193</v>
      </c>
      <c r="Y1684" s="501" t="s">
        <v>3336</v>
      </c>
      <c r="Z1684" s="501" t="s">
        <v>286</v>
      </c>
      <c r="AA1684" s="501" t="s">
        <v>1704</v>
      </c>
      <c r="AB1684" s="502" t="s">
        <v>1589</v>
      </c>
    </row>
    <row r="1685" spans="1:28" ht="24" customHeight="1">
      <c r="A1685" s="584"/>
      <c r="B1685" s="460" t="s">
        <v>2201</v>
      </c>
      <c r="C1685" s="458" t="s">
        <v>286</v>
      </c>
      <c r="D1685" s="510" t="s">
        <v>4789</v>
      </c>
      <c r="E1685" s="498">
        <f>F1685+G1685+H1685</f>
        <v>10000</v>
      </c>
      <c r="F1685" s="498">
        <v>0</v>
      </c>
      <c r="G1685" s="498">
        <v>10000</v>
      </c>
      <c r="H1685" s="498">
        <v>0</v>
      </c>
      <c r="I1685" s="498">
        <f>J1685+K1685+L1685</f>
        <v>3414</v>
      </c>
      <c r="J1685" s="498">
        <v>0</v>
      </c>
      <c r="K1685" s="498">
        <v>3414</v>
      </c>
      <c r="L1685" s="668">
        <v>0</v>
      </c>
      <c r="M1685" s="956">
        <v>0.949438202247191</v>
      </c>
      <c r="N1685" s="653">
        <v>346.17960000000005</v>
      </c>
      <c r="O1685" s="715" t="s">
        <v>1535</v>
      </c>
      <c r="P1685" s="501" t="s">
        <v>1588</v>
      </c>
      <c r="Q1685" s="852">
        <v>0</v>
      </c>
      <c r="R1685" s="852">
        <v>0</v>
      </c>
      <c r="S1685" s="852" t="s">
        <v>1704</v>
      </c>
      <c r="T1685" s="852" t="s">
        <v>1704</v>
      </c>
      <c r="U1685" s="501" t="s">
        <v>4790</v>
      </c>
      <c r="V1685" s="625" t="s">
        <v>4791</v>
      </c>
      <c r="W1685" s="653">
        <v>25004</v>
      </c>
      <c r="X1685" s="501" t="s">
        <v>2193</v>
      </c>
      <c r="Y1685" s="501" t="s">
        <v>3232</v>
      </c>
      <c r="Z1685" s="501" t="s">
        <v>286</v>
      </c>
      <c r="AA1685" s="501" t="s">
        <v>1704</v>
      </c>
      <c r="AB1685" s="502" t="s">
        <v>1589</v>
      </c>
    </row>
    <row r="1686" spans="1:28" ht="24" customHeight="1">
      <c r="A1686" s="584"/>
      <c r="B1686" s="460" t="s">
        <v>675</v>
      </c>
      <c r="C1686" s="458" t="s">
        <v>1970</v>
      </c>
      <c r="D1686" s="510" t="s">
        <v>4792</v>
      </c>
      <c r="E1686" s="498">
        <f>F1686+G1686+H1686</f>
        <v>40</v>
      </c>
      <c r="F1686" s="498">
        <v>0</v>
      </c>
      <c r="G1686" s="498">
        <v>40</v>
      </c>
      <c r="H1686" s="498">
        <v>0</v>
      </c>
      <c r="I1686" s="498">
        <f>J1686+K1686+L1686</f>
        <v>28</v>
      </c>
      <c r="J1686" s="498">
        <v>0</v>
      </c>
      <c r="K1686" s="498">
        <v>28</v>
      </c>
      <c r="L1686" s="668">
        <v>0</v>
      </c>
      <c r="M1686" s="956">
        <v>0.7</v>
      </c>
      <c r="N1686" s="653">
        <v>0</v>
      </c>
      <c r="O1686" s="715" t="s">
        <v>4793</v>
      </c>
      <c r="P1686" s="501" t="s">
        <v>1588</v>
      </c>
      <c r="Q1686" s="852">
        <v>0</v>
      </c>
      <c r="R1686" s="852">
        <v>0</v>
      </c>
      <c r="S1686" s="852">
        <v>0</v>
      </c>
      <c r="T1686" s="852">
        <v>0</v>
      </c>
      <c r="U1686" s="501" t="s">
        <v>4787</v>
      </c>
      <c r="V1686" s="625" t="s">
        <v>4794</v>
      </c>
      <c r="W1686" s="498">
        <v>148</v>
      </c>
      <c r="X1686" s="501" t="s">
        <v>2193</v>
      </c>
      <c r="Y1686" s="501" t="s">
        <v>1064</v>
      </c>
      <c r="Z1686" s="501" t="s">
        <v>4795</v>
      </c>
      <c r="AA1686" s="501" t="s">
        <v>1786</v>
      </c>
      <c r="AB1686" s="502" t="s">
        <v>1589</v>
      </c>
    </row>
    <row r="1687" spans="1:28" ht="24" customHeight="1">
      <c r="A1687" s="584"/>
      <c r="B1687" s="460" t="s">
        <v>675</v>
      </c>
      <c r="C1687" s="458" t="s">
        <v>4796</v>
      </c>
      <c r="D1687" s="510" t="s">
        <v>4797</v>
      </c>
      <c r="E1687" s="498">
        <f>F1687+G1687+H1687</f>
        <v>70</v>
      </c>
      <c r="F1687" s="498">
        <v>0</v>
      </c>
      <c r="G1687" s="498">
        <v>70</v>
      </c>
      <c r="H1687" s="498">
        <v>0</v>
      </c>
      <c r="I1687" s="498">
        <f>J1687+K1687+L1687</f>
        <v>49</v>
      </c>
      <c r="J1687" s="498">
        <v>0</v>
      </c>
      <c r="K1687" s="498">
        <v>49</v>
      </c>
      <c r="L1687" s="668">
        <v>0</v>
      </c>
      <c r="M1687" s="956">
        <v>0.7</v>
      </c>
      <c r="N1687" s="653">
        <v>0</v>
      </c>
      <c r="O1687" s="715" t="s">
        <v>4798</v>
      </c>
      <c r="P1687" s="501" t="s">
        <v>1588</v>
      </c>
      <c r="Q1687" s="852">
        <v>0</v>
      </c>
      <c r="R1687" s="852">
        <v>0</v>
      </c>
      <c r="S1687" s="852">
        <v>0</v>
      </c>
      <c r="T1687" s="852">
        <v>0</v>
      </c>
      <c r="U1687" s="501" t="s">
        <v>4799</v>
      </c>
      <c r="V1687" s="625" t="s">
        <v>4800</v>
      </c>
      <c r="W1687" s="498">
        <v>310</v>
      </c>
      <c r="X1687" s="501" t="s">
        <v>2193</v>
      </c>
      <c r="Y1687" s="501" t="s">
        <v>3232</v>
      </c>
      <c r="Z1687" s="501" t="s">
        <v>4795</v>
      </c>
      <c r="AA1687" s="501" t="s">
        <v>1786</v>
      </c>
      <c r="AB1687" s="502" t="s">
        <v>1589</v>
      </c>
    </row>
    <row r="1688" spans="1:28" ht="24" customHeight="1">
      <c r="A1688" s="582" t="s">
        <v>1902</v>
      </c>
      <c r="B1688" s="460" t="s">
        <v>2201</v>
      </c>
      <c r="C1688" s="458" t="s">
        <v>2167</v>
      </c>
      <c r="D1688" s="510" t="s">
        <v>4801</v>
      </c>
      <c r="E1688" s="498">
        <f t="shared" ref="E1688:E1697" si="112">F1688+G1688+H1688</f>
        <v>26000</v>
      </c>
      <c r="F1688" s="498">
        <v>0</v>
      </c>
      <c r="G1688" s="498">
        <v>26000</v>
      </c>
      <c r="H1688" s="498">
        <v>0</v>
      </c>
      <c r="I1688" s="498">
        <f t="shared" ref="I1688:I1697" si="113">J1688+K1688+L1688</f>
        <v>23869</v>
      </c>
      <c r="J1688" s="498">
        <v>0</v>
      </c>
      <c r="K1688" s="498">
        <v>23869</v>
      </c>
      <c r="L1688" s="668">
        <v>0</v>
      </c>
      <c r="M1688" s="956">
        <v>0.94747474747474747</v>
      </c>
      <c r="N1688" s="653">
        <v>1119.4561000000001</v>
      </c>
      <c r="O1688" s="715" t="s">
        <v>2330</v>
      </c>
      <c r="P1688" s="501" t="s">
        <v>1588</v>
      </c>
      <c r="Q1688" s="852">
        <v>58.3</v>
      </c>
      <c r="R1688" s="852">
        <v>0</v>
      </c>
      <c r="S1688" s="852">
        <v>18.600000000000001</v>
      </c>
      <c r="T1688" s="852">
        <v>0</v>
      </c>
      <c r="U1688" s="501" t="s">
        <v>2456</v>
      </c>
      <c r="V1688" s="501" t="s">
        <v>4802</v>
      </c>
      <c r="W1688" s="498">
        <v>30700</v>
      </c>
      <c r="X1688" s="501" t="s">
        <v>2199</v>
      </c>
      <c r="Y1688" s="501" t="s">
        <v>3232</v>
      </c>
      <c r="Z1688" s="501" t="s">
        <v>1903</v>
      </c>
      <c r="AA1688" s="501" t="s">
        <v>1589</v>
      </c>
      <c r="AB1688" s="502" t="s">
        <v>1589</v>
      </c>
    </row>
    <row r="1689" spans="1:28" ht="24" customHeight="1">
      <c r="A1689" s="584"/>
      <c r="B1689" s="460" t="s">
        <v>675</v>
      </c>
      <c r="C1689" s="458" t="s">
        <v>4803</v>
      </c>
      <c r="D1689" s="510" t="s">
        <v>4804</v>
      </c>
      <c r="E1689" s="498">
        <f t="shared" si="112"/>
        <v>40</v>
      </c>
      <c r="F1689" s="498">
        <v>0</v>
      </c>
      <c r="G1689" s="498">
        <v>40</v>
      </c>
      <c r="H1689" s="498">
        <v>0</v>
      </c>
      <c r="I1689" s="498">
        <f t="shared" si="113"/>
        <v>40</v>
      </c>
      <c r="J1689" s="498">
        <v>0</v>
      </c>
      <c r="K1689" s="498">
        <v>40</v>
      </c>
      <c r="L1689" s="668">
        <v>0</v>
      </c>
      <c r="M1689" s="956">
        <v>0.9</v>
      </c>
      <c r="N1689" s="653">
        <v>1.7</v>
      </c>
      <c r="O1689" s="763" t="s">
        <v>4805</v>
      </c>
      <c r="P1689" s="501" t="s">
        <v>1588</v>
      </c>
      <c r="Q1689" s="852">
        <v>0</v>
      </c>
      <c r="R1689" s="852">
        <v>0</v>
      </c>
      <c r="S1689" s="852">
        <v>0</v>
      </c>
      <c r="T1689" s="852">
        <v>0</v>
      </c>
      <c r="U1689" s="501" t="s">
        <v>2456</v>
      </c>
      <c r="V1689" s="501" t="s">
        <v>4806</v>
      </c>
      <c r="W1689" s="498">
        <v>345</v>
      </c>
      <c r="X1689" s="501" t="s">
        <v>2199</v>
      </c>
      <c r="Y1689" s="566" t="s">
        <v>1588</v>
      </c>
      <c r="Z1689" s="501" t="s">
        <v>1589</v>
      </c>
      <c r="AA1689" s="501" t="s">
        <v>1589</v>
      </c>
      <c r="AB1689" s="502" t="s">
        <v>1589</v>
      </c>
    </row>
    <row r="1690" spans="1:28" ht="24" customHeight="1">
      <c r="A1690" s="584"/>
      <c r="B1690" s="460" t="s">
        <v>675</v>
      </c>
      <c r="C1690" s="458" t="s">
        <v>4807</v>
      </c>
      <c r="D1690" s="510" t="s">
        <v>4808</v>
      </c>
      <c r="E1690" s="498">
        <f t="shared" si="112"/>
        <v>25</v>
      </c>
      <c r="F1690" s="498">
        <v>0</v>
      </c>
      <c r="G1690" s="498">
        <v>25</v>
      </c>
      <c r="H1690" s="498">
        <v>0</v>
      </c>
      <c r="I1690" s="498">
        <f t="shared" si="113"/>
        <v>25</v>
      </c>
      <c r="J1690" s="498">
        <v>0</v>
      </c>
      <c r="K1690" s="498">
        <v>25</v>
      </c>
      <c r="L1690" s="668">
        <v>0</v>
      </c>
      <c r="M1690" s="956">
        <v>0.9</v>
      </c>
      <c r="N1690" s="653">
        <v>1.6</v>
      </c>
      <c r="O1690" s="763" t="s">
        <v>4805</v>
      </c>
      <c r="P1690" s="501" t="s">
        <v>1588</v>
      </c>
      <c r="Q1690" s="852">
        <v>0</v>
      </c>
      <c r="R1690" s="852">
        <v>0</v>
      </c>
      <c r="S1690" s="852">
        <v>0</v>
      </c>
      <c r="T1690" s="852">
        <v>0</v>
      </c>
      <c r="U1690" s="501" t="s">
        <v>2456</v>
      </c>
      <c r="V1690" s="501" t="s">
        <v>4806</v>
      </c>
      <c r="W1690" s="498">
        <v>291</v>
      </c>
      <c r="X1690" s="501" t="s">
        <v>2199</v>
      </c>
      <c r="Y1690" s="566" t="s">
        <v>1588</v>
      </c>
      <c r="Z1690" s="501" t="s">
        <v>1904</v>
      </c>
      <c r="AA1690" s="501" t="s">
        <v>1589</v>
      </c>
      <c r="AB1690" s="502" t="s">
        <v>1589</v>
      </c>
    </row>
    <row r="1691" spans="1:28" ht="24" customHeight="1">
      <c r="A1691" s="584"/>
      <c r="B1691" s="460" t="s">
        <v>675</v>
      </c>
      <c r="C1691" s="458" t="s">
        <v>4809</v>
      </c>
      <c r="D1691" s="510" t="s">
        <v>4810</v>
      </c>
      <c r="E1691" s="498">
        <f t="shared" si="112"/>
        <v>20</v>
      </c>
      <c r="F1691" s="498">
        <v>0</v>
      </c>
      <c r="G1691" s="498">
        <v>20</v>
      </c>
      <c r="H1691" s="498">
        <v>0</v>
      </c>
      <c r="I1691" s="498">
        <f t="shared" si="113"/>
        <v>20</v>
      </c>
      <c r="J1691" s="498">
        <v>0</v>
      </c>
      <c r="K1691" s="498">
        <v>20</v>
      </c>
      <c r="L1691" s="668">
        <v>0</v>
      </c>
      <c r="M1691" s="956">
        <v>0.9</v>
      </c>
      <c r="N1691" s="653">
        <v>1.4</v>
      </c>
      <c r="O1691" s="763" t="s">
        <v>4805</v>
      </c>
      <c r="P1691" s="501" t="s">
        <v>1588</v>
      </c>
      <c r="Q1691" s="852">
        <v>0</v>
      </c>
      <c r="R1691" s="852">
        <v>0</v>
      </c>
      <c r="S1691" s="852">
        <v>0</v>
      </c>
      <c r="T1691" s="852">
        <v>0</v>
      </c>
      <c r="U1691" s="501" t="s">
        <v>2456</v>
      </c>
      <c r="V1691" s="501" t="s">
        <v>4806</v>
      </c>
      <c r="W1691" s="498">
        <v>170</v>
      </c>
      <c r="X1691" s="501" t="s">
        <v>2199</v>
      </c>
      <c r="Y1691" s="566" t="s">
        <v>1588</v>
      </c>
      <c r="Z1691" s="478" t="s">
        <v>4811</v>
      </c>
      <c r="AA1691" s="501" t="s">
        <v>1592</v>
      </c>
      <c r="AB1691" s="502" t="s">
        <v>1592</v>
      </c>
    </row>
    <row r="1692" spans="1:28" ht="24" customHeight="1">
      <c r="A1692" s="584"/>
      <c r="B1692" s="460" t="s">
        <v>675</v>
      </c>
      <c r="C1692" s="458" t="s">
        <v>4812</v>
      </c>
      <c r="D1692" s="510" t="s">
        <v>4813</v>
      </c>
      <c r="E1692" s="498">
        <f t="shared" si="112"/>
        <v>25</v>
      </c>
      <c r="F1692" s="498">
        <v>0</v>
      </c>
      <c r="G1692" s="498">
        <v>25</v>
      </c>
      <c r="H1692" s="498">
        <v>0</v>
      </c>
      <c r="I1692" s="498">
        <f t="shared" si="113"/>
        <v>25</v>
      </c>
      <c r="J1692" s="498">
        <v>0</v>
      </c>
      <c r="K1692" s="498">
        <v>25</v>
      </c>
      <c r="L1692" s="668">
        <v>0</v>
      </c>
      <c r="M1692" s="956">
        <v>0.9</v>
      </c>
      <c r="N1692" s="653">
        <v>1.2</v>
      </c>
      <c r="O1692" s="763" t="s">
        <v>4805</v>
      </c>
      <c r="P1692" s="501" t="s">
        <v>1588</v>
      </c>
      <c r="Q1692" s="852">
        <v>0</v>
      </c>
      <c r="R1692" s="852">
        <v>0</v>
      </c>
      <c r="S1692" s="852">
        <v>0</v>
      </c>
      <c r="T1692" s="852">
        <v>0</v>
      </c>
      <c r="U1692" s="501" t="s">
        <v>2456</v>
      </c>
      <c r="V1692" s="501" t="s">
        <v>4806</v>
      </c>
      <c r="W1692" s="498">
        <v>227</v>
      </c>
      <c r="X1692" s="501" t="s">
        <v>2199</v>
      </c>
      <c r="Y1692" s="501" t="s">
        <v>3232</v>
      </c>
      <c r="Z1692" s="501" t="s">
        <v>4814</v>
      </c>
      <c r="AA1692" s="501" t="s">
        <v>1589</v>
      </c>
      <c r="AB1692" s="502" t="s">
        <v>1589</v>
      </c>
    </row>
    <row r="1693" spans="1:28" ht="24" customHeight="1">
      <c r="A1693" s="584"/>
      <c r="B1693" s="460" t="s">
        <v>675</v>
      </c>
      <c r="C1693" s="458" t="s">
        <v>4815</v>
      </c>
      <c r="D1693" s="510" t="s">
        <v>4816</v>
      </c>
      <c r="E1693" s="498">
        <f t="shared" si="112"/>
        <v>40</v>
      </c>
      <c r="F1693" s="498">
        <v>0</v>
      </c>
      <c r="G1693" s="498">
        <v>40</v>
      </c>
      <c r="H1693" s="498">
        <v>0</v>
      </c>
      <c r="I1693" s="498">
        <f t="shared" si="113"/>
        <v>40</v>
      </c>
      <c r="J1693" s="498">
        <v>0</v>
      </c>
      <c r="K1693" s="498">
        <v>40</v>
      </c>
      <c r="L1693" s="668">
        <v>0</v>
      </c>
      <c r="M1693" s="956">
        <v>0.9</v>
      </c>
      <c r="N1693" s="653">
        <v>3.5</v>
      </c>
      <c r="O1693" s="763" t="s">
        <v>4805</v>
      </c>
      <c r="P1693" s="501" t="s">
        <v>1588</v>
      </c>
      <c r="Q1693" s="852">
        <v>0</v>
      </c>
      <c r="R1693" s="852">
        <v>0</v>
      </c>
      <c r="S1693" s="852">
        <v>0</v>
      </c>
      <c r="T1693" s="852">
        <v>0</v>
      </c>
      <c r="U1693" s="501" t="s">
        <v>2456</v>
      </c>
      <c r="V1693" s="501" t="s">
        <v>4806</v>
      </c>
      <c r="W1693" s="498">
        <v>300</v>
      </c>
      <c r="X1693" s="501" t="s">
        <v>2199</v>
      </c>
      <c r="Y1693" s="566" t="s">
        <v>1588</v>
      </c>
      <c r="Z1693" s="501" t="s">
        <v>1906</v>
      </c>
      <c r="AA1693" s="501" t="s">
        <v>1589</v>
      </c>
      <c r="AB1693" s="502" t="s">
        <v>1589</v>
      </c>
    </row>
    <row r="1694" spans="1:28" ht="24" customHeight="1">
      <c r="A1694" s="584"/>
      <c r="B1694" s="460" t="s">
        <v>675</v>
      </c>
      <c r="C1694" s="458" t="s">
        <v>1224</v>
      </c>
      <c r="D1694" s="510" t="s">
        <v>4817</v>
      </c>
      <c r="E1694" s="498">
        <f t="shared" si="112"/>
        <v>20</v>
      </c>
      <c r="F1694" s="498">
        <v>0</v>
      </c>
      <c r="G1694" s="498">
        <v>20</v>
      </c>
      <c r="H1694" s="498">
        <v>0</v>
      </c>
      <c r="I1694" s="498">
        <f t="shared" si="113"/>
        <v>20</v>
      </c>
      <c r="J1694" s="498">
        <v>0</v>
      </c>
      <c r="K1694" s="498">
        <v>20</v>
      </c>
      <c r="L1694" s="668">
        <v>0</v>
      </c>
      <c r="M1694" s="956">
        <v>0.9</v>
      </c>
      <c r="N1694" s="653">
        <v>1.5</v>
      </c>
      <c r="O1694" s="763" t="s">
        <v>4805</v>
      </c>
      <c r="P1694" s="501" t="s">
        <v>1588</v>
      </c>
      <c r="Q1694" s="852">
        <v>0</v>
      </c>
      <c r="R1694" s="852">
        <v>0</v>
      </c>
      <c r="S1694" s="852">
        <v>0</v>
      </c>
      <c r="T1694" s="852">
        <v>0</v>
      </c>
      <c r="U1694" s="501" t="s">
        <v>2456</v>
      </c>
      <c r="V1694" s="501" t="s">
        <v>4806</v>
      </c>
      <c r="W1694" s="498">
        <v>269</v>
      </c>
      <c r="X1694" s="501" t="s">
        <v>2199</v>
      </c>
      <c r="Y1694" s="501" t="s">
        <v>3232</v>
      </c>
      <c r="Z1694" s="501" t="s">
        <v>1906</v>
      </c>
      <c r="AA1694" s="501" t="s">
        <v>1589</v>
      </c>
      <c r="AB1694" s="502" t="s">
        <v>1589</v>
      </c>
    </row>
    <row r="1695" spans="1:28" ht="24" customHeight="1">
      <c r="A1695" s="584"/>
      <c r="B1695" s="460" t="s">
        <v>675</v>
      </c>
      <c r="C1695" s="458" t="s">
        <v>4818</v>
      </c>
      <c r="D1695" s="510" t="s">
        <v>4819</v>
      </c>
      <c r="E1695" s="498">
        <f t="shared" si="112"/>
        <v>57</v>
      </c>
      <c r="F1695" s="498">
        <v>0</v>
      </c>
      <c r="G1695" s="498">
        <v>57</v>
      </c>
      <c r="H1695" s="498">
        <v>0</v>
      </c>
      <c r="I1695" s="498">
        <f t="shared" si="113"/>
        <v>57</v>
      </c>
      <c r="J1695" s="498">
        <v>0</v>
      </c>
      <c r="K1695" s="498">
        <v>57</v>
      </c>
      <c r="L1695" s="668">
        <v>0</v>
      </c>
      <c r="M1695" s="956">
        <v>0.9</v>
      </c>
      <c r="N1695" s="653">
        <v>3.1</v>
      </c>
      <c r="O1695" s="715" t="s">
        <v>4820</v>
      </c>
      <c r="P1695" s="501" t="s">
        <v>1588</v>
      </c>
      <c r="Q1695" s="852">
        <v>0</v>
      </c>
      <c r="R1695" s="852">
        <v>0</v>
      </c>
      <c r="S1695" s="852">
        <v>0</v>
      </c>
      <c r="T1695" s="852">
        <v>0</v>
      </c>
      <c r="U1695" s="501" t="s">
        <v>2456</v>
      </c>
      <c r="V1695" s="501" t="s">
        <v>4806</v>
      </c>
      <c r="W1695" s="498">
        <v>360</v>
      </c>
      <c r="X1695" s="501" t="s">
        <v>2199</v>
      </c>
      <c r="Y1695" s="566" t="s">
        <v>1588</v>
      </c>
      <c r="Z1695" s="501" t="s">
        <v>4821</v>
      </c>
      <c r="AA1695" s="501" t="s">
        <v>1589</v>
      </c>
      <c r="AB1695" s="502" t="s">
        <v>1589</v>
      </c>
    </row>
    <row r="1696" spans="1:28" ht="24" customHeight="1">
      <c r="A1696" s="584"/>
      <c r="B1696" s="460" t="s">
        <v>675</v>
      </c>
      <c r="C1696" s="458" t="s">
        <v>4822</v>
      </c>
      <c r="D1696" s="510" t="s">
        <v>4823</v>
      </c>
      <c r="E1696" s="498">
        <f t="shared" si="112"/>
        <v>120</v>
      </c>
      <c r="F1696" s="498">
        <v>0</v>
      </c>
      <c r="G1696" s="498">
        <v>120</v>
      </c>
      <c r="H1696" s="498">
        <v>0</v>
      </c>
      <c r="I1696" s="498">
        <f t="shared" si="113"/>
        <v>120</v>
      </c>
      <c r="J1696" s="498">
        <v>0</v>
      </c>
      <c r="K1696" s="498">
        <v>120</v>
      </c>
      <c r="L1696" s="668">
        <v>0</v>
      </c>
      <c r="M1696" s="956">
        <v>0.9</v>
      </c>
      <c r="N1696" s="653">
        <v>5.0999999999999996</v>
      </c>
      <c r="O1696" s="715" t="s">
        <v>4820</v>
      </c>
      <c r="P1696" s="501" t="s">
        <v>1588</v>
      </c>
      <c r="Q1696" s="852">
        <v>0</v>
      </c>
      <c r="R1696" s="852">
        <v>0</v>
      </c>
      <c r="S1696" s="852">
        <v>0</v>
      </c>
      <c r="T1696" s="852">
        <v>0</v>
      </c>
      <c r="U1696" s="501" t="s">
        <v>2456</v>
      </c>
      <c r="V1696" s="501" t="s">
        <v>7702</v>
      </c>
      <c r="W1696" s="498">
        <v>581</v>
      </c>
      <c r="X1696" s="501" t="s">
        <v>2199</v>
      </c>
      <c r="Y1696" s="566" t="s">
        <v>1588</v>
      </c>
      <c r="Z1696" s="501" t="s">
        <v>1903</v>
      </c>
      <c r="AA1696" s="501" t="s">
        <v>1589</v>
      </c>
      <c r="AB1696" s="502" t="s">
        <v>1589</v>
      </c>
    </row>
    <row r="1697" spans="1:28" ht="24" customHeight="1">
      <c r="A1697" s="584"/>
      <c r="B1697" s="460" t="s">
        <v>675</v>
      </c>
      <c r="C1697" s="458" t="s">
        <v>7703</v>
      </c>
      <c r="D1697" s="510" t="s">
        <v>7704</v>
      </c>
      <c r="E1697" s="498">
        <f t="shared" si="112"/>
        <v>46</v>
      </c>
      <c r="F1697" s="498">
        <v>0</v>
      </c>
      <c r="G1697" s="498">
        <v>46</v>
      </c>
      <c r="H1697" s="498">
        <v>0</v>
      </c>
      <c r="I1697" s="498">
        <f t="shared" si="113"/>
        <v>46</v>
      </c>
      <c r="J1697" s="498">
        <v>0</v>
      </c>
      <c r="K1697" s="498">
        <v>46</v>
      </c>
      <c r="L1697" s="668">
        <v>0</v>
      </c>
      <c r="M1697" s="956">
        <v>0.9</v>
      </c>
      <c r="N1697" s="653">
        <v>2.1</v>
      </c>
      <c r="O1697" s="715" t="s">
        <v>4820</v>
      </c>
      <c r="P1697" s="501" t="s">
        <v>1588</v>
      </c>
      <c r="Q1697" s="852">
        <v>0</v>
      </c>
      <c r="R1697" s="852">
        <v>0</v>
      </c>
      <c r="S1697" s="852">
        <v>0</v>
      </c>
      <c r="T1697" s="852">
        <v>0</v>
      </c>
      <c r="U1697" s="501" t="s">
        <v>2456</v>
      </c>
      <c r="V1697" s="501" t="s">
        <v>7705</v>
      </c>
      <c r="W1697" s="498">
        <v>461</v>
      </c>
      <c r="X1697" s="501" t="s">
        <v>2199</v>
      </c>
      <c r="Y1697" s="566" t="s">
        <v>1588</v>
      </c>
      <c r="Z1697" s="501" t="s">
        <v>1905</v>
      </c>
      <c r="AA1697" s="501" t="s">
        <v>1589</v>
      </c>
      <c r="AB1697" s="502" t="s">
        <v>1589</v>
      </c>
    </row>
    <row r="1698" spans="1:28" ht="24" customHeight="1">
      <c r="A1698" s="582" t="s">
        <v>2009</v>
      </c>
      <c r="B1698" s="460" t="s">
        <v>2201</v>
      </c>
      <c r="C1698" s="458" t="s">
        <v>2332</v>
      </c>
      <c r="D1698" s="510" t="s">
        <v>7706</v>
      </c>
      <c r="E1698" s="498">
        <f>F1698+G1698+H1698</f>
        <v>30000</v>
      </c>
      <c r="F1698" s="498">
        <v>0</v>
      </c>
      <c r="G1698" s="498">
        <v>0</v>
      </c>
      <c r="H1698" s="498">
        <v>30000</v>
      </c>
      <c r="I1698" s="498">
        <f>J1698+K1698+L1698</f>
        <v>32180</v>
      </c>
      <c r="J1698" s="498">
        <v>0</v>
      </c>
      <c r="K1698" s="498">
        <v>0</v>
      </c>
      <c r="L1698" s="668">
        <v>32180</v>
      </c>
      <c r="M1698" s="956">
        <v>0.97148288973384034</v>
      </c>
      <c r="N1698" s="653">
        <v>4933.1940000000004</v>
      </c>
      <c r="O1698" s="715" t="s">
        <v>7707</v>
      </c>
      <c r="P1698" s="501" t="s">
        <v>1588</v>
      </c>
      <c r="Q1698" s="852">
        <v>63</v>
      </c>
      <c r="R1698" s="852">
        <v>0</v>
      </c>
      <c r="S1698" s="852">
        <v>1.5</v>
      </c>
      <c r="T1698" s="852" t="s">
        <v>1704</v>
      </c>
      <c r="U1698" s="501" t="s">
        <v>7708</v>
      </c>
      <c r="V1698" s="566" t="s">
        <v>7709</v>
      </c>
      <c r="W1698" s="498">
        <v>43451</v>
      </c>
      <c r="X1698" s="501" t="s">
        <v>2193</v>
      </c>
      <c r="Y1698" s="501" t="s">
        <v>3161</v>
      </c>
      <c r="Z1698" s="501" t="s">
        <v>1887</v>
      </c>
      <c r="AA1698" s="501" t="s">
        <v>1704</v>
      </c>
      <c r="AB1698" s="502" t="s">
        <v>1589</v>
      </c>
    </row>
    <row r="1699" spans="1:28" ht="24" customHeight="1">
      <c r="A1699" s="584"/>
      <c r="B1699" s="460" t="s">
        <v>2201</v>
      </c>
      <c r="C1699" s="458" t="s">
        <v>287</v>
      </c>
      <c r="D1699" s="510" t="s">
        <v>7710</v>
      </c>
      <c r="E1699" s="498">
        <f>SUM(F1699:H1699)</f>
        <v>8000</v>
      </c>
      <c r="F1699" s="498">
        <v>0</v>
      </c>
      <c r="G1699" s="498">
        <v>0</v>
      </c>
      <c r="H1699" s="653">
        <v>8000</v>
      </c>
      <c r="I1699" s="498">
        <v>3640</v>
      </c>
      <c r="J1699" s="498">
        <v>0</v>
      </c>
      <c r="K1699" s="498">
        <v>0</v>
      </c>
      <c r="L1699" s="668">
        <v>3640</v>
      </c>
      <c r="M1699" s="956">
        <v>0.963882618510158</v>
      </c>
      <c r="N1699" s="653">
        <v>310.85599999999999</v>
      </c>
      <c r="O1699" s="715" t="s">
        <v>3347</v>
      </c>
      <c r="P1699" s="501" t="s">
        <v>1588</v>
      </c>
      <c r="Q1699" s="852">
        <v>0</v>
      </c>
      <c r="R1699" s="852">
        <v>0</v>
      </c>
      <c r="S1699" s="852">
        <v>0</v>
      </c>
      <c r="T1699" s="852">
        <v>0</v>
      </c>
      <c r="U1699" s="501" t="s">
        <v>7711</v>
      </c>
      <c r="V1699" s="501" t="s">
        <v>2156</v>
      </c>
      <c r="W1699" s="498">
        <v>27001</v>
      </c>
      <c r="X1699" s="501" t="s">
        <v>2193</v>
      </c>
      <c r="Y1699" s="501" t="s">
        <v>3161</v>
      </c>
      <c r="Z1699" s="501" t="s">
        <v>1887</v>
      </c>
      <c r="AA1699" s="501"/>
      <c r="AB1699" s="502" t="s">
        <v>1589</v>
      </c>
    </row>
    <row r="1700" spans="1:28" ht="24" customHeight="1">
      <c r="A1700" s="584"/>
      <c r="B1700" s="460" t="s">
        <v>2201</v>
      </c>
      <c r="C1700" s="458" t="s">
        <v>288</v>
      </c>
      <c r="D1700" s="510" t="s">
        <v>7712</v>
      </c>
      <c r="E1700" s="498">
        <f>SUM(F1700:H1700)</f>
        <v>2000</v>
      </c>
      <c r="F1700" s="498">
        <v>0</v>
      </c>
      <c r="G1700" s="498">
        <v>0</v>
      </c>
      <c r="H1700" s="653">
        <v>2000</v>
      </c>
      <c r="I1700" s="498">
        <v>372</v>
      </c>
      <c r="J1700" s="498">
        <v>0</v>
      </c>
      <c r="K1700" s="498">
        <v>0</v>
      </c>
      <c r="L1700" s="668">
        <v>372</v>
      </c>
      <c r="M1700" s="956">
        <v>0.97678571428571437</v>
      </c>
      <c r="N1700" s="653">
        <v>20.348400000000002</v>
      </c>
      <c r="O1700" s="715" t="s">
        <v>7713</v>
      </c>
      <c r="P1700" s="501" t="s">
        <v>1588</v>
      </c>
      <c r="Q1700" s="852">
        <v>0</v>
      </c>
      <c r="R1700" s="852">
        <v>0</v>
      </c>
      <c r="S1700" s="852">
        <v>0</v>
      </c>
      <c r="T1700" s="852">
        <v>0</v>
      </c>
      <c r="U1700" s="501" t="s">
        <v>7714</v>
      </c>
      <c r="V1700" s="501" t="s">
        <v>7715</v>
      </c>
      <c r="W1700" s="498">
        <v>17356</v>
      </c>
      <c r="X1700" s="501" t="s">
        <v>2199</v>
      </c>
      <c r="Y1700" s="501" t="s">
        <v>3161</v>
      </c>
      <c r="Z1700" s="501" t="s">
        <v>1887</v>
      </c>
      <c r="AA1700" s="501"/>
      <c r="AB1700" s="502" t="s">
        <v>1589</v>
      </c>
    </row>
    <row r="1701" spans="1:28" ht="24" customHeight="1">
      <c r="A1701" s="584"/>
      <c r="B1701" s="460" t="s">
        <v>675</v>
      </c>
      <c r="C1701" s="458" t="s">
        <v>7716</v>
      </c>
      <c r="D1701" s="510" t="s">
        <v>7717</v>
      </c>
      <c r="E1701" s="498">
        <f t="shared" ref="E1701:E1729" si="114">SUM(F1701:H1701)</f>
        <v>50</v>
      </c>
      <c r="F1701" s="498">
        <v>0</v>
      </c>
      <c r="G1701" s="498">
        <v>50</v>
      </c>
      <c r="H1701" s="498">
        <v>0</v>
      </c>
      <c r="I1701" s="498">
        <v>0</v>
      </c>
      <c r="J1701" s="498">
        <v>0</v>
      </c>
      <c r="K1701" s="498">
        <v>0</v>
      </c>
      <c r="L1701" s="668">
        <v>0</v>
      </c>
      <c r="M1701" s="956">
        <v>0</v>
      </c>
      <c r="N1701" s="653">
        <v>0</v>
      </c>
      <c r="O1701" s="715" t="s">
        <v>7718</v>
      </c>
      <c r="P1701" s="501" t="s">
        <v>1588</v>
      </c>
      <c r="Q1701" s="852">
        <v>0</v>
      </c>
      <c r="R1701" s="852">
        <v>0</v>
      </c>
      <c r="S1701" s="852">
        <v>0</v>
      </c>
      <c r="T1701" s="852">
        <v>0</v>
      </c>
      <c r="U1701" s="501" t="s">
        <v>7708</v>
      </c>
      <c r="V1701" s="501" t="s">
        <v>7719</v>
      </c>
      <c r="W1701" s="498">
        <v>110</v>
      </c>
      <c r="X1701" s="501" t="s">
        <v>2193</v>
      </c>
      <c r="Y1701" s="501" t="s">
        <v>3232</v>
      </c>
      <c r="Z1701" s="501" t="s">
        <v>1887</v>
      </c>
      <c r="AA1701" s="501"/>
      <c r="AB1701" s="502" t="s">
        <v>1589</v>
      </c>
    </row>
    <row r="1702" spans="1:28" ht="24" customHeight="1">
      <c r="A1702" s="584"/>
      <c r="B1702" s="460" t="s">
        <v>675</v>
      </c>
      <c r="C1702" s="458" t="s">
        <v>7720</v>
      </c>
      <c r="D1702" s="510" t="s">
        <v>7721</v>
      </c>
      <c r="E1702" s="498">
        <f t="shared" si="114"/>
        <v>30</v>
      </c>
      <c r="F1702" s="498">
        <v>0</v>
      </c>
      <c r="G1702" s="498">
        <v>30</v>
      </c>
      <c r="H1702" s="498">
        <v>0</v>
      </c>
      <c r="I1702" s="498">
        <v>0</v>
      </c>
      <c r="J1702" s="498">
        <v>0</v>
      </c>
      <c r="K1702" s="498">
        <v>0</v>
      </c>
      <c r="L1702" s="668">
        <v>0</v>
      </c>
      <c r="M1702" s="956">
        <v>0</v>
      </c>
      <c r="N1702" s="653">
        <v>0</v>
      </c>
      <c r="O1702" s="715" t="s">
        <v>7718</v>
      </c>
      <c r="P1702" s="501" t="s">
        <v>1588</v>
      </c>
      <c r="Q1702" s="852">
        <v>0</v>
      </c>
      <c r="R1702" s="852">
        <v>0</v>
      </c>
      <c r="S1702" s="852">
        <v>0</v>
      </c>
      <c r="T1702" s="852">
        <v>0</v>
      </c>
      <c r="U1702" s="501" t="s">
        <v>7708</v>
      </c>
      <c r="V1702" s="501" t="s">
        <v>7722</v>
      </c>
      <c r="W1702" s="498">
        <v>89</v>
      </c>
      <c r="X1702" s="501" t="s">
        <v>2193</v>
      </c>
      <c r="Y1702" s="501" t="s">
        <v>3232</v>
      </c>
      <c r="Z1702" s="501" t="s">
        <v>1887</v>
      </c>
      <c r="AA1702" s="501"/>
      <c r="AB1702" s="502" t="s">
        <v>1589</v>
      </c>
    </row>
    <row r="1703" spans="1:28" ht="24" customHeight="1">
      <c r="A1703" s="584"/>
      <c r="B1703" s="460" t="s">
        <v>675</v>
      </c>
      <c r="C1703" s="458" t="s">
        <v>7723</v>
      </c>
      <c r="D1703" s="510" t="s">
        <v>7724</v>
      </c>
      <c r="E1703" s="498">
        <f t="shared" si="114"/>
        <v>50</v>
      </c>
      <c r="F1703" s="498">
        <v>0</v>
      </c>
      <c r="G1703" s="498">
        <v>50</v>
      </c>
      <c r="H1703" s="498">
        <v>0</v>
      </c>
      <c r="I1703" s="498">
        <v>0</v>
      </c>
      <c r="J1703" s="498">
        <v>0</v>
      </c>
      <c r="K1703" s="498">
        <v>0</v>
      </c>
      <c r="L1703" s="668">
        <v>0</v>
      </c>
      <c r="M1703" s="956">
        <v>0</v>
      </c>
      <c r="N1703" s="653">
        <v>0</v>
      </c>
      <c r="O1703" s="715" t="s">
        <v>7725</v>
      </c>
      <c r="P1703" s="501" t="s">
        <v>1588</v>
      </c>
      <c r="Q1703" s="852">
        <v>0</v>
      </c>
      <c r="R1703" s="852">
        <v>0</v>
      </c>
      <c r="S1703" s="852">
        <v>0</v>
      </c>
      <c r="T1703" s="852">
        <v>0</v>
      </c>
      <c r="U1703" s="501" t="s">
        <v>7708</v>
      </c>
      <c r="V1703" s="501" t="s">
        <v>7726</v>
      </c>
      <c r="W1703" s="498">
        <v>197</v>
      </c>
      <c r="X1703" s="501" t="s">
        <v>2193</v>
      </c>
      <c r="Y1703" s="501" t="s">
        <v>3232</v>
      </c>
      <c r="Z1703" s="501" t="s">
        <v>1887</v>
      </c>
      <c r="AA1703" s="501"/>
      <c r="AB1703" s="502" t="s">
        <v>1589</v>
      </c>
    </row>
    <row r="1704" spans="1:28" ht="24" customHeight="1">
      <c r="A1704" s="584"/>
      <c r="B1704" s="460" t="s">
        <v>675</v>
      </c>
      <c r="C1704" s="458" t="s">
        <v>7727</v>
      </c>
      <c r="D1704" s="510" t="s">
        <v>7728</v>
      </c>
      <c r="E1704" s="498">
        <f t="shared" si="114"/>
        <v>30</v>
      </c>
      <c r="F1704" s="498">
        <v>0</v>
      </c>
      <c r="G1704" s="498">
        <v>30</v>
      </c>
      <c r="H1704" s="498">
        <v>0</v>
      </c>
      <c r="I1704" s="498">
        <v>0</v>
      </c>
      <c r="J1704" s="498">
        <v>0</v>
      </c>
      <c r="K1704" s="498">
        <v>0</v>
      </c>
      <c r="L1704" s="668">
        <v>0</v>
      </c>
      <c r="M1704" s="956">
        <v>0</v>
      </c>
      <c r="N1704" s="653">
        <v>0</v>
      </c>
      <c r="O1704" s="715" t="s">
        <v>7725</v>
      </c>
      <c r="P1704" s="501" t="s">
        <v>1588</v>
      </c>
      <c r="Q1704" s="852">
        <v>0</v>
      </c>
      <c r="R1704" s="852">
        <v>0</v>
      </c>
      <c r="S1704" s="852">
        <v>0</v>
      </c>
      <c r="T1704" s="852">
        <v>0</v>
      </c>
      <c r="U1704" s="501" t="s">
        <v>7708</v>
      </c>
      <c r="V1704" s="501" t="s">
        <v>3764</v>
      </c>
      <c r="W1704" s="498">
        <v>60</v>
      </c>
      <c r="X1704" s="501" t="s">
        <v>2193</v>
      </c>
      <c r="Y1704" s="501" t="s">
        <v>3232</v>
      </c>
      <c r="Z1704" s="501" t="s">
        <v>1887</v>
      </c>
      <c r="AA1704" s="501"/>
      <c r="AB1704" s="502" t="s">
        <v>1589</v>
      </c>
    </row>
    <row r="1705" spans="1:28" ht="24" customHeight="1">
      <c r="A1705" s="584"/>
      <c r="B1705" s="460" t="s">
        <v>675</v>
      </c>
      <c r="C1705" s="458" t="s">
        <v>7729</v>
      </c>
      <c r="D1705" s="510" t="s">
        <v>7730</v>
      </c>
      <c r="E1705" s="498">
        <f t="shared" si="114"/>
        <v>28</v>
      </c>
      <c r="F1705" s="498">
        <v>0</v>
      </c>
      <c r="G1705" s="498">
        <v>28</v>
      </c>
      <c r="H1705" s="498">
        <v>0</v>
      </c>
      <c r="I1705" s="498">
        <v>0</v>
      </c>
      <c r="J1705" s="498">
        <v>0</v>
      </c>
      <c r="K1705" s="498">
        <v>0</v>
      </c>
      <c r="L1705" s="668">
        <v>0</v>
      </c>
      <c r="M1705" s="956">
        <v>0</v>
      </c>
      <c r="N1705" s="653">
        <v>0</v>
      </c>
      <c r="O1705" s="715" t="s">
        <v>7731</v>
      </c>
      <c r="P1705" s="501" t="s">
        <v>1588</v>
      </c>
      <c r="Q1705" s="852">
        <v>0</v>
      </c>
      <c r="R1705" s="852">
        <v>0</v>
      </c>
      <c r="S1705" s="852">
        <v>0</v>
      </c>
      <c r="T1705" s="852">
        <v>0</v>
      </c>
      <c r="U1705" s="501" t="s">
        <v>7708</v>
      </c>
      <c r="V1705" s="501" t="s">
        <v>7732</v>
      </c>
      <c r="W1705" s="498">
        <v>124</v>
      </c>
      <c r="X1705" s="501" t="s">
        <v>2193</v>
      </c>
      <c r="Y1705" s="501" t="s">
        <v>3232</v>
      </c>
      <c r="Z1705" s="501" t="s">
        <v>1887</v>
      </c>
      <c r="AA1705" s="501"/>
      <c r="AB1705" s="502" t="s">
        <v>1589</v>
      </c>
    </row>
    <row r="1706" spans="1:28" ht="24" customHeight="1">
      <c r="A1706" s="584"/>
      <c r="B1706" s="460" t="s">
        <v>675</v>
      </c>
      <c r="C1706" s="458" t="s">
        <v>7733</v>
      </c>
      <c r="D1706" s="510" t="s">
        <v>7734</v>
      </c>
      <c r="E1706" s="498">
        <f t="shared" si="114"/>
        <v>40</v>
      </c>
      <c r="F1706" s="498">
        <v>0</v>
      </c>
      <c r="G1706" s="498">
        <v>0</v>
      </c>
      <c r="H1706" s="498">
        <v>40</v>
      </c>
      <c r="I1706" s="498">
        <v>0</v>
      </c>
      <c r="J1706" s="498">
        <v>0</v>
      </c>
      <c r="K1706" s="498">
        <v>0</v>
      </c>
      <c r="L1706" s="668">
        <v>0</v>
      </c>
      <c r="M1706" s="956">
        <v>0</v>
      </c>
      <c r="N1706" s="653">
        <v>0</v>
      </c>
      <c r="O1706" s="715" t="s">
        <v>7735</v>
      </c>
      <c r="P1706" s="501" t="s">
        <v>1588</v>
      </c>
      <c r="Q1706" s="852">
        <v>0</v>
      </c>
      <c r="R1706" s="852">
        <v>0</v>
      </c>
      <c r="S1706" s="852">
        <v>0</v>
      </c>
      <c r="T1706" s="852">
        <v>0</v>
      </c>
      <c r="U1706" s="501" t="s">
        <v>7708</v>
      </c>
      <c r="V1706" s="501" t="s">
        <v>7736</v>
      </c>
      <c r="W1706" s="498">
        <v>207</v>
      </c>
      <c r="X1706" s="501" t="s">
        <v>2193</v>
      </c>
      <c r="Y1706" s="501" t="s">
        <v>3161</v>
      </c>
      <c r="Z1706" s="501" t="s">
        <v>1887</v>
      </c>
      <c r="AA1706" s="501"/>
      <c r="AB1706" s="502" t="s">
        <v>1589</v>
      </c>
    </row>
    <row r="1707" spans="1:28" ht="24" customHeight="1">
      <c r="A1707" s="584"/>
      <c r="B1707" s="460" t="s">
        <v>675</v>
      </c>
      <c r="C1707" s="458" t="s">
        <v>7737</v>
      </c>
      <c r="D1707" s="510" t="s">
        <v>7738</v>
      </c>
      <c r="E1707" s="498">
        <f t="shared" si="114"/>
        <v>40</v>
      </c>
      <c r="F1707" s="498">
        <v>0</v>
      </c>
      <c r="G1707" s="498">
        <v>0</v>
      </c>
      <c r="H1707" s="498">
        <v>40</v>
      </c>
      <c r="I1707" s="498">
        <v>0</v>
      </c>
      <c r="J1707" s="498">
        <v>0</v>
      </c>
      <c r="K1707" s="498">
        <v>0</v>
      </c>
      <c r="L1707" s="668">
        <v>0</v>
      </c>
      <c r="M1707" s="956">
        <v>0</v>
      </c>
      <c r="N1707" s="653">
        <v>0</v>
      </c>
      <c r="O1707" s="715" t="s">
        <v>7735</v>
      </c>
      <c r="P1707" s="501" t="s">
        <v>1588</v>
      </c>
      <c r="Q1707" s="852">
        <v>0</v>
      </c>
      <c r="R1707" s="852">
        <v>0</v>
      </c>
      <c r="S1707" s="852">
        <v>0</v>
      </c>
      <c r="T1707" s="852">
        <v>0</v>
      </c>
      <c r="U1707" s="501" t="s">
        <v>7708</v>
      </c>
      <c r="V1707" s="501" t="s">
        <v>7739</v>
      </c>
      <c r="W1707" s="498">
        <v>253</v>
      </c>
      <c r="X1707" s="501" t="s">
        <v>2193</v>
      </c>
      <c r="Y1707" s="501" t="s">
        <v>3161</v>
      </c>
      <c r="Z1707" s="501" t="s">
        <v>1887</v>
      </c>
      <c r="AA1707" s="501"/>
      <c r="AB1707" s="502" t="s">
        <v>1589</v>
      </c>
    </row>
    <row r="1708" spans="1:28" ht="24" customHeight="1">
      <c r="A1708" s="584"/>
      <c r="B1708" s="460" t="s">
        <v>675</v>
      </c>
      <c r="C1708" s="458" t="s">
        <v>7740</v>
      </c>
      <c r="D1708" s="510" t="s">
        <v>7741</v>
      </c>
      <c r="E1708" s="498">
        <f t="shared" si="114"/>
        <v>30</v>
      </c>
      <c r="F1708" s="498">
        <v>0</v>
      </c>
      <c r="G1708" s="498">
        <v>30</v>
      </c>
      <c r="H1708" s="498">
        <v>0</v>
      </c>
      <c r="I1708" s="498">
        <v>0</v>
      </c>
      <c r="J1708" s="498">
        <v>0</v>
      </c>
      <c r="K1708" s="498">
        <v>0</v>
      </c>
      <c r="L1708" s="668">
        <v>0</v>
      </c>
      <c r="M1708" s="956">
        <v>0</v>
      </c>
      <c r="N1708" s="653">
        <v>0</v>
      </c>
      <c r="O1708" s="715" t="s">
        <v>7742</v>
      </c>
      <c r="P1708" s="501" t="s">
        <v>1588</v>
      </c>
      <c r="Q1708" s="852">
        <v>0</v>
      </c>
      <c r="R1708" s="852">
        <v>0</v>
      </c>
      <c r="S1708" s="852">
        <v>0</v>
      </c>
      <c r="T1708" s="852">
        <v>0</v>
      </c>
      <c r="U1708" s="501" t="s">
        <v>7708</v>
      </c>
      <c r="V1708" s="501" t="s">
        <v>7743</v>
      </c>
      <c r="W1708" s="498">
        <v>145</v>
      </c>
      <c r="X1708" s="501" t="s">
        <v>2193</v>
      </c>
      <c r="Y1708" s="501" t="s">
        <v>3232</v>
      </c>
      <c r="Z1708" s="501" t="s">
        <v>1887</v>
      </c>
      <c r="AA1708" s="501"/>
      <c r="AB1708" s="502" t="s">
        <v>1589</v>
      </c>
    </row>
    <row r="1709" spans="1:28" ht="24" customHeight="1">
      <c r="A1709" s="584"/>
      <c r="B1709" s="460" t="s">
        <v>675</v>
      </c>
      <c r="C1709" s="458" t="s">
        <v>7744</v>
      </c>
      <c r="D1709" s="510" t="s">
        <v>7745</v>
      </c>
      <c r="E1709" s="498">
        <f t="shared" si="114"/>
        <v>25</v>
      </c>
      <c r="F1709" s="498">
        <v>0</v>
      </c>
      <c r="G1709" s="498">
        <v>25</v>
      </c>
      <c r="H1709" s="498">
        <v>0</v>
      </c>
      <c r="I1709" s="498">
        <v>0</v>
      </c>
      <c r="J1709" s="498">
        <v>0</v>
      </c>
      <c r="K1709" s="498">
        <v>0</v>
      </c>
      <c r="L1709" s="668">
        <v>0</v>
      </c>
      <c r="M1709" s="956">
        <v>0</v>
      </c>
      <c r="N1709" s="653">
        <v>0</v>
      </c>
      <c r="O1709" s="715" t="s">
        <v>7731</v>
      </c>
      <c r="P1709" s="501" t="s">
        <v>1588</v>
      </c>
      <c r="Q1709" s="852">
        <v>0</v>
      </c>
      <c r="R1709" s="852">
        <v>0</v>
      </c>
      <c r="S1709" s="852">
        <v>0</v>
      </c>
      <c r="T1709" s="852">
        <v>0</v>
      </c>
      <c r="U1709" s="501" t="s">
        <v>7708</v>
      </c>
      <c r="V1709" s="501" t="s">
        <v>5721</v>
      </c>
      <c r="W1709" s="498">
        <v>68</v>
      </c>
      <c r="X1709" s="501" t="s">
        <v>2193</v>
      </c>
      <c r="Y1709" s="501" t="s">
        <v>3232</v>
      </c>
      <c r="Z1709" s="501" t="s">
        <v>1887</v>
      </c>
      <c r="AA1709" s="501"/>
      <c r="AB1709" s="502" t="s">
        <v>1589</v>
      </c>
    </row>
    <row r="1710" spans="1:28" ht="24" customHeight="1">
      <c r="A1710" s="584"/>
      <c r="B1710" s="460" t="s">
        <v>675</v>
      </c>
      <c r="C1710" s="458" t="s">
        <v>2067</v>
      </c>
      <c r="D1710" s="510" t="s">
        <v>7746</v>
      </c>
      <c r="E1710" s="498">
        <f t="shared" si="114"/>
        <v>40</v>
      </c>
      <c r="F1710" s="498">
        <v>0</v>
      </c>
      <c r="G1710" s="498">
        <v>40</v>
      </c>
      <c r="H1710" s="498">
        <v>0</v>
      </c>
      <c r="I1710" s="498">
        <v>0</v>
      </c>
      <c r="J1710" s="498">
        <v>0</v>
      </c>
      <c r="K1710" s="498">
        <v>0</v>
      </c>
      <c r="L1710" s="668">
        <v>0</v>
      </c>
      <c r="M1710" s="956">
        <v>0</v>
      </c>
      <c r="N1710" s="653">
        <v>0</v>
      </c>
      <c r="O1710" s="715" t="s">
        <v>7731</v>
      </c>
      <c r="P1710" s="501" t="s">
        <v>1588</v>
      </c>
      <c r="Q1710" s="852">
        <v>0</v>
      </c>
      <c r="R1710" s="852">
        <v>0</v>
      </c>
      <c r="S1710" s="852">
        <v>0</v>
      </c>
      <c r="T1710" s="852">
        <v>0</v>
      </c>
      <c r="U1710" s="501" t="s">
        <v>7708</v>
      </c>
      <c r="V1710" s="501" t="s">
        <v>5721</v>
      </c>
      <c r="W1710" s="498">
        <v>93</v>
      </c>
      <c r="X1710" s="501" t="s">
        <v>2193</v>
      </c>
      <c r="Y1710" s="501" t="s">
        <v>3232</v>
      </c>
      <c r="Z1710" s="501" t="s">
        <v>1887</v>
      </c>
      <c r="AA1710" s="501"/>
      <c r="AB1710" s="502" t="s">
        <v>1589</v>
      </c>
    </row>
    <row r="1711" spans="1:28" ht="24" customHeight="1">
      <c r="A1711" s="584"/>
      <c r="B1711" s="460" t="s">
        <v>675</v>
      </c>
      <c r="C1711" s="458" t="s">
        <v>7747</v>
      </c>
      <c r="D1711" s="510" t="s">
        <v>7748</v>
      </c>
      <c r="E1711" s="498">
        <f t="shared" si="114"/>
        <v>30</v>
      </c>
      <c r="F1711" s="498">
        <v>0</v>
      </c>
      <c r="G1711" s="498">
        <v>0</v>
      </c>
      <c r="H1711" s="498">
        <v>30</v>
      </c>
      <c r="I1711" s="498">
        <v>0</v>
      </c>
      <c r="J1711" s="498">
        <v>0</v>
      </c>
      <c r="K1711" s="498">
        <v>0</v>
      </c>
      <c r="L1711" s="668">
        <v>0</v>
      </c>
      <c r="M1711" s="956">
        <v>0</v>
      </c>
      <c r="N1711" s="653">
        <v>0</v>
      </c>
      <c r="O1711" s="715" t="s">
        <v>7735</v>
      </c>
      <c r="P1711" s="501" t="s">
        <v>1588</v>
      </c>
      <c r="Q1711" s="852">
        <v>0</v>
      </c>
      <c r="R1711" s="852">
        <v>0</v>
      </c>
      <c r="S1711" s="852">
        <v>0</v>
      </c>
      <c r="T1711" s="852">
        <v>0</v>
      </c>
      <c r="U1711" s="501" t="s">
        <v>7708</v>
      </c>
      <c r="V1711" s="501" t="s">
        <v>7749</v>
      </c>
      <c r="W1711" s="498">
        <v>157</v>
      </c>
      <c r="X1711" s="501" t="s">
        <v>2193</v>
      </c>
      <c r="Y1711" s="501" t="s">
        <v>3161</v>
      </c>
      <c r="Z1711" s="501" t="s">
        <v>1887</v>
      </c>
      <c r="AA1711" s="501"/>
      <c r="AB1711" s="502" t="s">
        <v>1589</v>
      </c>
    </row>
    <row r="1712" spans="1:28" ht="24" customHeight="1">
      <c r="A1712" s="584"/>
      <c r="B1712" s="460" t="s">
        <v>675</v>
      </c>
      <c r="C1712" s="458" t="s">
        <v>7750</v>
      </c>
      <c r="D1712" s="510" t="s">
        <v>7751</v>
      </c>
      <c r="E1712" s="498">
        <f t="shared" si="114"/>
        <v>40</v>
      </c>
      <c r="F1712" s="498">
        <v>0</v>
      </c>
      <c r="G1712" s="498">
        <v>40</v>
      </c>
      <c r="H1712" s="498">
        <v>0</v>
      </c>
      <c r="I1712" s="498">
        <v>0</v>
      </c>
      <c r="J1712" s="498">
        <v>0</v>
      </c>
      <c r="K1712" s="498">
        <v>0</v>
      </c>
      <c r="L1712" s="668">
        <v>0</v>
      </c>
      <c r="M1712" s="956">
        <v>0</v>
      </c>
      <c r="N1712" s="653">
        <v>0</v>
      </c>
      <c r="O1712" s="715" t="s">
        <v>5255</v>
      </c>
      <c r="P1712" s="501" t="s">
        <v>1588</v>
      </c>
      <c r="Q1712" s="852">
        <v>0</v>
      </c>
      <c r="R1712" s="852">
        <v>0</v>
      </c>
      <c r="S1712" s="852">
        <v>0</v>
      </c>
      <c r="T1712" s="852">
        <v>0</v>
      </c>
      <c r="U1712" s="501" t="s">
        <v>7708</v>
      </c>
      <c r="V1712" s="501" t="s">
        <v>6690</v>
      </c>
      <c r="W1712" s="498">
        <v>89</v>
      </c>
      <c r="X1712" s="501" t="s">
        <v>2193</v>
      </c>
      <c r="Y1712" s="501" t="s">
        <v>3232</v>
      </c>
      <c r="Z1712" s="501" t="s">
        <v>1887</v>
      </c>
      <c r="AA1712" s="501"/>
      <c r="AB1712" s="502" t="s">
        <v>1589</v>
      </c>
    </row>
    <row r="1713" spans="1:28" ht="24" customHeight="1">
      <c r="A1713" s="584"/>
      <c r="B1713" s="460" t="s">
        <v>675</v>
      </c>
      <c r="C1713" s="458" t="s">
        <v>7752</v>
      </c>
      <c r="D1713" s="510" t="s">
        <v>7753</v>
      </c>
      <c r="E1713" s="498">
        <f t="shared" si="114"/>
        <v>40</v>
      </c>
      <c r="F1713" s="498">
        <v>0</v>
      </c>
      <c r="G1713" s="498">
        <v>40</v>
      </c>
      <c r="H1713" s="498">
        <v>0</v>
      </c>
      <c r="I1713" s="498">
        <v>0</v>
      </c>
      <c r="J1713" s="498">
        <v>0</v>
      </c>
      <c r="K1713" s="498">
        <v>0</v>
      </c>
      <c r="L1713" s="668">
        <v>0</v>
      </c>
      <c r="M1713" s="956">
        <v>0</v>
      </c>
      <c r="N1713" s="653">
        <v>0</v>
      </c>
      <c r="O1713" s="715" t="s">
        <v>5255</v>
      </c>
      <c r="P1713" s="501" t="s">
        <v>1588</v>
      </c>
      <c r="Q1713" s="852">
        <v>0</v>
      </c>
      <c r="R1713" s="852">
        <v>0</v>
      </c>
      <c r="S1713" s="852">
        <v>0</v>
      </c>
      <c r="T1713" s="852">
        <v>0</v>
      </c>
      <c r="U1713" s="501" t="s">
        <v>7708</v>
      </c>
      <c r="V1713" s="501" t="s">
        <v>2615</v>
      </c>
      <c r="W1713" s="498">
        <v>76</v>
      </c>
      <c r="X1713" s="501" t="s">
        <v>2193</v>
      </c>
      <c r="Y1713" s="501" t="s">
        <v>3232</v>
      </c>
      <c r="Z1713" s="501" t="s">
        <v>1887</v>
      </c>
      <c r="AA1713" s="501"/>
      <c r="AB1713" s="502" t="s">
        <v>1589</v>
      </c>
    </row>
    <row r="1714" spans="1:28" ht="24" customHeight="1">
      <c r="A1714" s="584"/>
      <c r="B1714" s="460" t="s">
        <v>675</v>
      </c>
      <c r="C1714" s="458" t="s">
        <v>7754</v>
      </c>
      <c r="D1714" s="510" t="s">
        <v>7755</v>
      </c>
      <c r="E1714" s="498">
        <f t="shared" si="114"/>
        <v>50</v>
      </c>
      <c r="F1714" s="498">
        <v>0</v>
      </c>
      <c r="G1714" s="498">
        <v>50</v>
      </c>
      <c r="H1714" s="498">
        <v>0</v>
      </c>
      <c r="I1714" s="498">
        <v>0</v>
      </c>
      <c r="J1714" s="498">
        <v>0</v>
      </c>
      <c r="K1714" s="498">
        <v>0</v>
      </c>
      <c r="L1714" s="668">
        <v>0</v>
      </c>
      <c r="M1714" s="956">
        <v>0</v>
      </c>
      <c r="N1714" s="653">
        <v>0</v>
      </c>
      <c r="O1714" s="715" t="s">
        <v>7731</v>
      </c>
      <c r="P1714" s="501" t="s">
        <v>1588</v>
      </c>
      <c r="Q1714" s="852">
        <v>0</v>
      </c>
      <c r="R1714" s="852">
        <v>0</v>
      </c>
      <c r="S1714" s="852">
        <v>0</v>
      </c>
      <c r="T1714" s="852">
        <v>0</v>
      </c>
      <c r="U1714" s="501" t="s">
        <v>7708</v>
      </c>
      <c r="V1714" s="501" t="s">
        <v>7756</v>
      </c>
      <c r="W1714" s="498">
        <v>97</v>
      </c>
      <c r="X1714" s="501" t="s">
        <v>2193</v>
      </c>
      <c r="Y1714" s="501" t="s">
        <v>3232</v>
      </c>
      <c r="Z1714" s="501" t="s">
        <v>1887</v>
      </c>
      <c r="AA1714" s="501"/>
      <c r="AB1714" s="502" t="s">
        <v>1589</v>
      </c>
    </row>
    <row r="1715" spans="1:28" ht="24" customHeight="1">
      <c r="A1715" s="584"/>
      <c r="B1715" s="460" t="s">
        <v>675</v>
      </c>
      <c r="C1715" s="458" t="s">
        <v>7757</v>
      </c>
      <c r="D1715" s="510" t="s">
        <v>7758</v>
      </c>
      <c r="E1715" s="498">
        <f t="shared" si="114"/>
        <v>25</v>
      </c>
      <c r="F1715" s="498">
        <v>0</v>
      </c>
      <c r="G1715" s="498">
        <v>25</v>
      </c>
      <c r="H1715" s="498">
        <v>0</v>
      </c>
      <c r="I1715" s="498">
        <v>0</v>
      </c>
      <c r="J1715" s="498">
        <v>0</v>
      </c>
      <c r="K1715" s="498">
        <v>0</v>
      </c>
      <c r="L1715" s="668">
        <v>0</v>
      </c>
      <c r="M1715" s="956">
        <v>0</v>
      </c>
      <c r="N1715" s="653">
        <v>0</v>
      </c>
      <c r="O1715" s="715" t="s">
        <v>5255</v>
      </c>
      <c r="P1715" s="501" t="s">
        <v>1588</v>
      </c>
      <c r="Q1715" s="852">
        <v>0</v>
      </c>
      <c r="R1715" s="852">
        <v>0</v>
      </c>
      <c r="S1715" s="852">
        <v>0</v>
      </c>
      <c r="T1715" s="852">
        <v>0</v>
      </c>
      <c r="U1715" s="501" t="s">
        <v>7708</v>
      </c>
      <c r="V1715" s="501" t="s">
        <v>7759</v>
      </c>
      <c r="W1715" s="498">
        <v>67</v>
      </c>
      <c r="X1715" s="501" t="s">
        <v>2193</v>
      </c>
      <c r="Y1715" s="501" t="s">
        <v>3232</v>
      </c>
      <c r="Z1715" s="501" t="s">
        <v>1887</v>
      </c>
      <c r="AA1715" s="501"/>
      <c r="AB1715" s="502" t="s">
        <v>1589</v>
      </c>
    </row>
    <row r="1716" spans="1:28" ht="24" customHeight="1">
      <c r="A1716" s="584"/>
      <c r="B1716" s="460" t="s">
        <v>675</v>
      </c>
      <c r="C1716" s="458" t="s">
        <v>7760</v>
      </c>
      <c r="D1716" s="510" t="s">
        <v>7761</v>
      </c>
      <c r="E1716" s="498">
        <f t="shared" si="114"/>
        <v>60</v>
      </c>
      <c r="F1716" s="498">
        <v>0</v>
      </c>
      <c r="G1716" s="498">
        <v>60</v>
      </c>
      <c r="H1716" s="498">
        <v>0</v>
      </c>
      <c r="I1716" s="498">
        <v>0</v>
      </c>
      <c r="J1716" s="498">
        <v>0</v>
      </c>
      <c r="K1716" s="498">
        <v>0</v>
      </c>
      <c r="L1716" s="668">
        <v>0</v>
      </c>
      <c r="M1716" s="956">
        <v>0</v>
      </c>
      <c r="N1716" s="653">
        <v>0</v>
      </c>
      <c r="O1716" s="715" t="s">
        <v>3347</v>
      </c>
      <c r="P1716" s="501" t="s">
        <v>1588</v>
      </c>
      <c r="Q1716" s="852">
        <v>0</v>
      </c>
      <c r="R1716" s="852">
        <v>0</v>
      </c>
      <c r="S1716" s="852">
        <v>0</v>
      </c>
      <c r="T1716" s="852">
        <v>0</v>
      </c>
      <c r="U1716" s="501" t="s">
        <v>7708</v>
      </c>
      <c r="V1716" s="501" t="s">
        <v>7759</v>
      </c>
      <c r="W1716" s="498">
        <v>122</v>
      </c>
      <c r="X1716" s="501" t="s">
        <v>2193</v>
      </c>
      <c r="Y1716" s="501" t="s">
        <v>3232</v>
      </c>
      <c r="Z1716" s="501" t="s">
        <v>1887</v>
      </c>
      <c r="AA1716" s="501"/>
      <c r="AB1716" s="502" t="s">
        <v>1589</v>
      </c>
    </row>
    <row r="1717" spans="1:28" ht="24" customHeight="1">
      <c r="A1717" s="584"/>
      <c r="B1717" s="460" t="s">
        <v>675</v>
      </c>
      <c r="C1717" s="458" t="s">
        <v>7762</v>
      </c>
      <c r="D1717" s="510" t="s">
        <v>7763</v>
      </c>
      <c r="E1717" s="498">
        <f t="shared" si="114"/>
        <v>60</v>
      </c>
      <c r="F1717" s="498">
        <v>0</v>
      </c>
      <c r="G1717" s="498">
        <v>0</v>
      </c>
      <c r="H1717" s="498">
        <v>60</v>
      </c>
      <c r="I1717" s="498">
        <v>0</v>
      </c>
      <c r="J1717" s="498">
        <v>0</v>
      </c>
      <c r="K1717" s="498">
        <v>0</v>
      </c>
      <c r="L1717" s="668">
        <v>0</v>
      </c>
      <c r="M1717" s="956">
        <v>0</v>
      </c>
      <c r="N1717" s="653">
        <v>0</v>
      </c>
      <c r="O1717" s="715" t="s">
        <v>7286</v>
      </c>
      <c r="P1717" s="501" t="s">
        <v>1588</v>
      </c>
      <c r="Q1717" s="852">
        <v>0</v>
      </c>
      <c r="R1717" s="852">
        <v>0</v>
      </c>
      <c r="S1717" s="852">
        <v>0</v>
      </c>
      <c r="T1717" s="852">
        <v>0</v>
      </c>
      <c r="U1717" s="501" t="s">
        <v>7708</v>
      </c>
      <c r="V1717" s="501" t="s">
        <v>7764</v>
      </c>
      <c r="W1717" s="498">
        <v>621</v>
      </c>
      <c r="X1717" s="501" t="s">
        <v>2193</v>
      </c>
      <c r="Y1717" s="501" t="s">
        <v>3232</v>
      </c>
      <c r="Z1717" s="501" t="s">
        <v>1887</v>
      </c>
      <c r="AA1717" s="501"/>
      <c r="AB1717" s="502" t="s">
        <v>1589</v>
      </c>
    </row>
    <row r="1718" spans="1:28" ht="24" customHeight="1">
      <c r="A1718" s="584"/>
      <c r="B1718" s="460" t="s">
        <v>675</v>
      </c>
      <c r="C1718" s="458" t="s">
        <v>7765</v>
      </c>
      <c r="D1718" s="510" t="s">
        <v>7766</v>
      </c>
      <c r="E1718" s="498">
        <f t="shared" si="114"/>
        <v>60</v>
      </c>
      <c r="F1718" s="498">
        <v>0</v>
      </c>
      <c r="G1718" s="498">
        <v>0</v>
      </c>
      <c r="H1718" s="498">
        <v>60</v>
      </c>
      <c r="I1718" s="498">
        <v>0</v>
      </c>
      <c r="J1718" s="498">
        <v>0</v>
      </c>
      <c r="K1718" s="498">
        <v>0</v>
      </c>
      <c r="L1718" s="668">
        <v>0</v>
      </c>
      <c r="M1718" s="956">
        <v>0</v>
      </c>
      <c r="N1718" s="653">
        <v>0</v>
      </c>
      <c r="O1718" s="715" t="s">
        <v>3274</v>
      </c>
      <c r="P1718" s="501" t="s">
        <v>1588</v>
      </c>
      <c r="Q1718" s="852">
        <v>0</v>
      </c>
      <c r="R1718" s="852">
        <v>0</v>
      </c>
      <c r="S1718" s="852">
        <v>0</v>
      </c>
      <c r="T1718" s="852">
        <v>0</v>
      </c>
      <c r="U1718" s="501" t="s">
        <v>7708</v>
      </c>
      <c r="V1718" s="501" t="s">
        <v>7764</v>
      </c>
      <c r="W1718" s="498">
        <v>521</v>
      </c>
      <c r="X1718" s="501" t="s">
        <v>2193</v>
      </c>
      <c r="Y1718" s="501" t="s">
        <v>3232</v>
      </c>
      <c r="Z1718" s="501" t="s">
        <v>1887</v>
      </c>
      <c r="AA1718" s="501"/>
      <c r="AB1718" s="502" t="s">
        <v>1589</v>
      </c>
    </row>
    <row r="1719" spans="1:28" ht="24" customHeight="1">
      <c r="A1719" s="582" t="s">
        <v>1907</v>
      </c>
      <c r="B1719" s="460" t="s">
        <v>2201</v>
      </c>
      <c r="C1719" s="458" t="s">
        <v>2333</v>
      </c>
      <c r="D1719" s="510" t="s">
        <v>7767</v>
      </c>
      <c r="E1719" s="498">
        <f t="shared" si="114"/>
        <v>40000</v>
      </c>
      <c r="F1719" s="653">
        <v>0</v>
      </c>
      <c r="G1719" s="653">
        <v>0</v>
      </c>
      <c r="H1719" s="653">
        <v>40000</v>
      </c>
      <c r="I1719" s="498">
        <f t="shared" ref="I1719:I1729" si="115">SUM(J1719:L1719)</f>
        <v>28134</v>
      </c>
      <c r="J1719" s="498">
        <v>0</v>
      </c>
      <c r="K1719" s="498">
        <v>0</v>
      </c>
      <c r="L1719" s="698">
        <v>28134</v>
      </c>
      <c r="M1719" s="956">
        <v>0.97163120567375882</v>
      </c>
      <c r="N1719" s="653">
        <v>1541.7431999999997</v>
      </c>
      <c r="O1719" s="715" t="s">
        <v>7768</v>
      </c>
      <c r="P1719" s="501" t="s">
        <v>1588</v>
      </c>
      <c r="Q1719" s="852">
        <v>330</v>
      </c>
      <c r="R1719" s="852">
        <v>0</v>
      </c>
      <c r="S1719" s="852">
        <v>0</v>
      </c>
      <c r="T1719" s="852">
        <v>0</v>
      </c>
      <c r="U1719" s="501" t="s">
        <v>7769</v>
      </c>
      <c r="V1719" s="566" t="s">
        <v>7770</v>
      </c>
      <c r="W1719" s="498">
        <v>61845</v>
      </c>
      <c r="X1719" s="501" t="s">
        <v>2199</v>
      </c>
      <c r="Y1719" s="501"/>
      <c r="Z1719" s="501" t="s">
        <v>2078</v>
      </c>
      <c r="AA1719" s="501" t="s">
        <v>1786</v>
      </c>
      <c r="AB1719" s="502" t="s">
        <v>1589</v>
      </c>
    </row>
    <row r="1720" spans="1:28" ht="24" customHeight="1">
      <c r="A1720" s="584"/>
      <c r="B1720" s="460" t="s">
        <v>675</v>
      </c>
      <c r="C1720" s="458" t="s">
        <v>2189</v>
      </c>
      <c r="D1720" s="510" t="s">
        <v>7771</v>
      </c>
      <c r="E1720" s="653">
        <f t="shared" si="114"/>
        <v>30</v>
      </c>
      <c r="F1720" s="653">
        <v>0</v>
      </c>
      <c r="G1720" s="653">
        <v>30</v>
      </c>
      <c r="H1720" s="653">
        <v>0</v>
      </c>
      <c r="I1720" s="498">
        <f t="shared" si="115"/>
        <v>14.9</v>
      </c>
      <c r="J1720" s="498">
        <v>0</v>
      </c>
      <c r="K1720" s="498">
        <v>14.9</v>
      </c>
      <c r="L1720" s="668">
        <v>0</v>
      </c>
      <c r="M1720" s="956">
        <v>0.9</v>
      </c>
      <c r="N1720" s="653">
        <v>1.2605400000000002</v>
      </c>
      <c r="O1720" s="715" t="s">
        <v>7772</v>
      </c>
      <c r="P1720" s="501" t="s">
        <v>1588</v>
      </c>
      <c r="Q1720" s="852">
        <v>0</v>
      </c>
      <c r="R1720" s="852">
        <v>0</v>
      </c>
      <c r="S1720" s="852">
        <v>0</v>
      </c>
      <c r="T1720" s="852">
        <v>0</v>
      </c>
      <c r="U1720" s="501" t="s">
        <v>7769</v>
      </c>
      <c r="V1720" s="501" t="s">
        <v>7773</v>
      </c>
      <c r="W1720" s="498">
        <v>100</v>
      </c>
      <c r="X1720" s="501" t="s">
        <v>2199</v>
      </c>
      <c r="Y1720" s="501" t="s">
        <v>6967</v>
      </c>
      <c r="Z1720" s="501" t="s">
        <v>7774</v>
      </c>
      <c r="AA1720" s="501" t="s">
        <v>1786</v>
      </c>
      <c r="AB1720" s="502" t="s">
        <v>1589</v>
      </c>
    </row>
    <row r="1721" spans="1:28" ht="24" customHeight="1">
      <c r="A1721" s="584"/>
      <c r="B1721" s="460" t="s">
        <v>675</v>
      </c>
      <c r="C1721" s="458" t="s">
        <v>7257</v>
      </c>
      <c r="D1721" s="510" t="s">
        <v>7775</v>
      </c>
      <c r="E1721" s="653">
        <f t="shared" si="114"/>
        <v>30</v>
      </c>
      <c r="F1721" s="653">
        <v>0</v>
      </c>
      <c r="G1721" s="653">
        <v>30</v>
      </c>
      <c r="H1721" s="653">
        <v>0</v>
      </c>
      <c r="I1721" s="498">
        <f t="shared" si="115"/>
        <v>14.5</v>
      </c>
      <c r="J1721" s="498">
        <v>0</v>
      </c>
      <c r="K1721" s="498">
        <v>14.5</v>
      </c>
      <c r="L1721" s="668">
        <v>0</v>
      </c>
      <c r="M1721" s="956">
        <v>0.9</v>
      </c>
      <c r="N1721" s="653">
        <v>1.9079099999999996</v>
      </c>
      <c r="O1721" s="715" t="s">
        <v>7772</v>
      </c>
      <c r="P1721" s="501" t="s">
        <v>1588</v>
      </c>
      <c r="Q1721" s="852">
        <v>0</v>
      </c>
      <c r="R1721" s="852">
        <v>0</v>
      </c>
      <c r="S1721" s="852">
        <v>0</v>
      </c>
      <c r="T1721" s="852">
        <v>0</v>
      </c>
      <c r="U1721" s="501" t="s">
        <v>7769</v>
      </c>
      <c r="V1721" s="501" t="s">
        <v>7776</v>
      </c>
      <c r="W1721" s="498">
        <v>100</v>
      </c>
      <c r="X1721" s="501" t="s">
        <v>2199</v>
      </c>
      <c r="Y1721" s="501" t="s">
        <v>6967</v>
      </c>
      <c r="Z1721" s="501" t="s">
        <v>7774</v>
      </c>
      <c r="AA1721" s="501" t="s">
        <v>1786</v>
      </c>
      <c r="AB1721" s="502" t="s">
        <v>1589</v>
      </c>
    </row>
    <row r="1722" spans="1:28" ht="24" customHeight="1">
      <c r="A1722" s="584"/>
      <c r="B1722" s="460" t="s">
        <v>675</v>
      </c>
      <c r="C1722" s="458" t="s">
        <v>7777</v>
      </c>
      <c r="D1722" s="510" t="s">
        <v>7778</v>
      </c>
      <c r="E1722" s="653">
        <f t="shared" si="114"/>
        <v>50</v>
      </c>
      <c r="F1722" s="653">
        <v>0</v>
      </c>
      <c r="G1722" s="653">
        <v>50</v>
      </c>
      <c r="H1722" s="653">
        <v>0</v>
      </c>
      <c r="I1722" s="498">
        <f t="shared" si="115"/>
        <v>38.1</v>
      </c>
      <c r="J1722" s="498">
        <v>0</v>
      </c>
      <c r="K1722" s="498">
        <v>38.1</v>
      </c>
      <c r="L1722" s="668">
        <v>0</v>
      </c>
      <c r="M1722" s="956">
        <v>0.9</v>
      </c>
      <c r="N1722" s="653">
        <v>4.8554639999999996</v>
      </c>
      <c r="O1722" s="715" t="s">
        <v>7772</v>
      </c>
      <c r="P1722" s="501" t="s">
        <v>1588</v>
      </c>
      <c r="Q1722" s="852">
        <v>0</v>
      </c>
      <c r="R1722" s="852">
        <v>0</v>
      </c>
      <c r="S1722" s="852">
        <v>0</v>
      </c>
      <c r="T1722" s="852">
        <v>0</v>
      </c>
      <c r="U1722" s="501" t="s">
        <v>7769</v>
      </c>
      <c r="V1722" s="501" t="s">
        <v>7779</v>
      </c>
      <c r="W1722" s="498">
        <v>200</v>
      </c>
      <c r="X1722" s="501" t="s">
        <v>2199</v>
      </c>
      <c r="Y1722" s="501" t="s">
        <v>6967</v>
      </c>
      <c r="Z1722" s="501" t="s">
        <v>7774</v>
      </c>
      <c r="AA1722" s="501" t="s">
        <v>1786</v>
      </c>
      <c r="AB1722" s="502" t="s">
        <v>1589</v>
      </c>
    </row>
    <row r="1723" spans="1:28" ht="24" customHeight="1">
      <c r="A1723" s="584"/>
      <c r="B1723" s="460" t="s">
        <v>675</v>
      </c>
      <c r="C1723" s="458" t="s">
        <v>7780</v>
      </c>
      <c r="D1723" s="510" t="s">
        <v>7781</v>
      </c>
      <c r="E1723" s="653">
        <f t="shared" si="114"/>
        <v>40</v>
      </c>
      <c r="F1723" s="653">
        <v>0</v>
      </c>
      <c r="G1723" s="653">
        <v>40</v>
      </c>
      <c r="H1723" s="653">
        <v>0</v>
      </c>
      <c r="I1723" s="498">
        <f t="shared" si="115"/>
        <v>18.8</v>
      </c>
      <c r="J1723" s="498">
        <v>0</v>
      </c>
      <c r="K1723" s="498">
        <v>18.8</v>
      </c>
      <c r="L1723" s="668">
        <v>0</v>
      </c>
      <c r="M1723" s="956">
        <v>0.9</v>
      </c>
      <c r="N1723" s="653">
        <v>0.64634400000000003</v>
      </c>
      <c r="O1723" s="715" t="s">
        <v>7772</v>
      </c>
      <c r="P1723" s="501" t="s">
        <v>1588</v>
      </c>
      <c r="Q1723" s="852">
        <v>0</v>
      </c>
      <c r="R1723" s="852">
        <v>0</v>
      </c>
      <c r="S1723" s="852">
        <v>0</v>
      </c>
      <c r="T1723" s="852">
        <v>0</v>
      </c>
      <c r="U1723" s="501" t="s">
        <v>7769</v>
      </c>
      <c r="V1723" s="501" t="s">
        <v>7782</v>
      </c>
      <c r="W1723" s="498">
        <v>200</v>
      </c>
      <c r="X1723" s="501" t="s">
        <v>2199</v>
      </c>
      <c r="Y1723" s="501" t="s">
        <v>6967</v>
      </c>
      <c r="Z1723" s="501" t="s">
        <v>7774</v>
      </c>
      <c r="AA1723" s="501" t="s">
        <v>1786</v>
      </c>
      <c r="AB1723" s="502" t="s">
        <v>1589</v>
      </c>
    </row>
    <row r="1724" spans="1:28" ht="24" customHeight="1">
      <c r="A1724" s="584"/>
      <c r="B1724" s="460" t="s">
        <v>675</v>
      </c>
      <c r="C1724" s="458" t="s">
        <v>7783</v>
      </c>
      <c r="D1724" s="510" t="s">
        <v>7784</v>
      </c>
      <c r="E1724" s="653">
        <f t="shared" si="114"/>
        <v>23</v>
      </c>
      <c r="F1724" s="653">
        <v>0</v>
      </c>
      <c r="G1724" s="653">
        <v>23</v>
      </c>
      <c r="H1724" s="653">
        <v>0</v>
      </c>
      <c r="I1724" s="498">
        <f t="shared" si="115"/>
        <v>12.9</v>
      </c>
      <c r="J1724" s="498">
        <v>0</v>
      </c>
      <c r="K1724" s="498">
        <v>12.9</v>
      </c>
      <c r="L1724" s="668">
        <v>0</v>
      </c>
      <c r="M1724" s="956">
        <v>0.9</v>
      </c>
      <c r="N1724" s="653">
        <v>0.47600999999999999</v>
      </c>
      <c r="O1724" s="715" t="s">
        <v>7785</v>
      </c>
      <c r="P1724" s="501" t="s">
        <v>1588</v>
      </c>
      <c r="Q1724" s="852">
        <v>0</v>
      </c>
      <c r="R1724" s="852">
        <v>0</v>
      </c>
      <c r="S1724" s="852">
        <v>0</v>
      </c>
      <c r="T1724" s="852">
        <v>0</v>
      </c>
      <c r="U1724" s="501" t="s">
        <v>7769</v>
      </c>
      <c r="V1724" s="501" t="s">
        <v>7786</v>
      </c>
      <c r="W1724" s="498">
        <v>100</v>
      </c>
      <c r="X1724" s="501" t="s">
        <v>2199</v>
      </c>
      <c r="Y1724" s="501" t="s">
        <v>6967</v>
      </c>
      <c r="Z1724" s="501" t="s">
        <v>7774</v>
      </c>
      <c r="AA1724" s="501" t="s">
        <v>1786</v>
      </c>
      <c r="AB1724" s="502" t="s">
        <v>1589</v>
      </c>
    </row>
    <row r="1725" spans="1:28" ht="24" customHeight="1">
      <c r="A1725" s="584"/>
      <c r="B1725" s="460" t="s">
        <v>675</v>
      </c>
      <c r="C1725" s="458" t="s">
        <v>7787</v>
      </c>
      <c r="D1725" s="510" t="s">
        <v>7788</v>
      </c>
      <c r="E1725" s="653">
        <f t="shared" si="114"/>
        <v>60</v>
      </c>
      <c r="F1725" s="653">
        <v>0</v>
      </c>
      <c r="G1725" s="653">
        <v>60</v>
      </c>
      <c r="H1725" s="653">
        <v>0</v>
      </c>
      <c r="I1725" s="498">
        <f t="shared" si="115"/>
        <v>34.6</v>
      </c>
      <c r="J1725" s="498">
        <v>0</v>
      </c>
      <c r="K1725" s="498">
        <v>34.6</v>
      </c>
      <c r="L1725" s="668">
        <v>0</v>
      </c>
      <c r="M1725" s="956">
        <v>0.9</v>
      </c>
      <c r="N1725" s="653">
        <v>1.23003</v>
      </c>
      <c r="O1725" s="715" t="s">
        <v>7785</v>
      </c>
      <c r="P1725" s="501" t="s">
        <v>1588</v>
      </c>
      <c r="Q1725" s="852">
        <v>0</v>
      </c>
      <c r="R1725" s="852">
        <v>0</v>
      </c>
      <c r="S1725" s="852">
        <v>0</v>
      </c>
      <c r="T1725" s="852">
        <v>0</v>
      </c>
      <c r="U1725" s="501" t="s">
        <v>7769</v>
      </c>
      <c r="V1725" s="501" t="s">
        <v>7789</v>
      </c>
      <c r="W1725" s="498">
        <v>360</v>
      </c>
      <c r="X1725" s="501" t="s">
        <v>2199</v>
      </c>
      <c r="Y1725" s="501" t="s">
        <v>6967</v>
      </c>
      <c r="Z1725" s="501" t="s">
        <v>7774</v>
      </c>
      <c r="AA1725" s="501" t="s">
        <v>1786</v>
      </c>
      <c r="AB1725" s="502" t="s">
        <v>1589</v>
      </c>
    </row>
    <row r="1726" spans="1:28" ht="24" customHeight="1">
      <c r="A1726" s="584"/>
      <c r="B1726" s="460" t="s">
        <v>675</v>
      </c>
      <c r="C1726" s="458" t="s">
        <v>321</v>
      </c>
      <c r="D1726" s="510" t="s">
        <v>7790</v>
      </c>
      <c r="E1726" s="653">
        <f t="shared" si="114"/>
        <v>50</v>
      </c>
      <c r="F1726" s="653">
        <v>0</v>
      </c>
      <c r="G1726" s="653">
        <v>50</v>
      </c>
      <c r="H1726" s="653">
        <v>0</v>
      </c>
      <c r="I1726" s="498">
        <f t="shared" si="115"/>
        <v>28.1</v>
      </c>
      <c r="J1726" s="498">
        <v>0</v>
      </c>
      <c r="K1726" s="498">
        <v>28.1</v>
      </c>
      <c r="L1726" s="668">
        <v>0</v>
      </c>
      <c r="M1726" s="956">
        <v>0.9</v>
      </c>
      <c r="N1726" s="653">
        <v>1.001484</v>
      </c>
      <c r="O1726" s="715" t="s">
        <v>7785</v>
      </c>
      <c r="P1726" s="501" t="s">
        <v>1588</v>
      </c>
      <c r="Q1726" s="852">
        <v>0</v>
      </c>
      <c r="R1726" s="852">
        <v>0</v>
      </c>
      <c r="S1726" s="852">
        <v>0</v>
      </c>
      <c r="T1726" s="852">
        <v>0</v>
      </c>
      <c r="U1726" s="501" t="s">
        <v>7769</v>
      </c>
      <c r="V1726" s="501" t="s">
        <v>7791</v>
      </c>
      <c r="W1726" s="498">
        <v>350</v>
      </c>
      <c r="X1726" s="501" t="s">
        <v>2199</v>
      </c>
      <c r="Y1726" s="501" t="s">
        <v>6967</v>
      </c>
      <c r="Z1726" s="501" t="s">
        <v>7774</v>
      </c>
      <c r="AA1726" s="501" t="s">
        <v>1786</v>
      </c>
      <c r="AB1726" s="502" t="s">
        <v>1589</v>
      </c>
    </row>
    <row r="1727" spans="1:28" ht="24" customHeight="1">
      <c r="A1727" s="584"/>
      <c r="B1727" s="460" t="s">
        <v>675</v>
      </c>
      <c r="C1727" s="458" t="s">
        <v>3482</v>
      </c>
      <c r="D1727" s="510" t="s">
        <v>7792</v>
      </c>
      <c r="E1727" s="653">
        <f t="shared" si="114"/>
        <v>48</v>
      </c>
      <c r="F1727" s="653">
        <v>0</v>
      </c>
      <c r="G1727" s="653">
        <v>48</v>
      </c>
      <c r="H1727" s="653">
        <v>0</v>
      </c>
      <c r="I1727" s="498">
        <f t="shared" si="115"/>
        <v>38.1</v>
      </c>
      <c r="J1727" s="498">
        <v>0</v>
      </c>
      <c r="K1727" s="498">
        <v>38.1</v>
      </c>
      <c r="L1727" s="668">
        <v>0</v>
      </c>
      <c r="M1727" s="956">
        <v>0.90300000000000002</v>
      </c>
      <c r="N1727" s="653">
        <v>2.6</v>
      </c>
      <c r="O1727" s="715" t="s">
        <v>7793</v>
      </c>
      <c r="P1727" s="501" t="s">
        <v>1588</v>
      </c>
      <c r="Q1727" s="852">
        <v>0</v>
      </c>
      <c r="R1727" s="852">
        <v>0</v>
      </c>
      <c r="S1727" s="852">
        <v>0</v>
      </c>
      <c r="T1727" s="852">
        <v>0</v>
      </c>
      <c r="U1727" s="501" t="s">
        <v>7794</v>
      </c>
      <c r="V1727" s="501" t="s">
        <v>7795</v>
      </c>
      <c r="W1727" s="498">
        <v>300</v>
      </c>
      <c r="X1727" s="501" t="s">
        <v>2199</v>
      </c>
      <c r="Y1727" s="501" t="s">
        <v>6967</v>
      </c>
      <c r="Z1727" s="501" t="s">
        <v>7774</v>
      </c>
      <c r="AA1727" s="501" t="s">
        <v>1786</v>
      </c>
      <c r="AB1727" s="502" t="s">
        <v>1589</v>
      </c>
    </row>
    <row r="1728" spans="1:28" ht="24" customHeight="1">
      <c r="A1728" s="584"/>
      <c r="B1728" s="460" t="s">
        <v>675</v>
      </c>
      <c r="C1728" s="458" t="s">
        <v>7796</v>
      </c>
      <c r="D1728" s="510" t="s">
        <v>7797</v>
      </c>
      <c r="E1728" s="653">
        <f t="shared" si="114"/>
        <v>43</v>
      </c>
      <c r="F1728" s="653">
        <v>0</v>
      </c>
      <c r="G1728" s="653">
        <v>43</v>
      </c>
      <c r="H1728" s="653">
        <v>0</v>
      </c>
      <c r="I1728" s="498">
        <f t="shared" si="115"/>
        <v>47.4</v>
      </c>
      <c r="J1728" s="498">
        <v>0</v>
      </c>
      <c r="K1728" s="498">
        <v>47.4</v>
      </c>
      <c r="L1728" s="668">
        <v>0</v>
      </c>
      <c r="M1728" s="956">
        <v>0.93099999999999994</v>
      </c>
      <c r="N1728" s="653">
        <v>3.4</v>
      </c>
      <c r="O1728" s="715" t="s">
        <v>7798</v>
      </c>
      <c r="P1728" s="501" t="s">
        <v>1588</v>
      </c>
      <c r="Q1728" s="852">
        <v>0</v>
      </c>
      <c r="R1728" s="852">
        <v>0</v>
      </c>
      <c r="S1728" s="852">
        <v>0</v>
      </c>
      <c r="T1728" s="852">
        <v>0</v>
      </c>
      <c r="U1728" s="501" t="s">
        <v>7794</v>
      </c>
      <c r="V1728" s="501" t="s">
        <v>7799</v>
      </c>
      <c r="W1728" s="498">
        <v>315</v>
      </c>
      <c r="X1728" s="501" t="s">
        <v>2199</v>
      </c>
      <c r="Y1728" s="501" t="s">
        <v>6967</v>
      </c>
      <c r="Z1728" s="501" t="s">
        <v>7774</v>
      </c>
      <c r="AA1728" s="501" t="s">
        <v>1786</v>
      </c>
      <c r="AB1728" s="502" t="s">
        <v>1589</v>
      </c>
    </row>
    <row r="1729" spans="1:28" ht="24" customHeight="1">
      <c r="A1729" s="584"/>
      <c r="B1729" s="460" t="s">
        <v>675</v>
      </c>
      <c r="C1729" s="458" t="s">
        <v>7800</v>
      </c>
      <c r="D1729" s="510" t="s">
        <v>7801</v>
      </c>
      <c r="E1729" s="653">
        <f t="shared" si="114"/>
        <v>60</v>
      </c>
      <c r="F1729" s="653">
        <v>0</v>
      </c>
      <c r="G1729" s="653">
        <v>60</v>
      </c>
      <c r="H1729" s="653">
        <v>0</v>
      </c>
      <c r="I1729" s="498">
        <f t="shared" si="115"/>
        <v>39</v>
      </c>
      <c r="J1729" s="498">
        <v>0</v>
      </c>
      <c r="K1729" s="498">
        <v>39</v>
      </c>
      <c r="L1729" s="668">
        <v>0</v>
      </c>
      <c r="M1729" s="956">
        <v>0.94117647058823517</v>
      </c>
      <c r="N1729" s="653">
        <v>2.3528470588235288</v>
      </c>
      <c r="O1729" s="715" t="s">
        <v>7802</v>
      </c>
      <c r="P1729" s="501" t="s">
        <v>1588</v>
      </c>
      <c r="Q1729" s="852">
        <v>0</v>
      </c>
      <c r="R1729" s="852">
        <v>0</v>
      </c>
      <c r="S1729" s="852">
        <v>0</v>
      </c>
      <c r="T1729" s="852">
        <v>0</v>
      </c>
      <c r="U1729" s="501" t="s">
        <v>7769</v>
      </c>
      <c r="V1729" s="501" t="s">
        <v>7803</v>
      </c>
      <c r="W1729" s="498">
        <v>355</v>
      </c>
      <c r="X1729" s="501" t="s">
        <v>2199</v>
      </c>
      <c r="Y1729" s="501" t="s">
        <v>6967</v>
      </c>
      <c r="Z1729" s="501" t="s">
        <v>7774</v>
      </c>
      <c r="AA1729" s="501" t="s">
        <v>1786</v>
      </c>
      <c r="AB1729" s="502" t="s">
        <v>1589</v>
      </c>
    </row>
    <row r="1730" spans="1:28" ht="24" customHeight="1">
      <c r="A1730" s="584"/>
      <c r="B1730" s="460" t="s">
        <v>675</v>
      </c>
      <c r="C1730" s="458" t="s">
        <v>7804</v>
      </c>
      <c r="D1730" s="510" t="s">
        <v>7805</v>
      </c>
      <c r="E1730" s="653">
        <f>SUM(F1730:H1730)</f>
        <v>70</v>
      </c>
      <c r="F1730" s="653">
        <v>0</v>
      </c>
      <c r="G1730" s="653">
        <v>70</v>
      </c>
      <c r="H1730" s="653">
        <v>0</v>
      </c>
      <c r="I1730" s="498">
        <f>SUM(J1730:L1730)</f>
        <v>71.900000000000006</v>
      </c>
      <c r="J1730" s="498">
        <v>0</v>
      </c>
      <c r="K1730" s="498">
        <v>71.900000000000006</v>
      </c>
      <c r="L1730" s="668">
        <v>0</v>
      </c>
      <c r="M1730" s="956">
        <v>0.9285714285714286</v>
      </c>
      <c r="N1730" s="653">
        <v>6.8566921428571437</v>
      </c>
      <c r="O1730" s="715" t="s">
        <v>7806</v>
      </c>
      <c r="P1730" s="501" t="s">
        <v>1588</v>
      </c>
      <c r="Q1730" s="852">
        <v>0</v>
      </c>
      <c r="R1730" s="852">
        <v>0</v>
      </c>
      <c r="S1730" s="852">
        <v>0</v>
      </c>
      <c r="T1730" s="852">
        <v>0</v>
      </c>
      <c r="U1730" s="501" t="s">
        <v>7769</v>
      </c>
      <c r="V1730" s="501" t="s">
        <v>7807</v>
      </c>
      <c r="W1730" s="498">
        <v>560</v>
      </c>
      <c r="X1730" s="501" t="s">
        <v>2199</v>
      </c>
      <c r="Y1730" s="501" t="s">
        <v>6967</v>
      </c>
      <c r="Z1730" s="501" t="s">
        <v>7774</v>
      </c>
      <c r="AA1730" s="501" t="s">
        <v>1786</v>
      </c>
      <c r="AB1730" s="502" t="s">
        <v>1589</v>
      </c>
    </row>
    <row r="1731" spans="1:28" ht="24" customHeight="1">
      <c r="A1731" s="584"/>
      <c r="B1731" s="460" t="s">
        <v>675</v>
      </c>
      <c r="C1731" s="458" t="s">
        <v>2397</v>
      </c>
      <c r="D1731" s="510" t="s">
        <v>7808</v>
      </c>
      <c r="E1731" s="653">
        <f>SUM(F1731:H1731)</f>
        <v>45</v>
      </c>
      <c r="F1731" s="653">
        <v>0</v>
      </c>
      <c r="G1731" s="653">
        <v>45</v>
      </c>
      <c r="H1731" s="653">
        <v>0</v>
      </c>
      <c r="I1731" s="498">
        <f>SUM(J1731:L1731)</f>
        <v>45.6</v>
      </c>
      <c r="J1731" s="498">
        <v>0</v>
      </c>
      <c r="K1731" s="498">
        <v>45.6</v>
      </c>
      <c r="L1731" s="668">
        <v>0</v>
      </c>
      <c r="M1731" s="956">
        <v>0.94599999999999995</v>
      </c>
      <c r="N1731" s="653">
        <v>3.4</v>
      </c>
      <c r="O1731" s="715" t="s">
        <v>7809</v>
      </c>
      <c r="P1731" s="501" t="s">
        <v>1588</v>
      </c>
      <c r="Q1731" s="852">
        <v>0</v>
      </c>
      <c r="R1731" s="852">
        <v>0</v>
      </c>
      <c r="S1731" s="852">
        <v>0</v>
      </c>
      <c r="T1731" s="852">
        <v>0</v>
      </c>
      <c r="U1731" s="501" t="s">
        <v>7794</v>
      </c>
      <c r="V1731" s="501" t="s">
        <v>7810</v>
      </c>
      <c r="W1731" s="498">
        <v>744</v>
      </c>
      <c r="X1731" s="501" t="s">
        <v>2244</v>
      </c>
      <c r="Y1731" s="501" t="s">
        <v>7811</v>
      </c>
      <c r="Z1731" s="501" t="s">
        <v>7812</v>
      </c>
      <c r="AA1731" s="501" t="s">
        <v>744</v>
      </c>
      <c r="AB1731" s="502" t="s">
        <v>1767</v>
      </c>
    </row>
    <row r="1732" spans="1:28" ht="24" customHeight="1">
      <c r="A1732" s="584"/>
      <c r="B1732" s="460" t="s">
        <v>675</v>
      </c>
      <c r="C1732" s="458" t="s">
        <v>7813</v>
      </c>
      <c r="D1732" s="510" t="s">
        <v>7814</v>
      </c>
      <c r="E1732" s="653">
        <f>SUM(F1732:H1732)</f>
        <v>45</v>
      </c>
      <c r="F1732" s="653">
        <v>0</v>
      </c>
      <c r="G1732" s="653">
        <v>45</v>
      </c>
      <c r="H1732" s="653">
        <v>0</v>
      </c>
      <c r="I1732" s="498">
        <f>SUM(J1732:L1732)</f>
        <v>54.2</v>
      </c>
      <c r="J1732" s="498">
        <v>0</v>
      </c>
      <c r="K1732" s="498">
        <v>54.2</v>
      </c>
      <c r="L1732" s="668">
        <v>0</v>
      </c>
      <c r="M1732" s="956">
        <v>0.96099999999999997</v>
      </c>
      <c r="N1732" s="653">
        <v>7.7</v>
      </c>
      <c r="O1732" s="715" t="s">
        <v>7815</v>
      </c>
      <c r="P1732" s="501" t="s">
        <v>1588</v>
      </c>
      <c r="Q1732" s="852">
        <v>0</v>
      </c>
      <c r="R1732" s="852">
        <v>0</v>
      </c>
      <c r="S1732" s="852">
        <v>0</v>
      </c>
      <c r="T1732" s="852">
        <v>0</v>
      </c>
      <c r="U1732" s="501" t="s">
        <v>7794</v>
      </c>
      <c r="V1732" s="501" t="s">
        <v>7816</v>
      </c>
      <c r="W1732" s="498">
        <v>799</v>
      </c>
      <c r="X1732" s="501" t="s">
        <v>2244</v>
      </c>
      <c r="Y1732" s="501" t="s">
        <v>7811</v>
      </c>
      <c r="Z1732" s="501" t="s">
        <v>7812</v>
      </c>
      <c r="AA1732" s="501" t="s">
        <v>744</v>
      </c>
      <c r="AB1732" s="502" t="s">
        <v>1767</v>
      </c>
    </row>
    <row r="1733" spans="1:28" ht="24" customHeight="1">
      <c r="A1733" s="583"/>
      <c r="B1733" s="460" t="s">
        <v>675</v>
      </c>
      <c r="C1733" s="458" t="s">
        <v>7817</v>
      </c>
      <c r="D1733" s="510" t="s">
        <v>7818</v>
      </c>
      <c r="E1733" s="653">
        <f>SUM(F1733:H1733)</f>
        <v>40</v>
      </c>
      <c r="F1733" s="653">
        <v>0</v>
      </c>
      <c r="G1733" s="653">
        <v>40</v>
      </c>
      <c r="H1733" s="653">
        <v>0</v>
      </c>
      <c r="I1733" s="498">
        <f>SUM(J1733:L1733)</f>
        <v>8.5</v>
      </c>
      <c r="J1733" s="498">
        <v>0</v>
      </c>
      <c r="K1733" s="498">
        <v>8.5</v>
      </c>
      <c r="L1733" s="668">
        <v>0</v>
      </c>
      <c r="M1733" s="956">
        <v>0.92900000000000005</v>
      </c>
      <c r="N1733" s="653">
        <v>0.6</v>
      </c>
      <c r="O1733" s="715" t="s">
        <v>7806</v>
      </c>
      <c r="P1733" s="501" t="s">
        <v>1588</v>
      </c>
      <c r="Q1733" s="852">
        <v>0</v>
      </c>
      <c r="R1733" s="852">
        <v>0</v>
      </c>
      <c r="S1733" s="852">
        <v>0</v>
      </c>
      <c r="T1733" s="852">
        <v>0</v>
      </c>
      <c r="U1733" s="501" t="s">
        <v>7794</v>
      </c>
      <c r="V1733" s="501" t="s">
        <v>7819</v>
      </c>
      <c r="W1733" s="498">
        <v>888</v>
      </c>
      <c r="X1733" s="501" t="s">
        <v>2244</v>
      </c>
      <c r="Y1733" s="501" t="s">
        <v>7811</v>
      </c>
      <c r="Z1733" s="501" t="s">
        <v>7820</v>
      </c>
      <c r="AA1733" s="501" t="s">
        <v>744</v>
      </c>
      <c r="AB1733" s="502" t="s">
        <v>1767</v>
      </c>
    </row>
    <row r="1734" spans="1:28" ht="24" customHeight="1">
      <c r="A1734" s="583" t="s">
        <v>1616</v>
      </c>
      <c r="B1734" s="458" t="s">
        <v>6046</v>
      </c>
      <c r="C1734" s="579"/>
      <c r="D1734" s="579"/>
      <c r="E1734" s="498" t="s">
        <v>6253</v>
      </c>
      <c r="F1734" s="498">
        <v>0</v>
      </c>
      <c r="G1734" s="498" t="s">
        <v>6254</v>
      </c>
      <c r="H1734" s="498" t="s">
        <v>6255</v>
      </c>
      <c r="I1734" s="498" t="s">
        <v>6256</v>
      </c>
      <c r="J1734" s="498">
        <v>0</v>
      </c>
      <c r="K1734" s="498" t="s">
        <v>6257</v>
      </c>
      <c r="L1734" s="668" t="s">
        <v>6258</v>
      </c>
      <c r="M1734" s="956"/>
      <c r="N1734" s="498" t="s">
        <v>6259</v>
      </c>
      <c r="O1734" s="669" t="s">
        <v>1588</v>
      </c>
      <c r="P1734" s="463" t="s">
        <v>1588</v>
      </c>
      <c r="Q1734" s="852">
        <f>SUM(Q1735:Q1809)</f>
        <v>253.50000000000003</v>
      </c>
      <c r="R1734" s="852">
        <f>SUM(R1735:R1809)</f>
        <v>0</v>
      </c>
      <c r="S1734" s="852">
        <f>SUM(S1735:S1809)</f>
        <v>10</v>
      </c>
      <c r="T1734" s="852">
        <f>SUM(T1735:T1809)</f>
        <v>9</v>
      </c>
      <c r="U1734" s="463"/>
      <c r="V1734" s="463"/>
      <c r="W1734" s="498">
        <f>SUM(W1735:W1809)</f>
        <v>328883.84999999998</v>
      </c>
      <c r="X1734" s="463"/>
      <c r="Y1734" s="463"/>
      <c r="Z1734" s="463"/>
      <c r="AA1734" s="463"/>
      <c r="AB1734" s="459"/>
    </row>
    <row r="1735" spans="1:28" ht="24" customHeight="1">
      <c r="A1735" s="582" t="s">
        <v>1908</v>
      </c>
      <c r="B1735" s="460" t="s">
        <v>1935</v>
      </c>
      <c r="C1735" s="458"/>
      <c r="D1735" s="510"/>
      <c r="E1735" s="498">
        <v>0</v>
      </c>
      <c r="F1735" s="498">
        <v>0</v>
      </c>
      <c r="G1735" s="498">
        <v>0</v>
      </c>
      <c r="H1735" s="498">
        <v>0</v>
      </c>
      <c r="I1735" s="498">
        <v>0</v>
      </c>
      <c r="J1735" s="498">
        <v>0</v>
      </c>
      <c r="K1735" s="498">
        <v>0</v>
      </c>
      <c r="L1735" s="668">
        <v>0</v>
      </c>
      <c r="M1735" s="956"/>
      <c r="N1735" s="653">
        <v>0</v>
      </c>
      <c r="O1735" s="715" t="s">
        <v>1588</v>
      </c>
      <c r="P1735" s="501" t="s">
        <v>1588</v>
      </c>
      <c r="Q1735" s="852">
        <v>0</v>
      </c>
      <c r="R1735" s="852">
        <v>0</v>
      </c>
      <c r="S1735" s="852">
        <v>0</v>
      </c>
      <c r="T1735" s="852">
        <v>0</v>
      </c>
      <c r="U1735" s="501"/>
      <c r="V1735" s="501"/>
      <c r="W1735" s="498"/>
      <c r="X1735" s="501"/>
      <c r="Y1735" s="501"/>
      <c r="Z1735" s="501"/>
      <c r="AA1735" s="501"/>
      <c r="AB1735" s="502"/>
    </row>
    <row r="1736" spans="1:28" ht="24" customHeight="1">
      <c r="A1736" s="582" t="s">
        <v>1909</v>
      </c>
      <c r="B1736" s="460" t="s">
        <v>2201</v>
      </c>
      <c r="C1736" s="458" t="s">
        <v>2334</v>
      </c>
      <c r="D1736" s="510" t="s">
        <v>7821</v>
      </c>
      <c r="E1736" s="498">
        <f t="shared" ref="E1736:E1741" si="116">SUM(F1736:H1736)</f>
        <v>8000</v>
      </c>
      <c r="F1736" s="498">
        <v>0</v>
      </c>
      <c r="G1736" s="498">
        <v>0</v>
      </c>
      <c r="H1736" s="498">
        <v>8000</v>
      </c>
      <c r="I1736" s="498">
        <f t="shared" ref="I1736:I1741" si="117">J1736+K1736+L1736</f>
        <v>11484</v>
      </c>
      <c r="J1736" s="498">
        <v>0</v>
      </c>
      <c r="K1736" s="498">
        <v>0</v>
      </c>
      <c r="L1736" s="668">
        <f>11455+Q1736</f>
        <v>11484</v>
      </c>
      <c r="M1736" s="956">
        <v>0.98076618547348715</v>
      </c>
      <c r="N1736" s="653">
        <v>2244.7259658452285</v>
      </c>
      <c r="O1736" s="715" t="s">
        <v>7822</v>
      </c>
      <c r="P1736" s="501" t="s">
        <v>1588</v>
      </c>
      <c r="Q1736" s="852">
        <v>29</v>
      </c>
      <c r="R1736" s="852">
        <v>0</v>
      </c>
      <c r="S1736" s="852">
        <v>0</v>
      </c>
      <c r="T1736" s="852">
        <v>0</v>
      </c>
      <c r="U1736" s="501" t="s">
        <v>2457</v>
      </c>
      <c r="V1736" s="501" t="s">
        <v>2289</v>
      </c>
      <c r="W1736" s="498">
        <v>22050</v>
      </c>
      <c r="X1736" s="501" t="s">
        <v>2199</v>
      </c>
      <c r="Y1736" s="501" t="s">
        <v>3336</v>
      </c>
      <c r="Z1736" s="501" t="s">
        <v>1602</v>
      </c>
      <c r="AA1736" s="501" t="s">
        <v>1589</v>
      </c>
      <c r="AB1736" s="502" t="s">
        <v>1589</v>
      </c>
    </row>
    <row r="1737" spans="1:28" ht="24" customHeight="1">
      <c r="A1737" s="584"/>
      <c r="B1737" s="460" t="s">
        <v>2201</v>
      </c>
      <c r="C1737" s="458" t="s">
        <v>289</v>
      </c>
      <c r="D1737" s="510" t="s">
        <v>7823</v>
      </c>
      <c r="E1737" s="498">
        <f t="shared" si="116"/>
        <v>2600</v>
      </c>
      <c r="F1737" s="498">
        <v>0</v>
      </c>
      <c r="G1737" s="498">
        <v>0</v>
      </c>
      <c r="H1737" s="498">
        <v>2600</v>
      </c>
      <c r="I1737" s="498">
        <f t="shared" si="117"/>
        <v>1517</v>
      </c>
      <c r="J1737" s="498">
        <v>0</v>
      </c>
      <c r="K1737" s="498">
        <v>0</v>
      </c>
      <c r="L1737" s="668">
        <v>1517</v>
      </c>
      <c r="M1737" s="956">
        <v>0.98461538461538467</v>
      </c>
      <c r="N1737" s="653">
        <v>126.21440000000001</v>
      </c>
      <c r="O1737" s="715" t="s">
        <v>3347</v>
      </c>
      <c r="P1737" s="501" t="s">
        <v>1588</v>
      </c>
      <c r="Q1737" s="852">
        <v>0</v>
      </c>
      <c r="R1737" s="852">
        <v>0</v>
      </c>
      <c r="S1737" s="852">
        <v>0</v>
      </c>
      <c r="T1737" s="852">
        <v>0</v>
      </c>
      <c r="U1737" s="501" t="s">
        <v>2457</v>
      </c>
      <c r="V1737" s="501" t="s">
        <v>7824</v>
      </c>
      <c r="W1737" s="498">
        <v>12840</v>
      </c>
      <c r="X1737" s="501" t="s">
        <v>2199</v>
      </c>
      <c r="Y1737" s="501" t="s">
        <v>3336</v>
      </c>
      <c r="Z1737" s="501" t="s">
        <v>1910</v>
      </c>
      <c r="AA1737" s="501" t="s">
        <v>1589</v>
      </c>
      <c r="AB1737" s="502" t="s">
        <v>1589</v>
      </c>
    </row>
    <row r="1738" spans="1:28" ht="24" customHeight="1">
      <c r="A1738" s="584"/>
      <c r="B1738" s="460" t="s">
        <v>675</v>
      </c>
      <c r="C1738" s="718" t="s">
        <v>7825</v>
      </c>
      <c r="D1738" s="510" t="s">
        <v>7826</v>
      </c>
      <c r="E1738" s="498">
        <f t="shared" si="116"/>
        <v>60</v>
      </c>
      <c r="F1738" s="498">
        <v>0</v>
      </c>
      <c r="G1738" s="498">
        <v>60</v>
      </c>
      <c r="H1738" s="498">
        <v>0</v>
      </c>
      <c r="I1738" s="498">
        <f t="shared" si="117"/>
        <v>14</v>
      </c>
      <c r="J1738" s="498">
        <v>0</v>
      </c>
      <c r="K1738" s="498">
        <v>14</v>
      </c>
      <c r="L1738" s="668">
        <v>0</v>
      </c>
      <c r="M1738" s="956">
        <v>0.90900000000000003</v>
      </c>
      <c r="N1738" s="653">
        <v>0.40320210000000001</v>
      </c>
      <c r="O1738" s="715" t="s">
        <v>7827</v>
      </c>
      <c r="P1738" s="501" t="s">
        <v>1588</v>
      </c>
      <c r="Q1738" s="852">
        <v>0</v>
      </c>
      <c r="R1738" s="852">
        <v>0</v>
      </c>
      <c r="S1738" s="852">
        <v>0</v>
      </c>
      <c r="T1738" s="852">
        <v>0</v>
      </c>
      <c r="U1738" s="501" t="s">
        <v>2457</v>
      </c>
      <c r="V1738" s="501" t="s">
        <v>7828</v>
      </c>
      <c r="W1738" s="498">
        <v>400</v>
      </c>
      <c r="X1738" s="501" t="s">
        <v>2199</v>
      </c>
      <c r="Y1738" s="501" t="s">
        <v>3232</v>
      </c>
      <c r="Z1738" s="501" t="s">
        <v>1910</v>
      </c>
      <c r="AA1738" s="501" t="s">
        <v>1589</v>
      </c>
      <c r="AB1738" s="502" t="s">
        <v>1589</v>
      </c>
    </row>
    <row r="1739" spans="1:28" ht="24" customHeight="1">
      <c r="A1739" s="584"/>
      <c r="B1739" s="460" t="s">
        <v>675</v>
      </c>
      <c r="C1739" s="458" t="s">
        <v>907</v>
      </c>
      <c r="D1739" s="510" t="s">
        <v>7829</v>
      </c>
      <c r="E1739" s="498">
        <f t="shared" si="116"/>
        <v>130</v>
      </c>
      <c r="F1739" s="498">
        <v>0</v>
      </c>
      <c r="G1739" s="498">
        <v>130</v>
      </c>
      <c r="H1739" s="498">
        <v>0</v>
      </c>
      <c r="I1739" s="498">
        <f t="shared" si="117"/>
        <v>108</v>
      </c>
      <c r="J1739" s="498">
        <v>0</v>
      </c>
      <c r="K1739" s="498">
        <v>108</v>
      </c>
      <c r="L1739" s="668">
        <v>0</v>
      </c>
      <c r="M1739" s="968">
        <v>0.9</v>
      </c>
      <c r="N1739" s="653">
        <v>7.0275599999999994</v>
      </c>
      <c r="O1739" s="715" t="s">
        <v>5122</v>
      </c>
      <c r="P1739" s="501" t="s">
        <v>1588</v>
      </c>
      <c r="Q1739" s="852">
        <v>0</v>
      </c>
      <c r="R1739" s="852">
        <v>0</v>
      </c>
      <c r="S1739" s="852">
        <v>0</v>
      </c>
      <c r="T1739" s="852">
        <v>0</v>
      </c>
      <c r="U1739" s="501" t="s">
        <v>7499</v>
      </c>
      <c r="V1739" s="501" t="s">
        <v>7830</v>
      </c>
      <c r="W1739" s="498">
        <v>400</v>
      </c>
      <c r="X1739" s="501" t="s">
        <v>2193</v>
      </c>
      <c r="Y1739" s="501" t="s">
        <v>3232</v>
      </c>
      <c r="Z1739" s="501" t="s">
        <v>1910</v>
      </c>
      <c r="AA1739" s="501" t="s">
        <v>1589</v>
      </c>
      <c r="AB1739" s="502" t="s">
        <v>1589</v>
      </c>
    </row>
    <row r="1740" spans="1:28" ht="24" customHeight="1">
      <c r="A1740" s="582" t="s">
        <v>1912</v>
      </c>
      <c r="B1740" s="460" t="s">
        <v>675</v>
      </c>
      <c r="C1740" s="458" t="s">
        <v>7831</v>
      </c>
      <c r="D1740" s="510" t="s">
        <v>7832</v>
      </c>
      <c r="E1740" s="498">
        <f t="shared" si="116"/>
        <v>150</v>
      </c>
      <c r="F1740" s="498">
        <v>0</v>
      </c>
      <c r="G1740" s="498">
        <v>150</v>
      </c>
      <c r="H1740" s="498">
        <v>0</v>
      </c>
      <c r="I1740" s="498">
        <f t="shared" si="117"/>
        <v>150</v>
      </c>
      <c r="J1740" s="498">
        <v>0</v>
      </c>
      <c r="K1740" s="498">
        <v>150</v>
      </c>
      <c r="L1740" s="668">
        <v>0</v>
      </c>
      <c r="M1740" s="956">
        <v>0</v>
      </c>
      <c r="N1740" s="653">
        <v>0</v>
      </c>
      <c r="O1740" s="715" t="s">
        <v>7833</v>
      </c>
      <c r="P1740" s="501" t="s">
        <v>1588</v>
      </c>
      <c r="Q1740" s="852">
        <v>0</v>
      </c>
      <c r="R1740" s="852">
        <v>0</v>
      </c>
      <c r="S1740" s="852">
        <v>0</v>
      </c>
      <c r="T1740" s="852">
        <v>0</v>
      </c>
      <c r="U1740" s="501" t="s">
        <v>7834</v>
      </c>
      <c r="V1740" s="566" t="s">
        <v>7835</v>
      </c>
      <c r="W1740" s="498">
        <v>600</v>
      </c>
      <c r="X1740" s="501" t="s">
        <v>2193</v>
      </c>
      <c r="Y1740" s="501" t="s">
        <v>1935</v>
      </c>
      <c r="Z1740" s="501" t="s">
        <v>2335</v>
      </c>
      <c r="AA1740" s="501" t="s">
        <v>2336</v>
      </c>
      <c r="AB1740" s="502" t="s">
        <v>1589</v>
      </c>
    </row>
    <row r="1741" spans="1:28" ht="24" customHeight="1">
      <c r="A1741" s="584"/>
      <c r="B1741" s="460" t="s">
        <v>675</v>
      </c>
      <c r="C1741" s="458" t="s">
        <v>7836</v>
      </c>
      <c r="D1741" s="510" t="s">
        <v>7837</v>
      </c>
      <c r="E1741" s="498">
        <f t="shared" si="116"/>
        <v>30</v>
      </c>
      <c r="F1741" s="498">
        <v>0</v>
      </c>
      <c r="G1741" s="498">
        <v>30</v>
      </c>
      <c r="H1741" s="498">
        <v>0</v>
      </c>
      <c r="I1741" s="498">
        <f t="shared" si="117"/>
        <v>30</v>
      </c>
      <c r="J1741" s="498">
        <v>0</v>
      </c>
      <c r="K1741" s="498">
        <v>30</v>
      </c>
      <c r="L1741" s="668">
        <v>0</v>
      </c>
      <c r="M1741" s="956">
        <v>0</v>
      </c>
      <c r="N1741" s="653">
        <v>0</v>
      </c>
      <c r="O1741" s="715" t="s">
        <v>7838</v>
      </c>
      <c r="P1741" s="501" t="s">
        <v>1588</v>
      </c>
      <c r="Q1741" s="852">
        <v>0</v>
      </c>
      <c r="R1741" s="852">
        <v>0</v>
      </c>
      <c r="S1741" s="852">
        <v>0</v>
      </c>
      <c r="T1741" s="852">
        <v>0</v>
      </c>
      <c r="U1741" s="501" t="s">
        <v>7834</v>
      </c>
      <c r="V1741" s="566" t="s">
        <v>7839</v>
      </c>
      <c r="W1741" s="498">
        <v>200</v>
      </c>
      <c r="X1741" s="501" t="s">
        <v>2193</v>
      </c>
      <c r="Y1741" s="501" t="s">
        <v>1935</v>
      </c>
      <c r="Z1741" s="501" t="s">
        <v>1914</v>
      </c>
      <c r="AA1741" s="501" t="s">
        <v>2336</v>
      </c>
      <c r="AB1741" s="502" t="s">
        <v>1589</v>
      </c>
    </row>
    <row r="1742" spans="1:28" ht="24" customHeight="1">
      <c r="A1742" s="582" t="s">
        <v>1913</v>
      </c>
      <c r="B1742" s="460" t="s">
        <v>675</v>
      </c>
      <c r="C1742" s="458" t="s">
        <v>7840</v>
      </c>
      <c r="D1742" s="510" t="s">
        <v>7841</v>
      </c>
      <c r="E1742" s="498">
        <f t="shared" ref="E1742:E1747" si="118">SUM(F1742:H1742)</f>
        <v>30</v>
      </c>
      <c r="F1742" s="498">
        <v>0</v>
      </c>
      <c r="G1742" s="498">
        <v>30</v>
      </c>
      <c r="H1742" s="498">
        <v>0</v>
      </c>
      <c r="I1742" s="498">
        <f t="shared" ref="I1742:I1785" si="119">SUM(J1742:L1742)</f>
        <v>14</v>
      </c>
      <c r="J1742" s="498" t="s">
        <v>1588</v>
      </c>
      <c r="K1742" s="498">
        <v>14</v>
      </c>
      <c r="L1742" s="668" t="s">
        <v>1588</v>
      </c>
      <c r="M1742" s="956">
        <v>0</v>
      </c>
      <c r="N1742" s="653">
        <v>0</v>
      </c>
      <c r="O1742" s="715" t="s">
        <v>7842</v>
      </c>
      <c r="P1742" s="501" t="s">
        <v>1588</v>
      </c>
      <c r="Q1742" s="852">
        <v>0</v>
      </c>
      <c r="R1742" s="852">
        <v>0</v>
      </c>
      <c r="S1742" s="852">
        <v>0</v>
      </c>
      <c r="T1742" s="852">
        <v>0</v>
      </c>
      <c r="U1742" s="501" t="s">
        <v>7500</v>
      </c>
      <c r="V1742" s="566" t="s">
        <v>7843</v>
      </c>
      <c r="W1742" s="498">
        <v>173</v>
      </c>
      <c r="X1742" s="501" t="s">
        <v>2193</v>
      </c>
      <c r="Y1742" s="501" t="s">
        <v>1588</v>
      </c>
      <c r="Z1742" s="501" t="s">
        <v>1914</v>
      </c>
      <c r="AA1742" s="501" t="s">
        <v>1589</v>
      </c>
      <c r="AB1742" s="502" t="s">
        <v>1589</v>
      </c>
    </row>
    <row r="1743" spans="1:28" ht="24" customHeight="1">
      <c r="A1743" s="584"/>
      <c r="B1743" s="460" t="s">
        <v>675</v>
      </c>
      <c r="C1743" s="458" t="s">
        <v>7844</v>
      </c>
      <c r="D1743" s="510" t="s">
        <v>7845</v>
      </c>
      <c r="E1743" s="498">
        <f t="shared" si="118"/>
        <v>30</v>
      </c>
      <c r="F1743" s="498">
        <v>0</v>
      </c>
      <c r="G1743" s="498">
        <v>30</v>
      </c>
      <c r="H1743" s="498">
        <v>0</v>
      </c>
      <c r="I1743" s="498">
        <f t="shared" si="119"/>
        <v>13</v>
      </c>
      <c r="J1743" s="498" t="s">
        <v>1588</v>
      </c>
      <c r="K1743" s="498">
        <v>13</v>
      </c>
      <c r="L1743" s="668" t="s">
        <v>1588</v>
      </c>
      <c r="M1743" s="956">
        <v>0</v>
      </c>
      <c r="N1743" s="653">
        <v>0</v>
      </c>
      <c r="O1743" s="715" t="s">
        <v>3221</v>
      </c>
      <c r="P1743" s="501" t="s">
        <v>1588</v>
      </c>
      <c r="Q1743" s="852">
        <v>0</v>
      </c>
      <c r="R1743" s="852">
        <v>0</v>
      </c>
      <c r="S1743" s="852">
        <v>0</v>
      </c>
      <c r="T1743" s="852">
        <v>0</v>
      </c>
      <c r="U1743" s="501" t="s">
        <v>7500</v>
      </c>
      <c r="V1743" s="566" t="s">
        <v>2360</v>
      </c>
      <c r="W1743" s="498">
        <v>95</v>
      </c>
      <c r="X1743" s="501" t="s">
        <v>2193</v>
      </c>
      <c r="Y1743" s="501" t="s">
        <v>1588</v>
      </c>
      <c r="Z1743" s="501" t="s">
        <v>1914</v>
      </c>
      <c r="AA1743" s="501" t="s">
        <v>1589</v>
      </c>
      <c r="AB1743" s="502" t="s">
        <v>1589</v>
      </c>
    </row>
    <row r="1744" spans="1:28" ht="24" customHeight="1">
      <c r="A1744" s="584"/>
      <c r="B1744" s="460" t="s">
        <v>675</v>
      </c>
      <c r="C1744" s="458" t="s">
        <v>7846</v>
      </c>
      <c r="D1744" s="510" t="s">
        <v>7847</v>
      </c>
      <c r="E1744" s="498">
        <f t="shared" si="118"/>
        <v>20</v>
      </c>
      <c r="F1744" s="498">
        <v>0</v>
      </c>
      <c r="G1744" s="498">
        <v>20</v>
      </c>
      <c r="H1744" s="498">
        <v>0</v>
      </c>
      <c r="I1744" s="498">
        <f t="shared" si="119"/>
        <v>13</v>
      </c>
      <c r="J1744" s="498" t="s">
        <v>1588</v>
      </c>
      <c r="K1744" s="498">
        <v>13</v>
      </c>
      <c r="L1744" s="668" t="s">
        <v>1588</v>
      </c>
      <c r="M1744" s="956">
        <v>0</v>
      </c>
      <c r="N1744" s="653">
        <v>0</v>
      </c>
      <c r="O1744" s="715" t="s">
        <v>7725</v>
      </c>
      <c r="P1744" s="501" t="s">
        <v>1588</v>
      </c>
      <c r="Q1744" s="852">
        <v>0</v>
      </c>
      <c r="R1744" s="852">
        <v>0</v>
      </c>
      <c r="S1744" s="852">
        <v>0</v>
      </c>
      <c r="T1744" s="852">
        <v>0</v>
      </c>
      <c r="U1744" s="501" t="s">
        <v>7500</v>
      </c>
      <c r="V1744" s="566" t="s">
        <v>7848</v>
      </c>
      <c r="W1744" s="498">
        <v>126</v>
      </c>
      <c r="X1744" s="501" t="s">
        <v>2193</v>
      </c>
      <c r="Y1744" s="501" t="s">
        <v>1588</v>
      </c>
      <c r="Z1744" s="501" t="s">
        <v>1914</v>
      </c>
      <c r="AA1744" s="501" t="s">
        <v>1914</v>
      </c>
      <c r="AB1744" s="502" t="s">
        <v>1589</v>
      </c>
    </row>
    <row r="1745" spans="1:28" ht="24" customHeight="1">
      <c r="A1745" s="584"/>
      <c r="B1745" s="460" t="s">
        <v>675</v>
      </c>
      <c r="C1745" s="458" t="s">
        <v>7849</v>
      </c>
      <c r="D1745" s="510" t="s">
        <v>7850</v>
      </c>
      <c r="E1745" s="498">
        <f t="shared" si="118"/>
        <v>50</v>
      </c>
      <c r="F1745" s="498">
        <v>0</v>
      </c>
      <c r="G1745" s="498">
        <v>50</v>
      </c>
      <c r="H1745" s="498">
        <v>0</v>
      </c>
      <c r="I1745" s="498">
        <f t="shared" si="119"/>
        <v>16</v>
      </c>
      <c r="J1745" s="498" t="s">
        <v>1588</v>
      </c>
      <c r="K1745" s="498">
        <v>16</v>
      </c>
      <c r="L1745" s="668" t="s">
        <v>1588</v>
      </c>
      <c r="M1745" s="956">
        <v>0</v>
      </c>
      <c r="N1745" s="653">
        <v>0</v>
      </c>
      <c r="O1745" s="715" t="s">
        <v>3221</v>
      </c>
      <c r="P1745" s="501" t="s">
        <v>1588</v>
      </c>
      <c r="Q1745" s="852">
        <v>0</v>
      </c>
      <c r="R1745" s="852">
        <v>0</v>
      </c>
      <c r="S1745" s="852">
        <v>0</v>
      </c>
      <c r="T1745" s="852">
        <v>0</v>
      </c>
      <c r="U1745" s="501" t="s">
        <v>7500</v>
      </c>
      <c r="V1745" s="566" t="s">
        <v>7843</v>
      </c>
      <c r="W1745" s="498">
        <v>103</v>
      </c>
      <c r="X1745" s="501" t="s">
        <v>2193</v>
      </c>
      <c r="Y1745" s="501" t="s">
        <v>3232</v>
      </c>
      <c r="Z1745" s="501" t="s">
        <v>7851</v>
      </c>
      <c r="AA1745" s="501" t="s">
        <v>1914</v>
      </c>
      <c r="AB1745" s="502" t="s">
        <v>1589</v>
      </c>
    </row>
    <row r="1746" spans="1:28" ht="24" customHeight="1">
      <c r="A1746" s="584"/>
      <c r="B1746" s="460" t="s">
        <v>675</v>
      </c>
      <c r="C1746" s="458" t="s">
        <v>7852</v>
      </c>
      <c r="D1746" s="510" t="s">
        <v>7853</v>
      </c>
      <c r="E1746" s="498">
        <f t="shared" si="118"/>
        <v>30</v>
      </c>
      <c r="F1746" s="498">
        <v>0</v>
      </c>
      <c r="G1746" s="498">
        <v>30</v>
      </c>
      <c r="H1746" s="498">
        <v>0</v>
      </c>
      <c r="I1746" s="498">
        <f t="shared" si="119"/>
        <v>14</v>
      </c>
      <c r="J1746" s="498" t="s">
        <v>1588</v>
      </c>
      <c r="K1746" s="498">
        <v>14</v>
      </c>
      <c r="L1746" s="668" t="s">
        <v>1588</v>
      </c>
      <c r="M1746" s="956">
        <v>0</v>
      </c>
      <c r="N1746" s="653">
        <v>0</v>
      </c>
      <c r="O1746" s="715" t="s">
        <v>7854</v>
      </c>
      <c r="P1746" s="501" t="s">
        <v>1588</v>
      </c>
      <c r="Q1746" s="852">
        <v>0</v>
      </c>
      <c r="R1746" s="852">
        <v>0</v>
      </c>
      <c r="S1746" s="852">
        <v>0</v>
      </c>
      <c r="T1746" s="852">
        <v>0</v>
      </c>
      <c r="U1746" s="501" t="s">
        <v>7500</v>
      </c>
      <c r="V1746" s="566" t="s">
        <v>7843</v>
      </c>
      <c r="W1746" s="498">
        <v>188</v>
      </c>
      <c r="X1746" s="501" t="s">
        <v>2193</v>
      </c>
      <c r="Y1746" s="501" t="s">
        <v>1588</v>
      </c>
      <c r="Z1746" s="478" t="s">
        <v>7855</v>
      </c>
      <c r="AA1746" s="501" t="s">
        <v>1916</v>
      </c>
      <c r="AB1746" s="502" t="s">
        <v>1536</v>
      </c>
    </row>
    <row r="1747" spans="1:28" ht="24" customHeight="1">
      <c r="A1747" s="584"/>
      <c r="B1747" s="460" t="s">
        <v>675</v>
      </c>
      <c r="C1747" s="458" t="s">
        <v>7856</v>
      </c>
      <c r="D1747" s="510" t="s">
        <v>7857</v>
      </c>
      <c r="E1747" s="498">
        <f t="shared" si="118"/>
        <v>50</v>
      </c>
      <c r="F1747" s="498">
        <v>0</v>
      </c>
      <c r="G1747" s="498">
        <v>50</v>
      </c>
      <c r="H1747" s="498">
        <v>0</v>
      </c>
      <c r="I1747" s="498">
        <f t="shared" si="119"/>
        <v>0</v>
      </c>
      <c r="J1747" s="498" t="s">
        <v>1588</v>
      </c>
      <c r="K1747" s="498">
        <v>0</v>
      </c>
      <c r="L1747" s="668" t="s">
        <v>1588</v>
      </c>
      <c r="M1747" s="956">
        <v>0</v>
      </c>
      <c r="N1747" s="653">
        <v>0</v>
      </c>
      <c r="O1747" s="715" t="s">
        <v>7858</v>
      </c>
      <c r="P1747" s="501" t="s">
        <v>1588</v>
      </c>
      <c r="Q1747" s="852">
        <v>0</v>
      </c>
      <c r="R1747" s="852">
        <v>0</v>
      </c>
      <c r="S1747" s="852">
        <v>0</v>
      </c>
      <c r="T1747" s="852">
        <v>0</v>
      </c>
      <c r="U1747" s="501" t="s">
        <v>7500</v>
      </c>
      <c r="V1747" s="501"/>
      <c r="W1747" s="498">
        <v>400</v>
      </c>
      <c r="X1747" s="501"/>
      <c r="Y1747" s="501"/>
      <c r="Z1747" s="501" t="s">
        <v>7859</v>
      </c>
      <c r="AA1747" s="501" t="s">
        <v>1914</v>
      </c>
      <c r="AB1747" s="502" t="s">
        <v>1589</v>
      </c>
    </row>
    <row r="1748" spans="1:28" ht="24" customHeight="1">
      <c r="A1748" s="582" t="s">
        <v>1917</v>
      </c>
      <c r="B1748" s="460" t="s">
        <v>2201</v>
      </c>
      <c r="C1748" s="458" t="s">
        <v>2041</v>
      </c>
      <c r="D1748" s="510" t="s">
        <v>7860</v>
      </c>
      <c r="E1748" s="498">
        <f t="shared" ref="E1748:E1772" si="120">SUM(F1748:H1748)</f>
        <v>13000</v>
      </c>
      <c r="F1748" s="498">
        <v>0</v>
      </c>
      <c r="G1748" s="498">
        <v>13000</v>
      </c>
      <c r="H1748" s="498">
        <v>0</v>
      </c>
      <c r="I1748" s="498">
        <f t="shared" si="119"/>
        <v>11168</v>
      </c>
      <c r="J1748" s="498">
        <v>0</v>
      </c>
      <c r="K1748" s="498">
        <v>11168</v>
      </c>
      <c r="L1748" s="668">
        <v>0</v>
      </c>
      <c r="M1748" s="956">
        <v>0.98784530386740299</v>
      </c>
      <c r="N1748" s="653">
        <v>998.41919999999971</v>
      </c>
      <c r="O1748" s="715" t="s">
        <v>1535</v>
      </c>
      <c r="P1748" s="501" t="s">
        <v>1588</v>
      </c>
      <c r="Q1748" s="852">
        <v>44.3</v>
      </c>
      <c r="R1748" s="852">
        <v>0</v>
      </c>
      <c r="S1748" s="852">
        <v>0</v>
      </c>
      <c r="T1748" s="852">
        <v>0</v>
      </c>
      <c r="U1748" s="501" t="s">
        <v>7500</v>
      </c>
      <c r="V1748" s="572">
        <v>37152</v>
      </c>
      <c r="W1748" s="498">
        <v>35290</v>
      </c>
      <c r="X1748" s="501" t="s">
        <v>2199</v>
      </c>
      <c r="Y1748" s="501" t="s">
        <v>3336</v>
      </c>
      <c r="Z1748" s="501" t="s">
        <v>580</v>
      </c>
      <c r="AA1748" s="501" t="s">
        <v>1536</v>
      </c>
      <c r="AB1748" s="573" t="s">
        <v>1588</v>
      </c>
    </row>
    <row r="1749" spans="1:28" ht="24" customHeight="1">
      <c r="A1749" s="584"/>
      <c r="B1749" s="460" t="s">
        <v>2201</v>
      </c>
      <c r="C1749" s="458" t="s">
        <v>2337</v>
      </c>
      <c r="D1749" s="510" t="s">
        <v>7861</v>
      </c>
      <c r="E1749" s="498">
        <f t="shared" si="120"/>
        <v>5400</v>
      </c>
      <c r="F1749" s="498">
        <v>0</v>
      </c>
      <c r="G1749" s="498">
        <v>0</v>
      </c>
      <c r="H1749" s="498">
        <v>5400</v>
      </c>
      <c r="I1749" s="498">
        <f t="shared" si="119"/>
        <v>3727</v>
      </c>
      <c r="J1749" s="498">
        <v>0</v>
      </c>
      <c r="K1749" s="498">
        <v>0</v>
      </c>
      <c r="L1749" s="668">
        <v>3727</v>
      </c>
      <c r="M1749" s="956">
        <v>0.92037914691943101</v>
      </c>
      <c r="N1749" s="653">
        <v>361.8916999999999</v>
      </c>
      <c r="O1749" s="715" t="s">
        <v>3347</v>
      </c>
      <c r="P1749" s="501" t="s">
        <v>1588</v>
      </c>
      <c r="Q1749" s="852">
        <v>17.600000000000001</v>
      </c>
      <c r="R1749" s="852">
        <v>0</v>
      </c>
      <c r="S1749" s="852">
        <v>0</v>
      </c>
      <c r="T1749" s="852">
        <v>0</v>
      </c>
      <c r="U1749" s="501" t="s">
        <v>2458</v>
      </c>
      <c r="V1749" s="572">
        <v>38919</v>
      </c>
      <c r="W1749" s="498">
        <v>25789</v>
      </c>
      <c r="X1749" s="501" t="s">
        <v>2199</v>
      </c>
      <c r="Y1749" s="501" t="s">
        <v>3336</v>
      </c>
      <c r="Z1749" s="501" t="s">
        <v>1604</v>
      </c>
      <c r="AA1749" s="501" t="s">
        <v>1536</v>
      </c>
      <c r="AB1749" s="573" t="s">
        <v>1588</v>
      </c>
    </row>
    <row r="1750" spans="1:28" ht="24" customHeight="1">
      <c r="A1750" s="584"/>
      <c r="B1750" s="460" t="s">
        <v>2201</v>
      </c>
      <c r="C1750" s="458" t="s">
        <v>2076</v>
      </c>
      <c r="D1750" s="510" t="s">
        <v>7862</v>
      </c>
      <c r="E1750" s="498">
        <f t="shared" si="120"/>
        <v>800</v>
      </c>
      <c r="F1750" s="498">
        <v>0</v>
      </c>
      <c r="G1750" s="498">
        <v>0</v>
      </c>
      <c r="H1750" s="498">
        <v>800</v>
      </c>
      <c r="I1750" s="498">
        <f t="shared" si="119"/>
        <v>312</v>
      </c>
      <c r="J1750" s="498">
        <v>0</v>
      </c>
      <c r="K1750" s="498">
        <v>0</v>
      </c>
      <c r="L1750" s="668">
        <v>312</v>
      </c>
      <c r="M1750" s="956">
        <v>0.97228637413394903</v>
      </c>
      <c r="N1750" s="653">
        <v>26.270399999999995</v>
      </c>
      <c r="O1750" s="715" t="s">
        <v>3347</v>
      </c>
      <c r="P1750" s="501" t="s">
        <v>1588</v>
      </c>
      <c r="Q1750" s="852">
        <v>0</v>
      </c>
      <c r="R1750" s="852">
        <v>0</v>
      </c>
      <c r="S1750" s="852">
        <v>0</v>
      </c>
      <c r="T1750" s="852">
        <v>0</v>
      </c>
      <c r="U1750" s="501" t="s">
        <v>7501</v>
      </c>
      <c r="V1750" s="574">
        <v>37949</v>
      </c>
      <c r="W1750" s="498">
        <v>7009</v>
      </c>
      <c r="X1750" s="501" t="s">
        <v>2199</v>
      </c>
      <c r="Y1750" s="501" t="s">
        <v>3336</v>
      </c>
      <c r="Z1750" s="501" t="s">
        <v>7863</v>
      </c>
      <c r="AA1750" s="501" t="s">
        <v>1536</v>
      </c>
      <c r="AB1750" s="573" t="s">
        <v>1588</v>
      </c>
    </row>
    <row r="1751" spans="1:28" ht="24" customHeight="1">
      <c r="A1751" s="584"/>
      <c r="B1751" s="460" t="s">
        <v>675</v>
      </c>
      <c r="C1751" s="458" t="s">
        <v>7864</v>
      </c>
      <c r="D1751" s="510" t="s">
        <v>7865</v>
      </c>
      <c r="E1751" s="498">
        <f t="shared" si="120"/>
        <v>120</v>
      </c>
      <c r="F1751" s="498">
        <v>0</v>
      </c>
      <c r="G1751" s="498">
        <v>0</v>
      </c>
      <c r="H1751" s="498">
        <v>120</v>
      </c>
      <c r="I1751" s="498">
        <f t="shared" si="119"/>
        <v>48</v>
      </c>
      <c r="J1751" s="498">
        <v>0</v>
      </c>
      <c r="K1751" s="498">
        <v>0</v>
      </c>
      <c r="L1751" s="668">
        <v>48</v>
      </c>
      <c r="M1751" s="956">
        <v>0.83790000000000009</v>
      </c>
      <c r="N1751" s="653">
        <v>3.56</v>
      </c>
      <c r="O1751" s="764" t="s">
        <v>7866</v>
      </c>
      <c r="P1751" s="568" t="s">
        <v>7867</v>
      </c>
      <c r="Q1751" s="852">
        <v>0</v>
      </c>
      <c r="R1751" s="852">
        <v>0</v>
      </c>
      <c r="S1751" s="852">
        <v>0</v>
      </c>
      <c r="T1751" s="852">
        <v>0</v>
      </c>
      <c r="U1751" s="501" t="s">
        <v>7502</v>
      </c>
      <c r="V1751" s="572">
        <v>37761</v>
      </c>
      <c r="W1751" s="498">
        <v>486</v>
      </c>
      <c r="X1751" s="501" t="s">
        <v>2199</v>
      </c>
      <c r="Y1751" s="501" t="s">
        <v>3232</v>
      </c>
      <c r="Z1751" s="501"/>
      <c r="AA1751" s="501" t="s">
        <v>1536</v>
      </c>
      <c r="AB1751" s="573"/>
    </row>
    <row r="1752" spans="1:28" ht="24" customHeight="1">
      <c r="A1752" s="584"/>
      <c r="B1752" s="460" t="s">
        <v>675</v>
      </c>
      <c r="C1752" s="458" t="s">
        <v>7868</v>
      </c>
      <c r="D1752" s="510" t="s">
        <v>7869</v>
      </c>
      <c r="E1752" s="498">
        <f t="shared" si="120"/>
        <v>40</v>
      </c>
      <c r="F1752" s="498">
        <v>0</v>
      </c>
      <c r="G1752" s="498">
        <v>0</v>
      </c>
      <c r="H1752" s="498">
        <v>40</v>
      </c>
      <c r="I1752" s="498">
        <f t="shared" si="119"/>
        <v>25</v>
      </c>
      <c r="J1752" s="498">
        <v>0</v>
      </c>
      <c r="K1752" s="498">
        <v>0</v>
      </c>
      <c r="L1752" s="668">
        <v>25</v>
      </c>
      <c r="M1752" s="956">
        <v>0.82810000000000006</v>
      </c>
      <c r="N1752" s="653">
        <v>1.81</v>
      </c>
      <c r="O1752" s="764" t="s">
        <v>7870</v>
      </c>
      <c r="P1752" s="568" t="s">
        <v>7871</v>
      </c>
      <c r="Q1752" s="852">
        <v>0</v>
      </c>
      <c r="R1752" s="852">
        <v>0</v>
      </c>
      <c r="S1752" s="852">
        <v>0</v>
      </c>
      <c r="T1752" s="852">
        <v>0</v>
      </c>
      <c r="U1752" s="501" t="s">
        <v>7502</v>
      </c>
      <c r="V1752" s="572">
        <v>36899</v>
      </c>
      <c r="W1752" s="498">
        <v>321</v>
      </c>
      <c r="X1752" s="501" t="s">
        <v>2199</v>
      </c>
      <c r="Y1752" s="501" t="s">
        <v>3232</v>
      </c>
      <c r="Z1752" s="501"/>
      <c r="AA1752" s="501" t="s">
        <v>1536</v>
      </c>
      <c r="AB1752" s="573"/>
    </row>
    <row r="1753" spans="1:28" ht="24" customHeight="1">
      <c r="A1753" s="584"/>
      <c r="B1753" s="460" t="s">
        <v>675</v>
      </c>
      <c r="C1753" s="458" t="s">
        <v>7872</v>
      </c>
      <c r="D1753" s="510" t="s">
        <v>7873</v>
      </c>
      <c r="E1753" s="498">
        <f t="shared" si="120"/>
        <v>50</v>
      </c>
      <c r="F1753" s="498">
        <v>0</v>
      </c>
      <c r="G1753" s="498">
        <v>50</v>
      </c>
      <c r="H1753" s="498">
        <v>0</v>
      </c>
      <c r="I1753" s="498">
        <f t="shared" si="119"/>
        <v>21</v>
      </c>
      <c r="J1753" s="498">
        <v>0</v>
      </c>
      <c r="K1753" s="498">
        <v>21</v>
      </c>
      <c r="L1753" s="668">
        <v>0</v>
      </c>
      <c r="M1753" s="956">
        <v>0.8478</v>
      </c>
      <c r="N1753" s="653">
        <v>1.57</v>
      </c>
      <c r="O1753" s="715" t="s">
        <v>7874</v>
      </c>
      <c r="P1753" s="501" t="s">
        <v>1588</v>
      </c>
      <c r="Q1753" s="852">
        <v>0</v>
      </c>
      <c r="R1753" s="852">
        <v>0</v>
      </c>
      <c r="S1753" s="852">
        <v>0</v>
      </c>
      <c r="T1753" s="852">
        <v>0</v>
      </c>
      <c r="U1753" s="501" t="s">
        <v>7502</v>
      </c>
      <c r="V1753" s="572">
        <v>36186</v>
      </c>
      <c r="W1753" s="498">
        <v>243</v>
      </c>
      <c r="X1753" s="501" t="s">
        <v>2199</v>
      </c>
      <c r="Y1753" s="501" t="s">
        <v>3232</v>
      </c>
      <c r="Z1753" s="501"/>
      <c r="AA1753" s="501" t="s">
        <v>1536</v>
      </c>
      <c r="AB1753" s="573"/>
    </row>
    <row r="1754" spans="1:28" ht="24" customHeight="1">
      <c r="A1754" s="584"/>
      <c r="B1754" s="460" t="s">
        <v>675</v>
      </c>
      <c r="C1754" s="458" t="s">
        <v>7875</v>
      </c>
      <c r="D1754" s="510" t="s">
        <v>7876</v>
      </c>
      <c r="E1754" s="498">
        <f t="shared" si="120"/>
        <v>80</v>
      </c>
      <c r="F1754" s="498">
        <v>0</v>
      </c>
      <c r="G1754" s="498">
        <v>0</v>
      </c>
      <c r="H1754" s="498">
        <v>80</v>
      </c>
      <c r="I1754" s="498">
        <f t="shared" si="119"/>
        <v>18</v>
      </c>
      <c r="J1754" s="498">
        <v>0</v>
      </c>
      <c r="K1754" s="498">
        <v>0</v>
      </c>
      <c r="L1754" s="668">
        <v>18</v>
      </c>
      <c r="M1754" s="956">
        <v>0.84660000000000002</v>
      </c>
      <c r="N1754" s="653">
        <v>0.98</v>
      </c>
      <c r="O1754" s="764" t="s">
        <v>7877</v>
      </c>
      <c r="P1754" s="568" t="s">
        <v>1588</v>
      </c>
      <c r="Q1754" s="852">
        <v>0</v>
      </c>
      <c r="R1754" s="852">
        <v>0</v>
      </c>
      <c r="S1754" s="852">
        <v>0</v>
      </c>
      <c r="T1754" s="852">
        <v>0</v>
      </c>
      <c r="U1754" s="501" t="s">
        <v>7502</v>
      </c>
      <c r="V1754" s="572">
        <v>38127</v>
      </c>
      <c r="W1754" s="498">
        <v>3.85</v>
      </c>
      <c r="X1754" s="501" t="s">
        <v>2199</v>
      </c>
      <c r="Y1754" s="501" t="s">
        <v>3232</v>
      </c>
      <c r="Z1754" s="501"/>
      <c r="AA1754" s="501" t="s">
        <v>1536</v>
      </c>
      <c r="AB1754" s="573"/>
    </row>
    <row r="1755" spans="1:28" ht="24" customHeight="1">
      <c r="A1755" s="584"/>
      <c r="B1755" s="460" t="s">
        <v>675</v>
      </c>
      <c r="C1755" s="458" t="s">
        <v>7878</v>
      </c>
      <c r="D1755" s="510" t="s">
        <v>7879</v>
      </c>
      <c r="E1755" s="498">
        <f t="shared" si="120"/>
        <v>180</v>
      </c>
      <c r="F1755" s="498">
        <v>0</v>
      </c>
      <c r="G1755" s="498">
        <v>0</v>
      </c>
      <c r="H1755" s="498">
        <v>180</v>
      </c>
      <c r="I1755" s="498">
        <f t="shared" si="119"/>
        <v>146</v>
      </c>
      <c r="J1755" s="498">
        <v>0</v>
      </c>
      <c r="K1755" s="498">
        <v>0</v>
      </c>
      <c r="L1755" s="668">
        <v>146</v>
      </c>
      <c r="M1755" s="956">
        <v>0.80650000000000011</v>
      </c>
      <c r="N1755" s="653">
        <v>8.51</v>
      </c>
      <c r="O1755" s="764" t="s">
        <v>7866</v>
      </c>
      <c r="P1755" s="568" t="s">
        <v>7867</v>
      </c>
      <c r="Q1755" s="852">
        <v>0</v>
      </c>
      <c r="R1755" s="852">
        <v>0</v>
      </c>
      <c r="S1755" s="852">
        <v>0</v>
      </c>
      <c r="T1755" s="852">
        <v>0</v>
      </c>
      <c r="U1755" s="501" t="s">
        <v>7503</v>
      </c>
      <c r="V1755" s="572">
        <v>35062</v>
      </c>
      <c r="W1755" s="498">
        <v>486</v>
      </c>
      <c r="X1755" s="501" t="s">
        <v>2199</v>
      </c>
      <c r="Y1755" s="501" t="s">
        <v>7880</v>
      </c>
      <c r="Z1755" s="501"/>
      <c r="AA1755" s="501" t="s">
        <v>1536</v>
      </c>
      <c r="AB1755" s="573"/>
    </row>
    <row r="1756" spans="1:28" ht="24" customHeight="1">
      <c r="A1756" s="584"/>
      <c r="B1756" s="460" t="s">
        <v>675</v>
      </c>
      <c r="C1756" s="458" t="s">
        <v>7881</v>
      </c>
      <c r="D1756" s="510" t="s">
        <v>7882</v>
      </c>
      <c r="E1756" s="498">
        <f t="shared" si="120"/>
        <v>50</v>
      </c>
      <c r="F1756" s="498">
        <v>0</v>
      </c>
      <c r="G1756" s="498">
        <v>50</v>
      </c>
      <c r="H1756" s="498">
        <v>0</v>
      </c>
      <c r="I1756" s="498">
        <f t="shared" si="119"/>
        <v>42</v>
      </c>
      <c r="J1756" s="498">
        <v>0</v>
      </c>
      <c r="K1756" s="498">
        <v>42</v>
      </c>
      <c r="L1756" s="668">
        <v>0</v>
      </c>
      <c r="M1756" s="956">
        <v>0.78780000000000006</v>
      </c>
      <c r="N1756" s="653">
        <v>2.4500000000000002</v>
      </c>
      <c r="O1756" s="715" t="s">
        <v>7874</v>
      </c>
      <c r="P1756" s="501" t="s">
        <v>1588</v>
      </c>
      <c r="Q1756" s="852">
        <v>0</v>
      </c>
      <c r="R1756" s="852">
        <v>0</v>
      </c>
      <c r="S1756" s="852">
        <v>0</v>
      </c>
      <c r="T1756" s="852">
        <v>0</v>
      </c>
      <c r="U1756" s="501" t="s">
        <v>7502</v>
      </c>
      <c r="V1756" s="572">
        <v>36839</v>
      </c>
      <c r="W1756" s="653">
        <v>187</v>
      </c>
      <c r="X1756" s="501" t="s">
        <v>2199</v>
      </c>
      <c r="Y1756" s="501" t="s">
        <v>3232</v>
      </c>
      <c r="Z1756" s="501"/>
      <c r="AA1756" s="501" t="s">
        <v>1536</v>
      </c>
      <c r="AB1756" s="573"/>
    </row>
    <row r="1757" spans="1:28" ht="24" customHeight="1">
      <c r="A1757" s="584"/>
      <c r="B1757" s="460" t="s">
        <v>675</v>
      </c>
      <c r="C1757" s="458" t="s">
        <v>7883</v>
      </c>
      <c r="D1757" s="510" t="s">
        <v>7884</v>
      </c>
      <c r="E1757" s="498">
        <f t="shared" si="120"/>
        <v>30</v>
      </c>
      <c r="F1757" s="498">
        <v>0</v>
      </c>
      <c r="G1757" s="498">
        <v>0</v>
      </c>
      <c r="H1757" s="498">
        <v>30</v>
      </c>
      <c r="I1757" s="498">
        <f t="shared" si="119"/>
        <v>45</v>
      </c>
      <c r="J1757" s="498">
        <v>0</v>
      </c>
      <c r="K1757" s="498">
        <v>0</v>
      </c>
      <c r="L1757" s="668">
        <v>45</v>
      </c>
      <c r="M1757" s="956">
        <v>0.81730000000000003</v>
      </c>
      <c r="N1757" s="653">
        <v>2.13</v>
      </c>
      <c r="O1757" s="715" t="s">
        <v>7885</v>
      </c>
      <c r="P1757" s="501" t="s">
        <v>1588</v>
      </c>
      <c r="Q1757" s="852">
        <v>0</v>
      </c>
      <c r="R1757" s="852">
        <v>0</v>
      </c>
      <c r="S1757" s="852">
        <v>0</v>
      </c>
      <c r="T1757" s="852">
        <v>0</v>
      </c>
      <c r="U1757" s="501" t="s">
        <v>7502</v>
      </c>
      <c r="V1757" s="572">
        <v>35062</v>
      </c>
      <c r="W1757" s="653">
        <v>220</v>
      </c>
      <c r="X1757" s="501" t="s">
        <v>2199</v>
      </c>
      <c r="Y1757" s="501" t="s">
        <v>3336</v>
      </c>
      <c r="Z1757" s="501"/>
      <c r="AA1757" s="501" t="s">
        <v>1536</v>
      </c>
      <c r="AB1757" s="573"/>
    </row>
    <row r="1758" spans="1:28" ht="24" customHeight="1">
      <c r="A1758" s="584"/>
      <c r="B1758" s="460" t="s">
        <v>675</v>
      </c>
      <c r="C1758" s="458" t="s">
        <v>7886</v>
      </c>
      <c r="D1758" s="510" t="s">
        <v>7887</v>
      </c>
      <c r="E1758" s="498">
        <f t="shared" si="120"/>
        <v>40</v>
      </c>
      <c r="F1758" s="498">
        <v>0</v>
      </c>
      <c r="G1758" s="498">
        <v>0</v>
      </c>
      <c r="H1758" s="498">
        <v>40</v>
      </c>
      <c r="I1758" s="498">
        <f t="shared" si="119"/>
        <v>27</v>
      </c>
      <c r="J1758" s="498">
        <v>0</v>
      </c>
      <c r="K1758" s="498">
        <v>0</v>
      </c>
      <c r="L1758" s="668">
        <v>27</v>
      </c>
      <c r="M1758" s="956">
        <v>0.82629999999999992</v>
      </c>
      <c r="N1758" s="653">
        <v>1.56</v>
      </c>
      <c r="O1758" s="764" t="s">
        <v>7870</v>
      </c>
      <c r="P1758" s="568" t="s">
        <v>7871</v>
      </c>
      <c r="Q1758" s="852">
        <v>0</v>
      </c>
      <c r="R1758" s="852">
        <v>0</v>
      </c>
      <c r="S1758" s="852">
        <v>0</v>
      </c>
      <c r="T1758" s="852">
        <v>0</v>
      </c>
      <c r="U1758" s="501" t="s">
        <v>7502</v>
      </c>
      <c r="V1758" s="572">
        <v>37109</v>
      </c>
      <c r="W1758" s="498">
        <v>212</v>
      </c>
      <c r="X1758" s="501" t="s">
        <v>2199</v>
      </c>
      <c r="Y1758" s="501" t="s">
        <v>3232</v>
      </c>
      <c r="Z1758" s="501"/>
      <c r="AA1758" s="501" t="s">
        <v>1536</v>
      </c>
      <c r="AB1758" s="573"/>
    </row>
    <row r="1759" spans="1:28" ht="24" customHeight="1">
      <c r="A1759" s="584"/>
      <c r="B1759" s="460" t="s">
        <v>675</v>
      </c>
      <c r="C1759" s="458" t="s">
        <v>7888</v>
      </c>
      <c r="D1759" s="510" t="s">
        <v>7889</v>
      </c>
      <c r="E1759" s="498">
        <f t="shared" si="120"/>
        <v>40</v>
      </c>
      <c r="F1759" s="498">
        <v>0</v>
      </c>
      <c r="G1759" s="498">
        <v>0</v>
      </c>
      <c r="H1759" s="498">
        <v>40</v>
      </c>
      <c r="I1759" s="498">
        <f t="shared" si="119"/>
        <v>32</v>
      </c>
      <c r="J1759" s="498">
        <v>0</v>
      </c>
      <c r="K1759" s="498">
        <v>0</v>
      </c>
      <c r="L1759" s="668">
        <v>32</v>
      </c>
      <c r="M1759" s="956">
        <v>0.83230000000000004</v>
      </c>
      <c r="N1759" s="653">
        <v>1.81</v>
      </c>
      <c r="O1759" s="715" t="s">
        <v>7890</v>
      </c>
      <c r="P1759" s="501" t="s">
        <v>1588</v>
      </c>
      <c r="Q1759" s="852">
        <v>0</v>
      </c>
      <c r="R1759" s="852">
        <v>0</v>
      </c>
      <c r="S1759" s="852">
        <v>0</v>
      </c>
      <c r="T1759" s="852">
        <v>0</v>
      </c>
      <c r="U1759" s="501" t="s">
        <v>7502</v>
      </c>
      <c r="V1759" s="572">
        <v>36186</v>
      </c>
      <c r="W1759" s="653">
        <v>260</v>
      </c>
      <c r="X1759" s="501" t="s">
        <v>2199</v>
      </c>
      <c r="Y1759" s="501" t="s">
        <v>3232</v>
      </c>
      <c r="Z1759" s="501"/>
      <c r="AA1759" s="501" t="s">
        <v>1536</v>
      </c>
      <c r="AB1759" s="573"/>
    </row>
    <row r="1760" spans="1:28" ht="24" customHeight="1">
      <c r="A1760" s="584"/>
      <c r="B1760" s="460" t="s">
        <v>675</v>
      </c>
      <c r="C1760" s="458" t="s">
        <v>7891</v>
      </c>
      <c r="D1760" s="510" t="s">
        <v>7892</v>
      </c>
      <c r="E1760" s="498">
        <f t="shared" si="120"/>
        <v>70</v>
      </c>
      <c r="F1760" s="498">
        <v>0</v>
      </c>
      <c r="G1760" s="498">
        <v>0</v>
      </c>
      <c r="H1760" s="498">
        <v>70</v>
      </c>
      <c r="I1760" s="498">
        <f t="shared" si="119"/>
        <v>22</v>
      </c>
      <c r="J1760" s="498">
        <v>0</v>
      </c>
      <c r="K1760" s="498">
        <v>0</v>
      </c>
      <c r="L1760" s="668">
        <v>22</v>
      </c>
      <c r="M1760" s="956">
        <v>0.81659999999999999</v>
      </c>
      <c r="N1760" s="653">
        <v>1.23</v>
      </c>
      <c r="O1760" s="764" t="s">
        <v>7893</v>
      </c>
      <c r="P1760" s="568" t="s">
        <v>1588</v>
      </c>
      <c r="Q1760" s="852">
        <v>0</v>
      </c>
      <c r="R1760" s="852">
        <v>0</v>
      </c>
      <c r="S1760" s="852">
        <v>0</v>
      </c>
      <c r="T1760" s="852">
        <v>0</v>
      </c>
      <c r="U1760" s="501" t="s">
        <v>7502</v>
      </c>
      <c r="V1760" s="572">
        <v>37761</v>
      </c>
      <c r="W1760" s="498">
        <v>182</v>
      </c>
      <c r="X1760" s="501" t="s">
        <v>2199</v>
      </c>
      <c r="Y1760" s="501" t="s">
        <v>3232</v>
      </c>
      <c r="Z1760" s="501"/>
      <c r="AA1760" s="501" t="s">
        <v>1536</v>
      </c>
      <c r="AB1760" s="573"/>
    </row>
    <row r="1761" spans="1:28" ht="24" customHeight="1">
      <c r="A1761" s="584"/>
      <c r="B1761" s="460" t="s">
        <v>675</v>
      </c>
      <c r="C1761" s="458" t="s">
        <v>7894</v>
      </c>
      <c r="D1761" s="510" t="s">
        <v>7895</v>
      </c>
      <c r="E1761" s="498">
        <f t="shared" si="120"/>
        <v>180</v>
      </c>
      <c r="F1761" s="498">
        <v>0</v>
      </c>
      <c r="G1761" s="498">
        <v>0</v>
      </c>
      <c r="H1761" s="498">
        <v>180</v>
      </c>
      <c r="I1761" s="498">
        <f t="shared" si="119"/>
        <v>50</v>
      </c>
      <c r="J1761" s="498">
        <v>0</v>
      </c>
      <c r="K1761" s="498">
        <v>0</v>
      </c>
      <c r="L1761" s="668">
        <v>50</v>
      </c>
      <c r="M1761" s="956">
        <v>0.84709999999999996</v>
      </c>
      <c r="N1761" s="653">
        <v>3.34</v>
      </c>
      <c r="O1761" s="764" t="s">
        <v>7896</v>
      </c>
      <c r="P1761" s="568" t="s">
        <v>7897</v>
      </c>
      <c r="Q1761" s="852">
        <v>0</v>
      </c>
      <c r="R1761" s="852">
        <v>0</v>
      </c>
      <c r="S1761" s="852">
        <v>0</v>
      </c>
      <c r="T1761" s="852">
        <v>0</v>
      </c>
      <c r="U1761" s="501" t="s">
        <v>7502</v>
      </c>
      <c r="V1761" s="572">
        <v>38168</v>
      </c>
      <c r="W1761" s="498">
        <v>638</v>
      </c>
      <c r="X1761" s="501" t="s">
        <v>2199</v>
      </c>
      <c r="Y1761" s="501" t="s">
        <v>7880</v>
      </c>
      <c r="Z1761" s="501"/>
      <c r="AA1761" s="501" t="s">
        <v>1536</v>
      </c>
      <c r="AB1761" s="573"/>
    </row>
    <row r="1762" spans="1:28" ht="24" customHeight="1">
      <c r="A1762" s="584"/>
      <c r="B1762" s="460" t="s">
        <v>675</v>
      </c>
      <c r="C1762" s="458" t="s">
        <v>7898</v>
      </c>
      <c r="D1762" s="510" t="s">
        <v>7899</v>
      </c>
      <c r="E1762" s="498">
        <f t="shared" si="120"/>
        <v>20</v>
      </c>
      <c r="F1762" s="498">
        <v>0</v>
      </c>
      <c r="G1762" s="498">
        <v>20</v>
      </c>
      <c r="H1762" s="498">
        <v>0</v>
      </c>
      <c r="I1762" s="498">
        <f t="shared" si="119"/>
        <v>140</v>
      </c>
      <c r="J1762" s="498">
        <v>0</v>
      </c>
      <c r="K1762" s="498">
        <v>140</v>
      </c>
      <c r="L1762" s="668">
        <v>0</v>
      </c>
      <c r="M1762" s="956">
        <v>0.80680000000000007</v>
      </c>
      <c r="N1762" s="653">
        <v>5.42</v>
      </c>
      <c r="O1762" s="715" t="s">
        <v>7900</v>
      </c>
      <c r="P1762" s="501" t="s">
        <v>1588</v>
      </c>
      <c r="Q1762" s="852">
        <v>0</v>
      </c>
      <c r="R1762" s="852">
        <v>0</v>
      </c>
      <c r="S1762" s="852">
        <v>0</v>
      </c>
      <c r="T1762" s="852">
        <v>0</v>
      </c>
      <c r="U1762" s="501" t="s">
        <v>7502</v>
      </c>
      <c r="V1762" s="572">
        <v>36186</v>
      </c>
      <c r="W1762" s="653">
        <v>138</v>
      </c>
      <c r="X1762" s="501" t="s">
        <v>2199</v>
      </c>
      <c r="Y1762" s="501" t="s">
        <v>3232</v>
      </c>
      <c r="Z1762" s="501"/>
      <c r="AA1762" s="501" t="s">
        <v>1536</v>
      </c>
      <c r="AB1762" s="573"/>
    </row>
    <row r="1763" spans="1:28" ht="24" customHeight="1">
      <c r="A1763" s="584"/>
      <c r="B1763" s="460" t="s">
        <v>675</v>
      </c>
      <c r="C1763" s="458" t="s">
        <v>7901</v>
      </c>
      <c r="D1763" s="510" t="s">
        <v>7902</v>
      </c>
      <c r="E1763" s="498">
        <f t="shared" si="120"/>
        <v>80</v>
      </c>
      <c r="F1763" s="498">
        <v>0</v>
      </c>
      <c r="G1763" s="498">
        <v>80</v>
      </c>
      <c r="H1763" s="498">
        <v>0</v>
      </c>
      <c r="I1763" s="498">
        <f t="shared" si="119"/>
        <v>8</v>
      </c>
      <c r="J1763" s="498">
        <v>0</v>
      </c>
      <c r="K1763" s="498">
        <v>8</v>
      </c>
      <c r="L1763" s="668">
        <v>0</v>
      </c>
      <c r="M1763" s="956">
        <v>0.77569999999999995</v>
      </c>
      <c r="N1763" s="653">
        <v>0.44</v>
      </c>
      <c r="O1763" s="715" t="s">
        <v>7903</v>
      </c>
      <c r="P1763" s="501" t="s">
        <v>1588</v>
      </c>
      <c r="Q1763" s="852">
        <v>0</v>
      </c>
      <c r="R1763" s="852">
        <v>0</v>
      </c>
      <c r="S1763" s="852">
        <v>0</v>
      </c>
      <c r="T1763" s="852">
        <v>0</v>
      </c>
      <c r="U1763" s="501" t="s">
        <v>7502</v>
      </c>
      <c r="V1763" s="572" t="s">
        <v>7904</v>
      </c>
      <c r="W1763" s="653">
        <v>329</v>
      </c>
      <c r="X1763" s="501" t="s">
        <v>2199</v>
      </c>
      <c r="Y1763" s="501" t="s">
        <v>3232</v>
      </c>
      <c r="Z1763" s="501"/>
      <c r="AA1763" s="501" t="s">
        <v>1536</v>
      </c>
      <c r="AB1763" s="573"/>
    </row>
    <row r="1764" spans="1:28" ht="24" customHeight="1">
      <c r="A1764" s="584"/>
      <c r="B1764" s="460" t="s">
        <v>675</v>
      </c>
      <c r="C1764" s="458" t="s">
        <v>7905</v>
      </c>
      <c r="D1764" s="510" t="s">
        <v>7906</v>
      </c>
      <c r="E1764" s="498">
        <f t="shared" si="120"/>
        <v>35</v>
      </c>
      <c r="F1764" s="498">
        <v>0</v>
      </c>
      <c r="G1764" s="498">
        <v>35</v>
      </c>
      <c r="H1764" s="498">
        <v>0</v>
      </c>
      <c r="I1764" s="498">
        <f t="shared" si="119"/>
        <v>44</v>
      </c>
      <c r="J1764" s="498">
        <v>0</v>
      </c>
      <c r="K1764" s="498">
        <v>44</v>
      </c>
      <c r="L1764" s="668">
        <v>0</v>
      </c>
      <c r="M1764" s="956">
        <v>0.81700000000000006</v>
      </c>
      <c r="N1764" s="653">
        <v>2.96</v>
      </c>
      <c r="O1764" s="715" t="s">
        <v>7903</v>
      </c>
      <c r="P1764" s="501" t="s">
        <v>1588</v>
      </c>
      <c r="Q1764" s="852">
        <v>0</v>
      </c>
      <c r="R1764" s="852">
        <v>0</v>
      </c>
      <c r="S1764" s="852">
        <v>0</v>
      </c>
      <c r="T1764" s="852">
        <v>0</v>
      </c>
      <c r="U1764" s="501" t="s">
        <v>7502</v>
      </c>
      <c r="V1764" s="572">
        <v>35038</v>
      </c>
      <c r="W1764" s="653">
        <v>180</v>
      </c>
      <c r="X1764" s="501" t="s">
        <v>2199</v>
      </c>
      <c r="Y1764" s="501" t="s">
        <v>3232</v>
      </c>
      <c r="Z1764" s="501"/>
      <c r="AA1764" s="501" t="s">
        <v>1536</v>
      </c>
      <c r="AB1764" s="573"/>
    </row>
    <row r="1765" spans="1:28" ht="24" customHeight="1">
      <c r="A1765" s="584"/>
      <c r="B1765" s="460" t="s">
        <v>675</v>
      </c>
      <c r="C1765" s="458" t="s">
        <v>7907</v>
      </c>
      <c r="D1765" s="510" t="s">
        <v>7908</v>
      </c>
      <c r="E1765" s="498">
        <f t="shared" si="120"/>
        <v>30</v>
      </c>
      <c r="F1765" s="498">
        <v>0</v>
      </c>
      <c r="G1765" s="498">
        <v>30</v>
      </c>
      <c r="H1765" s="498">
        <v>0</v>
      </c>
      <c r="I1765" s="498">
        <f t="shared" si="119"/>
        <v>48</v>
      </c>
      <c r="J1765" s="498">
        <v>0</v>
      </c>
      <c r="K1765" s="498">
        <v>48</v>
      </c>
      <c r="L1765" s="668">
        <v>0</v>
      </c>
      <c r="M1765" s="956">
        <v>0.78290000000000004</v>
      </c>
      <c r="N1765" s="653">
        <v>2.76</v>
      </c>
      <c r="O1765" s="715" t="s">
        <v>7903</v>
      </c>
      <c r="P1765" s="501" t="s">
        <v>1588</v>
      </c>
      <c r="Q1765" s="852">
        <v>0</v>
      </c>
      <c r="R1765" s="852">
        <v>0</v>
      </c>
      <c r="S1765" s="852">
        <v>0</v>
      </c>
      <c r="T1765" s="852">
        <v>0</v>
      </c>
      <c r="U1765" s="501" t="s">
        <v>7502</v>
      </c>
      <c r="V1765" s="572">
        <v>36839</v>
      </c>
      <c r="W1765" s="498">
        <v>217</v>
      </c>
      <c r="X1765" s="501" t="s">
        <v>2199</v>
      </c>
      <c r="Y1765" s="501" t="s">
        <v>3232</v>
      </c>
      <c r="Z1765" s="501"/>
      <c r="AA1765" s="501" t="s">
        <v>1536</v>
      </c>
      <c r="AB1765" s="573"/>
    </row>
    <row r="1766" spans="1:28" ht="24" customHeight="1">
      <c r="A1766" s="584"/>
      <c r="B1766" s="460" t="s">
        <v>675</v>
      </c>
      <c r="C1766" s="458" t="s">
        <v>7909</v>
      </c>
      <c r="D1766" s="510" t="s">
        <v>7910</v>
      </c>
      <c r="E1766" s="498">
        <f t="shared" si="120"/>
        <v>40</v>
      </c>
      <c r="F1766" s="498">
        <v>0</v>
      </c>
      <c r="G1766" s="498">
        <v>40</v>
      </c>
      <c r="H1766" s="498">
        <v>0</v>
      </c>
      <c r="I1766" s="498">
        <f t="shared" si="119"/>
        <v>0</v>
      </c>
      <c r="J1766" s="498">
        <v>0</v>
      </c>
      <c r="K1766" s="498">
        <v>0</v>
      </c>
      <c r="L1766" s="668">
        <v>0</v>
      </c>
      <c r="M1766" s="956">
        <v>0.78639999999999999</v>
      </c>
      <c r="N1766" s="653" t="s">
        <v>1991</v>
      </c>
      <c r="O1766" s="715" t="s">
        <v>7731</v>
      </c>
      <c r="P1766" s="501" t="s">
        <v>1588</v>
      </c>
      <c r="Q1766" s="852">
        <v>0</v>
      </c>
      <c r="R1766" s="852">
        <v>0</v>
      </c>
      <c r="S1766" s="852">
        <v>0</v>
      </c>
      <c r="T1766" s="852">
        <v>0</v>
      </c>
      <c r="U1766" s="501" t="s">
        <v>7502</v>
      </c>
      <c r="V1766" s="572">
        <v>35836</v>
      </c>
      <c r="W1766" s="653">
        <v>24</v>
      </c>
      <c r="X1766" s="501" t="s">
        <v>2199</v>
      </c>
      <c r="Y1766" s="501" t="s">
        <v>3232</v>
      </c>
      <c r="Z1766" s="501"/>
      <c r="AA1766" s="501" t="s">
        <v>1536</v>
      </c>
      <c r="AB1766" s="573"/>
    </row>
    <row r="1767" spans="1:28" ht="24" customHeight="1">
      <c r="A1767" s="584"/>
      <c r="B1767" s="460" t="s">
        <v>675</v>
      </c>
      <c r="C1767" s="458" t="s">
        <v>7911</v>
      </c>
      <c r="D1767" s="510" t="s">
        <v>7912</v>
      </c>
      <c r="E1767" s="498">
        <f t="shared" si="120"/>
        <v>40</v>
      </c>
      <c r="F1767" s="498">
        <v>0</v>
      </c>
      <c r="G1767" s="498">
        <v>40</v>
      </c>
      <c r="H1767" s="498">
        <v>0</v>
      </c>
      <c r="I1767" s="498">
        <f t="shared" si="119"/>
        <v>0</v>
      </c>
      <c r="J1767" s="498">
        <v>0</v>
      </c>
      <c r="K1767" s="498">
        <v>0</v>
      </c>
      <c r="L1767" s="668">
        <v>0</v>
      </c>
      <c r="M1767" s="956">
        <v>0.77139999999999997</v>
      </c>
      <c r="N1767" s="653" t="s">
        <v>1991</v>
      </c>
      <c r="O1767" s="715" t="s">
        <v>7903</v>
      </c>
      <c r="P1767" s="501" t="s">
        <v>1588</v>
      </c>
      <c r="Q1767" s="852">
        <v>0</v>
      </c>
      <c r="R1767" s="852">
        <v>0</v>
      </c>
      <c r="S1767" s="852">
        <v>0</v>
      </c>
      <c r="T1767" s="852">
        <v>0</v>
      </c>
      <c r="U1767" s="501" t="s">
        <v>7502</v>
      </c>
      <c r="V1767" s="572">
        <v>37129</v>
      </c>
      <c r="W1767" s="498">
        <v>277</v>
      </c>
      <c r="X1767" s="501" t="s">
        <v>2199</v>
      </c>
      <c r="Y1767" s="501" t="s">
        <v>3232</v>
      </c>
      <c r="Z1767" s="501"/>
      <c r="AA1767" s="501" t="s">
        <v>1536</v>
      </c>
      <c r="AB1767" s="573"/>
    </row>
    <row r="1768" spans="1:28" ht="24" customHeight="1">
      <c r="A1768" s="584"/>
      <c r="B1768" s="460" t="s">
        <v>675</v>
      </c>
      <c r="C1768" s="458" t="s">
        <v>7913</v>
      </c>
      <c r="D1768" s="510" t="s">
        <v>7914</v>
      </c>
      <c r="E1768" s="498">
        <f t="shared" si="120"/>
        <v>35</v>
      </c>
      <c r="F1768" s="498">
        <v>0</v>
      </c>
      <c r="G1768" s="498">
        <v>35</v>
      </c>
      <c r="H1768" s="498">
        <v>0</v>
      </c>
      <c r="I1768" s="498">
        <f t="shared" si="119"/>
        <v>38</v>
      </c>
      <c r="J1768" s="498">
        <v>0</v>
      </c>
      <c r="K1768" s="498">
        <v>38</v>
      </c>
      <c r="L1768" s="668">
        <v>0</v>
      </c>
      <c r="M1768" s="956">
        <v>0.79090000000000005</v>
      </c>
      <c r="N1768" s="653">
        <v>1.73</v>
      </c>
      <c r="O1768" s="715" t="s">
        <v>7731</v>
      </c>
      <c r="P1768" s="501" t="s">
        <v>1588</v>
      </c>
      <c r="Q1768" s="852">
        <v>0</v>
      </c>
      <c r="R1768" s="852">
        <v>0</v>
      </c>
      <c r="S1768" s="852">
        <v>0</v>
      </c>
      <c r="T1768" s="852">
        <v>0</v>
      </c>
      <c r="U1768" s="501" t="s">
        <v>7502</v>
      </c>
      <c r="V1768" s="572">
        <v>35836</v>
      </c>
      <c r="W1768" s="653">
        <v>260</v>
      </c>
      <c r="X1768" s="501" t="s">
        <v>2199</v>
      </c>
      <c r="Y1768" s="501" t="s">
        <v>3232</v>
      </c>
      <c r="Z1768" s="501"/>
      <c r="AA1768" s="501" t="s">
        <v>7915</v>
      </c>
      <c r="AB1768" s="573"/>
    </row>
    <row r="1769" spans="1:28" ht="24" customHeight="1">
      <c r="A1769" s="584"/>
      <c r="B1769" s="460" t="s">
        <v>675</v>
      </c>
      <c r="C1769" s="458" t="s">
        <v>7916</v>
      </c>
      <c r="D1769" s="510" t="s">
        <v>7917</v>
      </c>
      <c r="E1769" s="498">
        <f t="shared" si="120"/>
        <v>60</v>
      </c>
      <c r="F1769" s="498">
        <v>0</v>
      </c>
      <c r="G1769" s="498">
        <v>0</v>
      </c>
      <c r="H1769" s="498">
        <v>60</v>
      </c>
      <c r="I1769" s="498">
        <f t="shared" si="119"/>
        <v>5</v>
      </c>
      <c r="J1769" s="498">
        <v>0</v>
      </c>
      <c r="K1769" s="498">
        <v>0</v>
      </c>
      <c r="L1769" s="668">
        <v>5</v>
      </c>
      <c r="M1769" s="956">
        <v>0.88680000000000003</v>
      </c>
      <c r="N1769" s="653">
        <v>0.24</v>
      </c>
      <c r="O1769" s="764" t="s">
        <v>7870</v>
      </c>
      <c r="P1769" s="568" t="s">
        <v>7871</v>
      </c>
      <c r="Q1769" s="852">
        <v>0</v>
      </c>
      <c r="R1769" s="852">
        <v>0</v>
      </c>
      <c r="S1769" s="852">
        <v>0</v>
      </c>
      <c r="T1769" s="852">
        <v>0</v>
      </c>
      <c r="U1769" s="501" t="s">
        <v>7502</v>
      </c>
      <c r="V1769" s="572">
        <v>16.666666666666668</v>
      </c>
      <c r="W1769" s="498">
        <v>423</v>
      </c>
      <c r="X1769" s="501" t="s">
        <v>2199</v>
      </c>
      <c r="Y1769" s="501" t="s">
        <v>3232</v>
      </c>
      <c r="Z1769" s="501"/>
      <c r="AA1769" s="501" t="s">
        <v>1536</v>
      </c>
      <c r="AB1769" s="573"/>
    </row>
    <row r="1770" spans="1:28" ht="24" customHeight="1">
      <c r="A1770" s="584"/>
      <c r="B1770" s="460" t="s">
        <v>675</v>
      </c>
      <c r="C1770" s="458" t="s">
        <v>7918</v>
      </c>
      <c r="D1770" s="510" t="s">
        <v>7919</v>
      </c>
      <c r="E1770" s="498">
        <f t="shared" si="120"/>
        <v>35</v>
      </c>
      <c r="F1770" s="498">
        <v>0</v>
      </c>
      <c r="G1770" s="498">
        <v>35</v>
      </c>
      <c r="H1770" s="498">
        <v>0</v>
      </c>
      <c r="I1770" s="498">
        <f t="shared" si="119"/>
        <v>0</v>
      </c>
      <c r="J1770" s="498">
        <v>0</v>
      </c>
      <c r="K1770" s="498">
        <v>0</v>
      </c>
      <c r="L1770" s="668">
        <v>0</v>
      </c>
      <c r="M1770" s="956">
        <v>0.94030000000000002</v>
      </c>
      <c r="N1770" s="653" t="s">
        <v>1991</v>
      </c>
      <c r="O1770" s="715" t="s">
        <v>5122</v>
      </c>
      <c r="P1770" s="501" t="s">
        <v>1588</v>
      </c>
      <c r="Q1770" s="852">
        <v>0</v>
      </c>
      <c r="R1770" s="852">
        <v>0</v>
      </c>
      <c r="S1770" s="852">
        <v>0</v>
      </c>
      <c r="T1770" s="852">
        <v>0</v>
      </c>
      <c r="U1770" s="501" t="s">
        <v>7502</v>
      </c>
      <c r="V1770" s="572">
        <v>35836</v>
      </c>
      <c r="W1770" s="653">
        <v>242</v>
      </c>
      <c r="X1770" s="501" t="s">
        <v>2199</v>
      </c>
      <c r="Y1770" s="501" t="s">
        <v>3232</v>
      </c>
      <c r="Z1770" s="501"/>
      <c r="AA1770" s="501" t="s">
        <v>1536</v>
      </c>
      <c r="AB1770" s="573"/>
    </row>
    <row r="1771" spans="1:28" ht="24" customHeight="1">
      <c r="A1771" s="584"/>
      <c r="B1771" s="460" t="s">
        <v>675</v>
      </c>
      <c r="C1771" s="458" t="s">
        <v>7920</v>
      </c>
      <c r="D1771" s="510" t="s">
        <v>7921</v>
      </c>
      <c r="E1771" s="498">
        <f t="shared" si="120"/>
        <v>27</v>
      </c>
      <c r="F1771" s="498">
        <v>0</v>
      </c>
      <c r="G1771" s="498">
        <v>27</v>
      </c>
      <c r="H1771" s="498">
        <v>0</v>
      </c>
      <c r="I1771" s="498">
        <f t="shared" si="119"/>
        <v>17</v>
      </c>
      <c r="J1771" s="498">
        <v>0</v>
      </c>
      <c r="K1771" s="498">
        <v>17</v>
      </c>
      <c r="L1771" s="668">
        <v>0</v>
      </c>
      <c r="M1771" s="956">
        <v>0.9081999999999999</v>
      </c>
      <c r="N1771" s="653">
        <v>1.04</v>
      </c>
      <c r="O1771" s="715" t="s">
        <v>7731</v>
      </c>
      <c r="P1771" s="501" t="s">
        <v>1588</v>
      </c>
      <c r="Q1771" s="852">
        <v>0</v>
      </c>
      <c r="R1771" s="852">
        <v>0</v>
      </c>
      <c r="S1771" s="852">
        <v>0</v>
      </c>
      <c r="T1771" s="852">
        <v>0</v>
      </c>
      <c r="U1771" s="501" t="s">
        <v>7502</v>
      </c>
      <c r="V1771" s="572">
        <v>35790</v>
      </c>
      <c r="W1771" s="653">
        <v>129</v>
      </c>
      <c r="X1771" s="501" t="s">
        <v>2199</v>
      </c>
      <c r="Y1771" s="501" t="s">
        <v>3232</v>
      </c>
      <c r="Z1771" s="501"/>
      <c r="AA1771" s="501" t="s">
        <v>1536</v>
      </c>
      <c r="AB1771" s="573"/>
    </row>
    <row r="1772" spans="1:28" ht="24" customHeight="1">
      <c r="A1772" s="584"/>
      <c r="B1772" s="460" t="s">
        <v>675</v>
      </c>
      <c r="C1772" s="458" t="s">
        <v>7922</v>
      </c>
      <c r="D1772" s="510" t="s">
        <v>7923</v>
      </c>
      <c r="E1772" s="498">
        <f t="shared" si="120"/>
        <v>90</v>
      </c>
      <c r="F1772" s="498">
        <v>0</v>
      </c>
      <c r="G1772" s="498">
        <v>0</v>
      </c>
      <c r="H1772" s="498">
        <v>90</v>
      </c>
      <c r="I1772" s="498">
        <f t="shared" si="119"/>
        <v>21</v>
      </c>
      <c r="J1772" s="498">
        <v>0</v>
      </c>
      <c r="K1772" s="498">
        <v>0</v>
      </c>
      <c r="L1772" s="668">
        <v>21</v>
      </c>
      <c r="M1772" s="956">
        <v>0.79469999999999996</v>
      </c>
      <c r="N1772" s="653">
        <v>0.99</v>
      </c>
      <c r="O1772" s="764" t="s">
        <v>7924</v>
      </c>
      <c r="P1772" s="568" t="s">
        <v>7925</v>
      </c>
      <c r="Q1772" s="852">
        <v>0</v>
      </c>
      <c r="R1772" s="852">
        <v>0</v>
      </c>
      <c r="S1772" s="852">
        <v>0</v>
      </c>
      <c r="T1772" s="852">
        <v>0</v>
      </c>
      <c r="U1772" s="501" t="s">
        <v>7502</v>
      </c>
      <c r="V1772" s="572" t="s">
        <v>7926</v>
      </c>
      <c r="W1772" s="498">
        <v>420</v>
      </c>
      <c r="X1772" s="501" t="s">
        <v>2199</v>
      </c>
      <c r="Y1772" s="501" t="s">
        <v>3336</v>
      </c>
      <c r="Z1772" s="501"/>
      <c r="AA1772" s="501" t="s">
        <v>1536</v>
      </c>
      <c r="AB1772" s="573"/>
    </row>
    <row r="1773" spans="1:28" ht="24" customHeight="1">
      <c r="A1773" s="582" t="s">
        <v>1918</v>
      </c>
      <c r="B1773" s="460" t="s">
        <v>2201</v>
      </c>
      <c r="C1773" s="458" t="s">
        <v>2338</v>
      </c>
      <c r="D1773" s="510" t="s">
        <v>2339</v>
      </c>
      <c r="E1773" s="498">
        <f>SUM(F1773:H1773)</f>
        <v>7600</v>
      </c>
      <c r="F1773" s="498">
        <v>0</v>
      </c>
      <c r="G1773" s="498">
        <v>7600</v>
      </c>
      <c r="H1773" s="498">
        <v>0</v>
      </c>
      <c r="I1773" s="498">
        <f t="shared" si="119"/>
        <v>7000</v>
      </c>
      <c r="J1773" s="498">
        <v>0</v>
      </c>
      <c r="K1773" s="498">
        <v>7000</v>
      </c>
      <c r="L1773" s="668">
        <v>0</v>
      </c>
      <c r="M1773" s="956">
        <v>0.96442687747035605</v>
      </c>
      <c r="N1773" s="653">
        <v>512.4000000000002</v>
      </c>
      <c r="O1773" s="715" t="s">
        <v>5362</v>
      </c>
      <c r="P1773" s="501" t="s">
        <v>1588</v>
      </c>
      <c r="Q1773" s="852">
        <v>13.2</v>
      </c>
      <c r="R1773" s="852">
        <v>0</v>
      </c>
      <c r="S1773" s="852">
        <v>0</v>
      </c>
      <c r="T1773" s="852">
        <v>0</v>
      </c>
      <c r="U1773" s="501" t="s">
        <v>2340</v>
      </c>
      <c r="V1773" s="501" t="s">
        <v>7927</v>
      </c>
      <c r="W1773" s="498">
        <v>21023</v>
      </c>
      <c r="X1773" s="501" t="s">
        <v>2193</v>
      </c>
      <c r="Y1773" s="501" t="s">
        <v>3232</v>
      </c>
      <c r="Z1773" s="501"/>
      <c r="AA1773" s="501" t="s">
        <v>1589</v>
      </c>
      <c r="AB1773" s="502" t="s">
        <v>1589</v>
      </c>
    </row>
    <row r="1774" spans="1:28" ht="24" customHeight="1">
      <c r="A1774" s="584"/>
      <c r="B1774" s="460" t="s">
        <v>2201</v>
      </c>
      <c r="C1774" s="458" t="s">
        <v>338</v>
      </c>
      <c r="D1774" s="510" t="s">
        <v>7928</v>
      </c>
      <c r="E1774" s="498">
        <f>SUM(F1774:H1774)</f>
        <v>700</v>
      </c>
      <c r="F1774" s="498">
        <v>0</v>
      </c>
      <c r="G1774" s="498">
        <v>700</v>
      </c>
      <c r="H1774" s="498">
        <v>0</v>
      </c>
      <c r="I1774" s="498">
        <f t="shared" si="119"/>
        <v>500</v>
      </c>
      <c r="J1774" s="498">
        <v>0</v>
      </c>
      <c r="K1774" s="498">
        <v>500</v>
      </c>
      <c r="L1774" s="668">
        <v>0</v>
      </c>
      <c r="M1774" s="956">
        <v>0.938405797101449</v>
      </c>
      <c r="N1774" s="653">
        <v>64.749999999999972</v>
      </c>
      <c r="O1774" s="715" t="s">
        <v>3176</v>
      </c>
      <c r="P1774" s="501" t="s">
        <v>1588</v>
      </c>
      <c r="Q1774" s="852">
        <v>0</v>
      </c>
      <c r="R1774" s="852">
        <v>0</v>
      </c>
      <c r="S1774" s="852">
        <v>0</v>
      </c>
      <c r="T1774" s="852">
        <v>0</v>
      </c>
      <c r="U1774" s="501" t="s">
        <v>2340</v>
      </c>
      <c r="V1774" s="501" t="s">
        <v>7929</v>
      </c>
      <c r="W1774" s="498">
        <v>5943</v>
      </c>
      <c r="X1774" s="501" t="s">
        <v>2193</v>
      </c>
      <c r="Y1774" s="501" t="s">
        <v>3336</v>
      </c>
      <c r="Z1774" s="501"/>
      <c r="AA1774" s="501" t="s">
        <v>1589</v>
      </c>
      <c r="AB1774" s="502" t="s">
        <v>1589</v>
      </c>
    </row>
    <row r="1775" spans="1:28" ht="24" customHeight="1">
      <c r="A1775" s="584"/>
      <c r="B1775" s="460" t="s">
        <v>675</v>
      </c>
      <c r="C1775" s="458" t="s">
        <v>7930</v>
      </c>
      <c r="D1775" s="510" t="s">
        <v>7931</v>
      </c>
      <c r="E1775" s="498">
        <f>SUM(F1775:H1775)</f>
        <v>20</v>
      </c>
      <c r="F1775" s="498">
        <v>0</v>
      </c>
      <c r="G1775" s="498">
        <v>20</v>
      </c>
      <c r="H1775" s="498">
        <v>0</v>
      </c>
      <c r="I1775" s="498">
        <f t="shared" si="119"/>
        <v>10</v>
      </c>
      <c r="J1775" s="498">
        <v>0</v>
      </c>
      <c r="K1775" s="498">
        <v>10</v>
      </c>
      <c r="L1775" s="668">
        <v>0</v>
      </c>
      <c r="M1775" s="956">
        <v>0.9</v>
      </c>
      <c r="N1775" s="653">
        <v>0.5</v>
      </c>
      <c r="O1775" s="715" t="s">
        <v>7854</v>
      </c>
      <c r="P1775" s="501" t="s">
        <v>1588</v>
      </c>
      <c r="Q1775" s="852">
        <v>0</v>
      </c>
      <c r="R1775" s="852">
        <v>0</v>
      </c>
      <c r="S1775" s="852">
        <v>0</v>
      </c>
      <c r="T1775" s="852">
        <v>0</v>
      </c>
      <c r="U1775" s="501" t="s">
        <v>2340</v>
      </c>
      <c r="V1775" s="501" t="s">
        <v>7932</v>
      </c>
      <c r="W1775" s="498">
        <v>111</v>
      </c>
      <c r="X1775" s="501" t="s">
        <v>2193</v>
      </c>
      <c r="Y1775" s="501" t="s">
        <v>3232</v>
      </c>
      <c r="Z1775" s="501"/>
      <c r="AA1775" s="501" t="s">
        <v>1589</v>
      </c>
      <c r="AB1775" s="502" t="s">
        <v>1589</v>
      </c>
    </row>
    <row r="1776" spans="1:28" ht="24" customHeight="1">
      <c r="A1776" s="582" t="s">
        <v>1919</v>
      </c>
      <c r="B1776" s="460" t="s">
        <v>2201</v>
      </c>
      <c r="C1776" s="458" t="s">
        <v>2341</v>
      </c>
      <c r="D1776" s="510" t="s">
        <v>7933</v>
      </c>
      <c r="E1776" s="498">
        <v>6000</v>
      </c>
      <c r="F1776" s="498">
        <v>0</v>
      </c>
      <c r="G1776" s="498">
        <v>6000</v>
      </c>
      <c r="H1776" s="498">
        <v>0</v>
      </c>
      <c r="I1776" s="498">
        <f t="shared" si="119"/>
        <v>5127</v>
      </c>
      <c r="J1776" s="498">
        <v>0</v>
      </c>
      <c r="K1776" s="498">
        <v>5127</v>
      </c>
      <c r="L1776" s="668">
        <v>0</v>
      </c>
      <c r="M1776" s="956">
        <v>0.95442092154420921</v>
      </c>
      <c r="N1776" s="653">
        <v>392.93327999999997</v>
      </c>
      <c r="O1776" s="715" t="s">
        <v>3533</v>
      </c>
      <c r="P1776" s="501" t="s">
        <v>1588</v>
      </c>
      <c r="Q1776" s="852">
        <v>50</v>
      </c>
      <c r="R1776" s="852">
        <v>0</v>
      </c>
      <c r="S1776" s="852">
        <v>0</v>
      </c>
      <c r="T1776" s="852">
        <v>0</v>
      </c>
      <c r="U1776" s="501" t="s">
        <v>2459</v>
      </c>
      <c r="V1776" s="501" t="s">
        <v>7934</v>
      </c>
      <c r="W1776" s="498">
        <v>12246</v>
      </c>
      <c r="X1776" s="501" t="s">
        <v>2199</v>
      </c>
      <c r="Y1776" s="501"/>
      <c r="Z1776" s="501" t="s">
        <v>1920</v>
      </c>
      <c r="AA1776" s="501" t="s">
        <v>1589</v>
      </c>
      <c r="AB1776" s="502" t="s">
        <v>1589</v>
      </c>
    </row>
    <row r="1777" spans="1:28" ht="24" customHeight="1">
      <c r="A1777" s="584"/>
      <c r="B1777" s="460" t="s">
        <v>675</v>
      </c>
      <c r="C1777" s="458" t="s">
        <v>7935</v>
      </c>
      <c r="D1777" s="510" t="s">
        <v>7936</v>
      </c>
      <c r="E1777" s="498">
        <v>65</v>
      </c>
      <c r="F1777" s="498">
        <v>0</v>
      </c>
      <c r="G1777" s="498">
        <v>65</v>
      </c>
      <c r="H1777" s="498">
        <v>0</v>
      </c>
      <c r="I1777" s="498">
        <f t="shared" si="119"/>
        <v>29</v>
      </c>
      <c r="J1777" s="498">
        <v>0</v>
      </c>
      <c r="K1777" s="498">
        <v>29</v>
      </c>
      <c r="L1777" s="668">
        <v>0</v>
      </c>
      <c r="M1777" s="956">
        <v>0.9</v>
      </c>
      <c r="N1777" s="653">
        <v>1.75</v>
      </c>
      <c r="O1777" s="715" t="s">
        <v>7937</v>
      </c>
      <c r="P1777" s="501" t="s">
        <v>1588</v>
      </c>
      <c r="Q1777" s="852">
        <v>0</v>
      </c>
      <c r="R1777" s="852">
        <v>0</v>
      </c>
      <c r="S1777" s="852">
        <v>0</v>
      </c>
      <c r="T1777" s="852">
        <v>0</v>
      </c>
      <c r="U1777" s="501" t="s">
        <v>2459</v>
      </c>
      <c r="V1777" s="501" t="s">
        <v>7938</v>
      </c>
      <c r="W1777" s="498">
        <v>100</v>
      </c>
      <c r="X1777" s="501" t="s">
        <v>2199</v>
      </c>
      <c r="Y1777" s="501"/>
      <c r="Z1777" s="501" t="s">
        <v>1920</v>
      </c>
      <c r="AA1777" s="501" t="s">
        <v>1589</v>
      </c>
      <c r="AB1777" s="502" t="s">
        <v>1589</v>
      </c>
    </row>
    <row r="1778" spans="1:28" ht="24" customHeight="1">
      <c r="A1778" s="584"/>
      <c r="B1778" s="460" t="s">
        <v>675</v>
      </c>
      <c r="C1778" s="458" t="s">
        <v>7939</v>
      </c>
      <c r="D1778" s="510" t="s">
        <v>7940</v>
      </c>
      <c r="E1778" s="498">
        <v>57</v>
      </c>
      <c r="F1778" s="498">
        <v>0</v>
      </c>
      <c r="G1778" s="498">
        <v>0</v>
      </c>
      <c r="H1778" s="498">
        <v>57</v>
      </c>
      <c r="I1778" s="498">
        <f t="shared" si="119"/>
        <v>28</v>
      </c>
      <c r="J1778" s="498">
        <v>0</v>
      </c>
      <c r="K1778" s="498">
        <v>0</v>
      </c>
      <c r="L1778" s="668">
        <v>28</v>
      </c>
      <c r="M1778" s="956">
        <v>0.9</v>
      </c>
      <c r="N1778" s="653">
        <v>3.41</v>
      </c>
      <c r="O1778" s="715" t="s">
        <v>7941</v>
      </c>
      <c r="P1778" s="501" t="s">
        <v>1588</v>
      </c>
      <c r="Q1778" s="852">
        <v>0</v>
      </c>
      <c r="R1778" s="852">
        <v>0</v>
      </c>
      <c r="S1778" s="852">
        <v>0</v>
      </c>
      <c r="T1778" s="852">
        <v>0</v>
      </c>
      <c r="U1778" s="501" t="s">
        <v>2459</v>
      </c>
      <c r="V1778" s="501" t="s">
        <v>7942</v>
      </c>
      <c r="W1778" s="498">
        <v>267</v>
      </c>
      <c r="X1778" s="501" t="s">
        <v>2199</v>
      </c>
      <c r="Y1778" s="501"/>
      <c r="Z1778" s="501" t="s">
        <v>7943</v>
      </c>
      <c r="AA1778" s="501" t="s">
        <v>1589</v>
      </c>
      <c r="AB1778" s="502" t="s">
        <v>1589</v>
      </c>
    </row>
    <row r="1779" spans="1:28" ht="24" customHeight="1">
      <c r="A1779" s="584"/>
      <c r="B1779" s="460" t="s">
        <v>675</v>
      </c>
      <c r="C1779" s="458" t="s">
        <v>7944</v>
      </c>
      <c r="D1779" s="510" t="s">
        <v>7945</v>
      </c>
      <c r="E1779" s="498">
        <v>40</v>
      </c>
      <c r="F1779" s="498">
        <v>0</v>
      </c>
      <c r="G1779" s="498">
        <v>40</v>
      </c>
      <c r="H1779" s="498">
        <v>0</v>
      </c>
      <c r="I1779" s="498">
        <f t="shared" si="119"/>
        <v>25</v>
      </c>
      <c r="J1779" s="498">
        <v>0</v>
      </c>
      <c r="K1779" s="498">
        <v>25</v>
      </c>
      <c r="L1779" s="668">
        <v>0</v>
      </c>
      <c r="M1779" s="956">
        <v>0.9</v>
      </c>
      <c r="N1779" s="653">
        <v>1.68</v>
      </c>
      <c r="O1779" s="715" t="s">
        <v>7731</v>
      </c>
      <c r="P1779" s="501" t="s">
        <v>1588</v>
      </c>
      <c r="Q1779" s="852">
        <v>0</v>
      </c>
      <c r="R1779" s="852">
        <v>0</v>
      </c>
      <c r="S1779" s="852">
        <v>0</v>
      </c>
      <c r="T1779" s="852">
        <v>0</v>
      </c>
      <c r="U1779" s="501" t="s">
        <v>2459</v>
      </c>
      <c r="V1779" s="501" t="s">
        <v>7946</v>
      </c>
      <c r="W1779" s="498">
        <v>83</v>
      </c>
      <c r="X1779" s="501" t="s">
        <v>2199</v>
      </c>
      <c r="Y1779" s="501"/>
      <c r="Z1779" s="501" t="s">
        <v>7943</v>
      </c>
      <c r="AA1779" s="501" t="s">
        <v>1589</v>
      </c>
      <c r="AB1779" s="502" t="s">
        <v>1589</v>
      </c>
    </row>
    <row r="1780" spans="1:28" ht="24" customHeight="1">
      <c r="A1780" s="582" t="s">
        <v>1921</v>
      </c>
      <c r="B1780" s="460" t="s">
        <v>2201</v>
      </c>
      <c r="C1780" s="458" t="s">
        <v>2342</v>
      </c>
      <c r="D1780" s="510" t="s">
        <v>7947</v>
      </c>
      <c r="E1780" s="498">
        <v>4500</v>
      </c>
      <c r="F1780" s="498">
        <v>0</v>
      </c>
      <c r="G1780" s="498">
        <v>0</v>
      </c>
      <c r="H1780" s="653">
        <v>4500</v>
      </c>
      <c r="I1780" s="498">
        <f t="shared" si="119"/>
        <v>3144</v>
      </c>
      <c r="J1780" s="498">
        <v>0</v>
      </c>
      <c r="K1780" s="498">
        <v>0</v>
      </c>
      <c r="L1780" s="698">
        <v>3144</v>
      </c>
      <c r="M1780" s="956">
        <v>0.95827538247566069</v>
      </c>
      <c r="N1780" s="653">
        <v>216.6216</v>
      </c>
      <c r="O1780" s="715" t="s">
        <v>3651</v>
      </c>
      <c r="P1780" s="501" t="s">
        <v>7948</v>
      </c>
      <c r="Q1780" s="852">
        <v>0</v>
      </c>
      <c r="R1780" s="852">
        <v>0</v>
      </c>
      <c r="S1780" s="852">
        <v>0</v>
      </c>
      <c r="T1780" s="852">
        <v>0</v>
      </c>
      <c r="U1780" s="501" t="s">
        <v>7504</v>
      </c>
      <c r="V1780" s="501" t="s">
        <v>7949</v>
      </c>
      <c r="W1780" s="498">
        <v>16014</v>
      </c>
      <c r="X1780" s="501" t="s">
        <v>2199</v>
      </c>
      <c r="Y1780" s="501" t="s">
        <v>3161</v>
      </c>
      <c r="Z1780" s="501" t="s">
        <v>7950</v>
      </c>
      <c r="AA1780" s="501" t="s">
        <v>1589</v>
      </c>
      <c r="AB1780" s="502" t="s">
        <v>1589</v>
      </c>
    </row>
    <row r="1781" spans="1:28" ht="24" customHeight="1">
      <c r="A1781" s="584"/>
      <c r="B1781" s="460" t="s">
        <v>675</v>
      </c>
      <c r="C1781" s="458" t="s">
        <v>7951</v>
      </c>
      <c r="D1781" s="510" t="s">
        <v>7952</v>
      </c>
      <c r="E1781" s="498">
        <v>50</v>
      </c>
      <c r="F1781" s="498">
        <v>0</v>
      </c>
      <c r="G1781" s="498">
        <v>0</v>
      </c>
      <c r="H1781" s="653">
        <v>50</v>
      </c>
      <c r="I1781" s="653">
        <f t="shared" si="119"/>
        <v>38</v>
      </c>
      <c r="J1781" s="498">
        <v>0</v>
      </c>
      <c r="K1781" s="498">
        <v>0</v>
      </c>
      <c r="L1781" s="698">
        <v>38</v>
      </c>
      <c r="M1781" s="956">
        <v>0.91799999999999993</v>
      </c>
      <c r="N1781" s="653">
        <v>1.7</v>
      </c>
      <c r="O1781" s="715" t="s">
        <v>7953</v>
      </c>
      <c r="P1781" s="501" t="s">
        <v>7954</v>
      </c>
      <c r="Q1781" s="852">
        <v>0</v>
      </c>
      <c r="R1781" s="852">
        <v>0</v>
      </c>
      <c r="S1781" s="852">
        <v>0</v>
      </c>
      <c r="T1781" s="852">
        <v>0</v>
      </c>
      <c r="U1781" s="501" t="s">
        <v>7504</v>
      </c>
      <c r="V1781" s="566" t="s">
        <v>7955</v>
      </c>
      <c r="W1781" s="498">
        <v>467</v>
      </c>
      <c r="X1781" s="501" t="s">
        <v>2199</v>
      </c>
      <c r="Y1781" s="501" t="s">
        <v>1991</v>
      </c>
      <c r="Z1781" s="501" t="s">
        <v>1769</v>
      </c>
      <c r="AA1781" s="501" t="s">
        <v>1589</v>
      </c>
      <c r="AB1781" s="502" t="s">
        <v>1589</v>
      </c>
    </row>
    <row r="1782" spans="1:28" ht="24" customHeight="1">
      <c r="A1782" s="584"/>
      <c r="B1782" s="460" t="s">
        <v>675</v>
      </c>
      <c r="C1782" s="458" t="s">
        <v>907</v>
      </c>
      <c r="D1782" s="510" t="s">
        <v>7956</v>
      </c>
      <c r="E1782" s="498">
        <v>70</v>
      </c>
      <c r="F1782" s="498">
        <v>0</v>
      </c>
      <c r="G1782" s="498">
        <v>0</v>
      </c>
      <c r="H1782" s="653">
        <v>70</v>
      </c>
      <c r="I1782" s="653">
        <f t="shared" si="119"/>
        <v>15</v>
      </c>
      <c r="J1782" s="498">
        <v>0</v>
      </c>
      <c r="K1782" s="498">
        <v>0</v>
      </c>
      <c r="L1782" s="698">
        <v>15</v>
      </c>
      <c r="M1782" s="956">
        <v>20.053000000000001</v>
      </c>
      <c r="N1782" s="653">
        <v>2.2000000000000002</v>
      </c>
      <c r="O1782" s="715" t="s">
        <v>7957</v>
      </c>
      <c r="P1782" s="501" t="s">
        <v>7958</v>
      </c>
      <c r="Q1782" s="852">
        <v>0</v>
      </c>
      <c r="R1782" s="852">
        <v>0</v>
      </c>
      <c r="S1782" s="852">
        <v>0</v>
      </c>
      <c r="T1782" s="852">
        <v>0</v>
      </c>
      <c r="U1782" s="501" t="s">
        <v>7504</v>
      </c>
      <c r="V1782" s="566" t="s">
        <v>2701</v>
      </c>
      <c r="W1782" s="498">
        <v>400</v>
      </c>
      <c r="X1782" s="501" t="s">
        <v>2199</v>
      </c>
      <c r="Y1782" s="501" t="s">
        <v>3161</v>
      </c>
      <c r="Z1782" s="501" t="s">
        <v>1769</v>
      </c>
      <c r="AA1782" s="501" t="s">
        <v>1589</v>
      </c>
      <c r="AB1782" s="502" t="s">
        <v>1589</v>
      </c>
    </row>
    <row r="1783" spans="1:28" ht="24" customHeight="1">
      <c r="A1783" s="582" t="s">
        <v>1922</v>
      </c>
      <c r="B1783" s="460" t="s">
        <v>2201</v>
      </c>
      <c r="C1783" s="458" t="s">
        <v>290</v>
      </c>
      <c r="D1783" s="510" t="s">
        <v>7959</v>
      </c>
      <c r="E1783" s="498">
        <f>F1783+G1783+H1783</f>
        <v>42000</v>
      </c>
      <c r="F1783" s="498">
        <v>0</v>
      </c>
      <c r="G1783" s="498">
        <v>20000</v>
      </c>
      <c r="H1783" s="498">
        <v>22000</v>
      </c>
      <c r="I1783" s="653">
        <f t="shared" si="119"/>
        <v>22159</v>
      </c>
      <c r="J1783" s="498">
        <v>0</v>
      </c>
      <c r="K1783" s="498">
        <f>12550+38</f>
        <v>12588</v>
      </c>
      <c r="L1783" s="668">
        <f>9534+37</f>
        <v>9571</v>
      </c>
      <c r="M1783" s="956">
        <v>0.96483516483516485</v>
      </c>
      <c r="N1783" s="653">
        <v>972.78009999999995</v>
      </c>
      <c r="O1783" s="715" t="s">
        <v>7960</v>
      </c>
      <c r="P1783" s="501" t="s">
        <v>1588</v>
      </c>
      <c r="Q1783" s="852">
        <v>56</v>
      </c>
      <c r="R1783" s="852">
        <v>0</v>
      </c>
      <c r="S1783" s="852">
        <v>10</v>
      </c>
      <c r="T1783" s="852">
        <v>9</v>
      </c>
      <c r="U1783" s="501" t="s">
        <v>7505</v>
      </c>
      <c r="V1783" s="566" t="s">
        <v>7961</v>
      </c>
      <c r="W1783" s="498">
        <v>67764</v>
      </c>
      <c r="X1783" s="501" t="s">
        <v>2199</v>
      </c>
      <c r="Y1783" s="501" t="s">
        <v>3161</v>
      </c>
      <c r="Z1783" s="501"/>
      <c r="AA1783" s="501" t="s">
        <v>1589</v>
      </c>
      <c r="AB1783" s="502" t="s">
        <v>1589</v>
      </c>
    </row>
    <row r="1784" spans="1:28" ht="24" customHeight="1">
      <c r="A1784" s="584"/>
      <c r="B1784" s="460" t="s">
        <v>2201</v>
      </c>
      <c r="C1784" s="458" t="s">
        <v>291</v>
      </c>
      <c r="D1784" s="510" t="s">
        <v>7962</v>
      </c>
      <c r="E1784" s="498">
        <f>F1784+G1784+H1784</f>
        <v>20000</v>
      </c>
      <c r="F1784" s="498">
        <v>0</v>
      </c>
      <c r="G1784" s="498">
        <v>20000</v>
      </c>
      <c r="H1784" s="498">
        <v>0</v>
      </c>
      <c r="I1784" s="498">
        <f t="shared" si="119"/>
        <v>15109</v>
      </c>
      <c r="J1784" s="498">
        <v>0</v>
      </c>
      <c r="K1784" s="498">
        <v>0</v>
      </c>
      <c r="L1784" s="668">
        <f>15098+11</f>
        <v>15109</v>
      </c>
      <c r="M1784" s="956">
        <v>0.96186440677966101</v>
      </c>
      <c r="N1784" s="653">
        <v>1028.9228999999998</v>
      </c>
      <c r="O1784" s="715" t="s">
        <v>5429</v>
      </c>
      <c r="P1784" s="501" t="s">
        <v>1588</v>
      </c>
      <c r="Q1784" s="852">
        <v>11</v>
      </c>
      <c r="R1784" s="852">
        <v>0</v>
      </c>
      <c r="S1784" s="852">
        <v>0</v>
      </c>
      <c r="T1784" s="852">
        <v>0</v>
      </c>
      <c r="U1784" s="501" t="s">
        <v>7505</v>
      </c>
      <c r="V1784" s="566" t="s">
        <v>2801</v>
      </c>
      <c r="W1784" s="498">
        <v>31630</v>
      </c>
      <c r="X1784" s="501" t="s">
        <v>2199</v>
      </c>
      <c r="Y1784" s="501" t="s">
        <v>3161</v>
      </c>
      <c r="Z1784" s="501" t="s">
        <v>7963</v>
      </c>
      <c r="AA1784" s="501" t="s">
        <v>1589</v>
      </c>
      <c r="AB1784" s="502" t="s">
        <v>1589</v>
      </c>
    </row>
    <row r="1785" spans="1:28" ht="24" customHeight="1">
      <c r="A1785" s="584"/>
      <c r="B1785" s="460" t="s">
        <v>675</v>
      </c>
      <c r="C1785" s="458" t="s">
        <v>7964</v>
      </c>
      <c r="D1785" s="510" t="s">
        <v>7965</v>
      </c>
      <c r="E1785" s="498">
        <f>F1785+G1785+H1785</f>
        <v>50</v>
      </c>
      <c r="F1785" s="498">
        <v>0</v>
      </c>
      <c r="G1785" s="498">
        <v>0</v>
      </c>
      <c r="H1785" s="498">
        <v>50</v>
      </c>
      <c r="I1785" s="498">
        <f t="shared" si="119"/>
        <v>40</v>
      </c>
      <c r="J1785" s="498">
        <v>0</v>
      </c>
      <c r="K1785" s="498">
        <v>0</v>
      </c>
      <c r="L1785" s="668">
        <v>40</v>
      </c>
      <c r="M1785" s="956">
        <v>0.95</v>
      </c>
      <c r="N1785" s="653">
        <v>275.1542</v>
      </c>
      <c r="O1785" s="715" t="s">
        <v>3399</v>
      </c>
      <c r="P1785" s="501" t="s">
        <v>1588</v>
      </c>
      <c r="Q1785" s="852">
        <v>0</v>
      </c>
      <c r="R1785" s="852">
        <v>0</v>
      </c>
      <c r="S1785" s="852">
        <v>0</v>
      </c>
      <c r="T1785" s="852">
        <v>0</v>
      </c>
      <c r="U1785" s="501" t="s">
        <v>7506</v>
      </c>
      <c r="V1785" s="566" t="s">
        <v>7966</v>
      </c>
      <c r="W1785" s="498">
        <v>457</v>
      </c>
      <c r="X1785" s="501" t="s">
        <v>2193</v>
      </c>
      <c r="Y1785" s="501" t="s">
        <v>3161</v>
      </c>
      <c r="Z1785" s="501" t="s">
        <v>7967</v>
      </c>
      <c r="AA1785" s="501" t="s">
        <v>1786</v>
      </c>
      <c r="AB1785" s="502" t="s">
        <v>1786</v>
      </c>
    </row>
    <row r="1786" spans="1:28" ht="24" customHeight="1">
      <c r="A1786" s="582" t="s">
        <v>1923</v>
      </c>
      <c r="B1786" s="460" t="s">
        <v>2201</v>
      </c>
      <c r="C1786" s="458" t="s">
        <v>2343</v>
      </c>
      <c r="D1786" s="510" t="s">
        <v>2344</v>
      </c>
      <c r="E1786" s="498">
        <f t="shared" ref="E1786:E1792" si="121">F1786+G1786+H1786</f>
        <v>7500</v>
      </c>
      <c r="F1786" s="498">
        <v>0</v>
      </c>
      <c r="G1786" s="498">
        <v>0</v>
      </c>
      <c r="H1786" s="498">
        <v>7500</v>
      </c>
      <c r="I1786" s="498">
        <f t="shared" ref="I1786:I1792" si="122">SUM(J1786:L1786)</f>
        <v>7522</v>
      </c>
      <c r="J1786" s="498">
        <v>0</v>
      </c>
      <c r="K1786" s="498">
        <v>0</v>
      </c>
      <c r="L1786" s="668">
        <v>7522</v>
      </c>
      <c r="M1786" s="956">
        <v>0.9455307262569832</v>
      </c>
      <c r="N1786" s="653">
        <v>509.23939999999993</v>
      </c>
      <c r="O1786" s="715" t="s">
        <v>1535</v>
      </c>
      <c r="P1786" s="501" t="s">
        <v>7968</v>
      </c>
      <c r="Q1786" s="852">
        <v>32.4</v>
      </c>
      <c r="R1786" s="852">
        <v>0</v>
      </c>
      <c r="S1786" s="852">
        <v>0</v>
      </c>
      <c r="T1786" s="852">
        <v>0</v>
      </c>
      <c r="U1786" s="501" t="s">
        <v>2460</v>
      </c>
      <c r="V1786" s="501" t="s">
        <v>7969</v>
      </c>
      <c r="W1786" s="498">
        <v>33668</v>
      </c>
      <c r="X1786" s="501" t="s">
        <v>2193</v>
      </c>
      <c r="Y1786" s="501" t="s">
        <v>3161</v>
      </c>
      <c r="Z1786" s="478" t="s">
        <v>4697</v>
      </c>
      <c r="AA1786" s="501" t="s">
        <v>1924</v>
      </c>
      <c r="AB1786" s="502" t="s">
        <v>1589</v>
      </c>
    </row>
    <row r="1787" spans="1:28" ht="24" customHeight="1">
      <c r="A1787" s="584"/>
      <c r="B1787" s="460" t="s">
        <v>675</v>
      </c>
      <c r="C1787" s="458" t="s">
        <v>7970</v>
      </c>
      <c r="D1787" s="510" t="s">
        <v>7971</v>
      </c>
      <c r="E1787" s="498">
        <f t="shared" si="121"/>
        <v>21</v>
      </c>
      <c r="F1787" s="498">
        <v>0</v>
      </c>
      <c r="G1787" s="498">
        <v>0</v>
      </c>
      <c r="H1787" s="498">
        <v>21</v>
      </c>
      <c r="I1787" s="498">
        <f t="shared" si="122"/>
        <v>16</v>
      </c>
      <c r="J1787" s="498">
        <v>0</v>
      </c>
      <c r="K1787" s="498">
        <v>0</v>
      </c>
      <c r="L1787" s="668">
        <v>16</v>
      </c>
      <c r="M1787" s="956">
        <v>0.76</v>
      </c>
      <c r="N1787" s="653">
        <v>1</v>
      </c>
      <c r="O1787" s="715" t="s">
        <v>7972</v>
      </c>
      <c r="P1787" s="501" t="s">
        <v>1588</v>
      </c>
      <c r="Q1787" s="852">
        <v>0</v>
      </c>
      <c r="R1787" s="852">
        <v>0</v>
      </c>
      <c r="S1787" s="852">
        <v>0</v>
      </c>
      <c r="T1787" s="852">
        <v>0</v>
      </c>
      <c r="U1787" s="501" t="s">
        <v>7507</v>
      </c>
      <c r="V1787" s="501" t="s">
        <v>7973</v>
      </c>
      <c r="W1787" s="498">
        <v>150</v>
      </c>
      <c r="X1787" s="501" t="s">
        <v>2193</v>
      </c>
      <c r="Y1787" s="501" t="s">
        <v>1432</v>
      </c>
      <c r="Z1787" s="478" t="s">
        <v>4697</v>
      </c>
      <c r="AA1787" s="501" t="s">
        <v>1924</v>
      </c>
      <c r="AB1787" s="502" t="s">
        <v>1589</v>
      </c>
    </row>
    <row r="1788" spans="1:28" ht="24" customHeight="1">
      <c r="A1788" s="584"/>
      <c r="B1788" s="460" t="s">
        <v>675</v>
      </c>
      <c r="C1788" s="458" t="s">
        <v>7974</v>
      </c>
      <c r="D1788" s="510" t="s">
        <v>7975</v>
      </c>
      <c r="E1788" s="498">
        <f t="shared" si="121"/>
        <v>20</v>
      </c>
      <c r="F1788" s="498">
        <v>0</v>
      </c>
      <c r="G1788" s="498">
        <v>0</v>
      </c>
      <c r="H1788" s="498">
        <v>20</v>
      </c>
      <c r="I1788" s="498">
        <f t="shared" si="122"/>
        <v>10</v>
      </c>
      <c r="J1788" s="498">
        <v>0</v>
      </c>
      <c r="K1788" s="498">
        <v>0</v>
      </c>
      <c r="L1788" s="668">
        <v>10</v>
      </c>
      <c r="M1788" s="956">
        <v>0.5</v>
      </c>
      <c r="N1788" s="653">
        <v>1</v>
      </c>
      <c r="O1788" s="715" t="s">
        <v>7976</v>
      </c>
      <c r="P1788" s="501" t="s">
        <v>1588</v>
      </c>
      <c r="Q1788" s="852">
        <v>0</v>
      </c>
      <c r="R1788" s="852">
        <v>0</v>
      </c>
      <c r="S1788" s="852">
        <v>0</v>
      </c>
      <c r="T1788" s="852">
        <v>0</v>
      </c>
      <c r="U1788" s="501" t="s">
        <v>7507</v>
      </c>
      <c r="V1788" s="501">
        <v>98.12</v>
      </c>
      <c r="W1788" s="498">
        <v>166</v>
      </c>
      <c r="X1788" s="501" t="s">
        <v>2193</v>
      </c>
      <c r="Y1788" s="501" t="s">
        <v>1432</v>
      </c>
      <c r="Z1788" s="478" t="s">
        <v>4697</v>
      </c>
      <c r="AA1788" s="501" t="s">
        <v>1924</v>
      </c>
      <c r="AB1788" s="502" t="s">
        <v>1589</v>
      </c>
    </row>
    <row r="1789" spans="1:28" ht="24" customHeight="1">
      <c r="A1789" s="584"/>
      <c r="B1789" s="460" t="s">
        <v>675</v>
      </c>
      <c r="C1789" s="458" t="s">
        <v>7977</v>
      </c>
      <c r="D1789" s="510" t="s">
        <v>7978</v>
      </c>
      <c r="E1789" s="498">
        <f t="shared" si="121"/>
        <v>30</v>
      </c>
      <c r="F1789" s="498">
        <v>0</v>
      </c>
      <c r="G1789" s="498">
        <v>0</v>
      </c>
      <c r="H1789" s="498">
        <v>30</v>
      </c>
      <c r="I1789" s="498">
        <f t="shared" si="122"/>
        <v>21</v>
      </c>
      <c r="J1789" s="498">
        <v>0</v>
      </c>
      <c r="K1789" s="498">
        <v>0</v>
      </c>
      <c r="L1789" s="668">
        <v>21</v>
      </c>
      <c r="M1789" s="956">
        <v>0.7</v>
      </c>
      <c r="N1789" s="653">
        <v>1</v>
      </c>
      <c r="O1789" s="715" t="s">
        <v>7979</v>
      </c>
      <c r="P1789" s="501" t="s">
        <v>1588</v>
      </c>
      <c r="Q1789" s="852">
        <v>0</v>
      </c>
      <c r="R1789" s="852">
        <v>0</v>
      </c>
      <c r="S1789" s="852">
        <v>0</v>
      </c>
      <c r="T1789" s="852">
        <v>0</v>
      </c>
      <c r="U1789" s="501" t="s">
        <v>7507</v>
      </c>
      <c r="V1789" s="501" t="s">
        <v>7973</v>
      </c>
      <c r="W1789" s="498">
        <v>150</v>
      </c>
      <c r="X1789" s="501" t="s">
        <v>2193</v>
      </c>
      <c r="Y1789" s="501" t="s">
        <v>1432</v>
      </c>
      <c r="Z1789" s="478" t="s">
        <v>7980</v>
      </c>
      <c r="AA1789" s="501" t="s">
        <v>1924</v>
      </c>
      <c r="AB1789" s="502" t="s">
        <v>1589</v>
      </c>
    </row>
    <row r="1790" spans="1:28" ht="24" customHeight="1">
      <c r="A1790" s="584"/>
      <c r="B1790" s="460" t="s">
        <v>675</v>
      </c>
      <c r="C1790" s="458" t="s">
        <v>7981</v>
      </c>
      <c r="D1790" s="510" t="s">
        <v>7982</v>
      </c>
      <c r="E1790" s="498">
        <f t="shared" si="121"/>
        <v>20</v>
      </c>
      <c r="F1790" s="498">
        <v>0</v>
      </c>
      <c r="G1790" s="498">
        <v>0</v>
      </c>
      <c r="H1790" s="498">
        <v>20</v>
      </c>
      <c r="I1790" s="498">
        <f t="shared" si="122"/>
        <v>18</v>
      </c>
      <c r="J1790" s="498">
        <v>0</v>
      </c>
      <c r="K1790" s="498">
        <v>0</v>
      </c>
      <c r="L1790" s="668">
        <v>18</v>
      </c>
      <c r="M1790" s="956">
        <v>0.9</v>
      </c>
      <c r="N1790" s="653">
        <v>1</v>
      </c>
      <c r="O1790" s="715" t="s">
        <v>7983</v>
      </c>
      <c r="P1790" s="501" t="s">
        <v>1588</v>
      </c>
      <c r="Q1790" s="852">
        <v>0</v>
      </c>
      <c r="R1790" s="852">
        <v>0</v>
      </c>
      <c r="S1790" s="852">
        <v>0</v>
      </c>
      <c r="T1790" s="852">
        <v>0</v>
      </c>
      <c r="U1790" s="501" t="s">
        <v>7507</v>
      </c>
      <c r="V1790" s="501">
        <v>99.03</v>
      </c>
      <c r="W1790" s="498">
        <v>100</v>
      </c>
      <c r="X1790" s="501" t="s">
        <v>2193</v>
      </c>
      <c r="Y1790" s="501" t="s">
        <v>1432</v>
      </c>
      <c r="Z1790" s="478" t="s">
        <v>7980</v>
      </c>
      <c r="AA1790" s="501" t="s">
        <v>1924</v>
      </c>
      <c r="AB1790" s="502" t="s">
        <v>1589</v>
      </c>
    </row>
    <row r="1791" spans="1:28" ht="24" customHeight="1">
      <c r="A1791" s="584"/>
      <c r="B1791" s="460" t="s">
        <v>675</v>
      </c>
      <c r="C1791" s="458" t="s">
        <v>7984</v>
      </c>
      <c r="D1791" s="510" t="s">
        <v>7985</v>
      </c>
      <c r="E1791" s="498">
        <f t="shared" si="121"/>
        <v>21</v>
      </c>
      <c r="F1791" s="498">
        <v>0</v>
      </c>
      <c r="G1791" s="498">
        <v>0</v>
      </c>
      <c r="H1791" s="498">
        <v>21</v>
      </c>
      <c r="I1791" s="498">
        <f t="shared" si="122"/>
        <v>19</v>
      </c>
      <c r="J1791" s="498">
        <v>0</v>
      </c>
      <c r="K1791" s="498">
        <v>0</v>
      </c>
      <c r="L1791" s="668">
        <v>19</v>
      </c>
      <c r="M1791" s="956">
        <v>0.9</v>
      </c>
      <c r="N1791" s="653">
        <v>1</v>
      </c>
      <c r="O1791" s="715" t="s">
        <v>7986</v>
      </c>
      <c r="P1791" s="501" t="s">
        <v>1588</v>
      </c>
      <c r="Q1791" s="852">
        <v>0</v>
      </c>
      <c r="R1791" s="852">
        <v>0</v>
      </c>
      <c r="S1791" s="852">
        <v>0</v>
      </c>
      <c r="T1791" s="852">
        <v>0</v>
      </c>
      <c r="U1791" s="501" t="s">
        <v>7507</v>
      </c>
      <c r="V1791" s="501" t="s">
        <v>7987</v>
      </c>
      <c r="W1791" s="498">
        <v>150</v>
      </c>
      <c r="X1791" s="501" t="s">
        <v>2193</v>
      </c>
      <c r="Y1791" s="501" t="s">
        <v>1432</v>
      </c>
      <c r="Z1791" s="478" t="s">
        <v>1588</v>
      </c>
      <c r="AA1791" s="501" t="s">
        <v>1588</v>
      </c>
      <c r="AB1791" s="502" t="s">
        <v>1589</v>
      </c>
    </row>
    <row r="1792" spans="1:28" ht="24" customHeight="1">
      <c r="A1792" s="584"/>
      <c r="B1792" s="460" t="s">
        <v>675</v>
      </c>
      <c r="C1792" s="458" t="s">
        <v>7988</v>
      </c>
      <c r="D1792" s="510" t="s">
        <v>7989</v>
      </c>
      <c r="E1792" s="498">
        <f t="shared" si="121"/>
        <v>80</v>
      </c>
      <c r="F1792" s="498">
        <v>0</v>
      </c>
      <c r="G1792" s="498">
        <v>0</v>
      </c>
      <c r="H1792" s="498">
        <v>80</v>
      </c>
      <c r="I1792" s="498">
        <f t="shared" si="122"/>
        <v>50</v>
      </c>
      <c r="J1792" s="498">
        <v>0</v>
      </c>
      <c r="K1792" s="498">
        <v>0</v>
      </c>
      <c r="L1792" s="668">
        <v>50</v>
      </c>
      <c r="M1792" s="956">
        <v>0.63</v>
      </c>
      <c r="N1792" s="653">
        <v>1</v>
      </c>
      <c r="O1792" s="715" t="s">
        <v>1075</v>
      </c>
      <c r="P1792" s="501" t="s">
        <v>1588</v>
      </c>
      <c r="Q1792" s="852">
        <v>0</v>
      </c>
      <c r="R1792" s="852">
        <v>0</v>
      </c>
      <c r="S1792" s="852">
        <v>0</v>
      </c>
      <c r="T1792" s="852">
        <v>0</v>
      </c>
      <c r="U1792" s="501" t="s">
        <v>7508</v>
      </c>
      <c r="V1792" s="566" t="s">
        <v>7990</v>
      </c>
      <c r="W1792" s="498">
        <v>300</v>
      </c>
      <c r="X1792" s="501" t="s">
        <v>2193</v>
      </c>
      <c r="Y1792" s="501" t="s">
        <v>1432</v>
      </c>
      <c r="Z1792" s="478" t="s">
        <v>7991</v>
      </c>
      <c r="AA1792" s="501" t="s">
        <v>1924</v>
      </c>
      <c r="AB1792" s="502" t="s">
        <v>1589</v>
      </c>
    </row>
    <row r="1793" spans="1:28" ht="24" customHeight="1">
      <c r="A1793" s="582" t="s">
        <v>1926</v>
      </c>
      <c r="B1793" s="460" t="s">
        <v>675</v>
      </c>
      <c r="C1793" s="458" t="s">
        <v>7992</v>
      </c>
      <c r="D1793" s="510" t="s">
        <v>7993</v>
      </c>
      <c r="E1793" s="498">
        <f>SUM(F1793:H1793)</f>
        <v>110</v>
      </c>
      <c r="F1793" s="498">
        <v>0</v>
      </c>
      <c r="G1793" s="498">
        <v>110</v>
      </c>
      <c r="H1793" s="498">
        <v>0</v>
      </c>
      <c r="I1793" s="498">
        <f>J1793+K1793+L1793</f>
        <v>40</v>
      </c>
      <c r="J1793" s="498">
        <v>0</v>
      </c>
      <c r="K1793" s="498">
        <v>40</v>
      </c>
      <c r="L1793" s="668">
        <v>0</v>
      </c>
      <c r="M1793" s="956">
        <v>0.9</v>
      </c>
      <c r="N1793" s="653">
        <v>181.8</v>
      </c>
      <c r="O1793" s="715" t="s">
        <v>1180</v>
      </c>
      <c r="P1793" s="501" t="s">
        <v>1588</v>
      </c>
      <c r="Q1793" s="852">
        <v>0</v>
      </c>
      <c r="R1793" s="852">
        <v>0</v>
      </c>
      <c r="S1793" s="852">
        <v>0</v>
      </c>
      <c r="T1793" s="852">
        <v>0</v>
      </c>
      <c r="U1793" s="501" t="s">
        <v>7509</v>
      </c>
      <c r="V1793" s="566" t="s">
        <v>2128</v>
      </c>
      <c r="W1793" s="498">
        <v>380</v>
      </c>
      <c r="X1793" s="501" t="s">
        <v>2193</v>
      </c>
      <c r="Y1793" s="501"/>
      <c r="Z1793" s="501" t="s">
        <v>1357</v>
      </c>
      <c r="AA1793" s="501" t="s">
        <v>1924</v>
      </c>
      <c r="AB1793" s="502" t="s">
        <v>1589</v>
      </c>
    </row>
    <row r="1794" spans="1:28" ht="24" customHeight="1">
      <c r="A1794" s="584"/>
      <c r="B1794" s="460" t="s">
        <v>675</v>
      </c>
      <c r="C1794" s="458" t="s">
        <v>7994</v>
      </c>
      <c r="D1794" s="510" t="s">
        <v>7995</v>
      </c>
      <c r="E1794" s="498">
        <f t="shared" ref="E1794:E1801" si="123">SUM(F1794:H1794)</f>
        <v>34</v>
      </c>
      <c r="F1794" s="498">
        <v>0</v>
      </c>
      <c r="G1794" s="498">
        <v>34</v>
      </c>
      <c r="H1794" s="498">
        <v>0</v>
      </c>
      <c r="I1794" s="498">
        <f t="shared" ref="I1794:I1808" si="124">J1794+K1794+L1794</f>
        <v>32</v>
      </c>
      <c r="J1794" s="498">
        <v>0</v>
      </c>
      <c r="K1794" s="498">
        <v>32</v>
      </c>
      <c r="L1794" s="668">
        <v>0</v>
      </c>
      <c r="M1794" s="956">
        <v>0.9</v>
      </c>
      <c r="N1794" s="653">
        <v>48.384</v>
      </c>
      <c r="O1794" s="715" t="s">
        <v>7996</v>
      </c>
      <c r="P1794" s="501" t="s">
        <v>1588</v>
      </c>
      <c r="Q1794" s="852">
        <v>0</v>
      </c>
      <c r="R1794" s="852">
        <v>0</v>
      </c>
      <c r="S1794" s="852">
        <v>0</v>
      </c>
      <c r="T1794" s="852">
        <v>0</v>
      </c>
      <c r="U1794" s="501" t="s">
        <v>7509</v>
      </c>
      <c r="V1794" s="566" t="s">
        <v>7997</v>
      </c>
      <c r="W1794" s="498">
        <v>213</v>
      </c>
      <c r="X1794" s="501" t="s">
        <v>2193</v>
      </c>
      <c r="Y1794" s="501" t="s">
        <v>3232</v>
      </c>
      <c r="Z1794" s="501" t="s">
        <v>7998</v>
      </c>
      <c r="AA1794" s="501" t="s">
        <v>1924</v>
      </c>
      <c r="AB1794" s="502" t="s">
        <v>1589</v>
      </c>
    </row>
    <row r="1795" spans="1:28" ht="24" customHeight="1">
      <c r="A1795" s="584"/>
      <c r="B1795" s="460" t="s">
        <v>675</v>
      </c>
      <c r="C1795" s="458" t="s">
        <v>7999</v>
      </c>
      <c r="D1795" s="510" t="s">
        <v>8000</v>
      </c>
      <c r="E1795" s="498">
        <f t="shared" si="123"/>
        <v>34</v>
      </c>
      <c r="F1795" s="498">
        <v>0</v>
      </c>
      <c r="G1795" s="498">
        <v>34</v>
      </c>
      <c r="H1795" s="498">
        <v>0</v>
      </c>
      <c r="I1795" s="498">
        <f t="shared" si="124"/>
        <v>32</v>
      </c>
      <c r="J1795" s="498">
        <v>0</v>
      </c>
      <c r="K1795" s="498">
        <v>32</v>
      </c>
      <c r="L1795" s="668">
        <v>0</v>
      </c>
      <c r="M1795" s="956">
        <v>0.9</v>
      </c>
      <c r="N1795" s="653">
        <v>49.248000000000005</v>
      </c>
      <c r="O1795" s="715" t="s">
        <v>7996</v>
      </c>
      <c r="P1795" s="501" t="s">
        <v>1588</v>
      </c>
      <c r="Q1795" s="852">
        <v>0</v>
      </c>
      <c r="R1795" s="852">
        <v>0</v>
      </c>
      <c r="S1795" s="852">
        <v>0</v>
      </c>
      <c r="T1795" s="852">
        <v>0</v>
      </c>
      <c r="U1795" s="501" t="s">
        <v>7509</v>
      </c>
      <c r="V1795" s="566" t="s">
        <v>5423</v>
      </c>
      <c r="W1795" s="498">
        <v>212</v>
      </c>
      <c r="X1795" s="501" t="s">
        <v>2193</v>
      </c>
      <c r="Y1795" s="501" t="s">
        <v>3232</v>
      </c>
      <c r="Z1795" s="501" t="s">
        <v>8001</v>
      </c>
      <c r="AA1795" s="501" t="s">
        <v>1924</v>
      </c>
      <c r="AB1795" s="502" t="s">
        <v>1589</v>
      </c>
    </row>
    <row r="1796" spans="1:28" ht="24" customHeight="1">
      <c r="A1796" s="584"/>
      <c r="B1796" s="460" t="s">
        <v>675</v>
      </c>
      <c r="C1796" s="458" t="s">
        <v>8002</v>
      </c>
      <c r="D1796" s="510" t="s">
        <v>8003</v>
      </c>
      <c r="E1796" s="498">
        <f t="shared" si="123"/>
        <v>80</v>
      </c>
      <c r="F1796" s="498">
        <v>0</v>
      </c>
      <c r="G1796" s="498">
        <v>80</v>
      </c>
      <c r="H1796" s="498">
        <v>0</v>
      </c>
      <c r="I1796" s="498">
        <f t="shared" si="124"/>
        <v>70</v>
      </c>
      <c r="J1796" s="498">
        <v>0</v>
      </c>
      <c r="K1796" s="498">
        <v>70</v>
      </c>
      <c r="L1796" s="668">
        <v>0</v>
      </c>
      <c r="M1796" s="956">
        <v>0.9</v>
      </c>
      <c r="N1796" s="653">
        <v>272.79000000000002</v>
      </c>
      <c r="O1796" s="715" t="s">
        <v>5737</v>
      </c>
      <c r="P1796" s="501" t="s">
        <v>1588</v>
      </c>
      <c r="Q1796" s="852">
        <v>0</v>
      </c>
      <c r="R1796" s="852">
        <v>0</v>
      </c>
      <c r="S1796" s="852">
        <v>0</v>
      </c>
      <c r="T1796" s="852">
        <v>0</v>
      </c>
      <c r="U1796" s="501" t="s">
        <v>7509</v>
      </c>
      <c r="V1796" s="566" t="s">
        <v>8004</v>
      </c>
      <c r="W1796" s="498">
        <v>300</v>
      </c>
      <c r="X1796" s="501" t="s">
        <v>2193</v>
      </c>
      <c r="Y1796" s="501" t="s">
        <v>3232</v>
      </c>
      <c r="Z1796" s="501" t="s">
        <v>8005</v>
      </c>
      <c r="AA1796" s="501" t="s">
        <v>1924</v>
      </c>
      <c r="AB1796" s="502" t="s">
        <v>1589</v>
      </c>
    </row>
    <row r="1797" spans="1:28" ht="24" customHeight="1">
      <c r="A1797" s="584"/>
      <c r="B1797" s="460" t="s">
        <v>675</v>
      </c>
      <c r="C1797" s="458" t="s">
        <v>8006</v>
      </c>
      <c r="D1797" s="510" t="s">
        <v>8007</v>
      </c>
      <c r="E1797" s="498">
        <f t="shared" si="123"/>
        <v>46</v>
      </c>
      <c r="F1797" s="498">
        <v>0</v>
      </c>
      <c r="G1797" s="498">
        <v>46</v>
      </c>
      <c r="H1797" s="498">
        <v>0</v>
      </c>
      <c r="I1797" s="498">
        <f t="shared" si="124"/>
        <v>45</v>
      </c>
      <c r="J1797" s="498">
        <v>0</v>
      </c>
      <c r="K1797" s="498">
        <v>45</v>
      </c>
      <c r="L1797" s="668">
        <v>0</v>
      </c>
      <c r="M1797" s="956">
        <v>0.9</v>
      </c>
      <c r="N1797" s="653">
        <v>222.75</v>
      </c>
      <c r="O1797" s="715" t="s">
        <v>7996</v>
      </c>
      <c r="P1797" s="501" t="s">
        <v>1588</v>
      </c>
      <c r="Q1797" s="852">
        <v>0</v>
      </c>
      <c r="R1797" s="852">
        <v>0</v>
      </c>
      <c r="S1797" s="852">
        <v>0</v>
      </c>
      <c r="T1797" s="852">
        <v>0</v>
      </c>
      <c r="U1797" s="501" t="s">
        <v>7509</v>
      </c>
      <c r="V1797" s="566" t="s">
        <v>7997</v>
      </c>
      <c r="W1797" s="498">
        <v>253</v>
      </c>
      <c r="X1797" s="501" t="s">
        <v>2193</v>
      </c>
      <c r="Y1797" s="501" t="s">
        <v>3232</v>
      </c>
      <c r="Z1797" s="501" t="s">
        <v>6647</v>
      </c>
      <c r="AA1797" s="501" t="s">
        <v>1924</v>
      </c>
      <c r="AB1797" s="502" t="s">
        <v>1589</v>
      </c>
    </row>
    <row r="1798" spans="1:28" ht="24" customHeight="1">
      <c r="A1798" s="584"/>
      <c r="B1798" s="460" t="s">
        <v>675</v>
      </c>
      <c r="C1798" s="458" t="s">
        <v>8008</v>
      </c>
      <c r="D1798" s="510" t="s">
        <v>8009</v>
      </c>
      <c r="E1798" s="498">
        <f t="shared" si="123"/>
        <v>70</v>
      </c>
      <c r="F1798" s="498">
        <v>0</v>
      </c>
      <c r="G1798" s="498">
        <v>70</v>
      </c>
      <c r="H1798" s="498">
        <v>0</v>
      </c>
      <c r="I1798" s="498">
        <f t="shared" si="124"/>
        <v>65</v>
      </c>
      <c r="J1798" s="498">
        <v>0</v>
      </c>
      <c r="K1798" s="498">
        <v>65</v>
      </c>
      <c r="L1798" s="668">
        <v>0</v>
      </c>
      <c r="M1798" s="956">
        <v>0.9</v>
      </c>
      <c r="N1798" s="653">
        <v>135.13499999999999</v>
      </c>
      <c r="O1798" s="715" t="s">
        <v>7996</v>
      </c>
      <c r="P1798" s="501" t="s">
        <v>1588</v>
      </c>
      <c r="Q1798" s="852">
        <v>0</v>
      </c>
      <c r="R1798" s="852">
        <v>0</v>
      </c>
      <c r="S1798" s="852">
        <v>0</v>
      </c>
      <c r="T1798" s="852">
        <v>0</v>
      </c>
      <c r="U1798" s="501" t="s">
        <v>7509</v>
      </c>
      <c r="V1798" s="566" t="s">
        <v>8010</v>
      </c>
      <c r="W1798" s="498">
        <v>380</v>
      </c>
      <c r="X1798" s="501" t="s">
        <v>2193</v>
      </c>
      <c r="Y1798" s="501" t="s">
        <v>3232</v>
      </c>
      <c r="Z1798" s="501" t="s">
        <v>1927</v>
      </c>
      <c r="AA1798" s="501" t="s">
        <v>1924</v>
      </c>
      <c r="AB1798" s="502" t="s">
        <v>1589</v>
      </c>
    </row>
    <row r="1799" spans="1:28" ht="24" customHeight="1">
      <c r="A1799" s="584"/>
      <c r="B1799" s="460" t="s">
        <v>675</v>
      </c>
      <c r="C1799" s="458" t="s">
        <v>8011</v>
      </c>
      <c r="D1799" s="510" t="s">
        <v>8012</v>
      </c>
      <c r="E1799" s="498">
        <f t="shared" si="123"/>
        <v>50</v>
      </c>
      <c r="F1799" s="498">
        <v>0</v>
      </c>
      <c r="G1799" s="498">
        <v>50</v>
      </c>
      <c r="H1799" s="498">
        <v>0</v>
      </c>
      <c r="I1799" s="498">
        <f t="shared" si="124"/>
        <v>45</v>
      </c>
      <c r="J1799" s="498">
        <v>0</v>
      </c>
      <c r="K1799" s="498">
        <v>45</v>
      </c>
      <c r="L1799" s="668">
        <v>0</v>
      </c>
      <c r="M1799" s="956">
        <v>0.9</v>
      </c>
      <c r="N1799" s="653">
        <v>84.24</v>
      </c>
      <c r="O1799" s="715" t="s">
        <v>8013</v>
      </c>
      <c r="P1799" s="501" t="s">
        <v>1588</v>
      </c>
      <c r="Q1799" s="852">
        <v>0</v>
      </c>
      <c r="R1799" s="852">
        <v>0</v>
      </c>
      <c r="S1799" s="852">
        <v>0</v>
      </c>
      <c r="T1799" s="852">
        <v>0</v>
      </c>
      <c r="U1799" s="501" t="s">
        <v>7509</v>
      </c>
      <c r="V1799" s="566" t="s">
        <v>5418</v>
      </c>
      <c r="W1799" s="498">
        <v>400</v>
      </c>
      <c r="X1799" s="501" t="s">
        <v>2193</v>
      </c>
      <c r="Y1799" s="501"/>
      <c r="Z1799" s="501" t="s">
        <v>8014</v>
      </c>
      <c r="AA1799" s="501" t="s">
        <v>1924</v>
      </c>
      <c r="AB1799" s="502" t="s">
        <v>1589</v>
      </c>
    </row>
    <row r="1800" spans="1:28" ht="24" customHeight="1">
      <c r="A1800" s="584"/>
      <c r="B1800" s="460" t="s">
        <v>675</v>
      </c>
      <c r="C1800" s="458" t="s">
        <v>8015</v>
      </c>
      <c r="D1800" s="510" t="s">
        <v>8016</v>
      </c>
      <c r="E1800" s="498">
        <f t="shared" si="123"/>
        <v>34</v>
      </c>
      <c r="F1800" s="498">
        <v>0</v>
      </c>
      <c r="G1800" s="498">
        <v>34</v>
      </c>
      <c r="H1800" s="498">
        <v>0</v>
      </c>
      <c r="I1800" s="498">
        <f t="shared" si="124"/>
        <v>32</v>
      </c>
      <c r="J1800" s="498">
        <v>0</v>
      </c>
      <c r="K1800" s="498">
        <v>32</v>
      </c>
      <c r="L1800" s="668">
        <v>0</v>
      </c>
      <c r="M1800" s="956">
        <v>0.9</v>
      </c>
      <c r="N1800" s="653">
        <v>88.703999999999994</v>
      </c>
      <c r="O1800" s="715" t="s">
        <v>7996</v>
      </c>
      <c r="P1800" s="501" t="s">
        <v>1588</v>
      </c>
      <c r="Q1800" s="852">
        <v>0</v>
      </c>
      <c r="R1800" s="852">
        <v>0</v>
      </c>
      <c r="S1800" s="852">
        <v>0</v>
      </c>
      <c r="T1800" s="852">
        <v>0</v>
      </c>
      <c r="U1800" s="501" t="s">
        <v>7509</v>
      </c>
      <c r="V1800" s="566" t="s">
        <v>5423</v>
      </c>
      <c r="W1800" s="498">
        <v>198</v>
      </c>
      <c r="X1800" s="501" t="s">
        <v>2193</v>
      </c>
      <c r="Y1800" s="501" t="s">
        <v>3232</v>
      </c>
      <c r="Z1800" s="501" t="s">
        <v>8017</v>
      </c>
      <c r="AA1800" s="501" t="s">
        <v>1924</v>
      </c>
      <c r="AB1800" s="502" t="s">
        <v>1589</v>
      </c>
    </row>
    <row r="1801" spans="1:28" ht="24" customHeight="1">
      <c r="A1801" s="584"/>
      <c r="B1801" s="460" t="s">
        <v>675</v>
      </c>
      <c r="C1801" s="458" t="s">
        <v>8018</v>
      </c>
      <c r="D1801" s="510" t="s">
        <v>8019</v>
      </c>
      <c r="E1801" s="498">
        <f t="shared" si="123"/>
        <v>46</v>
      </c>
      <c r="F1801" s="498">
        <v>0</v>
      </c>
      <c r="G1801" s="498">
        <v>46</v>
      </c>
      <c r="H1801" s="498">
        <v>0</v>
      </c>
      <c r="I1801" s="498">
        <f t="shared" si="124"/>
        <v>40</v>
      </c>
      <c r="J1801" s="498">
        <v>0</v>
      </c>
      <c r="K1801" s="498">
        <v>40</v>
      </c>
      <c r="L1801" s="668">
        <v>0</v>
      </c>
      <c r="M1801" s="956">
        <v>0.9</v>
      </c>
      <c r="N1801" s="653">
        <v>272.88</v>
      </c>
      <c r="O1801" s="715" t="s">
        <v>7996</v>
      </c>
      <c r="P1801" s="501" t="s">
        <v>1588</v>
      </c>
      <c r="Q1801" s="852">
        <v>0</v>
      </c>
      <c r="R1801" s="852">
        <v>0</v>
      </c>
      <c r="S1801" s="852">
        <v>0</v>
      </c>
      <c r="T1801" s="852">
        <v>0</v>
      </c>
      <c r="U1801" s="501" t="s">
        <v>7509</v>
      </c>
      <c r="V1801" s="566" t="s">
        <v>2137</v>
      </c>
      <c r="W1801" s="498">
        <v>238</v>
      </c>
      <c r="X1801" s="501" t="s">
        <v>2193</v>
      </c>
      <c r="Y1801" s="501" t="s">
        <v>3232</v>
      </c>
      <c r="Z1801" s="501" t="s">
        <v>8020</v>
      </c>
      <c r="AA1801" s="501" t="s">
        <v>1924</v>
      </c>
      <c r="AB1801" s="502" t="s">
        <v>1589</v>
      </c>
    </row>
    <row r="1802" spans="1:28" ht="24" customHeight="1">
      <c r="A1802" s="582" t="s">
        <v>1928</v>
      </c>
      <c r="B1802" s="460" t="s">
        <v>2201</v>
      </c>
      <c r="C1802" s="458" t="s">
        <v>2345</v>
      </c>
      <c r="D1802" s="510" t="s">
        <v>8021</v>
      </c>
      <c r="E1802" s="498">
        <f t="shared" ref="E1802:E1808" si="125">SUM(F1802:H1802)</f>
        <v>5000</v>
      </c>
      <c r="F1802" s="498">
        <v>0</v>
      </c>
      <c r="G1802" s="498">
        <v>0</v>
      </c>
      <c r="H1802" s="498">
        <v>5000</v>
      </c>
      <c r="I1802" s="498">
        <f t="shared" si="124"/>
        <v>4113</v>
      </c>
      <c r="J1802" s="498">
        <v>0</v>
      </c>
      <c r="K1802" s="498">
        <v>0</v>
      </c>
      <c r="L1802" s="668">
        <v>4113</v>
      </c>
      <c r="M1802" s="956">
        <v>0.9592252803261978</v>
      </c>
      <c r="N1802" s="653">
        <v>387.0333</v>
      </c>
      <c r="O1802" s="715" t="s">
        <v>8022</v>
      </c>
      <c r="P1802" s="501" t="s">
        <v>1588</v>
      </c>
      <c r="Q1802" s="852">
        <v>0</v>
      </c>
      <c r="R1802" s="852">
        <v>0</v>
      </c>
      <c r="S1802" s="852">
        <v>0</v>
      </c>
      <c r="T1802" s="852">
        <v>0</v>
      </c>
      <c r="U1802" s="501" t="s">
        <v>7510</v>
      </c>
      <c r="V1802" s="501" t="s">
        <v>8023</v>
      </c>
      <c r="W1802" s="498">
        <v>15643</v>
      </c>
      <c r="X1802" s="501" t="s">
        <v>2193</v>
      </c>
      <c r="Y1802" s="501" t="s">
        <v>3161</v>
      </c>
      <c r="Z1802" s="501" t="s">
        <v>1602</v>
      </c>
      <c r="AA1802" s="501"/>
      <c r="AB1802" s="502" t="s">
        <v>1536</v>
      </c>
    </row>
    <row r="1803" spans="1:28" ht="24" customHeight="1">
      <c r="A1803" s="584"/>
      <c r="B1803" s="460" t="s">
        <v>2201</v>
      </c>
      <c r="C1803" s="458" t="s">
        <v>292</v>
      </c>
      <c r="D1803" s="510" t="s">
        <v>8024</v>
      </c>
      <c r="E1803" s="498">
        <f t="shared" si="125"/>
        <v>6500</v>
      </c>
      <c r="F1803" s="498">
        <v>0</v>
      </c>
      <c r="G1803" s="498">
        <v>6500</v>
      </c>
      <c r="H1803" s="498">
        <v>0</v>
      </c>
      <c r="I1803" s="498">
        <f t="shared" si="124"/>
        <v>3741</v>
      </c>
      <c r="J1803" s="498">
        <v>0</v>
      </c>
      <c r="K1803" s="498">
        <v>3741</v>
      </c>
      <c r="L1803" s="668">
        <v>0</v>
      </c>
      <c r="M1803" s="969">
        <v>0.98297213622291024</v>
      </c>
      <c r="N1803" s="653">
        <v>475.10699999999991</v>
      </c>
      <c r="O1803" s="715" t="s">
        <v>7271</v>
      </c>
      <c r="P1803" s="501" t="s">
        <v>1588</v>
      </c>
      <c r="Q1803" s="852">
        <v>0</v>
      </c>
      <c r="R1803" s="852">
        <v>0</v>
      </c>
      <c r="S1803" s="852">
        <v>0</v>
      </c>
      <c r="T1803" s="852">
        <v>0</v>
      </c>
      <c r="U1803" s="501" t="s">
        <v>7511</v>
      </c>
      <c r="V1803" s="501" t="s">
        <v>8025</v>
      </c>
      <c r="W1803" s="498">
        <v>5604</v>
      </c>
      <c r="X1803" s="501" t="s">
        <v>2193</v>
      </c>
      <c r="Y1803" s="501" t="s">
        <v>3161</v>
      </c>
      <c r="Z1803" s="501" t="s">
        <v>1602</v>
      </c>
      <c r="AA1803" s="501"/>
      <c r="AB1803" s="502" t="s">
        <v>1536</v>
      </c>
    </row>
    <row r="1804" spans="1:28" ht="24" customHeight="1">
      <c r="A1804" s="584"/>
      <c r="B1804" s="460" t="s">
        <v>675</v>
      </c>
      <c r="C1804" s="458" t="s">
        <v>8026</v>
      </c>
      <c r="D1804" s="510" t="s">
        <v>8027</v>
      </c>
      <c r="E1804" s="498">
        <f t="shared" si="125"/>
        <v>50</v>
      </c>
      <c r="F1804" s="498">
        <v>0</v>
      </c>
      <c r="G1804" s="498">
        <v>50</v>
      </c>
      <c r="H1804" s="498">
        <v>0</v>
      </c>
      <c r="I1804" s="498">
        <f t="shared" si="124"/>
        <v>35</v>
      </c>
      <c r="J1804" s="498">
        <v>0</v>
      </c>
      <c r="K1804" s="498">
        <v>35</v>
      </c>
      <c r="L1804" s="668">
        <v>0</v>
      </c>
      <c r="M1804" s="956">
        <v>0.93700000000000006</v>
      </c>
      <c r="N1804" s="653">
        <v>343.4</v>
      </c>
      <c r="O1804" s="715" t="s">
        <v>2675</v>
      </c>
      <c r="P1804" s="501" t="s">
        <v>1588</v>
      </c>
      <c r="Q1804" s="852">
        <v>0</v>
      </c>
      <c r="R1804" s="852">
        <v>0</v>
      </c>
      <c r="S1804" s="852">
        <v>0</v>
      </c>
      <c r="T1804" s="852">
        <v>0</v>
      </c>
      <c r="U1804" s="501" t="s">
        <v>7510</v>
      </c>
      <c r="V1804" s="501" t="s">
        <v>5306</v>
      </c>
      <c r="W1804" s="498">
        <v>259</v>
      </c>
      <c r="X1804" s="501" t="s">
        <v>2193</v>
      </c>
      <c r="Y1804" s="501" t="s">
        <v>3161</v>
      </c>
      <c r="Z1804" s="501" t="s">
        <v>1602</v>
      </c>
      <c r="AA1804" s="501"/>
      <c r="AB1804" s="502" t="s">
        <v>1536</v>
      </c>
    </row>
    <row r="1805" spans="1:28" ht="24" customHeight="1">
      <c r="A1805" s="584"/>
      <c r="B1805" s="460" t="s">
        <v>675</v>
      </c>
      <c r="C1805" s="458" t="s">
        <v>8028</v>
      </c>
      <c r="D1805" s="510" t="s">
        <v>8029</v>
      </c>
      <c r="E1805" s="498">
        <f t="shared" si="125"/>
        <v>60</v>
      </c>
      <c r="F1805" s="498">
        <v>0</v>
      </c>
      <c r="G1805" s="498">
        <v>0</v>
      </c>
      <c r="H1805" s="498">
        <v>60</v>
      </c>
      <c r="I1805" s="498">
        <f t="shared" si="124"/>
        <v>44</v>
      </c>
      <c r="J1805" s="498">
        <v>0</v>
      </c>
      <c r="K1805" s="498">
        <v>0</v>
      </c>
      <c r="L1805" s="668">
        <v>44</v>
      </c>
      <c r="M1805" s="969">
        <v>0.86</v>
      </c>
      <c r="N1805" s="653">
        <v>178.9</v>
      </c>
      <c r="O1805" s="715" t="s">
        <v>2675</v>
      </c>
      <c r="P1805" s="501" t="s">
        <v>1588</v>
      </c>
      <c r="Q1805" s="852">
        <v>0</v>
      </c>
      <c r="R1805" s="852">
        <v>0</v>
      </c>
      <c r="S1805" s="852">
        <v>0</v>
      </c>
      <c r="T1805" s="852">
        <v>0</v>
      </c>
      <c r="U1805" s="501" t="s">
        <v>7510</v>
      </c>
      <c r="V1805" s="501" t="s">
        <v>8030</v>
      </c>
      <c r="W1805" s="498">
        <v>488</v>
      </c>
      <c r="X1805" s="501" t="s">
        <v>2193</v>
      </c>
      <c r="Y1805" s="501"/>
      <c r="Z1805" s="501" t="s">
        <v>1602</v>
      </c>
      <c r="AA1805" s="501"/>
      <c r="AB1805" s="502" t="s">
        <v>1536</v>
      </c>
    </row>
    <row r="1806" spans="1:28" ht="24" customHeight="1">
      <c r="A1806" s="584"/>
      <c r="B1806" s="460" t="s">
        <v>675</v>
      </c>
      <c r="C1806" s="458" t="s">
        <v>8031</v>
      </c>
      <c r="D1806" s="510" t="s">
        <v>8032</v>
      </c>
      <c r="E1806" s="498">
        <f t="shared" si="125"/>
        <v>20</v>
      </c>
      <c r="F1806" s="498">
        <v>0</v>
      </c>
      <c r="G1806" s="498">
        <v>20</v>
      </c>
      <c r="H1806" s="498">
        <v>0</v>
      </c>
      <c r="I1806" s="498">
        <f t="shared" si="124"/>
        <v>0</v>
      </c>
      <c r="J1806" s="498">
        <v>0</v>
      </c>
      <c r="K1806" s="498">
        <v>0</v>
      </c>
      <c r="L1806" s="668">
        <v>0</v>
      </c>
      <c r="M1806" s="969">
        <v>0</v>
      </c>
      <c r="N1806" s="653">
        <v>0</v>
      </c>
      <c r="O1806" s="717" t="s">
        <v>3517</v>
      </c>
      <c r="P1806" s="501" t="s">
        <v>1588</v>
      </c>
      <c r="Q1806" s="857">
        <v>0</v>
      </c>
      <c r="R1806" s="857">
        <v>0</v>
      </c>
      <c r="S1806" s="852">
        <v>0</v>
      </c>
      <c r="T1806" s="852">
        <v>0</v>
      </c>
      <c r="U1806" s="501" t="s">
        <v>7510</v>
      </c>
      <c r="V1806" s="501" t="s">
        <v>8033</v>
      </c>
      <c r="W1806" s="498">
        <v>147</v>
      </c>
      <c r="X1806" s="501" t="s">
        <v>2193</v>
      </c>
      <c r="Y1806" s="501"/>
      <c r="Z1806" s="501" t="s">
        <v>1929</v>
      </c>
      <c r="AA1806" s="501"/>
      <c r="AB1806" s="502" t="s">
        <v>1536</v>
      </c>
    </row>
    <row r="1807" spans="1:28" ht="24" customHeight="1">
      <c r="A1807" s="584"/>
      <c r="B1807" s="460" t="s">
        <v>675</v>
      </c>
      <c r="C1807" s="458" t="s">
        <v>8034</v>
      </c>
      <c r="D1807" s="510" t="s">
        <v>8035</v>
      </c>
      <c r="E1807" s="498">
        <f t="shared" si="125"/>
        <v>50</v>
      </c>
      <c r="F1807" s="498">
        <v>0</v>
      </c>
      <c r="G1807" s="498">
        <v>0</v>
      </c>
      <c r="H1807" s="498">
        <v>50</v>
      </c>
      <c r="I1807" s="498">
        <f t="shared" si="124"/>
        <v>38</v>
      </c>
      <c r="J1807" s="498">
        <v>0</v>
      </c>
      <c r="K1807" s="498">
        <v>0</v>
      </c>
      <c r="L1807" s="668">
        <v>38</v>
      </c>
      <c r="M1807" s="969">
        <v>0.94099999999999995</v>
      </c>
      <c r="N1807" s="653">
        <v>322.2</v>
      </c>
      <c r="O1807" s="715" t="s">
        <v>8036</v>
      </c>
      <c r="P1807" s="501" t="s">
        <v>1588</v>
      </c>
      <c r="Q1807" s="852">
        <v>0</v>
      </c>
      <c r="R1807" s="852">
        <v>0</v>
      </c>
      <c r="S1807" s="852">
        <v>0</v>
      </c>
      <c r="T1807" s="852">
        <v>0</v>
      </c>
      <c r="U1807" s="501" t="s">
        <v>7510</v>
      </c>
      <c r="V1807" s="501" t="s">
        <v>8037</v>
      </c>
      <c r="W1807" s="498">
        <v>542</v>
      </c>
      <c r="X1807" s="501" t="s">
        <v>2193</v>
      </c>
      <c r="Y1807" s="501" t="s">
        <v>3161</v>
      </c>
      <c r="Z1807" s="501" t="s">
        <v>1929</v>
      </c>
      <c r="AA1807" s="501"/>
      <c r="AB1807" s="502" t="s">
        <v>1536</v>
      </c>
    </row>
    <row r="1808" spans="1:28" ht="24" customHeight="1">
      <c r="A1808" s="583"/>
      <c r="B1808" s="460" t="s">
        <v>675</v>
      </c>
      <c r="C1808" s="458" t="s">
        <v>8038</v>
      </c>
      <c r="D1808" s="510" t="s">
        <v>8039</v>
      </c>
      <c r="E1808" s="498">
        <f t="shared" si="125"/>
        <v>50</v>
      </c>
      <c r="F1808" s="498">
        <v>0</v>
      </c>
      <c r="G1808" s="498">
        <v>0</v>
      </c>
      <c r="H1808" s="498">
        <v>50</v>
      </c>
      <c r="I1808" s="498">
        <f t="shared" si="124"/>
        <v>40</v>
      </c>
      <c r="J1808" s="498">
        <v>0</v>
      </c>
      <c r="K1808" s="498">
        <v>0</v>
      </c>
      <c r="L1808" s="668">
        <v>40</v>
      </c>
      <c r="M1808" s="969">
        <v>0.92900000000000005</v>
      </c>
      <c r="N1808" s="653">
        <v>423.3</v>
      </c>
      <c r="O1808" s="715" t="s">
        <v>8040</v>
      </c>
      <c r="P1808" s="501" t="s">
        <v>1588</v>
      </c>
      <c r="Q1808" s="852">
        <v>0</v>
      </c>
      <c r="R1808" s="852">
        <v>0</v>
      </c>
      <c r="S1808" s="852">
        <v>0</v>
      </c>
      <c r="T1808" s="852">
        <v>0</v>
      </c>
      <c r="U1808" s="501" t="s">
        <v>7510</v>
      </c>
      <c r="V1808" s="501" t="s">
        <v>8041</v>
      </c>
      <c r="W1808" s="498">
        <v>897</v>
      </c>
      <c r="X1808" s="501" t="s">
        <v>2193</v>
      </c>
      <c r="Y1808" s="501" t="s">
        <v>3161</v>
      </c>
      <c r="Z1808" s="501" t="s">
        <v>1916</v>
      </c>
      <c r="AA1808" s="501"/>
      <c r="AB1808" s="502" t="s">
        <v>1536</v>
      </c>
    </row>
    <row r="1809" spans="1:28" ht="24" customHeight="1">
      <c r="A1809" s="583" t="s">
        <v>8042</v>
      </c>
      <c r="B1809" s="460" t="s">
        <v>1694</v>
      </c>
      <c r="C1809" s="458"/>
      <c r="D1809" s="510"/>
      <c r="E1809" s="498">
        <v>0</v>
      </c>
      <c r="F1809" s="498">
        <v>0</v>
      </c>
      <c r="G1809" s="498">
        <v>0</v>
      </c>
      <c r="H1809" s="498">
        <v>0</v>
      </c>
      <c r="I1809" s="498">
        <v>0</v>
      </c>
      <c r="J1809" s="498">
        <v>0</v>
      </c>
      <c r="K1809" s="498">
        <v>0</v>
      </c>
      <c r="L1809" s="668">
        <v>0</v>
      </c>
      <c r="M1809" s="956">
        <v>0</v>
      </c>
      <c r="N1809" s="653">
        <v>0</v>
      </c>
      <c r="O1809" s="715" t="s">
        <v>1588</v>
      </c>
      <c r="P1809" s="501" t="s">
        <v>1588</v>
      </c>
      <c r="Q1809" s="852">
        <v>0</v>
      </c>
      <c r="R1809" s="852">
        <v>0</v>
      </c>
      <c r="S1809" s="852">
        <v>0</v>
      </c>
      <c r="T1809" s="852">
        <v>0</v>
      </c>
      <c r="U1809" s="501"/>
      <c r="V1809" s="501"/>
      <c r="W1809" s="498"/>
      <c r="X1809" s="501"/>
      <c r="Y1809" s="501"/>
      <c r="Z1809" s="501"/>
      <c r="AA1809" s="501"/>
      <c r="AB1809" s="502"/>
    </row>
    <row r="1810" spans="1:28" ht="24" customHeight="1">
      <c r="A1810" s="457" t="s">
        <v>1978</v>
      </c>
      <c r="B1810" s="458" t="s">
        <v>6049</v>
      </c>
      <c r="C1810" s="458"/>
      <c r="D1810" s="510"/>
      <c r="E1810" s="498" t="s">
        <v>7355</v>
      </c>
      <c r="F1810" s="498">
        <v>0</v>
      </c>
      <c r="G1810" s="498" t="s">
        <v>7356</v>
      </c>
      <c r="H1810" s="498" t="s">
        <v>7357</v>
      </c>
      <c r="I1810" s="498" t="s">
        <v>7358</v>
      </c>
      <c r="J1810" s="498">
        <v>0</v>
      </c>
      <c r="K1810" s="498" t="s">
        <v>7359</v>
      </c>
      <c r="L1810" s="668" t="s">
        <v>7360</v>
      </c>
      <c r="M1810" s="956"/>
      <c r="N1810" s="498" t="s">
        <v>7361</v>
      </c>
      <c r="O1810" s="669" t="s">
        <v>1588</v>
      </c>
      <c r="P1810" s="463" t="s">
        <v>1588</v>
      </c>
      <c r="Q1810" s="852">
        <f>Q1811+Q1909</f>
        <v>1070.0999999999999</v>
      </c>
      <c r="R1810" s="852">
        <f>R1811+R1909</f>
        <v>257.21000000000004</v>
      </c>
      <c r="S1810" s="852">
        <f>S1811+S1909</f>
        <v>1356.12</v>
      </c>
      <c r="T1810" s="852">
        <f>T1811+T1909</f>
        <v>3063.2</v>
      </c>
      <c r="U1810" s="463" t="s">
        <v>7538</v>
      </c>
      <c r="V1810" s="463"/>
      <c r="W1810" s="498">
        <f>W1811+W1909</f>
        <v>4998794.3499999996</v>
      </c>
      <c r="X1810" s="463"/>
      <c r="Y1810" s="463"/>
      <c r="Z1810" s="463"/>
      <c r="AA1810" s="463"/>
      <c r="AB1810" s="459"/>
    </row>
    <row r="1811" spans="1:28" ht="24" customHeight="1">
      <c r="A1811" s="457" t="s">
        <v>1674</v>
      </c>
      <c r="B1811" s="458" t="s">
        <v>6048</v>
      </c>
      <c r="C1811" s="579">
        <f>COUNTIF($B$1812:$B$1908,"하수")</f>
        <v>20</v>
      </c>
      <c r="D1811" s="579">
        <f>COUNTIF($B$1812:$B$1908,"마을")</f>
        <v>77</v>
      </c>
      <c r="E1811" s="498" t="s">
        <v>6263</v>
      </c>
      <c r="F1811" s="498">
        <v>0</v>
      </c>
      <c r="G1811" s="498" t="s">
        <v>6264</v>
      </c>
      <c r="H1811" s="498" t="s">
        <v>6265</v>
      </c>
      <c r="I1811" s="498" t="s">
        <v>6266</v>
      </c>
      <c r="J1811" s="498">
        <v>0</v>
      </c>
      <c r="K1811" s="498" t="s">
        <v>6267</v>
      </c>
      <c r="L1811" s="668" t="s">
        <v>6268</v>
      </c>
      <c r="M1811" s="956"/>
      <c r="N1811" s="498" t="s">
        <v>6269</v>
      </c>
      <c r="O1811" s="669" t="s">
        <v>1588</v>
      </c>
      <c r="P1811" s="463" t="s">
        <v>1588</v>
      </c>
      <c r="Q1811" s="852">
        <f>SUM(Q1812:Q1908)</f>
        <v>871.3</v>
      </c>
      <c r="R1811" s="852">
        <f>SUM(R1812:R1908)</f>
        <v>60.1</v>
      </c>
      <c r="S1811" s="852">
        <f>SUM(S1812:S1908)</f>
        <v>1219.0999999999999</v>
      </c>
      <c r="T1811" s="852">
        <f>SUM(T1812:T1908)</f>
        <v>3063.2</v>
      </c>
      <c r="U1811" s="463"/>
      <c r="V1811" s="463"/>
      <c r="W1811" s="498">
        <f>SUM(W1812:W1908)</f>
        <v>1318461</v>
      </c>
      <c r="X1811" s="463"/>
      <c r="Y1811" s="463"/>
      <c r="Z1811" s="463"/>
      <c r="AA1811" s="463"/>
      <c r="AB1811" s="459"/>
    </row>
    <row r="1812" spans="1:28" ht="24" customHeight="1">
      <c r="A1812" s="582" t="s">
        <v>1930</v>
      </c>
      <c r="B1812" s="460" t="s">
        <v>2201</v>
      </c>
      <c r="C1812" s="458" t="s">
        <v>2346</v>
      </c>
      <c r="D1812" s="510" t="s">
        <v>8043</v>
      </c>
      <c r="E1812" s="653">
        <f>F1812+G1812+H1812</f>
        <v>280000</v>
      </c>
      <c r="F1812" s="653">
        <v>0</v>
      </c>
      <c r="G1812" s="653">
        <v>0</v>
      </c>
      <c r="H1812" s="653">
        <v>280000</v>
      </c>
      <c r="I1812" s="655">
        <f t="shared" ref="I1812:I1875" si="126">SUM(J1812:L1812)</f>
        <v>285023</v>
      </c>
      <c r="J1812" s="655">
        <v>0</v>
      </c>
      <c r="K1812" s="655">
        <v>0</v>
      </c>
      <c r="L1812" s="710">
        <v>285023</v>
      </c>
      <c r="M1812" s="969">
        <v>0.88217522658610281</v>
      </c>
      <c r="N1812" s="653">
        <v>8322.6716000000015</v>
      </c>
      <c r="O1812" s="669" t="s">
        <v>3409</v>
      </c>
      <c r="P1812" s="463" t="s">
        <v>1588</v>
      </c>
      <c r="Q1812" s="852">
        <v>226</v>
      </c>
      <c r="R1812" s="852">
        <v>0</v>
      </c>
      <c r="S1812" s="852">
        <v>233</v>
      </c>
      <c r="T1812" s="852">
        <v>0</v>
      </c>
      <c r="U1812" s="463" t="s">
        <v>2249</v>
      </c>
      <c r="V1812" s="463" t="s">
        <v>8044</v>
      </c>
      <c r="W1812" s="498">
        <v>216367</v>
      </c>
      <c r="X1812" s="463" t="s">
        <v>1532</v>
      </c>
      <c r="Y1812" s="463" t="s">
        <v>3399</v>
      </c>
      <c r="Z1812" s="463" t="s">
        <v>2071</v>
      </c>
      <c r="AA1812" s="463" t="s">
        <v>8045</v>
      </c>
      <c r="AB1812" s="459" t="s">
        <v>1770</v>
      </c>
    </row>
    <row r="1813" spans="1:28" ht="24" customHeight="1">
      <c r="A1813" s="582" t="s">
        <v>1931</v>
      </c>
      <c r="B1813" s="460" t="s">
        <v>2201</v>
      </c>
      <c r="C1813" s="458" t="s">
        <v>1931</v>
      </c>
      <c r="D1813" s="510" t="s">
        <v>8046</v>
      </c>
      <c r="E1813" s="498">
        <f t="shared" ref="E1813:E1854" si="127">F1813+G1813+H1813</f>
        <v>150000</v>
      </c>
      <c r="F1813" s="498">
        <v>0</v>
      </c>
      <c r="G1813" s="498">
        <v>150000</v>
      </c>
      <c r="H1813" s="498">
        <v>0</v>
      </c>
      <c r="I1813" s="655">
        <f t="shared" si="126"/>
        <v>114029</v>
      </c>
      <c r="J1813" s="655">
        <v>0</v>
      </c>
      <c r="K1813" s="655">
        <v>114029</v>
      </c>
      <c r="L1813" s="710">
        <v>0</v>
      </c>
      <c r="M1813" s="963">
        <v>0.86531986531986527</v>
      </c>
      <c r="N1813" s="653">
        <v>8791.6358999999993</v>
      </c>
      <c r="O1813" s="669" t="s">
        <v>1535</v>
      </c>
      <c r="P1813" s="463" t="s">
        <v>1588</v>
      </c>
      <c r="Q1813" s="852">
        <v>0</v>
      </c>
      <c r="R1813" s="852">
        <v>0</v>
      </c>
      <c r="S1813" s="852">
        <v>0</v>
      </c>
      <c r="T1813" s="852">
        <v>0</v>
      </c>
      <c r="U1813" s="463" t="s">
        <v>2461</v>
      </c>
      <c r="V1813" s="463" t="s">
        <v>8047</v>
      </c>
      <c r="W1813" s="498">
        <v>81250</v>
      </c>
      <c r="X1813" s="463" t="s">
        <v>1532</v>
      </c>
      <c r="Y1813" s="463" t="s">
        <v>1533</v>
      </c>
      <c r="Z1813" s="463" t="s">
        <v>1932</v>
      </c>
      <c r="AA1813" s="463" t="s">
        <v>1589</v>
      </c>
      <c r="AB1813" s="459" t="s">
        <v>1589</v>
      </c>
    </row>
    <row r="1814" spans="1:28" ht="24" customHeight="1">
      <c r="A1814" s="584"/>
      <c r="B1814" s="460" t="s">
        <v>2201</v>
      </c>
      <c r="C1814" s="458" t="s">
        <v>8048</v>
      </c>
      <c r="D1814" s="510" t="s">
        <v>8049</v>
      </c>
      <c r="E1814" s="498">
        <f t="shared" si="127"/>
        <v>3200</v>
      </c>
      <c r="F1814" s="498">
        <v>0</v>
      </c>
      <c r="G1814" s="498">
        <v>3200</v>
      </c>
      <c r="H1814" s="498">
        <v>0</v>
      </c>
      <c r="I1814" s="655">
        <f t="shared" si="126"/>
        <v>2262</v>
      </c>
      <c r="J1814" s="655">
        <v>0</v>
      </c>
      <c r="K1814" s="655">
        <v>2262</v>
      </c>
      <c r="L1814" s="710">
        <v>0</v>
      </c>
      <c r="M1814" s="963">
        <v>0.91249999999999998</v>
      </c>
      <c r="N1814" s="653">
        <v>165.126</v>
      </c>
      <c r="O1814" s="669" t="s">
        <v>1535</v>
      </c>
      <c r="P1814" s="463" t="s">
        <v>1588</v>
      </c>
      <c r="Q1814" s="852">
        <v>0</v>
      </c>
      <c r="R1814" s="852">
        <v>0</v>
      </c>
      <c r="S1814" s="852">
        <v>0</v>
      </c>
      <c r="T1814" s="852">
        <v>0</v>
      </c>
      <c r="U1814" s="463" t="s">
        <v>2461</v>
      </c>
      <c r="V1814" s="463" t="s">
        <v>8050</v>
      </c>
      <c r="W1814" s="498">
        <v>9689</v>
      </c>
      <c r="X1814" s="463" t="s">
        <v>1532</v>
      </c>
      <c r="Y1814" s="463" t="s">
        <v>8051</v>
      </c>
      <c r="Z1814" s="463" t="s">
        <v>1932</v>
      </c>
      <c r="AA1814" s="463" t="s">
        <v>1589</v>
      </c>
      <c r="AB1814" s="459" t="s">
        <v>1589</v>
      </c>
    </row>
    <row r="1815" spans="1:28" ht="24" customHeight="1">
      <c r="A1815" s="584"/>
      <c r="B1815" s="460" t="s">
        <v>2201</v>
      </c>
      <c r="C1815" s="458" t="s">
        <v>8052</v>
      </c>
      <c r="D1815" s="510" t="s">
        <v>8053</v>
      </c>
      <c r="E1815" s="498">
        <f t="shared" si="127"/>
        <v>2400</v>
      </c>
      <c r="F1815" s="498">
        <v>0</v>
      </c>
      <c r="G1815" s="498">
        <v>2400</v>
      </c>
      <c r="H1815" s="498">
        <v>0</v>
      </c>
      <c r="I1815" s="655">
        <f t="shared" si="126"/>
        <v>1054</v>
      </c>
      <c r="J1815" s="655">
        <v>0</v>
      </c>
      <c r="K1815" s="655">
        <v>1054</v>
      </c>
      <c r="L1815" s="710">
        <v>0</v>
      </c>
      <c r="M1815" s="963">
        <v>0.96577946768060841</v>
      </c>
      <c r="N1815" s="653">
        <v>107.08640000000001</v>
      </c>
      <c r="O1815" s="669" t="s">
        <v>1535</v>
      </c>
      <c r="P1815" s="463" t="s">
        <v>1588</v>
      </c>
      <c r="Q1815" s="852">
        <v>0</v>
      </c>
      <c r="R1815" s="852">
        <v>0</v>
      </c>
      <c r="S1815" s="852">
        <v>0</v>
      </c>
      <c r="T1815" s="852">
        <v>0</v>
      </c>
      <c r="U1815" s="463" t="s">
        <v>2461</v>
      </c>
      <c r="V1815" s="463" t="s">
        <v>8054</v>
      </c>
      <c r="W1815" s="498">
        <v>11729</v>
      </c>
      <c r="X1815" s="463" t="s">
        <v>1532</v>
      </c>
      <c r="Y1815" s="463" t="s">
        <v>8055</v>
      </c>
      <c r="Z1815" s="463" t="s">
        <v>1932</v>
      </c>
      <c r="AA1815" s="463" t="s">
        <v>1589</v>
      </c>
      <c r="AB1815" s="459" t="s">
        <v>1589</v>
      </c>
    </row>
    <row r="1816" spans="1:28" ht="24" customHeight="1">
      <c r="A1816" s="584"/>
      <c r="B1816" s="460" t="s">
        <v>675</v>
      </c>
      <c r="C1816" s="458" t="s">
        <v>2125</v>
      </c>
      <c r="D1816" s="510" t="s">
        <v>8056</v>
      </c>
      <c r="E1816" s="498">
        <f t="shared" si="127"/>
        <v>50</v>
      </c>
      <c r="F1816" s="498">
        <v>0</v>
      </c>
      <c r="G1816" s="498">
        <v>50</v>
      </c>
      <c r="H1816" s="498">
        <v>0</v>
      </c>
      <c r="I1816" s="655">
        <f t="shared" si="126"/>
        <v>21</v>
      </c>
      <c r="J1816" s="655">
        <v>0</v>
      </c>
      <c r="K1816" s="655">
        <v>21</v>
      </c>
      <c r="L1816" s="710">
        <v>0</v>
      </c>
      <c r="M1816" s="969">
        <v>0.42</v>
      </c>
      <c r="N1816" s="653">
        <v>5.5E-2</v>
      </c>
      <c r="O1816" s="669" t="s">
        <v>8057</v>
      </c>
      <c r="P1816" s="463" t="s">
        <v>1588</v>
      </c>
      <c r="Q1816" s="852">
        <v>0</v>
      </c>
      <c r="R1816" s="852">
        <v>0</v>
      </c>
      <c r="S1816" s="852">
        <v>0</v>
      </c>
      <c r="T1816" s="852">
        <v>0</v>
      </c>
      <c r="U1816" s="463" t="s">
        <v>2461</v>
      </c>
      <c r="V1816" s="463" t="s">
        <v>8058</v>
      </c>
      <c r="W1816" s="498">
        <v>236</v>
      </c>
      <c r="X1816" s="463" t="s">
        <v>1532</v>
      </c>
      <c r="Y1816" s="463" t="s">
        <v>8055</v>
      </c>
      <c r="Z1816" s="463" t="s">
        <v>1932</v>
      </c>
      <c r="AA1816" s="463" t="s">
        <v>1589</v>
      </c>
      <c r="AB1816" s="459" t="s">
        <v>1589</v>
      </c>
    </row>
    <row r="1817" spans="1:28" ht="24" customHeight="1">
      <c r="A1817" s="584"/>
      <c r="B1817" s="460" t="s">
        <v>675</v>
      </c>
      <c r="C1817" s="458" t="s">
        <v>8059</v>
      </c>
      <c r="D1817" s="510" t="s">
        <v>8060</v>
      </c>
      <c r="E1817" s="498">
        <f t="shared" si="127"/>
        <v>50</v>
      </c>
      <c r="F1817" s="498">
        <v>0</v>
      </c>
      <c r="G1817" s="498">
        <v>50</v>
      </c>
      <c r="H1817" s="498">
        <v>0</v>
      </c>
      <c r="I1817" s="655">
        <f t="shared" si="126"/>
        <v>45</v>
      </c>
      <c r="J1817" s="655">
        <v>0</v>
      </c>
      <c r="K1817" s="655">
        <v>45</v>
      </c>
      <c r="L1817" s="710">
        <v>0</v>
      </c>
      <c r="M1817" s="963">
        <v>0.9</v>
      </c>
      <c r="N1817" s="653">
        <v>0.19400000000000001</v>
      </c>
      <c r="O1817" s="669" t="s">
        <v>8057</v>
      </c>
      <c r="P1817" s="463" t="s">
        <v>1588</v>
      </c>
      <c r="Q1817" s="852">
        <v>0</v>
      </c>
      <c r="R1817" s="852">
        <v>0</v>
      </c>
      <c r="S1817" s="852">
        <v>0</v>
      </c>
      <c r="T1817" s="852">
        <v>0</v>
      </c>
      <c r="U1817" s="463" t="s">
        <v>2461</v>
      </c>
      <c r="V1817" s="463" t="s">
        <v>8058</v>
      </c>
      <c r="W1817" s="498">
        <v>290</v>
      </c>
      <c r="X1817" s="463" t="s">
        <v>1532</v>
      </c>
      <c r="Y1817" s="463" t="s">
        <v>8055</v>
      </c>
      <c r="Z1817" s="463" t="s">
        <v>1932</v>
      </c>
      <c r="AA1817" s="463" t="s">
        <v>1589</v>
      </c>
      <c r="AB1817" s="459" t="s">
        <v>1589</v>
      </c>
    </row>
    <row r="1818" spans="1:28" ht="24" customHeight="1">
      <c r="A1818" s="584"/>
      <c r="B1818" s="460" t="s">
        <v>675</v>
      </c>
      <c r="C1818" s="458" t="s">
        <v>8061</v>
      </c>
      <c r="D1818" s="510" t="s">
        <v>8062</v>
      </c>
      <c r="E1818" s="498">
        <f t="shared" si="127"/>
        <v>30</v>
      </c>
      <c r="F1818" s="498">
        <v>0</v>
      </c>
      <c r="G1818" s="498">
        <v>30</v>
      </c>
      <c r="H1818" s="498">
        <v>0</v>
      </c>
      <c r="I1818" s="655">
        <f t="shared" si="126"/>
        <v>28</v>
      </c>
      <c r="J1818" s="655">
        <v>0</v>
      </c>
      <c r="K1818" s="655">
        <v>28</v>
      </c>
      <c r="L1818" s="710">
        <v>0</v>
      </c>
      <c r="M1818" s="963">
        <v>0.93333333333333324</v>
      </c>
      <c r="N1818" s="653">
        <v>0.19900000000000001</v>
      </c>
      <c r="O1818" s="669" t="s">
        <v>1254</v>
      </c>
      <c r="P1818" s="463" t="s">
        <v>1588</v>
      </c>
      <c r="Q1818" s="852">
        <v>0</v>
      </c>
      <c r="R1818" s="852">
        <v>0</v>
      </c>
      <c r="S1818" s="852">
        <v>0</v>
      </c>
      <c r="T1818" s="852">
        <v>0</v>
      </c>
      <c r="U1818" s="463" t="s">
        <v>2461</v>
      </c>
      <c r="V1818" s="463" t="s">
        <v>8063</v>
      </c>
      <c r="W1818" s="498">
        <v>290</v>
      </c>
      <c r="X1818" s="463" t="s">
        <v>1532</v>
      </c>
      <c r="Y1818" s="463" t="s">
        <v>8055</v>
      </c>
      <c r="Z1818" s="463" t="s">
        <v>1932</v>
      </c>
      <c r="AA1818" s="463" t="s">
        <v>1589</v>
      </c>
      <c r="AB1818" s="459" t="s">
        <v>1589</v>
      </c>
    </row>
    <row r="1819" spans="1:28" ht="24" customHeight="1">
      <c r="A1819" s="584"/>
      <c r="B1819" s="460" t="s">
        <v>675</v>
      </c>
      <c r="C1819" s="458" t="s">
        <v>1081</v>
      </c>
      <c r="D1819" s="510" t="s">
        <v>8064</v>
      </c>
      <c r="E1819" s="498">
        <f t="shared" si="127"/>
        <v>50</v>
      </c>
      <c r="F1819" s="498">
        <v>0</v>
      </c>
      <c r="G1819" s="498">
        <v>50</v>
      </c>
      <c r="H1819" s="498">
        <v>0</v>
      </c>
      <c r="I1819" s="655">
        <f t="shared" si="126"/>
        <v>47</v>
      </c>
      <c r="J1819" s="655">
        <v>0</v>
      </c>
      <c r="K1819" s="655">
        <v>47</v>
      </c>
      <c r="L1819" s="710">
        <v>0</v>
      </c>
      <c r="M1819" s="963">
        <v>0.94</v>
      </c>
      <c r="N1819" s="653">
        <v>0.182</v>
      </c>
      <c r="O1819" s="669" t="s">
        <v>8065</v>
      </c>
      <c r="P1819" s="463" t="s">
        <v>1588</v>
      </c>
      <c r="Q1819" s="852">
        <v>0</v>
      </c>
      <c r="R1819" s="852">
        <v>0</v>
      </c>
      <c r="S1819" s="852">
        <v>0</v>
      </c>
      <c r="T1819" s="852">
        <v>0</v>
      </c>
      <c r="U1819" s="463" t="s">
        <v>2461</v>
      </c>
      <c r="V1819" s="463" t="s">
        <v>8066</v>
      </c>
      <c r="W1819" s="498">
        <v>266</v>
      </c>
      <c r="X1819" s="463" t="s">
        <v>1532</v>
      </c>
      <c r="Y1819" s="463" t="s">
        <v>8055</v>
      </c>
      <c r="Z1819" s="463" t="s">
        <v>1932</v>
      </c>
      <c r="AA1819" s="463" t="s">
        <v>1589</v>
      </c>
      <c r="AB1819" s="459" t="s">
        <v>1589</v>
      </c>
    </row>
    <row r="1820" spans="1:28" ht="24" customHeight="1">
      <c r="A1820" s="584"/>
      <c r="B1820" s="460" t="s">
        <v>675</v>
      </c>
      <c r="C1820" s="458" t="s">
        <v>2018</v>
      </c>
      <c r="D1820" s="510" t="s">
        <v>8067</v>
      </c>
      <c r="E1820" s="498">
        <f t="shared" si="127"/>
        <v>50</v>
      </c>
      <c r="F1820" s="498">
        <v>0</v>
      </c>
      <c r="G1820" s="498">
        <v>50</v>
      </c>
      <c r="H1820" s="498">
        <v>0</v>
      </c>
      <c r="I1820" s="655">
        <f t="shared" si="126"/>
        <v>45.6</v>
      </c>
      <c r="J1820" s="655">
        <v>0</v>
      </c>
      <c r="K1820" s="655">
        <v>45.6</v>
      </c>
      <c r="L1820" s="710">
        <v>0</v>
      </c>
      <c r="M1820" s="963">
        <v>0.91200000000000003</v>
      </c>
      <c r="N1820" s="653">
        <v>0.17599999999999999</v>
      </c>
      <c r="O1820" s="669" t="s">
        <v>8068</v>
      </c>
      <c r="P1820" s="463" t="s">
        <v>1588</v>
      </c>
      <c r="Q1820" s="852">
        <v>0</v>
      </c>
      <c r="R1820" s="852">
        <v>0</v>
      </c>
      <c r="S1820" s="852">
        <v>0</v>
      </c>
      <c r="T1820" s="852">
        <v>0</v>
      </c>
      <c r="U1820" s="463" t="s">
        <v>2461</v>
      </c>
      <c r="V1820" s="463" t="s">
        <v>8069</v>
      </c>
      <c r="W1820" s="498">
        <v>235</v>
      </c>
      <c r="X1820" s="463" t="s">
        <v>1532</v>
      </c>
      <c r="Y1820" s="463" t="s">
        <v>8055</v>
      </c>
      <c r="Z1820" s="463" t="s">
        <v>1932</v>
      </c>
      <c r="AA1820" s="463" t="s">
        <v>1589</v>
      </c>
      <c r="AB1820" s="459" t="s">
        <v>1589</v>
      </c>
    </row>
    <row r="1821" spans="1:28" ht="24" customHeight="1">
      <c r="A1821" s="584"/>
      <c r="B1821" s="460" t="s">
        <v>675</v>
      </c>
      <c r="C1821" s="458" t="s">
        <v>8070</v>
      </c>
      <c r="D1821" s="510" t="s">
        <v>8071</v>
      </c>
      <c r="E1821" s="498">
        <f t="shared" si="127"/>
        <v>50</v>
      </c>
      <c r="F1821" s="498">
        <v>0</v>
      </c>
      <c r="G1821" s="498">
        <v>50</v>
      </c>
      <c r="H1821" s="498">
        <v>0</v>
      </c>
      <c r="I1821" s="655">
        <f t="shared" si="126"/>
        <v>36.799999999999997</v>
      </c>
      <c r="J1821" s="655">
        <v>0</v>
      </c>
      <c r="K1821" s="655">
        <v>36.799999999999997</v>
      </c>
      <c r="L1821" s="710">
        <v>0</v>
      </c>
      <c r="M1821" s="963">
        <v>0.73599999999999999</v>
      </c>
      <c r="N1821" s="653">
        <v>0.185</v>
      </c>
      <c r="O1821" s="669" t="s">
        <v>8065</v>
      </c>
      <c r="P1821" s="463" t="s">
        <v>1588</v>
      </c>
      <c r="Q1821" s="852">
        <v>0</v>
      </c>
      <c r="R1821" s="852">
        <v>0</v>
      </c>
      <c r="S1821" s="852">
        <v>0</v>
      </c>
      <c r="T1821" s="852">
        <v>0</v>
      </c>
      <c r="U1821" s="463" t="s">
        <v>2461</v>
      </c>
      <c r="V1821" s="463" t="s">
        <v>8069</v>
      </c>
      <c r="W1821" s="498">
        <v>299</v>
      </c>
      <c r="X1821" s="463" t="s">
        <v>1532</v>
      </c>
      <c r="Y1821" s="463" t="s">
        <v>8055</v>
      </c>
      <c r="Z1821" s="463" t="s">
        <v>1932</v>
      </c>
      <c r="AA1821" s="463" t="s">
        <v>1589</v>
      </c>
      <c r="AB1821" s="459" t="s">
        <v>1589</v>
      </c>
    </row>
    <row r="1822" spans="1:28" ht="24" customHeight="1">
      <c r="A1822" s="584"/>
      <c r="B1822" s="460" t="s">
        <v>675</v>
      </c>
      <c r="C1822" s="458" t="s">
        <v>2068</v>
      </c>
      <c r="D1822" s="510" t="s">
        <v>8072</v>
      </c>
      <c r="E1822" s="498">
        <f t="shared" si="127"/>
        <v>30</v>
      </c>
      <c r="F1822" s="498">
        <v>0</v>
      </c>
      <c r="G1822" s="498">
        <v>30</v>
      </c>
      <c r="H1822" s="498">
        <v>0</v>
      </c>
      <c r="I1822" s="655">
        <f t="shared" si="126"/>
        <v>16</v>
      </c>
      <c r="J1822" s="655">
        <v>0</v>
      </c>
      <c r="K1822" s="655">
        <v>16</v>
      </c>
      <c r="L1822" s="710">
        <v>0</v>
      </c>
      <c r="M1822" s="963">
        <v>0.53333333333333333</v>
      </c>
      <c r="N1822" s="653">
        <v>7.5999999999999998E-2</v>
      </c>
      <c r="O1822" s="669" t="s">
        <v>8065</v>
      </c>
      <c r="P1822" s="463" t="s">
        <v>1588</v>
      </c>
      <c r="Q1822" s="852">
        <v>0</v>
      </c>
      <c r="R1822" s="852">
        <v>0</v>
      </c>
      <c r="S1822" s="852">
        <v>0</v>
      </c>
      <c r="T1822" s="852">
        <v>0</v>
      </c>
      <c r="U1822" s="463" t="s">
        <v>2461</v>
      </c>
      <c r="V1822" s="463" t="s">
        <v>8073</v>
      </c>
      <c r="W1822" s="498">
        <v>185</v>
      </c>
      <c r="X1822" s="463" t="s">
        <v>1532</v>
      </c>
      <c r="Y1822" s="463" t="s">
        <v>8055</v>
      </c>
      <c r="Z1822" s="463" t="s">
        <v>1932</v>
      </c>
      <c r="AA1822" s="463" t="s">
        <v>1589</v>
      </c>
      <c r="AB1822" s="459" t="s">
        <v>1589</v>
      </c>
    </row>
    <row r="1823" spans="1:28" ht="24" customHeight="1">
      <c r="A1823" s="584"/>
      <c r="B1823" s="460" t="s">
        <v>675</v>
      </c>
      <c r="C1823" s="458" t="s">
        <v>8074</v>
      </c>
      <c r="D1823" s="510" t="s">
        <v>8075</v>
      </c>
      <c r="E1823" s="498">
        <f t="shared" si="127"/>
        <v>30</v>
      </c>
      <c r="F1823" s="498">
        <v>0</v>
      </c>
      <c r="G1823" s="498">
        <v>30</v>
      </c>
      <c r="H1823" s="498">
        <v>0</v>
      </c>
      <c r="I1823" s="655">
        <f t="shared" si="126"/>
        <v>21</v>
      </c>
      <c r="J1823" s="655">
        <v>0</v>
      </c>
      <c r="K1823" s="655">
        <v>21</v>
      </c>
      <c r="L1823" s="710">
        <v>0</v>
      </c>
      <c r="M1823" s="963">
        <v>0.7</v>
      </c>
      <c r="N1823" s="653">
        <v>5.6000000000000001E-2</v>
      </c>
      <c r="O1823" s="669" t="s">
        <v>8076</v>
      </c>
      <c r="P1823" s="463" t="s">
        <v>1588</v>
      </c>
      <c r="Q1823" s="852">
        <v>0</v>
      </c>
      <c r="R1823" s="852">
        <v>0</v>
      </c>
      <c r="S1823" s="852">
        <v>0</v>
      </c>
      <c r="T1823" s="852">
        <v>0</v>
      </c>
      <c r="U1823" s="463" t="s">
        <v>2461</v>
      </c>
      <c r="V1823" s="463" t="s">
        <v>8077</v>
      </c>
      <c r="W1823" s="498">
        <v>185</v>
      </c>
      <c r="X1823" s="463" t="s">
        <v>1532</v>
      </c>
      <c r="Y1823" s="463" t="s">
        <v>8055</v>
      </c>
      <c r="Z1823" s="463" t="s">
        <v>1932</v>
      </c>
      <c r="AA1823" s="463" t="s">
        <v>1589</v>
      </c>
      <c r="AB1823" s="459" t="s">
        <v>1589</v>
      </c>
    </row>
    <row r="1824" spans="1:28" ht="24" customHeight="1">
      <c r="A1824" s="584"/>
      <c r="B1824" s="460" t="s">
        <v>675</v>
      </c>
      <c r="C1824" s="458" t="s">
        <v>8078</v>
      </c>
      <c r="D1824" s="510" t="s">
        <v>8079</v>
      </c>
      <c r="E1824" s="498">
        <f t="shared" si="127"/>
        <v>60</v>
      </c>
      <c r="F1824" s="498">
        <v>0</v>
      </c>
      <c r="G1824" s="498">
        <v>60</v>
      </c>
      <c r="H1824" s="498">
        <v>0</v>
      </c>
      <c r="I1824" s="655">
        <f t="shared" si="126"/>
        <v>50.4</v>
      </c>
      <c r="J1824" s="655">
        <v>0</v>
      </c>
      <c r="K1824" s="655">
        <v>50.4</v>
      </c>
      <c r="L1824" s="710">
        <v>0</v>
      </c>
      <c r="M1824" s="963">
        <v>0.84</v>
      </c>
      <c r="N1824" s="653">
        <v>0.26500000000000001</v>
      </c>
      <c r="O1824" s="669" t="s">
        <v>2197</v>
      </c>
      <c r="P1824" s="463" t="s">
        <v>1588</v>
      </c>
      <c r="Q1824" s="852">
        <v>0</v>
      </c>
      <c r="R1824" s="852">
        <v>0</v>
      </c>
      <c r="S1824" s="852">
        <v>0</v>
      </c>
      <c r="T1824" s="852">
        <v>0</v>
      </c>
      <c r="U1824" s="463" t="s">
        <v>2461</v>
      </c>
      <c r="V1824" s="463" t="s">
        <v>8080</v>
      </c>
      <c r="W1824" s="498">
        <v>185</v>
      </c>
      <c r="X1824" s="463" t="s">
        <v>1532</v>
      </c>
      <c r="Y1824" s="463" t="s">
        <v>8055</v>
      </c>
      <c r="Z1824" s="463" t="s">
        <v>1932</v>
      </c>
      <c r="AA1824" s="463" t="s">
        <v>1589</v>
      </c>
      <c r="AB1824" s="459" t="s">
        <v>1589</v>
      </c>
    </row>
    <row r="1825" spans="1:28" ht="24" customHeight="1">
      <c r="A1825" s="584"/>
      <c r="B1825" s="460" t="s">
        <v>675</v>
      </c>
      <c r="C1825" s="458" t="s">
        <v>7981</v>
      </c>
      <c r="D1825" s="510" t="s">
        <v>8081</v>
      </c>
      <c r="E1825" s="498">
        <f t="shared" si="127"/>
        <v>40</v>
      </c>
      <c r="F1825" s="498">
        <v>0</v>
      </c>
      <c r="G1825" s="498">
        <v>40</v>
      </c>
      <c r="H1825" s="498">
        <v>0</v>
      </c>
      <c r="I1825" s="655">
        <f t="shared" si="126"/>
        <v>30.8</v>
      </c>
      <c r="J1825" s="655">
        <v>0</v>
      </c>
      <c r="K1825" s="655">
        <v>30.8</v>
      </c>
      <c r="L1825" s="710">
        <v>0</v>
      </c>
      <c r="M1825" s="963">
        <v>0.77</v>
      </c>
      <c r="N1825" s="653">
        <v>0.30399999999999999</v>
      </c>
      <c r="O1825" s="669" t="s">
        <v>8082</v>
      </c>
      <c r="P1825" s="463" t="s">
        <v>1588</v>
      </c>
      <c r="Q1825" s="852">
        <v>0</v>
      </c>
      <c r="R1825" s="852">
        <v>0</v>
      </c>
      <c r="S1825" s="852">
        <v>0</v>
      </c>
      <c r="T1825" s="852">
        <v>0</v>
      </c>
      <c r="U1825" s="463" t="s">
        <v>2461</v>
      </c>
      <c r="V1825" s="463" t="s">
        <v>8080</v>
      </c>
      <c r="W1825" s="498">
        <v>185</v>
      </c>
      <c r="X1825" s="463" t="s">
        <v>1532</v>
      </c>
      <c r="Y1825" s="463" t="s">
        <v>8055</v>
      </c>
      <c r="Z1825" s="463" t="s">
        <v>1932</v>
      </c>
      <c r="AA1825" s="463" t="s">
        <v>1589</v>
      </c>
      <c r="AB1825" s="459" t="s">
        <v>1589</v>
      </c>
    </row>
    <row r="1826" spans="1:28" ht="24" customHeight="1">
      <c r="A1826" s="584"/>
      <c r="B1826" s="460" t="s">
        <v>675</v>
      </c>
      <c r="C1826" s="458" t="s">
        <v>8083</v>
      </c>
      <c r="D1826" s="510" t="s">
        <v>8084</v>
      </c>
      <c r="E1826" s="498">
        <f t="shared" si="127"/>
        <v>20</v>
      </c>
      <c r="F1826" s="498">
        <v>0</v>
      </c>
      <c r="G1826" s="498">
        <v>20</v>
      </c>
      <c r="H1826" s="498">
        <v>0</v>
      </c>
      <c r="I1826" s="655">
        <f t="shared" si="126"/>
        <v>15</v>
      </c>
      <c r="J1826" s="655">
        <v>0</v>
      </c>
      <c r="K1826" s="655">
        <v>15</v>
      </c>
      <c r="L1826" s="710">
        <v>0</v>
      </c>
      <c r="M1826" s="963">
        <v>0.75</v>
      </c>
      <c r="N1826" s="653">
        <v>0</v>
      </c>
      <c r="O1826" s="669" t="s">
        <v>1254</v>
      </c>
      <c r="P1826" s="463" t="s">
        <v>1588</v>
      </c>
      <c r="Q1826" s="852">
        <v>0</v>
      </c>
      <c r="R1826" s="852">
        <v>0</v>
      </c>
      <c r="S1826" s="852">
        <v>0</v>
      </c>
      <c r="T1826" s="852">
        <v>0</v>
      </c>
      <c r="U1826" s="463" t="s">
        <v>2461</v>
      </c>
      <c r="V1826" s="463" t="s">
        <v>8085</v>
      </c>
      <c r="W1826" s="498">
        <v>235</v>
      </c>
      <c r="X1826" s="463" t="s">
        <v>1532</v>
      </c>
      <c r="Y1826" s="463" t="s">
        <v>8055</v>
      </c>
      <c r="Z1826" s="463" t="s">
        <v>1932</v>
      </c>
      <c r="AA1826" s="463" t="s">
        <v>1589</v>
      </c>
      <c r="AB1826" s="459" t="s">
        <v>1589</v>
      </c>
    </row>
    <row r="1827" spans="1:28" ht="24" customHeight="1">
      <c r="A1827" s="584"/>
      <c r="B1827" s="460" t="s">
        <v>675</v>
      </c>
      <c r="C1827" s="458" t="s">
        <v>8086</v>
      </c>
      <c r="D1827" s="510" t="s">
        <v>8087</v>
      </c>
      <c r="E1827" s="498">
        <f t="shared" si="127"/>
        <v>50</v>
      </c>
      <c r="F1827" s="498">
        <v>0</v>
      </c>
      <c r="G1827" s="498">
        <v>50</v>
      </c>
      <c r="H1827" s="498">
        <v>0</v>
      </c>
      <c r="I1827" s="655">
        <f t="shared" si="126"/>
        <v>47</v>
      </c>
      <c r="J1827" s="655">
        <v>0</v>
      </c>
      <c r="K1827" s="655">
        <v>47</v>
      </c>
      <c r="L1827" s="710">
        <v>0</v>
      </c>
      <c r="M1827" s="963">
        <v>0.94</v>
      </c>
      <c r="N1827" s="653">
        <v>0.32900000000000001</v>
      </c>
      <c r="O1827" s="669" t="s">
        <v>8088</v>
      </c>
      <c r="P1827" s="463" t="s">
        <v>1588</v>
      </c>
      <c r="Q1827" s="852">
        <v>0</v>
      </c>
      <c r="R1827" s="852">
        <v>0</v>
      </c>
      <c r="S1827" s="852">
        <v>0</v>
      </c>
      <c r="T1827" s="852">
        <v>0</v>
      </c>
      <c r="U1827" s="463" t="s">
        <v>2461</v>
      </c>
      <c r="V1827" s="463" t="s">
        <v>8089</v>
      </c>
      <c r="W1827" s="498">
        <v>336</v>
      </c>
      <c r="X1827" s="463" t="s">
        <v>1532</v>
      </c>
      <c r="Y1827" s="463" t="s">
        <v>8055</v>
      </c>
      <c r="Z1827" s="463" t="s">
        <v>1932</v>
      </c>
      <c r="AA1827" s="463" t="s">
        <v>1589</v>
      </c>
      <c r="AB1827" s="459" t="s">
        <v>1589</v>
      </c>
    </row>
    <row r="1828" spans="1:28" ht="24" customHeight="1">
      <c r="A1828" s="584"/>
      <c r="B1828" s="460" t="s">
        <v>675</v>
      </c>
      <c r="C1828" s="458" t="s">
        <v>6770</v>
      </c>
      <c r="D1828" s="510" t="s">
        <v>8090</v>
      </c>
      <c r="E1828" s="498">
        <f t="shared" si="127"/>
        <v>50</v>
      </c>
      <c r="F1828" s="498">
        <v>0</v>
      </c>
      <c r="G1828" s="498">
        <v>50</v>
      </c>
      <c r="H1828" s="498">
        <v>0</v>
      </c>
      <c r="I1828" s="655">
        <f t="shared" si="126"/>
        <v>45</v>
      </c>
      <c r="J1828" s="655">
        <v>0</v>
      </c>
      <c r="K1828" s="655">
        <v>45</v>
      </c>
      <c r="L1828" s="710">
        <v>0</v>
      </c>
      <c r="M1828" s="963">
        <v>0.9</v>
      </c>
      <c r="N1828" s="653">
        <v>0.315</v>
      </c>
      <c r="O1828" s="669" t="s">
        <v>8091</v>
      </c>
      <c r="P1828" s="463" t="s">
        <v>1588</v>
      </c>
      <c r="Q1828" s="852">
        <v>0</v>
      </c>
      <c r="R1828" s="852">
        <v>0</v>
      </c>
      <c r="S1828" s="852">
        <v>0</v>
      </c>
      <c r="T1828" s="852">
        <v>0</v>
      </c>
      <c r="U1828" s="463" t="s">
        <v>2461</v>
      </c>
      <c r="V1828" s="463" t="s">
        <v>8089</v>
      </c>
      <c r="W1828" s="498">
        <v>454</v>
      </c>
      <c r="X1828" s="463" t="s">
        <v>1532</v>
      </c>
      <c r="Y1828" s="463" t="s">
        <v>8055</v>
      </c>
      <c r="Z1828" s="463" t="s">
        <v>1932</v>
      </c>
      <c r="AA1828" s="463" t="s">
        <v>1589</v>
      </c>
      <c r="AB1828" s="459" t="s">
        <v>1589</v>
      </c>
    </row>
    <row r="1829" spans="1:28" ht="24" customHeight="1">
      <c r="A1829" s="584"/>
      <c r="B1829" s="460" t="s">
        <v>675</v>
      </c>
      <c r="C1829" s="458" t="s">
        <v>1970</v>
      </c>
      <c r="D1829" s="510" t="s">
        <v>8092</v>
      </c>
      <c r="E1829" s="498">
        <f t="shared" si="127"/>
        <v>50</v>
      </c>
      <c r="F1829" s="498">
        <v>0</v>
      </c>
      <c r="G1829" s="498">
        <v>50</v>
      </c>
      <c r="H1829" s="498">
        <v>0</v>
      </c>
      <c r="I1829" s="655">
        <f t="shared" si="126"/>
        <v>45</v>
      </c>
      <c r="J1829" s="655">
        <v>0</v>
      </c>
      <c r="K1829" s="655">
        <v>45</v>
      </c>
      <c r="L1829" s="710">
        <v>0</v>
      </c>
      <c r="M1829" s="963">
        <v>0.9</v>
      </c>
      <c r="N1829" s="653">
        <v>0.315</v>
      </c>
      <c r="O1829" s="669" t="s">
        <v>8093</v>
      </c>
      <c r="P1829" s="463" t="s">
        <v>1588</v>
      </c>
      <c r="Q1829" s="852">
        <v>0</v>
      </c>
      <c r="R1829" s="852">
        <v>0</v>
      </c>
      <c r="S1829" s="852">
        <v>0</v>
      </c>
      <c r="T1829" s="852">
        <v>0</v>
      </c>
      <c r="U1829" s="463" t="s">
        <v>2461</v>
      </c>
      <c r="V1829" s="463" t="s">
        <v>8089</v>
      </c>
      <c r="W1829" s="498">
        <v>722</v>
      </c>
      <c r="X1829" s="463" t="s">
        <v>1532</v>
      </c>
      <c r="Y1829" s="463" t="s">
        <v>8055</v>
      </c>
      <c r="Z1829" s="463" t="s">
        <v>1932</v>
      </c>
      <c r="AA1829" s="463" t="s">
        <v>1589</v>
      </c>
      <c r="AB1829" s="459" t="s">
        <v>1589</v>
      </c>
    </row>
    <row r="1830" spans="1:28" ht="24" customHeight="1">
      <c r="A1830" s="584"/>
      <c r="B1830" s="460" t="s">
        <v>675</v>
      </c>
      <c r="C1830" s="458" t="s">
        <v>8094</v>
      </c>
      <c r="D1830" s="510" t="s">
        <v>8095</v>
      </c>
      <c r="E1830" s="498">
        <f t="shared" si="127"/>
        <v>50</v>
      </c>
      <c r="F1830" s="498">
        <v>0</v>
      </c>
      <c r="G1830" s="498">
        <v>50</v>
      </c>
      <c r="H1830" s="498">
        <v>0</v>
      </c>
      <c r="I1830" s="655">
        <f t="shared" si="126"/>
        <v>30</v>
      </c>
      <c r="J1830" s="655">
        <v>0</v>
      </c>
      <c r="K1830" s="655">
        <v>30</v>
      </c>
      <c r="L1830" s="710">
        <v>0</v>
      </c>
      <c r="M1830" s="963">
        <v>0.6</v>
      </c>
      <c r="N1830" s="653">
        <v>0.28799999999999998</v>
      </c>
      <c r="O1830" s="669" t="s">
        <v>8096</v>
      </c>
      <c r="P1830" s="463" t="s">
        <v>1588</v>
      </c>
      <c r="Q1830" s="852">
        <v>0</v>
      </c>
      <c r="R1830" s="852">
        <v>0</v>
      </c>
      <c r="S1830" s="852">
        <v>0</v>
      </c>
      <c r="T1830" s="852">
        <v>0</v>
      </c>
      <c r="U1830" s="463" t="s">
        <v>2461</v>
      </c>
      <c r="V1830" s="463" t="s">
        <v>8089</v>
      </c>
      <c r="W1830" s="498">
        <v>682</v>
      </c>
      <c r="X1830" s="463" t="s">
        <v>1532</v>
      </c>
      <c r="Y1830" s="463" t="s">
        <v>8055</v>
      </c>
      <c r="Z1830" s="463" t="s">
        <v>1932</v>
      </c>
      <c r="AA1830" s="463" t="s">
        <v>1589</v>
      </c>
      <c r="AB1830" s="459" t="s">
        <v>1589</v>
      </c>
    </row>
    <row r="1831" spans="1:28" ht="24" customHeight="1">
      <c r="A1831" s="584"/>
      <c r="B1831" s="460" t="s">
        <v>675</v>
      </c>
      <c r="C1831" s="458" t="s">
        <v>8097</v>
      </c>
      <c r="D1831" s="510" t="s">
        <v>8098</v>
      </c>
      <c r="E1831" s="498">
        <f t="shared" si="127"/>
        <v>80</v>
      </c>
      <c r="F1831" s="498">
        <v>0</v>
      </c>
      <c r="G1831" s="498">
        <v>80</v>
      </c>
      <c r="H1831" s="498">
        <v>0</v>
      </c>
      <c r="I1831" s="655">
        <f t="shared" si="126"/>
        <v>75</v>
      </c>
      <c r="J1831" s="655">
        <v>0</v>
      </c>
      <c r="K1831" s="655">
        <v>75</v>
      </c>
      <c r="L1831" s="710">
        <v>0</v>
      </c>
      <c r="M1831" s="963">
        <v>0.9375</v>
      </c>
      <c r="N1831" s="653">
        <v>0.52500000000000002</v>
      </c>
      <c r="O1831" s="669" t="s">
        <v>8099</v>
      </c>
      <c r="P1831" s="463" t="s">
        <v>1588</v>
      </c>
      <c r="Q1831" s="852">
        <v>0</v>
      </c>
      <c r="R1831" s="852">
        <v>0</v>
      </c>
      <c r="S1831" s="852">
        <v>0</v>
      </c>
      <c r="T1831" s="852">
        <v>0</v>
      </c>
      <c r="U1831" s="463" t="s">
        <v>7512</v>
      </c>
      <c r="V1831" s="463" t="s">
        <v>8100</v>
      </c>
      <c r="W1831" s="498">
        <v>1120</v>
      </c>
      <c r="X1831" s="463" t="s">
        <v>1532</v>
      </c>
      <c r="Y1831" s="463" t="s">
        <v>8055</v>
      </c>
      <c r="Z1831" s="463" t="s">
        <v>1932</v>
      </c>
      <c r="AA1831" s="463" t="s">
        <v>1589</v>
      </c>
      <c r="AB1831" s="459" t="s">
        <v>1589</v>
      </c>
    </row>
    <row r="1832" spans="1:28" ht="24" customHeight="1">
      <c r="A1832" s="584"/>
      <c r="B1832" s="460" t="s">
        <v>675</v>
      </c>
      <c r="C1832" s="458" t="s">
        <v>8101</v>
      </c>
      <c r="D1832" s="510" t="s">
        <v>8102</v>
      </c>
      <c r="E1832" s="498">
        <f t="shared" si="127"/>
        <v>50</v>
      </c>
      <c r="F1832" s="498">
        <v>0</v>
      </c>
      <c r="G1832" s="498">
        <v>50</v>
      </c>
      <c r="H1832" s="498">
        <v>0</v>
      </c>
      <c r="I1832" s="655">
        <f t="shared" si="126"/>
        <v>45</v>
      </c>
      <c r="J1832" s="655">
        <v>0</v>
      </c>
      <c r="K1832" s="655">
        <v>45</v>
      </c>
      <c r="L1832" s="710">
        <v>0</v>
      </c>
      <c r="M1832" s="963">
        <v>0.9</v>
      </c>
      <c r="N1832" s="653">
        <v>0.252</v>
      </c>
      <c r="O1832" s="669" t="s">
        <v>780</v>
      </c>
      <c r="P1832" s="463" t="s">
        <v>1588</v>
      </c>
      <c r="Q1832" s="852">
        <v>0</v>
      </c>
      <c r="R1832" s="852">
        <v>0</v>
      </c>
      <c r="S1832" s="852">
        <v>0</v>
      </c>
      <c r="T1832" s="852">
        <v>0</v>
      </c>
      <c r="U1832" s="463" t="s">
        <v>7513</v>
      </c>
      <c r="V1832" s="463" t="s">
        <v>8103</v>
      </c>
      <c r="W1832" s="498">
        <v>680</v>
      </c>
      <c r="X1832" s="463" t="s">
        <v>1532</v>
      </c>
      <c r="Y1832" s="463" t="s">
        <v>8055</v>
      </c>
      <c r="Z1832" s="463" t="s">
        <v>1932</v>
      </c>
      <c r="AA1832" s="463" t="s">
        <v>1589</v>
      </c>
      <c r="AB1832" s="459" t="s">
        <v>1589</v>
      </c>
    </row>
    <row r="1833" spans="1:28" ht="24" customHeight="1">
      <c r="A1833" s="584"/>
      <c r="B1833" s="460" t="s">
        <v>675</v>
      </c>
      <c r="C1833" s="458" t="s">
        <v>8104</v>
      </c>
      <c r="D1833" s="510" t="s">
        <v>8105</v>
      </c>
      <c r="E1833" s="498">
        <f t="shared" si="127"/>
        <v>60</v>
      </c>
      <c r="F1833" s="498">
        <v>0</v>
      </c>
      <c r="G1833" s="498">
        <v>60</v>
      </c>
      <c r="H1833" s="498">
        <v>0</v>
      </c>
      <c r="I1833" s="655">
        <f t="shared" si="126"/>
        <v>55</v>
      </c>
      <c r="J1833" s="655">
        <v>0</v>
      </c>
      <c r="K1833" s="655">
        <v>55</v>
      </c>
      <c r="L1833" s="710">
        <v>0</v>
      </c>
      <c r="M1833" s="963">
        <v>0.91666666666666652</v>
      </c>
      <c r="N1833" s="653">
        <v>0.495</v>
      </c>
      <c r="O1833" s="669" t="s">
        <v>8065</v>
      </c>
      <c r="P1833" s="463" t="s">
        <v>1588</v>
      </c>
      <c r="Q1833" s="852">
        <v>0</v>
      </c>
      <c r="R1833" s="852">
        <v>0</v>
      </c>
      <c r="S1833" s="852">
        <v>0</v>
      </c>
      <c r="T1833" s="852">
        <v>0</v>
      </c>
      <c r="U1833" s="463" t="s">
        <v>7514</v>
      </c>
      <c r="V1833" s="463" t="s">
        <v>8106</v>
      </c>
      <c r="W1833" s="498">
        <v>618</v>
      </c>
      <c r="X1833" s="463" t="s">
        <v>1532</v>
      </c>
      <c r="Y1833" s="463" t="s">
        <v>8055</v>
      </c>
      <c r="Z1833" s="463" t="s">
        <v>1932</v>
      </c>
      <c r="AA1833" s="463" t="s">
        <v>1589</v>
      </c>
      <c r="AB1833" s="459" t="s">
        <v>1589</v>
      </c>
    </row>
    <row r="1834" spans="1:28" ht="24" customHeight="1">
      <c r="A1834" s="584"/>
      <c r="B1834" s="460" t="s">
        <v>675</v>
      </c>
      <c r="C1834" s="458" t="s">
        <v>8107</v>
      </c>
      <c r="D1834" s="510" t="s">
        <v>8108</v>
      </c>
      <c r="E1834" s="498">
        <f t="shared" si="127"/>
        <v>50</v>
      </c>
      <c r="F1834" s="498">
        <v>0</v>
      </c>
      <c r="G1834" s="498">
        <v>50</v>
      </c>
      <c r="H1834" s="498">
        <v>0</v>
      </c>
      <c r="I1834" s="655">
        <f t="shared" si="126"/>
        <v>45</v>
      </c>
      <c r="J1834" s="655">
        <v>0</v>
      </c>
      <c r="K1834" s="655">
        <v>45</v>
      </c>
      <c r="L1834" s="710">
        <v>0</v>
      </c>
      <c r="M1834" s="963">
        <v>0.9</v>
      </c>
      <c r="N1834" s="653">
        <v>0.22500000000000001</v>
      </c>
      <c r="O1834" s="669" t="s">
        <v>8109</v>
      </c>
      <c r="P1834" s="463" t="s">
        <v>1588</v>
      </c>
      <c r="Q1834" s="852">
        <v>0</v>
      </c>
      <c r="R1834" s="852">
        <v>0</v>
      </c>
      <c r="S1834" s="852">
        <v>0</v>
      </c>
      <c r="T1834" s="852">
        <v>0</v>
      </c>
      <c r="U1834" s="463" t="s">
        <v>7515</v>
      </c>
      <c r="V1834" s="463" t="s">
        <v>8110</v>
      </c>
      <c r="W1834" s="498">
        <v>477</v>
      </c>
      <c r="X1834" s="463" t="s">
        <v>1532</v>
      </c>
      <c r="Y1834" s="463" t="s">
        <v>8055</v>
      </c>
      <c r="Z1834" s="463" t="s">
        <v>1932</v>
      </c>
      <c r="AA1834" s="463" t="s">
        <v>1589</v>
      </c>
      <c r="AB1834" s="459" t="s">
        <v>1589</v>
      </c>
    </row>
    <row r="1835" spans="1:28" ht="24" customHeight="1">
      <c r="A1835" s="584"/>
      <c r="B1835" s="460" t="s">
        <v>675</v>
      </c>
      <c r="C1835" s="458" t="s">
        <v>8111</v>
      </c>
      <c r="D1835" s="510" t="s">
        <v>8112</v>
      </c>
      <c r="E1835" s="498">
        <f t="shared" si="127"/>
        <v>110</v>
      </c>
      <c r="F1835" s="498">
        <v>0</v>
      </c>
      <c r="G1835" s="498">
        <v>110</v>
      </c>
      <c r="H1835" s="498">
        <v>0</v>
      </c>
      <c r="I1835" s="655">
        <f t="shared" si="126"/>
        <v>100</v>
      </c>
      <c r="J1835" s="655">
        <v>0</v>
      </c>
      <c r="K1835" s="655">
        <v>100</v>
      </c>
      <c r="L1835" s="710">
        <v>0</v>
      </c>
      <c r="M1835" s="963">
        <v>0.90909090909090906</v>
      </c>
      <c r="N1835" s="653">
        <v>0.5</v>
      </c>
      <c r="O1835" s="669" t="s">
        <v>8109</v>
      </c>
      <c r="P1835" s="463" t="s">
        <v>1588</v>
      </c>
      <c r="Q1835" s="852">
        <v>0</v>
      </c>
      <c r="R1835" s="852">
        <v>0</v>
      </c>
      <c r="S1835" s="852">
        <v>0</v>
      </c>
      <c r="T1835" s="852">
        <v>0</v>
      </c>
      <c r="U1835" s="463" t="s">
        <v>7516</v>
      </c>
      <c r="V1835" s="463" t="s">
        <v>8113</v>
      </c>
      <c r="W1835" s="498">
        <v>818</v>
      </c>
      <c r="X1835" s="463" t="s">
        <v>1532</v>
      </c>
      <c r="Y1835" s="463" t="s">
        <v>8055</v>
      </c>
      <c r="Z1835" s="463" t="s">
        <v>1932</v>
      </c>
      <c r="AA1835" s="463" t="s">
        <v>1589</v>
      </c>
      <c r="AB1835" s="459" t="s">
        <v>1589</v>
      </c>
    </row>
    <row r="1836" spans="1:28" ht="24" customHeight="1">
      <c r="A1836" s="583"/>
      <c r="B1836" s="460" t="s">
        <v>675</v>
      </c>
      <c r="C1836" s="458" t="s">
        <v>8114</v>
      </c>
      <c r="D1836" s="510" t="s">
        <v>8115</v>
      </c>
      <c r="E1836" s="498">
        <f t="shared" si="127"/>
        <v>65</v>
      </c>
      <c r="F1836" s="498">
        <v>0</v>
      </c>
      <c r="G1836" s="498">
        <v>65</v>
      </c>
      <c r="H1836" s="498">
        <v>0</v>
      </c>
      <c r="I1836" s="655">
        <f t="shared" si="126"/>
        <v>40</v>
      </c>
      <c r="J1836" s="655">
        <v>0</v>
      </c>
      <c r="K1836" s="655">
        <v>40</v>
      </c>
      <c r="L1836" s="710">
        <v>0</v>
      </c>
      <c r="M1836" s="963">
        <v>0.61538461538461542</v>
      </c>
      <c r="N1836" s="653">
        <v>0.2</v>
      </c>
      <c r="O1836" s="669" t="s">
        <v>8109</v>
      </c>
      <c r="P1836" s="463" t="s">
        <v>1588</v>
      </c>
      <c r="Q1836" s="852">
        <v>0</v>
      </c>
      <c r="R1836" s="852">
        <v>0</v>
      </c>
      <c r="S1836" s="852">
        <v>0</v>
      </c>
      <c r="T1836" s="852">
        <v>0</v>
      </c>
      <c r="U1836" s="463" t="s">
        <v>7517</v>
      </c>
      <c r="V1836" s="463" t="s">
        <v>8116</v>
      </c>
      <c r="W1836" s="498">
        <v>989</v>
      </c>
      <c r="X1836" s="463" t="s">
        <v>1532</v>
      </c>
      <c r="Y1836" s="463" t="s">
        <v>8055</v>
      </c>
      <c r="Z1836" s="463" t="s">
        <v>1932</v>
      </c>
      <c r="AA1836" s="463" t="s">
        <v>1589</v>
      </c>
      <c r="AB1836" s="459" t="s">
        <v>1589</v>
      </c>
    </row>
    <row r="1837" spans="1:28" ht="24" customHeight="1">
      <c r="A1837" s="584" t="s">
        <v>1933</v>
      </c>
      <c r="B1837" s="460" t="s">
        <v>2201</v>
      </c>
      <c r="C1837" s="458" t="s">
        <v>2439</v>
      </c>
      <c r="D1837" s="510" t="s">
        <v>8117</v>
      </c>
      <c r="E1837" s="498">
        <f t="shared" si="127"/>
        <v>60000</v>
      </c>
      <c r="F1837" s="498">
        <v>0</v>
      </c>
      <c r="G1837" s="498">
        <v>60000</v>
      </c>
      <c r="H1837" s="498">
        <v>0</v>
      </c>
      <c r="I1837" s="655">
        <f t="shared" si="126"/>
        <v>47865</v>
      </c>
      <c r="J1837" s="655">
        <v>0</v>
      </c>
      <c r="K1837" s="655">
        <v>47865</v>
      </c>
      <c r="L1837" s="710">
        <v>0</v>
      </c>
      <c r="M1837" s="963">
        <v>0.96725440806045349</v>
      </c>
      <c r="N1837" s="653">
        <v>7352.0640000000021</v>
      </c>
      <c r="O1837" s="669" t="s">
        <v>1260</v>
      </c>
      <c r="P1837" s="463" t="s">
        <v>1588</v>
      </c>
      <c r="Q1837" s="852">
        <v>171</v>
      </c>
      <c r="R1837" s="852">
        <v>0</v>
      </c>
      <c r="S1837" s="852">
        <v>64</v>
      </c>
      <c r="T1837" s="852">
        <v>0</v>
      </c>
      <c r="U1837" s="463" t="s">
        <v>8118</v>
      </c>
      <c r="V1837" s="466" t="s">
        <v>2129</v>
      </c>
      <c r="W1837" s="498">
        <v>97616</v>
      </c>
      <c r="X1837" s="463" t="s">
        <v>2199</v>
      </c>
      <c r="Y1837" s="463" t="s">
        <v>1533</v>
      </c>
      <c r="Z1837" s="463"/>
      <c r="AA1837" s="463"/>
      <c r="AB1837" s="459" t="s">
        <v>1934</v>
      </c>
    </row>
    <row r="1838" spans="1:28" ht="24" customHeight="1">
      <c r="A1838" s="582" t="s">
        <v>1936</v>
      </c>
      <c r="B1838" s="460" t="s">
        <v>2201</v>
      </c>
      <c r="C1838" s="458" t="s">
        <v>2440</v>
      </c>
      <c r="D1838" s="510" t="s">
        <v>8119</v>
      </c>
      <c r="E1838" s="498">
        <f t="shared" si="127"/>
        <v>54000</v>
      </c>
      <c r="F1838" s="498">
        <v>0</v>
      </c>
      <c r="G1838" s="498">
        <v>20000</v>
      </c>
      <c r="H1838" s="498">
        <v>34000</v>
      </c>
      <c r="I1838" s="655">
        <f t="shared" si="126"/>
        <v>40154</v>
      </c>
      <c r="J1838" s="655">
        <v>0</v>
      </c>
      <c r="K1838" s="655">
        <v>15096</v>
      </c>
      <c r="L1838" s="710">
        <v>25058</v>
      </c>
      <c r="M1838" s="963">
        <v>0.9540732640787315</v>
      </c>
      <c r="N1838" s="653">
        <v>7006.8729999999996</v>
      </c>
      <c r="O1838" s="669" t="s">
        <v>8120</v>
      </c>
      <c r="P1838" s="463" t="s">
        <v>1588</v>
      </c>
      <c r="Q1838" s="852">
        <v>0</v>
      </c>
      <c r="R1838" s="852">
        <v>0</v>
      </c>
      <c r="S1838" s="1820">
        <v>172</v>
      </c>
      <c r="T1838" s="1820">
        <v>3026</v>
      </c>
      <c r="U1838" s="1801" t="s">
        <v>8121</v>
      </c>
      <c r="V1838" s="1808" t="s">
        <v>8122</v>
      </c>
      <c r="W1838" s="1803">
        <v>48112</v>
      </c>
      <c r="X1838" s="1801" t="s">
        <v>1532</v>
      </c>
      <c r="Y1838" s="1801" t="s">
        <v>3390</v>
      </c>
      <c r="Z1838" s="1801"/>
      <c r="AA1838" s="1801" t="s">
        <v>1770</v>
      </c>
      <c r="AB1838" s="1802" t="s">
        <v>1934</v>
      </c>
    </row>
    <row r="1839" spans="1:28" ht="24" customHeight="1">
      <c r="A1839" s="584"/>
      <c r="B1839" s="460" t="s">
        <v>675</v>
      </c>
      <c r="C1839" s="458" t="s">
        <v>2017</v>
      </c>
      <c r="D1839" s="510" t="s">
        <v>8123</v>
      </c>
      <c r="E1839" s="498">
        <f t="shared" si="127"/>
        <v>30</v>
      </c>
      <c r="F1839" s="498">
        <v>0</v>
      </c>
      <c r="G1839" s="498">
        <v>30</v>
      </c>
      <c r="H1839" s="498">
        <v>0</v>
      </c>
      <c r="I1839" s="655">
        <f t="shared" si="126"/>
        <v>27</v>
      </c>
      <c r="J1839" s="655">
        <v>0</v>
      </c>
      <c r="K1839" s="655">
        <v>27</v>
      </c>
      <c r="L1839" s="710">
        <v>0</v>
      </c>
      <c r="M1839" s="963">
        <v>0.9</v>
      </c>
      <c r="N1839" s="653">
        <v>121.61</v>
      </c>
      <c r="O1839" s="669" t="s">
        <v>8124</v>
      </c>
      <c r="P1839" s="463" t="s">
        <v>1588</v>
      </c>
      <c r="Q1839" s="852">
        <v>0</v>
      </c>
      <c r="R1839" s="852">
        <v>0</v>
      </c>
      <c r="S1839" s="1820"/>
      <c r="T1839" s="1820"/>
      <c r="U1839" s="1801"/>
      <c r="V1839" s="1808"/>
      <c r="W1839" s="1803"/>
      <c r="X1839" s="1801"/>
      <c r="Y1839" s="1801"/>
      <c r="Z1839" s="1801"/>
      <c r="AA1839" s="1801"/>
      <c r="AB1839" s="1802"/>
    </row>
    <row r="1840" spans="1:28" ht="24" customHeight="1">
      <c r="A1840" s="584"/>
      <c r="B1840" s="460" t="s">
        <v>675</v>
      </c>
      <c r="C1840" s="458" t="s">
        <v>6331</v>
      </c>
      <c r="D1840" s="510" t="s">
        <v>8125</v>
      </c>
      <c r="E1840" s="498">
        <f t="shared" si="127"/>
        <v>36</v>
      </c>
      <c r="F1840" s="498">
        <v>0</v>
      </c>
      <c r="G1840" s="498">
        <v>36</v>
      </c>
      <c r="H1840" s="498">
        <v>0</v>
      </c>
      <c r="I1840" s="655">
        <f t="shared" si="126"/>
        <v>29</v>
      </c>
      <c r="J1840" s="655">
        <v>0</v>
      </c>
      <c r="K1840" s="655">
        <v>29</v>
      </c>
      <c r="L1840" s="710">
        <v>0</v>
      </c>
      <c r="M1840" s="963">
        <v>0.80555555555555558</v>
      </c>
      <c r="N1840" s="653">
        <v>62.04</v>
      </c>
      <c r="O1840" s="669" t="s">
        <v>8126</v>
      </c>
      <c r="P1840" s="463" t="s">
        <v>1588</v>
      </c>
      <c r="Q1840" s="852">
        <v>0</v>
      </c>
      <c r="R1840" s="852">
        <v>0</v>
      </c>
      <c r="S1840" s="852">
        <v>0</v>
      </c>
      <c r="T1840" s="852">
        <v>0</v>
      </c>
      <c r="U1840" s="463" t="s">
        <v>8127</v>
      </c>
      <c r="V1840" s="463" t="s">
        <v>8128</v>
      </c>
      <c r="W1840" s="498">
        <v>143</v>
      </c>
      <c r="X1840" s="463" t="s">
        <v>1532</v>
      </c>
      <c r="Y1840" s="463" t="s">
        <v>605</v>
      </c>
      <c r="Z1840" s="463"/>
      <c r="AA1840" s="463" t="s">
        <v>1770</v>
      </c>
      <c r="AB1840" s="459" t="s">
        <v>1934</v>
      </c>
    </row>
    <row r="1841" spans="1:28" ht="24" customHeight="1">
      <c r="A1841" s="584"/>
      <c r="B1841" s="460" t="s">
        <v>675</v>
      </c>
      <c r="C1841" s="458" t="s">
        <v>8129</v>
      </c>
      <c r="D1841" s="510" t="s">
        <v>8130</v>
      </c>
      <c r="E1841" s="498">
        <f t="shared" si="127"/>
        <v>45</v>
      </c>
      <c r="F1841" s="498">
        <v>0</v>
      </c>
      <c r="G1841" s="498">
        <v>45</v>
      </c>
      <c r="H1841" s="498">
        <v>0</v>
      </c>
      <c r="I1841" s="655">
        <f t="shared" si="126"/>
        <v>37</v>
      </c>
      <c r="J1841" s="655">
        <v>0</v>
      </c>
      <c r="K1841" s="655">
        <v>37</v>
      </c>
      <c r="L1841" s="710">
        <v>0</v>
      </c>
      <c r="M1841" s="963">
        <v>0.82222222222222219</v>
      </c>
      <c r="N1841" s="653">
        <v>151</v>
      </c>
      <c r="O1841" s="669" t="s">
        <v>8124</v>
      </c>
      <c r="P1841" s="463" t="s">
        <v>1588</v>
      </c>
      <c r="Q1841" s="852">
        <v>0</v>
      </c>
      <c r="R1841" s="852">
        <v>0</v>
      </c>
      <c r="S1841" s="852">
        <v>0</v>
      </c>
      <c r="T1841" s="852">
        <v>0</v>
      </c>
      <c r="U1841" s="463" t="s">
        <v>8127</v>
      </c>
      <c r="V1841" s="463" t="s">
        <v>8131</v>
      </c>
      <c r="W1841" s="498">
        <v>104</v>
      </c>
      <c r="X1841" s="463" t="s">
        <v>1532</v>
      </c>
      <c r="Y1841" s="463" t="s">
        <v>3390</v>
      </c>
      <c r="Z1841" s="463"/>
      <c r="AA1841" s="463" t="s">
        <v>1770</v>
      </c>
      <c r="AB1841" s="459" t="s">
        <v>1934</v>
      </c>
    </row>
    <row r="1842" spans="1:28" ht="24" customHeight="1">
      <c r="A1842" s="584"/>
      <c r="B1842" s="460" t="s">
        <v>675</v>
      </c>
      <c r="C1842" s="458" t="s">
        <v>8132</v>
      </c>
      <c r="D1842" s="510" t="s">
        <v>8133</v>
      </c>
      <c r="E1842" s="498">
        <f t="shared" si="127"/>
        <v>60</v>
      </c>
      <c r="F1842" s="498">
        <v>0</v>
      </c>
      <c r="G1842" s="498">
        <v>60</v>
      </c>
      <c r="H1842" s="498">
        <v>0</v>
      </c>
      <c r="I1842" s="655">
        <f t="shared" si="126"/>
        <v>36</v>
      </c>
      <c r="J1842" s="655">
        <v>0</v>
      </c>
      <c r="K1842" s="655">
        <v>36</v>
      </c>
      <c r="L1842" s="710">
        <v>0</v>
      </c>
      <c r="M1842" s="963">
        <v>0.6</v>
      </c>
      <c r="N1842" s="653">
        <v>147.4</v>
      </c>
      <c r="O1842" s="669" t="s">
        <v>6615</v>
      </c>
      <c r="P1842" s="463" t="s">
        <v>1588</v>
      </c>
      <c r="Q1842" s="852">
        <v>0</v>
      </c>
      <c r="R1842" s="852">
        <v>0</v>
      </c>
      <c r="S1842" s="852">
        <v>0</v>
      </c>
      <c r="T1842" s="852">
        <v>0</v>
      </c>
      <c r="U1842" s="463" t="s">
        <v>8127</v>
      </c>
      <c r="V1842" s="463" t="s">
        <v>5583</v>
      </c>
      <c r="W1842" s="498">
        <v>441</v>
      </c>
      <c r="X1842" s="463" t="s">
        <v>1532</v>
      </c>
      <c r="Y1842" s="463" t="s">
        <v>3390</v>
      </c>
      <c r="Z1842" s="463"/>
      <c r="AA1842" s="463" t="s">
        <v>1770</v>
      </c>
      <c r="AB1842" s="459" t="s">
        <v>1934</v>
      </c>
    </row>
    <row r="1843" spans="1:28" ht="24" customHeight="1">
      <c r="A1843" s="584"/>
      <c r="B1843" s="460" t="s">
        <v>675</v>
      </c>
      <c r="C1843" s="458" t="s">
        <v>8134</v>
      </c>
      <c r="D1843" s="510" t="s">
        <v>8135</v>
      </c>
      <c r="E1843" s="498">
        <f t="shared" si="127"/>
        <v>120</v>
      </c>
      <c r="F1843" s="498">
        <v>0</v>
      </c>
      <c r="G1843" s="498">
        <v>120</v>
      </c>
      <c r="H1843" s="498">
        <v>0</v>
      </c>
      <c r="I1843" s="655">
        <f t="shared" si="126"/>
        <v>79</v>
      </c>
      <c r="J1843" s="655">
        <v>0</v>
      </c>
      <c r="K1843" s="655">
        <v>79</v>
      </c>
      <c r="L1843" s="710">
        <v>0</v>
      </c>
      <c r="M1843" s="963">
        <v>0.65833333333333333</v>
      </c>
      <c r="N1843" s="653">
        <v>211.76</v>
      </c>
      <c r="O1843" s="669" t="s">
        <v>8124</v>
      </c>
      <c r="P1843" s="463" t="s">
        <v>1588</v>
      </c>
      <c r="Q1843" s="852">
        <v>0</v>
      </c>
      <c r="R1843" s="852">
        <v>0</v>
      </c>
      <c r="S1843" s="852">
        <v>0</v>
      </c>
      <c r="T1843" s="852">
        <v>0</v>
      </c>
      <c r="U1843" s="463" t="s">
        <v>8127</v>
      </c>
      <c r="V1843" s="463" t="s">
        <v>8136</v>
      </c>
      <c r="W1843" s="498">
        <v>758</v>
      </c>
      <c r="X1843" s="463" t="s">
        <v>1532</v>
      </c>
      <c r="Y1843" s="463" t="s">
        <v>3390</v>
      </c>
      <c r="Z1843" s="463"/>
      <c r="AA1843" s="463" t="s">
        <v>1770</v>
      </c>
      <c r="AB1843" s="459" t="s">
        <v>1934</v>
      </c>
    </row>
    <row r="1844" spans="1:28" ht="24" customHeight="1">
      <c r="A1844" s="584"/>
      <c r="B1844" s="460" t="s">
        <v>675</v>
      </c>
      <c r="C1844" s="458" t="s">
        <v>8137</v>
      </c>
      <c r="D1844" s="510" t="s">
        <v>8138</v>
      </c>
      <c r="E1844" s="498">
        <f t="shared" si="127"/>
        <v>150</v>
      </c>
      <c r="F1844" s="498">
        <v>0</v>
      </c>
      <c r="G1844" s="498">
        <v>150</v>
      </c>
      <c r="H1844" s="498">
        <v>0</v>
      </c>
      <c r="I1844" s="655">
        <f t="shared" si="126"/>
        <v>105</v>
      </c>
      <c r="J1844" s="655">
        <v>0</v>
      </c>
      <c r="K1844" s="655">
        <v>105</v>
      </c>
      <c r="L1844" s="710">
        <v>0</v>
      </c>
      <c r="M1844" s="963">
        <v>0.7</v>
      </c>
      <c r="N1844" s="653">
        <v>102.31</v>
      </c>
      <c r="O1844" s="669" t="s">
        <v>8139</v>
      </c>
      <c r="P1844" s="463" t="s">
        <v>1588</v>
      </c>
      <c r="Q1844" s="852">
        <v>0</v>
      </c>
      <c r="R1844" s="852">
        <v>0</v>
      </c>
      <c r="S1844" s="852">
        <v>0</v>
      </c>
      <c r="T1844" s="852">
        <v>0</v>
      </c>
      <c r="U1844" s="463" t="s">
        <v>8127</v>
      </c>
      <c r="V1844" s="463" t="s">
        <v>8140</v>
      </c>
      <c r="W1844" s="498">
        <v>510</v>
      </c>
      <c r="X1844" s="463" t="s">
        <v>1532</v>
      </c>
      <c r="Y1844" s="463" t="s">
        <v>3390</v>
      </c>
      <c r="Z1844" s="463"/>
      <c r="AA1844" s="463" t="s">
        <v>1770</v>
      </c>
      <c r="AB1844" s="459" t="s">
        <v>1934</v>
      </c>
    </row>
    <row r="1845" spans="1:28" ht="24" customHeight="1">
      <c r="A1845" s="584"/>
      <c r="B1845" s="460" t="s">
        <v>675</v>
      </c>
      <c r="C1845" s="458" t="s">
        <v>8141</v>
      </c>
      <c r="D1845" s="510" t="s">
        <v>8142</v>
      </c>
      <c r="E1845" s="498">
        <f t="shared" si="127"/>
        <v>25</v>
      </c>
      <c r="F1845" s="498">
        <v>0</v>
      </c>
      <c r="G1845" s="498">
        <v>25</v>
      </c>
      <c r="H1845" s="498">
        <v>0</v>
      </c>
      <c r="I1845" s="655">
        <f t="shared" si="126"/>
        <v>22</v>
      </c>
      <c r="J1845" s="655">
        <v>0</v>
      </c>
      <c r="K1845" s="655">
        <v>22</v>
      </c>
      <c r="L1845" s="710">
        <v>0</v>
      </c>
      <c r="M1845" s="963">
        <v>0.88</v>
      </c>
      <c r="N1845" s="653">
        <v>326.48</v>
      </c>
      <c r="O1845" s="669" t="s">
        <v>8124</v>
      </c>
      <c r="P1845" s="463" t="s">
        <v>1588</v>
      </c>
      <c r="Q1845" s="852">
        <v>0</v>
      </c>
      <c r="R1845" s="852">
        <v>0</v>
      </c>
      <c r="S1845" s="852">
        <v>0</v>
      </c>
      <c r="T1845" s="852">
        <v>0</v>
      </c>
      <c r="U1845" s="463" t="s">
        <v>8127</v>
      </c>
      <c r="V1845" s="463" t="s">
        <v>8143</v>
      </c>
      <c r="W1845" s="498">
        <v>322</v>
      </c>
      <c r="X1845" s="463" t="s">
        <v>1532</v>
      </c>
      <c r="Y1845" s="463" t="s">
        <v>605</v>
      </c>
      <c r="Z1845" s="463"/>
      <c r="AA1845" s="463" t="s">
        <v>1770</v>
      </c>
      <c r="AB1845" s="459" t="s">
        <v>1934</v>
      </c>
    </row>
    <row r="1846" spans="1:28" ht="24" customHeight="1">
      <c r="A1846" s="582" t="s">
        <v>1937</v>
      </c>
      <c r="B1846" s="460" t="s">
        <v>2201</v>
      </c>
      <c r="C1846" s="458" t="s">
        <v>1938</v>
      </c>
      <c r="D1846" s="510" t="s">
        <v>2347</v>
      </c>
      <c r="E1846" s="498">
        <f t="shared" si="127"/>
        <v>18000</v>
      </c>
      <c r="F1846" s="498">
        <v>0</v>
      </c>
      <c r="G1846" s="498">
        <v>0</v>
      </c>
      <c r="H1846" s="498">
        <v>18000</v>
      </c>
      <c r="I1846" s="655">
        <f t="shared" si="126"/>
        <v>14830</v>
      </c>
      <c r="J1846" s="655">
        <v>0</v>
      </c>
      <c r="K1846" s="655">
        <v>0</v>
      </c>
      <c r="L1846" s="710">
        <v>14830</v>
      </c>
      <c r="M1846" s="963">
        <v>0.82978723404255317</v>
      </c>
      <c r="N1846" s="653">
        <v>520.53300000000002</v>
      </c>
      <c r="O1846" s="725" t="s">
        <v>3595</v>
      </c>
      <c r="P1846" s="498" t="s">
        <v>1588</v>
      </c>
      <c r="Q1846" s="852">
        <v>53.2</v>
      </c>
      <c r="R1846" s="852">
        <v>0</v>
      </c>
      <c r="S1846" s="852">
        <v>9.8000000000000007</v>
      </c>
      <c r="T1846" s="852">
        <v>0</v>
      </c>
      <c r="U1846" s="498" t="s">
        <v>2462</v>
      </c>
      <c r="V1846" s="498" t="s">
        <v>8144</v>
      </c>
      <c r="W1846" s="498">
        <v>45915</v>
      </c>
      <c r="X1846" s="498" t="s">
        <v>2193</v>
      </c>
      <c r="Y1846" s="498" t="s">
        <v>3232</v>
      </c>
      <c r="Z1846" s="498" t="s">
        <v>1770</v>
      </c>
      <c r="AA1846" s="498"/>
      <c r="AB1846" s="459" t="s">
        <v>1587</v>
      </c>
    </row>
    <row r="1847" spans="1:28" ht="24" customHeight="1">
      <c r="A1847" s="584"/>
      <c r="B1847" s="460" t="s">
        <v>2201</v>
      </c>
      <c r="C1847" s="458" t="s">
        <v>298</v>
      </c>
      <c r="D1847" s="510" t="s">
        <v>8145</v>
      </c>
      <c r="E1847" s="498">
        <f t="shared" si="127"/>
        <v>43000</v>
      </c>
      <c r="F1847" s="498">
        <v>0</v>
      </c>
      <c r="G1847" s="498">
        <v>43000</v>
      </c>
      <c r="H1847" s="498">
        <v>0</v>
      </c>
      <c r="I1847" s="655">
        <f t="shared" si="126"/>
        <v>32093</v>
      </c>
      <c r="J1847" s="655">
        <v>0</v>
      </c>
      <c r="K1847" s="655">
        <v>32093</v>
      </c>
      <c r="L1847" s="710">
        <v>0</v>
      </c>
      <c r="M1847" s="963">
        <v>0.96120689655172409</v>
      </c>
      <c r="N1847" s="653">
        <v>2147.0216999999998</v>
      </c>
      <c r="O1847" s="725" t="s">
        <v>1535</v>
      </c>
      <c r="P1847" s="498" t="s">
        <v>1588</v>
      </c>
      <c r="Q1847" s="852">
        <v>44</v>
      </c>
      <c r="R1847" s="852">
        <v>0</v>
      </c>
      <c r="S1847" s="852">
        <v>64.2</v>
      </c>
      <c r="T1847" s="852">
        <v>37.200000000000003</v>
      </c>
      <c r="U1847" s="498" t="s">
        <v>2463</v>
      </c>
      <c r="V1847" s="498" t="s">
        <v>8146</v>
      </c>
      <c r="W1847" s="498">
        <v>67672</v>
      </c>
      <c r="X1847" s="498" t="s">
        <v>2199</v>
      </c>
      <c r="Y1847" s="498" t="s">
        <v>3161</v>
      </c>
      <c r="Z1847" s="498" t="s">
        <v>1770</v>
      </c>
      <c r="AA1847" s="498"/>
      <c r="AB1847" s="459" t="s">
        <v>1587</v>
      </c>
    </row>
    <row r="1848" spans="1:28" ht="24" customHeight="1">
      <c r="A1848" s="584"/>
      <c r="B1848" s="460" t="s">
        <v>2201</v>
      </c>
      <c r="C1848" s="458" t="s">
        <v>2131</v>
      </c>
      <c r="D1848" s="510" t="s">
        <v>8147</v>
      </c>
      <c r="E1848" s="498">
        <f t="shared" si="127"/>
        <v>1700</v>
      </c>
      <c r="F1848" s="498">
        <v>0</v>
      </c>
      <c r="G1848" s="498">
        <v>0</v>
      </c>
      <c r="H1848" s="498">
        <v>1700</v>
      </c>
      <c r="I1848" s="655">
        <f t="shared" si="126"/>
        <v>797.9</v>
      </c>
      <c r="J1848" s="655">
        <v>0</v>
      </c>
      <c r="K1848" s="655">
        <v>0</v>
      </c>
      <c r="L1848" s="710">
        <v>797.9</v>
      </c>
      <c r="M1848" s="963">
        <v>0.95943204868154164</v>
      </c>
      <c r="N1848" s="653">
        <v>113.22201000000001</v>
      </c>
      <c r="O1848" s="725" t="s">
        <v>8148</v>
      </c>
      <c r="P1848" s="498" t="s">
        <v>1588</v>
      </c>
      <c r="Q1848" s="852">
        <v>0</v>
      </c>
      <c r="R1848" s="852">
        <v>0</v>
      </c>
      <c r="S1848" s="852">
        <v>0</v>
      </c>
      <c r="T1848" s="852">
        <v>0</v>
      </c>
      <c r="U1848" s="498" t="s">
        <v>2462</v>
      </c>
      <c r="V1848" s="498" t="s">
        <v>2132</v>
      </c>
      <c r="W1848" s="498">
        <v>18807</v>
      </c>
      <c r="X1848" s="498" t="s">
        <v>2193</v>
      </c>
      <c r="Y1848" s="498" t="s">
        <v>3161</v>
      </c>
      <c r="Z1848" s="498" t="s">
        <v>1770</v>
      </c>
      <c r="AA1848" s="498"/>
      <c r="AB1848" s="459" t="s">
        <v>1587</v>
      </c>
    </row>
    <row r="1849" spans="1:28" ht="24" customHeight="1">
      <c r="A1849" s="584"/>
      <c r="B1849" s="460" t="s">
        <v>2201</v>
      </c>
      <c r="C1849" s="458" t="s">
        <v>299</v>
      </c>
      <c r="D1849" s="510" t="s">
        <v>8149</v>
      </c>
      <c r="E1849" s="498">
        <f t="shared" si="127"/>
        <v>700</v>
      </c>
      <c r="F1849" s="498">
        <v>0</v>
      </c>
      <c r="G1849" s="498">
        <v>0</v>
      </c>
      <c r="H1849" s="498">
        <v>700</v>
      </c>
      <c r="I1849" s="655">
        <f t="shared" si="126"/>
        <v>200.9</v>
      </c>
      <c r="J1849" s="655">
        <v>0</v>
      </c>
      <c r="K1849" s="655">
        <v>0</v>
      </c>
      <c r="L1849" s="710">
        <v>200.9</v>
      </c>
      <c r="M1849" s="963">
        <v>0.97856049004594181</v>
      </c>
      <c r="N1849" s="653">
        <v>12.83751</v>
      </c>
      <c r="O1849" s="725" t="s">
        <v>8148</v>
      </c>
      <c r="P1849" s="498" t="s">
        <v>1588</v>
      </c>
      <c r="Q1849" s="852">
        <v>0</v>
      </c>
      <c r="R1849" s="852">
        <v>0</v>
      </c>
      <c r="S1849" s="852">
        <v>0</v>
      </c>
      <c r="T1849" s="852">
        <v>0</v>
      </c>
      <c r="U1849" s="498" t="s">
        <v>2462</v>
      </c>
      <c r="V1849" s="498" t="s">
        <v>2136</v>
      </c>
      <c r="W1849" s="498">
        <v>11688</v>
      </c>
      <c r="X1849" s="498" t="s">
        <v>2193</v>
      </c>
      <c r="Y1849" s="498" t="s">
        <v>3161</v>
      </c>
      <c r="Z1849" s="498" t="s">
        <v>1770</v>
      </c>
      <c r="AA1849" s="498"/>
      <c r="AB1849" s="459" t="s">
        <v>1587</v>
      </c>
    </row>
    <row r="1850" spans="1:28" ht="24" customHeight="1">
      <c r="A1850" s="584"/>
      <c r="B1850" s="460" t="s">
        <v>675</v>
      </c>
      <c r="C1850" s="458" t="s">
        <v>6891</v>
      </c>
      <c r="D1850" s="510" t="s">
        <v>8150</v>
      </c>
      <c r="E1850" s="498">
        <f t="shared" si="127"/>
        <v>60</v>
      </c>
      <c r="F1850" s="498">
        <v>0</v>
      </c>
      <c r="G1850" s="498">
        <v>60</v>
      </c>
      <c r="H1850" s="498">
        <v>0</v>
      </c>
      <c r="I1850" s="655">
        <f t="shared" si="126"/>
        <v>40</v>
      </c>
      <c r="J1850" s="655">
        <v>0</v>
      </c>
      <c r="K1850" s="655">
        <v>40</v>
      </c>
      <c r="L1850" s="710">
        <v>0</v>
      </c>
      <c r="M1850" s="963">
        <v>0.66666666666666652</v>
      </c>
      <c r="N1850" s="653">
        <v>3</v>
      </c>
      <c r="O1850" s="725" t="s">
        <v>5089</v>
      </c>
      <c r="P1850" s="498" t="s">
        <v>1588</v>
      </c>
      <c r="Q1850" s="852">
        <v>0</v>
      </c>
      <c r="R1850" s="852">
        <v>0</v>
      </c>
      <c r="S1850" s="852">
        <v>0</v>
      </c>
      <c r="T1850" s="852">
        <v>0</v>
      </c>
      <c r="U1850" s="498" t="s">
        <v>2462</v>
      </c>
      <c r="V1850" s="498" t="s">
        <v>2122</v>
      </c>
      <c r="W1850" s="498">
        <v>200</v>
      </c>
      <c r="X1850" s="498" t="s">
        <v>2193</v>
      </c>
      <c r="Y1850" s="498" t="s">
        <v>3232</v>
      </c>
      <c r="Z1850" s="498" t="s">
        <v>1770</v>
      </c>
      <c r="AA1850" s="498"/>
      <c r="AB1850" s="459" t="s">
        <v>1587</v>
      </c>
    </row>
    <row r="1851" spans="1:28" ht="24" customHeight="1">
      <c r="A1851" s="584"/>
      <c r="B1851" s="460" t="s">
        <v>675</v>
      </c>
      <c r="C1851" s="458" t="s">
        <v>8151</v>
      </c>
      <c r="D1851" s="510" t="s">
        <v>8152</v>
      </c>
      <c r="E1851" s="498">
        <f t="shared" si="127"/>
        <v>90</v>
      </c>
      <c r="F1851" s="498">
        <v>0</v>
      </c>
      <c r="G1851" s="498">
        <v>90</v>
      </c>
      <c r="H1851" s="498">
        <v>0</v>
      </c>
      <c r="I1851" s="655">
        <f t="shared" si="126"/>
        <v>70</v>
      </c>
      <c r="J1851" s="655">
        <v>0</v>
      </c>
      <c r="K1851" s="655">
        <v>70</v>
      </c>
      <c r="L1851" s="710">
        <v>0</v>
      </c>
      <c r="M1851" s="963">
        <v>0.7777777777777779</v>
      </c>
      <c r="N1851" s="653">
        <v>4</v>
      </c>
      <c r="O1851" s="725" t="s">
        <v>8153</v>
      </c>
      <c r="P1851" s="498" t="s">
        <v>1588</v>
      </c>
      <c r="Q1851" s="852">
        <v>0</v>
      </c>
      <c r="R1851" s="852">
        <v>0</v>
      </c>
      <c r="S1851" s="852">
        <v>0</v>
      </c>
      <c r="T1851" s="852">
        <v>0</v>
      </c>
      <c r="U1851" s="498" t="s">
        <v>2462</v>
      </c>
      <c r="V1851" s="498" t="s">
        <v>8154</v>
      </c>
      <c r="W1851" s="498">
        <v>290</v>
      </c>
      <c r="X1851" s="498" t="s">
        <v>2193</v>
      </c>
      <c r="Y1851" s="498" t="s">
        <v>3232</v>
      </c>
      <c r="Z1851" s="498" t="s">
        <v>1770</v>
      </c>
      <c r="AA1851" s="498"/>
      <c r="AB1851" s="459" t="s">
        <v>1587</v>
      </c>
    </row>
    <row r="1852" spans="1:28" ht="24" customHeight="1">
      <c r="A1852" s="584"/>
      <c r="B1852" s="460" t="s">
        <v>675</v>
      </c>
      <c r="C1852" s="458" t="s">
        <v>8155</v>
      </c>
      <c r="D1852" s="510" t="s">
        <v>8156</v>
      </c>
      <c r="E1852" s="498">
        <f t="shared" si="127"/>
        <v>39</v>
      </c>
      <c r="F1852" s="498">
        <v>0</v>
      </c>
      <c r="G1852" s="498">
        <v>39</v>
      </c>
      <c r="H1852" s="498">
        <v>0</v>
      </c>
      <c r="I1852" s="655">
        <f t="shared" si="126"/>
        <v>30</v>
      </c>
      <c r="J1852" s="655">
        <v>0</v>
      </c>
      <c r="K1852" s="655">
        <v>30</v>
      </c>
      <c r="L1852" s="710">
        <v>0</v>
      </c>
      <c r="M1852" s="963">
        <v>0.76923076923076938</v>
      </c>
      <c r="N1852" s="653">
        <v>2</v>
      </c>
      <c r="O1852" s="725" t="s">
        <v>5089</v>
      </c>
      <c r="P1852" s="498" t="s">
        <v>1588</v>
      </c>
      <c r="Q1852" s="852">
        <v>0</v>
      </c>
      <c r="R1852" s="852">
        <v>0</v>
      </c>
      <c r="S1852" s="852">
        <v>0</v>
      </c>
      <c r="T1852" s="852">
        <v>0</v>
      </c>
      <c r="U1852" s="498" t="s">
        <v>2462</v>
      </c>
      <c r="V1852" s="498" t="s">
        <v>8157</v>
      </c>
      <c r="W1852" s="498">
        <v>170</v>
      </c>
      <c r="X1852" s="498" t="s">
        <v>2193</v>
      </c>
      <c r="Y1852" s="498" t="s">
        <v>3161</v>
      </c>
      <c r="Z1852" s="498" t="s">
        <v>1770</v>
      </c>
      <c r="AA1852" s="498"/>
      <c r="AB1852" s="459" t="s">
        <v>1587</v>
      </c>
    </row>
    <row r="1853" spans="1:28" ht="24" customHeight="1">
      <c r="A1853" s="584"/>
      <c r="B1853" s="460" t="s">
        <v>675</v>
      </c>
      <c r="C1853" s="458" t="s">
        <v>8158</v>
      </c>
      <c r="D1853" s="510" t="s">
        <v>8159</v>
      </c>
      <c r="E1853" s="498">
        <f t="shared" si="127"/>
        <v>40</v>
      </c>
      <c r="F1853" s="498">
        <v>0</v>
      </c>
      <c r="G1853" s="498">
        <v>40</v>
      </c>
      <c r="H1853" s="498">
        <v>0</v>
      </c>
      <c r="I1853" s="655">
        <f t="shared" si="126"/>
        <v>30</v>
      </c>
      <c r="J1853" s="655">
        <v>0</v>
      </c>
      <c r="K1853" s="655">
        <v>30</v>
      </c>
      <c r="L1853" s="710">
        <v>0</v>
      </c>
      <c r="M1853" s="963">
        <v>0.75</v>
      </c>
      <c r="N1853" s="653">
        <v>3</v>
      </c>
      <c r="O1853" s="725" t="s">
        <v>8160</v>
      </c>
      <c r="P1853" s="498" t="s">
        <v>1588</v>
      </c>
      <c r="Q1853" s="852">
        <v>0</v>
      </c>
      <c r="R1853" s="852">
        <v>0</v>
      </c>
      <c r="S1853" s="852">
        <v>0</v>
      </c>
      <c r="T1853" s="852">
        <v>0</v>
      </c>
      <c r="U1853" s="498" t="s">
        <v>2462</v>
      </c>
      <c r="V1853" s="498" t="s">
        <v>8161</v>
      </c>
      <c r="W1853" s="498">
        <v>174</v>
      </c>
      <c r="X1853" s="498" t="s">
        <v>2193</v>
      </c>
      <c r="Y1853" s="498" t="s">
        <v>3232</v>
      </c>
      <c r="Z1853" s="498" t="s">
        <v>1770</v>
      </c>
      <c r="AA1853" s="498"/>
      <c r="AB1853" s="459" t="s">
        <v>1587</v>
      </c>
    </row>
    <row r="1854" spans="1:28" ht="24" customHeight="1">
      <c r="A1854" s="584"/>
      <c r="B1854" s="460" t="s">
        <v>675</v>
      </c>
      <c r="C1854" s="458" t="s">
        <v>3919</v>
      </c>
      <c r="D1854" s="510" t="s">
        <v>8162</v>
      </c>
      <c r="E1854" s="498">
        <f t="shared" si="127"/>
        <v>46</v>
      </c>
      <c r="F1854" s="498">
        <v>0</v>
      </c>
      <c r="G1854" s="498">
        <v>46</v>
      </c>
      <c r="H1854" s="498">
        <v>0</v>
      </c>
      <c r="I1854" s="655">
        <f t="shared" si="126"/>
        <v>30</v>
      </c>
      <c r="J1854" s="655">
        <v>0</v>
      </c>
      <c r="K1854" s="655">
        <v>30</v>
      </c>
      <c r="L1854" s="710">
        <v>0</v>
      </c>
      <c r="M1854" s="963">
        <v>0.65217391304347827</v>
      </c>
      <c r="N1854" s="653">
        <v>2</v>
      </c>
      <c r="O1854" s="725" t="s">
        <v>5089</v>
      </c>
      <c r="P1854" s="498" t="s">
        <v>1588</v>
      </c>
      <c r="Q1854" s="852">
        <v>0</v>
      </c>
      <c r="R1854" s="852">
        <v>0</v>
      </c>
      <c r="S1854" s="852">
        <v>0</v>
      </c>
      <c r="T1854" s="852">
        <v>0</v>
      </c>
      <c r="U1854" s="498" t="s">
        <v>2462</v>
      </c>
      <c r="V1854" s="498" t="s">
        <v>8163</v>
      </c>
      <c r="W1854" s="498">
        <v>254</v>
      </c>
      <c r="X1854" s="498" t="s">
        <v>2193</v>
      </c>
      <c r="Y1854" s="498" t="s">
        <v>3161</v>
      </c>
      <c r="Z1854" s="498" t="s">
        <v>1770</v>
      </c>
      <c r="AA1854" s="498"/>
      <c r="AB1854" s="459" t="s">
        <v>1587</v>
      </c>
    </row>
    <row r="1855" spans="1:28" ht="24" customHeight="1">
      <c r="A1855" s="584"/>
      <c r="B1855" s="460" t="s">
        <v>675</v>
      </c>
      <c r="C1855" s="458" t="s">
        <v>8164</v>
      </c>
      <c r="D1855" s="510" t="s">
        <v>8165</v>
      </c>
      <c r="E1855" s="498">
        <f>F1855+G1855+H1855</f>
        <v>57</v>
      </c>
      <c r="F1855" s="498">
        <v>0</v>
      </c>
      <c r="G1855" s="498">
        <v>57</v>
      </c>
      <c r="H1855" s="498">
        <v>0</v>
      </c>
      <c r="I1855" s="655">
        <f t="shared" si="126"/>
        <v>50</v>
      </c>
      <c r="J1855" s="655">
        <v>0</v>
      </c>
      <c r="K1855" s="655">
        <v>50</v>
      </c>
      <c r="L1855" s="710">
        <v>0</v>
      </c>
      <c r="M1855" s="963">
        <v>0.8771929824561403</v>
      </c>
      <c r="N1855" s="653">
        <v>5</v>
      </c>
      <c r="O1855" s="725" t="s">
        <v>5089</v>
      </c>
      <c r="P1855" s="498" t="s">
        <v>1588</v>
      </c>
      <c r="Q1855" s="852">
        <v>0</v>
      </c>
      <c r="R1855" s="852">
        <v>0</v>
      </c>
      <c r="S1855" s="852">
        <v>0</v>
      </c>
      <c r="T1855" s="852">
        <v>0</v>
      </c>
      <c r="U1855" s="498" t="s">
        <v>2462</v>
      </c>
      <c r="V1855" s="498" t="s">
        <v>4774</v>
      </c>
      <c r="W1855" s="498">
        <v>205</v>
      </c>
      <c r="X1855" s="498" t="s">
        <v>2193</v>
      </c>
      <c r="Y1855" s="498" t="s">
        <v>3232</v>
      </c>
      <c r="Z1855" s="498" t="s">
        <v>1770</v>
      </c>
      <c r="AA1855" s="498"/>
      <c r="AB1855" s="459" t="s">
        <v>1587</v>
      </c>
    </row>
    <row r="1856" spans="1:28" ht="24" customHeight="1">
      <c r="A1856" s="582" t="s">
        <v>1939</v>
      </c>
      <c r="B1856" s="460" t="s">
        <v>2201</v>
      </c>
      <c r="C1856" s="458" t="s">
        <v>421</v>
      </c>
      <c r="D1856" s="510" t="s">
        <v>8166</v>
      </c>
      <c r="E1856" s="498">
        <f t="shared" ref="E1856:E1908" si="128">F1856+G1856+H1856</f>
        <v>114000</v>
      </c>
      <c r="F1856" s="498">
        <v>0</v>
      </c>
      <c r="G1856" s="498">
        <v>114000</v>
      </c>
      <c r="H1856" s="498">
        <v>0</v>
      </c>
      <c r="I1856" s="765">
        <f t="shared" si="126"/>
        <v>61257</v>
      </c>
      <c r="J1856" s="655">
        <v>0</v>
      </c>
      <c r="K1856" s="655">
        <v>61257</v>
      </c>
      <c r="L1856" s="710">
        <v>0</v>
      </c>
      <c r="M1856" s="963">
        <v>0.97419354838709671</v>
      </c>
      <c r="N1856" s="653">
        <v>3699.9227999999998</v>
      </c>
      <c r="O1856" s="669" t="s">
        <v>8167</v>
      </c>
      <c r="P1856" s="463" t="s">
        <v>1588</v>
      </c>
      <c r="Q1856" s="852">
        <v>0</v>
      </c>
      <c r="R1856" s="852">
        <v>0</v>
      </c>
      <c r="S1856" s="852">
        <v>0</v>
      </c>
      <c r="T1856" s="852">
        <v>0</v>
      </c>
      <c r="U1856" s="463" t="s">
        <v>2464</v>
      </c>
      <c r="V1856" s="463" t="s">
        <v>2348</v>
      </c>
      <c r="W1856" s="498">
        <v>127885</v>
      </c>
      <c r="X1856" s="463" t="s">
        <v>8168</v>
      </c>
      <c r="Y1856" s="463" t="s">
        <v>8169</v>
      </c>
      <c r="Z1856" s="463" t="s">
        <v>1940</v>
      </c>
      <c r="AA1856" s="463" t="s">
        <v>8170</v>
      </c>
      <c r="AB1856" s="459" t="s">
        <v>1589</v>
      </c>
    </row>
    <row r="1857" spans="1:28" ht="24" customHeight="1">
      <c r="A1857" s="584"/>
      <c r="B1857" s="460" t="s">
        <v>2201</v>
      </c>
      <c r="C1857" s="458" t="s">
        <v>422</v>
      </c>
      <c r="D1857" s="510" t="s">
        <v>8171</v>
      </c>
      <c r="E1857" s="498">
        <f t="shared" si="128"/>
        <v>97000</v>
      </c>
      <c r="F1857" s="498">
        <v>0</v>
      </c>
      <c r="G1857" s="498">
        <v>0</v>
      </c>
      <c r="H1857" s="498">
        <v>97000</v>
      </c>
      <c r="I1857" s="655">
        <f t="shared" si="126"/>
        <v>52064</v>
      </c>
      <c r="J1857" s="655">
        <v>0</v>
      </c>
      <c r="K1857" s="655">
        <v>0</v>
      </c>
      <c r="L1857" s="710">
        <v>52064</v>
      </c>
      <c r="M1857" s="963">
        <v>0.94314143567874908</v>
      </c>
      <c r="N1857" s="653">
        <v>6908.8927999999996</v>
      </c>
      <c r="O1857" s="669" t="s">
        <v>8172</v>
      </c>
      <c r="P1857" s="463" t="s">
        <v>3595</v>
      </c>
      <c r="Q1857" s="852">
        <v>172.3</v>
      </c>
      <c r="R1857" s="852">
        <v>0</v>
      </c>
      <c r="S1857" s="852">
        <v>0</v>
      </c>
      <c r="T1857" s="852">
        <v>0</v>
      </c>
      <c r="U1857" s="463" t="s">
        <v>2464</v>
      </c>
      <c r="V1857" s="463" t="s">
        <v>6564</v>
      </c>
      <c r="W1857" s="498">
        <v>156302</v>
      </c>
      <c r="X1857" s="463" t="s">
        <v>2187</v>
      </c>
      <c r="Y1857" s="463" t="s">
        <v>3336</v>
      </c>
      <c r="Z1857" s="463" t="s">
        <v>1940</v>
      </c>
      <c r="AA1857" s="463" t="s">
        <v>8170</v>
      </c>
      <c r="AB1857" s="459" t="s">
        <v>1589</v>
      </c>
    </row>
    <row r="1858" spans="1:28" ht="24" customHeight="1">
      <c r="A1858" s="584"/>
      <c r="B1858" s="460" t="s">
        <v>2201</v>
      </c>
      <c r="C1858" s="458" t="s">
        <v>423</v>
      </c>
      <c r="D1858" s="510" t="s">
        <v>8173</v>
      </c>
      <c r="E1858" s="498">
        <f t="shared" si="128"/>
        <v>12000</v>
      </c>
      <c r="F1858" s="498">
        <v>0</v>
      </c>
      <c r="G1858" s="498">
        <v>0</v>
      </c>
      <c r="H1858" s="498">
        <v>12000</v>
      </c>
      <c r="I1858" s="655">
        <f t="shared" si="126"/>
        <v>7375</v>
      </c>
      <c r="J1858" s="655">
        <v>0</v>
      </c>
      <c r="K1858" s="655">
        <v>0</v>
      </c>
      <c r="L1858" s="710">
        <v>7375</v>
      </c>
      <c r="M1858" s="963">
        <v>0.9939320388349514</v>
      </c>
      <c r="N1858" s="653">
        <v>1208.0250000000001</v>
      </c>
      <c r="O1858" s="669" t="s">
        <v>8174</v>
      </c>
      <c r="P1858" s="463" t="s">
        <v>1588</v>
      </c>
      <c r="Q1858" s="852">
        <v>0</v>
      </c>
      <c r="R1858" s="852">
        <v>0</v>
      </c>
      <c r="S1858" s="852">
        <v>177</v>
      </c>
      <c r="T1858" s="852">
        <v>0</v>
      </c>
      <c r="U1858" s="463" t="s">
        <v>7519</v>
      </c>
      <c r="V1858" s="463" t="s">
        <v>8175</v>
      </c>
      <c r="W1858" s="498">
        <v>40346</v>
      </c>
      <c r="X1858" s="463" t="s">
        <v>2187</v>
      </c>
      <c r="Y1858" s="463" t="s">
        <v>3336</v>
      </c>
      <c r="Z1858" s="463" t="s">
        <v>8176</v>
      </c>
      <c r="AA1858" s="463" t="s">
        <v>1589</v>
      </c>
      <c r="AB1858" s="459" t="s">
        <v>1589</v>
      </c>
    </row>
    <row r="1859" spans="1:28" ht="24" customHeight="1">
      <c r="A1859" s="584"/>
      <c r="B1859" s="460" t="s">
        <v>675</v>
      </c>
      <c r="C1859" s="458" t="s">
        <v>8177</v>
      </c>
      <c r="D1859" s="510" t="s">
        <v>8178</v>
      </c>
      <c r="E1859" s="498">
        <f t="shared" si="128"/>
        <v>30</v>
      </c>
      <c r="F1859" s="498">
        <v>0</v>
      </c>
      <c r="G1859" s="498">
        <v>0</v>
      </c>
      <c r="H1859" s="498">
        <v>30</v>
      </c>
      <c r="I1859" s="655">
        <f t="shared" si="126"/>
        <v>30</v>
      </c>
      <c r="J1859" s="655">
        <v>0</v>
      </c>
      <c r="K1859" s="655">
        <v>0</v>
      </c>
      <c r="L1859" s="710">
        <v>30</v>
      </c>
      <c r="M1859" s="963">
        <v>1</v>
      </c>
      <c r="N1859" s="653">
        <v>4.55</v>
      </c>
      <c r="O1859" s="669" t="s">
        <v>8179</v>
      </c>
      <c r="P1859" s="463" t="s">
        <v>1588</v>
      </c>
      <c r="Q1859" s="852">
        <v>0</v>
      </c>
      <c r="R1859" s="852">
        <v>0</v>
      </c>
      <c r="S1859" s="852">
        <v>0</v>
      </c>
      <c r="T1859" s="852">
        <v>0</v>
      </c>
      <c r="U1859" s="463" t="s">
        <v>7519</v>
      </c>
      <c r="V1859" s="463" t="s">
        <v>8180</v>
      </c>
      <c r="W1859" s="498">
        <v>186</v>
      </c>
      <c r="X1859" s="463" t="s">
        <v>2187</v>
      </c>
      <c r="Y1859" s="463" t="s">
        <v>1533</v>
      </c>
      <c r="Z1859" s="463" t="s">
        <v>8181</v>
      </c>
      <c r="AA1859" s="463" t="s">
        <v>1589</v>
      </c>
      <c r="AB1859" s="459" t="s">
        <v>1589</v>
      </c>
    </row>
    <row r="1860" spans="1:28" ht="24" customHeight="1">
      <c r="A1860" s="584"/>
      <c r="B1860" s="460" t="s">
        <v>675</v>
      </c>
      <c r="C1860" s="458" t="s">
        <v>907</v>
      </c>
      <c r="D1860" s="510" t="s">
        <v>8182</v>
      </c>
      <c r="E1860" s="498">
        <f t="shared" si="128"/>
        <v>150</v>
      </c>
      <c r="F1860" s="498">
        <v>0</v>
      </c>
      <c r="G1860" s="498">
        <v>0</v>
      </c>
      <c r="H1860" s="498">
        <v>150</v>
      </c>
      <c r="I1860" s="655">
        <f t="shared" si="126"/>
        <v>82.7</v>
      </c>
      <c r="J1860" s="655">
        <v>0</v>
      </c>
      <c r="K1860" s="655">
        <v>0</v>
      </c>
      <c r="L1860" s="710">
        <v>82.7</v>
      </c>
      <c r="M1860" s="963">
        <v>0.55133333333333334</v>
      </c>
      <c r="N1860" s="653">
        <v>4.18</v>
      </c>
      <c r="O1860" s="669" t="s">
        <v>8183</v>
      </c>
      <c r="P1860" s="463" t="s">
        <v>1588</v>
      </c>
      <c r="Q1860" s="852">
        <v>0</v>
      </c>
      <c r="R1860" s="852">
        <v>0</v>
      </c>
      <c r="S1860" s="852">
        <v>0</v>
      </c>
      <c r="T1860" s="852">
        <v>0</v>
      </c>
      <c r="U1860" s="463" t="s">
        <v>7519</v>
      </c>
      <c r="V1860" s="463" t="s">
        <v>8184</v>
      </c>
      <c r="W1860" s="498">
        <v>400</v>
      </c>
      <c r="X1860" s="463" t="s">
        <v>2187</v>
      </c>
      <c r="Y1860" s="463" t="s">
        <v>1533</v>
      </c>
      <c r="Z1860" s="463" t="s">
        <v>8181</v>
      </c>
      <c r="AA1860" s="463" t="s">
        <v>1589</v>
      </c>
      <c r="AB1860" s="459" t="s">
        <v>1589</v>
      </c>
    </row>
    <row r="1861" spans="1:28" ht="24" customHeight="1">
      <c r="A1861" s="582" t="s">
        <v>1941</v>
      </c>
      <c r="B1861" s="460" t="s">
        <v>2201</v>
      </c>
      <c r="C1861" s="458" t="s">
        <v>2349</v>
      </c>
      <c r="D1861" s="510" t="s">
        <v>2144</v>
      </c>
      <c r="E1861" s="498">
        <f t="shared" si="128"/>
        <v>30000</v>
      </c>
      <c r="F1861" s="498">
        <v>0</v>
      </c>
      <c r="G1861" s="498">
        <v>30000</v>
      </c>
      <c r="H1861" s="498">
        <v>0</v>
      </c>
      <c r="I1861" s="655">
        <f t="shared" si="126"/>
        <v>28190</v>
      </c>
      <c r="J1861" s="655">
        <v>0</v>
      </c>
      <c r="K1861" s="655">
        <v>28190</v>
      </c>
      <c r="L1861" s="710">
        <v>0</v>
      </c>
      <c r="M1861" s="963">
        <v>0.96150144369586144</v>
      </c>
      <c r="N1861" s="653">
        <v>2816.181</v>
      </c>
      <c r="O1861" s="669" t="s">
        <v>1535</v>
      </c>
      <c r="P1861" s="463" t="s">
        <v>1588</v>
      </c>
      <c r="Q1861" s="852">
        <v>32.799999999999997</v>
      </c>
      <c r="R1861" s="852">
        <v>60.1</v>
      </c>
      <c r="S1861" s="852">
        <v>57.1</v>
      </c>
      <c r="T1861" s="852">
        <v>0</v>
      </c>
      <c r="U1861" s="463" t="s">
        <v>8185</v>
      </c>
      <c r="V1861" s="463" t="s">
        <v>8186</v>
      </c>
      <c r="W1861" s="578">
        <v>43699</v>
      </c>
      <c r="X1861" s="463" t="s">
        <v>2199</v>
      </c>
      <c r="Y1861" s="463" t="s">
        <v>6967</v>
      </c>
      <c r="Z1861" s="463" t="s">
        <v>1942</v>
      </c>
      <c r="AA1861" s="463" t="s">
        <v>1589</v>
      </c>
      <c r="AB1861" s="459" t="s">
        <v>1589</v>
      </c>
    </row>
    <row r="1862" spans="1:28" ht="24" customHeight="1">
      <c r="A1862" s="584"/>
      <c r="B1862" s="460" t="s">
        <v>2201</v>
      </c>
      <c r="C1862" s="458" t="s">
        <v>303</v>
      </c>
      <c r="D1862" s="510" t="s">
        <v>8187</v>
      </c>
      <c r="E1862" s="498">
        <f t="shared" si="128"/>
        <v>4000</v>
      </c>
      <c r="F1862" s="498">
        <v>0</v>
      </c>
      <c r="G1862" s="498">
        <v>0</v>
      </c>
      <c r="H1862" s="498">
        <v>4000</v>
      </c>
      <c r="I1862" s="655">
        <f t="shared" si="126"/>
        <v>1669</v>
      </c>
      <c r="J1862" s="655">
        <v>0</v>
      </c>
      <c r="K1862" s="655">
        <v>0</v>
      </c>
      <c r="L1862" s="710">
        <v>1669</v>
      </c>
      <c r="M1862" s="963">
        <v>0.87084148727984345</v>
      </c>
      <c r="N1862" s="653">
        <v>74.270500000000013</v>
      </c>
      <c r="O1862" s="669" t="s">
        <v>8188</v>
      </c>
      <c r="P1862" s="463" t="s">
        <v>1588</v>
      </c>
      <c r="Q1862" s="852">
        <v>0</v>
      </c>
      <c r="R1862" s="852">
        <v>0</v>
      </c>
      <c r="S1862" s="852">
        <v>0</v>
      </c>
      <c r="T1862" s="852">
        <v>0</v>
      </c>
      <c r="U1862" s="463" t="s">
        <v>8185</v>
      </c>
      <c r="V1862" s="463" t="s">
        <v>2138</v>
      </c>
      <c r="W1862" s="498">
        <v>16494</v>
      </c>
      <c r="X1862" s="463" t="s">
        <v>2199</v>
      </c>
      <c r="Y1862" s="463" t="s">
        <v>3336</v>
      </c>
      <c r="Z1862" s="463" t="s">
        <v>8189</v>
      </c>
      <c r="AA1862" s="463" t="s">
        <v>1589</v>
      </c>
      <c r="AB1862" s="459" t="s">
        <v>1589</v>
      </c>
    </row>
    <row r="1863" spans="1:28" ht="24" customHeight="1">
      <c r="A1863" s="584"/>
      <c r="B1863" s="460" t="s">
        <v>2201</v>
      </c>
      <c r="C1863" s="458" t="s">
        <v>2115</v>
      </c>
      <c r="D1863" s="510" t="s">
        <v>2141</v>
      </c>
      <c r="E1863" s="498">
        <f t="shared" si="128"/>
        <v>4000</v>
      </c>
      <c r="F1863" s="498">
        <v>0</v>
      </c>
      <c r="G1863" s="498">
        <v>0</v>
      </c>
      <c r="H1863" s="498">
        <v>4000</v>
      </c>
      <c r="I1863" s="655">
        <f t="shared" si="126"/>
        <v>2543</v>
      </c>
      <c r="J1863" s="655">
        <v>0</v>
      </c>
      <c r="K1863" s="655">
        <v>0</v>
      </c>
      <c r="L1863" s="710">
        <v>2543</v>
      </c>
      <c r="M1863" s="963">
        <v>0.90103092783505156</v>
      </c>
      <c r="N1863" s="653">
        <v>111.12910000000001</v>
      </c>
      <c r="O1863" s="669" t="s">
        <v>8188</v>
      </c>
      <c r="P1863" s="463" t="s">
        <v>1588</v>
      </c>
      <c r="Q1863" s="852">
        <v>0</v>
      </c>
      <c r="R1863" s="852">
        <v>0</v>
      </c>
      <c r="S1863" s="852">
        <v>0</v>
      </c>
      <c r="T1863" s="852">
        <v>0</v>
      </c>
      <c r="U1863" s="463" t="s">
        <v>8185</v>
      </c>
      <c r="V1863" s="463" t="s">
        <v>2142</v>
      </c>
      <c r="W1863" s="498">
        <v>14994</v>
      </c>
      <c r="X1863" s="463" t="s">
        <v>2199</v>
      </c>
      <c r="Y1863" s="463" t="s">
        <v>3336</v>
      </c>
      <c r="Z1863" s="463" t="s">
        <v>1589</v>
      </c>
      <c r="AA1863" s="463" t="s">
        <v>1589</v>
      </c>
      <c r="AB1863" s="459" t="s">
        <v>1589</v>
      </c>
    </row>
    <row r="1864" spans="1:28" ht="24" customHeight="1">
      <c r="A1864" s="584"/>
      <c r="B1864" s="460" t="s">
        <v>675</v>
      </c>
      <c r="C1864" s="458" t="s">
        <v>8190</v>
      </c>
      <c r="D1864" s="510" t="s">
        <v>8191</v>
      </c>
      <c r="E1864" s="498">
        <f t="shared" si="128"/>
        <v>45</v>
      </c>
      <c r="F1864" s="498">
        <v>0</v>
      </c>
      <c r="G1864" s="498">
        <v>45</v>
      </c>
      <c r="H1864" s="498">
        <v>0</v>
      </c>
      <c r="I1864" s="655">
        <f t="shared" si="126"/>
        <v>41</v>
      </c>
      <c r="J1864" s="655">
        <v>0</v>
      </c>
      <c r="K1864" s="655">
        <v>41</v>
      </c>
      <c r="L1864" s="710">
        <v>0</v>
      </c>
      <c r="M1864" s="963">
        <v>0.91111111111111109</v>
      </c>
      <c r="N1864" s="653">
        <v>0.7</v>
      </c>
      <c r="O1864" s="669" t="s">
        <v>7725</v>
      </c>
      <c r="P1864" s="463" t="s">
        <v>1588</v>
      </c>
      <c r="Q1864" s="852">
        <v>0</v>
      </c>
      <c r="R1864" s="852">
        <v>0</v>
      </c>
      <c r="S1864" s="852">
        <v>0</v>
      </c>
      <c r="T1864" s="852">
        <v>0</v>
      </c>
      <c r="U1864" s="463" t="s">
        <v>8185</v>
      </c>
      <c r="V1864" s="463" t="s">
        <v>8192</v>
      </c>
      <c r="W1864" s="498">
        <v>145</v>
      </c>
      <c r="X1864" s="463" t="s">
        <v>2199</v>
      </c>
      <c r="Y1864" s="463" t="s">
        <v>3336</v>
      </c>
      <c r="Z1864" s="463" t="s">
        <v>1906</v>
      </c>
      <c r="AA1864" s="463" t="s">
        <v>1589</v>
      </c>
      <c r="AB1864" s="459" t="s">
        <v>1589</v>
      </c>
    </row>
    <row r="1865" spans="1:28" ht="24" customHeight="1">
      <c r="A1865" s="584"/>
      <c r="B1865" s="460" t="s">
        <v>675</v>
      </c>
      <c r="C1865" s="458" t="s">
        <v>2164</v>
      </c>
      <c r="D1865" s="510" t="s">
        <v>8193</v>
      </c>
      <c r="E1865" s="498">
        <f t="shared" si="128"/>
        <v>120</v>
      </c>
      <c r="F1865" s="498">
        <v>0</v>
      </c>
      <c r="G1865" s="498">
        <v>120</v>
      </c>
      <c r="H1865" s="498">
        <v>0</v>
      </c>
      <c r="I1865" s="655">
        <f t="shared" si="126"/>
        <v>44</v>
      </c>
      <c r="J1865" s="655">
        <v>0</v>
      </c>
      <c r="K1865" s="655">
        <v>44</v>
      </c>
      <c r="L1865" s="710">
        <v>0</v>
      </c>
      <c r="M1865" s="963">
        <v>0.36666666666666664</v>
      </c>
      <c r="N1865" s="653">
        <v>3.7</v>
      </c>
      <c r="O1865" s="669" t="s">
        <v>7725</v>
      </c>
      <c r="P1865" s="463" t="s">
        <v>1588</v>
      </c>
      <c r="Q1865" s="852">
        <v>0</v>
      </c>
      <c r="R1865" s="852">
        <v>0</v>
      </c>
      <c r="S1865" s="852">
        <v>0</v>
      </c>
      <c r="T1865" s="852">
        <v>0</v>
      </c>
      <c r="U1865" s="463" t="s">
        <v>8185</v>
      </c>
      <c r="V1865" s="463" t="s">
        <v>8194</v>
      </c>
      <c r="W1865" s="498">
        <v>365</v>
      </c>
      <c r="X1865" s="463" t="s">
        <v>2199</v>
      </c>
      <c r="Y1865" s="463" t="s">
        <v>3336</v>
      </c>
      <c r="Z1865" s="463" t="s">
        <v>1942</v>
      </c>
      <c r="AA1865" s="463" t="s">
        <v>1589</v>
      </c>
      <c r="AB1865" s="459" t="s">
        <v>1589</v>
      </c>
    </row>
    <row r="1866" spans="1:28" ht="24" customHeight="1">
      <c r="A1866" s="584"/>
      <c r="B1866" s="460" t="s">
        <v>675</v>
      </c>
      <c r="C1866" s="458" t="s">
        <v>2437</v>
      </c>
      <c r="D1866" s="510" t="s">
        <v>8195</v>
      </c>
      <c r="E1866" s="498">
        <f t="shared" si="128"/>
        <v>50</v>
      </c>
      <c r="F1866" s="498">
        <v>0</v>
      </c>
      <c r="G1866" s="498">
        <v>50</v>
      </c>
      <c r="H1866" s="498">
        <v>0</v>
      </c>
      <c r="I1866" s="655">
        <f t="shared" si="126"/>
        <v>13</v>
      </c>
      <c r="J1866" s="655">
        <v>0</v>
      </c>
      <c r="K1866" s="655">
        <v>13</v>
      </c>
      <c r="L1866" s="710">
        <v>0</v>
      </c>
      <c r="M1866" s="963">
        <v>0.26</v>
      </c>
      <c r="N1866" s="653">
        <v>1.4</v>
      </c>
      <c r="O1866" s="669" t="s">
        <v>7725</v>
      </c>
      <c r="P1866" s="463" t="s">
        <v>1588</v>
      </c>
      <c r="Q1866" s="852">
        <v>0</v>
      </c>
      <c r="R1866" s="852">
        <v>0</v>
      </c>
      <c r="S1866" s="852">
        <v>0</v>
      </c>
      <c r="T1866" s="852">
        <v>0</v>
      </c>
      <c r="U1866" s="463" t="s">
        <v>8185</v>
      </c>
      <c r="V1866" s="463" t="s">
        <v>8196</v>
      </c>
      <c r="W1866" s="498">
        <v>239</v>
      </c>
      <c r="X1866" s="463" t="s">
        <v>2199</v>
      </c>
      <c r="Y1866" s="463" t="s">
        <v>3336</v>
      </c>
      <c r="Z1866" s="463" t="s">
        <v>1942</v>
      </c>
      <c r="AA1866" s="463" t="s">
        <v>1589</v>
      </c>
      <c r="AB1866" s="459" t="s">
        <v>1589</v>
      </c>
    </row>
    <row r="1867" spans="1:28" ht="24" customHeight="1">
      <c r="A1867" s="584"/>
      <c r="B1867" s="460" t="s">
        <v>675</v>
      </c>
      <c r="C1867" s="458" t="s">
        <v>8197</v>
      </c>
      <c r="D1867" s="510" t="s">
        <v>8198</v>
      </c>
      <c r="E1867" s="498">
        <f t="shared" si="128"/>
        <v>70</v>
      </c>
      <c r="F1867" s="498">
        <v>0</v>
      </c>
      <c r="G1867" s="498">
        <v>70</v>
      </c>
      <c r="H1867" s="498">
        <v>0</v>
      </c>
      <c r="I1867" s="655">
        <f t="shared" si="126"/>
        <v>117</v>
      </c>
      <c r="J1867" s="655">
        <v>0</v>
      </c>
      <c r="K1867" s="655">
        <v>117</v>
      </c>
      <c r="L1867" s="710">
        <v>0</v>
      </c>
      <c r="M1867" s="963">
        <v>1.6714285714285715</v>
      </c>
      <c r="N1867" s="653">
        <v>8.1</v>
      </c>
      <c r="O1867" s="669" t="s">
        <v>5122</v>
      </c>
      <c r="P1867" s="463" t="s">
        <v>1588</v>
      </c>
      <c r="Q1867" s="852">
        <v>0</v>
      </c>
      <c r="R1867" s="852">
        <v>0</v>
      </c>
      <c r="S1867" s="852">
        <v>0</v>
      </c>
      <c r="T1867" s="852">
        <v>0</v>
      </c>
      <c r="U1867" s="463" t="s">
        <v>8185</v>
      </c>
      <c r="V1867" s="463" t="s">
        <v>8199</v>
      </c>
      <c r="W1867" s="498">
        <v>383</v>
      </c>
      <c r="X1867" s="463" t="s">
        <v>2199</v>
      </c>
      <c r="Y1867" s="463" t="s">
        <v>3336</v>
      </c>
      <c r="Z1867" s="463" t="s">
        <v>1942</v>
      </c>
      <c r="AA1867" s="463" t="s">
        <v>1589</v>
      </c>
      <c r="AB1867" s="459" t="s">
        <v>1589</v>
      </c>
    </row>
    <row r="1868" spans="1:28" ht="24" customHeight="1">
      <c r="A1868" s="584"/>
      <c r="B1868" s="460" t="s">
        <v>675</v>
      </c>
      <c r="C1868" s="458" t="s">
        <v>8200</v>
      </c>
      <c r="D1868" s="510" t="s">
        <v>8198</v>
      </c>
      <c r="E1868" s="498">
        <f t="shared" si="128"/>
        <v>40</v>
      </c>
      <c r="F1868" s="498">
        <v>0</v>
      </c>
      <c r="G1868" s="498">
        <v>40</v>
      </c>
      <c r="H1868" s="498">
        <v>0</v>
      </c>
      <c r="I1868" s="655">
        <f t="shared" si="126"/>
        <v>72</v>
      </c>
      <c r="J1868" s="655">
        <v>0</v>
      </c>
      <c r="K1868" s="655">
        <v>72</v>
      </c>
      <c r="L1868" s="710">
        <v>0</v>
      </c>
      <c r="M1868" s="963">
        <v>1.8</v>
      </c>
      <c r="N1868" s="653">
        <v>3.1</v>
      </c>
      <c r="O1868" s="669" t="s">
        <v>5122</v>
      </c>
      <c r="P1868" s="463" t="s">
        <v>1588</v>
      </c>
      <c r="Q1868" s="852">
        <v>0</v>
      </c>
      <c r="R1868" s="852">
        <v>0</v>
      </c>
      <c r="S1868" s="852">
        <v>0</v>
      </c>
      <c r="T1868" s="852">
        <v>0</v>
      </c>
      <c r="U1868" s="463" t="s">
        <v>8185</v>
      </c>
      <c r="V1868" s="463" t="s">
        <v>7828</v>
      </c>
      <c r="W1868" s="498">
        <v>353</v>
      </c>
      <c r="X1868" s="463" t="s">
        <v>2199</v>
      </c>
      <c r="Y1868" s="463" t="s">
        <v>3336</v>
      </c>
      <c r="Z1868" s="463" t="s">
        <v>1942</v>
      </c>
      <c r="AA1868" s="463" t="s">
        <v>1589</v>
      </c>
      <c r="AB1868" s="459" t="s">
        <v>1589</v>
      </c>
    </row>
    <row r="1869" spans="1:28" ht="24" customHeight="1">
      <c r="A1869" s="584"/>
      <c r="B1869" s="460" t="s">
        <v>675</v>
      </c>
      <c r="C1869" s="458" t="s">
        <v>8201</v>
      </c>
      <c r="D1869" s="510" t="s">
        <v>8202</v>
      </c>
      <c r="E1869" s="498">
        <f t="shared" si="128"/>
        <v>100</v>
      </c>
      <c r="F1869" s="498">
        <v>0</v>
      </c>
      <c r="G1869" s="498">
        <v>0</v>
      </c>
      <c r="H1869" s="498">
        <v>100</v>
      </c>
      <c r="I1869" s="655">
        <f t="shared" si="126"/>
        <v>78</v>
      </c>
      <c r="J1869" s="655">
        <v>0</v>
      </c>
      <c r="K1869" s="655">
        <v>0</v>
      </c>
      <c r="L1869" s="710">
        <v>78</v>
      </c>
      <c r="M1869" s="963">
        <v>0.78</v>
      </c>
      <c r="N1869" s="653">
        <v>3.2</v>
      </c>
      <c r="O1869" s="669" t="s">
        <v>2303</v>
      </c>
      <c r="P1869" s="463" t="s">
        <v>1588</v>
      </c>
      <c r="Q1869" s="852">
        <v>0</v>
      </c>
      <c r="R1869" s="852">
        <v>0</v>
      </c>
      <c r="S1869" s="852">
        <v>0</v>
      </c>
      <c r="T1869" s="852">
        <v>0</v>
      </c>
      <c r="U1869" s="463" t="s">
        <v>8185</v>
      </c>
      <c r="V1869" s="463" t="s">
        <v>8203</v>
      </c>
      <c r="W1869" s="498">
        <v>425</v>
      </c>
      <c r="X1869" s="463" t="s">
        <v>2199</v>
      </c>
      <c r="Y1869" s="463" t="s">
        <v>3336</v>
      </c>
      <c r="Z1869" s="463" t="s">
        <v>1942</v>
      </c>
      <c r="AA1869" s="463" t="s">
        <v>1589</v>
      </c>
      <c r="AB1869" s="459" t="s">
        <v>1589</v>
      </c>
    </row>
    <row r="1870" spans="1:28" ht="24" customHeight="1">
      <c r="A1870" s="584"/>
      <c r="B1870" s="460" t="s">
        <v>675</v>
      </c>
      <c r="C1870" s="458" t="s">
        <v>8204</v>
      </c>
      <c r="D1870" s="510" t="s">
        <v>8205</v>
      </c>
      <c r="E1870" s="498">
        <f t="shared" si="128"/>
        <v>140</v>
      </c>
      <c r="F1870" s="498">
        <v>0</v>
      </c>
      <c r="G1870" s="498">
        <v>0</v>
      </c>
      <c r="H1870" s="498">
        <v>140</v>
      </c>
      <c r="I1870" s="655">
        <f t="shared" si="126"/>
        <v>105</v>
      </c>
      <c r="J1870" s="655">
        <v>0</v>
      </c>
      <c r="K1870" s="655">
        <v>0</v>
      </c>
      <c r="L1870" s="710">
        <v>105</v>
      </c>
      <c r="M1870" s="963">
        <v>0.75</v>
      </c>
      <c r="N1870" s="653">
        <v>8.3000000000000007</v>
      </c>
      <c r="O1870" s="669" t="s">
        <v>3274</v>
      </c>
      <c r="P1870" s="463" t="s">
        <v>1588</v>
      </c>
      <c r="Q1870" s="852">
        <v>0</v>
      </c>
      <c r="R1870" s="852">
        <v>0</v>
      </c>
      <c r="S1870" s="852">
        <v>0</v>
      </c>
      <c r="T1870" s="852">
        <v>0</v>
      </c>
      <c r="U1870" s="463" t="s">
        <v>8185</v>
      </c>
      <c r="V1870" s="463" t="s">
        <v>8206</v>
      </c>
      <c r="W1870" s="498">
        <v>748</v>
      </c>
      <c r="X1870" s="463" t="s">
        <v>2199</v>
      </c>
      <c r="Y1870" s="463" t="s">
        <v>3336</v>
      </c>
      <c r="Z1870" s="463" t="s">
        <v>1942</v>
      </c>
      <c r="AA1870" s="463" t="s">
        <v>1589</v>
      </c>
      <c r="AB1870" s="459" t="s">
        <v>1589</v>
      </c>
    </row>
    <row r="1871" spans="1:28" ht="24" customHeight="1">
      <c r="A1871" s="584"/>
      <c r="B1871" s="460" t="s">
        <v>675</v>
      </c>
      <c r="C1871" s="458" t="s">
        <v>8207</v>
      </c>
      <c r="D1871" s="510" t="s">
        <v>8208</v>
      </c>
      <c r="E1871" s="498">
        <f t="shared" si="128"/>
        <v>190</v>
      </c>
      <c r="F1871" s="498">
        <v>0</v>
      </c>
      <c r="G1871" s="498">
        <v>0</v>
      </c>
      <c r="H1871" s="498">
        <v>190</v>
      </c>
      <c r="I1871" s="655">
        <f t="shared" si="126"/>
        <v>59</v>
      </c>
      <c r="J1871" s="655">
        <v>0</v>
      </c>
      <c r="K1871" s="655">
        <v>0</v>
      </c>
      <c r="L1871" s="710">
        <v>59</v>
      </c>
      <c r="M1871" s="963">
        <v>0.31052631578947371</v>
      </c>
      <c r="N1871" s="653">
        <v>3.2</v>
      </c>
      <c r="O1871" s="669" t="s">
        <v>3274</v>
      </c>
      <c r="P1871" s="463" t="s">
        <v>1588</v>
      </c>
      <c r="Q1871" s="852">
        <v>0</v>
      </c>
      <c r="R1871" s="852">
        <v>0</v>
      </c>
      <c r="S1871" s="852">
        <v>0</v>
      </c>
      <c r="T1871" s="852">
        <v>0</v>
      </c>
      <c r="U1871" s="463" t="s">
        <v>8185</v>
      </c>
      <c r="V1871" s="463" t="s">
        <v>8209</v>
      </c>
      <c r="W1871" s="498">
        <v>190</v>
      </c>
      <c r="X1871" s="463" t="s">
        <v>2199</v>
      </c>
      <c r="Y1871" s="463" t="s">
        <v>3336</v>
      </c>
      <c r="Z1871" s="463" t="s">
        <v>8210</v>
      </c>
      <c r="AA1871" s="463" t="s">
        <v>1589</v>
      </c>
      <c r="AB1871" s="459" t="s">
        <v>1589</v>
      </c>
    </row>
    <row r="1872" spans="1:28" ht="24" customHeight="1">
      <c r="A1872" s="584"/>
      <c r="B1872" s="460" t="s">
        <v>675</v>
      </c>
      <c r="C1872" s="458" t="s">
        <v>6523</v>
      </c>
      <c r="D1872" s="510" t="s">
        <v>8211</v>
      </c>
      <c r="E1872" s="498">
        <f t="shared" si="128"/>
        <v>50</v>
      </c>
      <c r="F1872" s="498">
        <v>0</v>
      </c>
      <c r="G1872" s="498">
        <v>0</v>
      </c>
      <c r="H1872" s="498">
        <v>50</v>
      </c>
      <c r="I1872" s="655">
        <f t="shared" si="126"/>
        <v>52</v>
      </c>
      <c r="J1872" s="655">
        <v>0</v>
      </c>
      <c r="K1872" s="655">
        <v>0</v>
      </c>
      <c r="L1872" s="710">
        <v>52</v>
      </c>
      <c r="M1872" s="963">
        <v>1.04</v>
      </c>
      <c r="N1872" s="653">
        <v>1.8</v>
      </c>
      <c r="O1872" s="669" t="s">
        <v>3274</v>
      </c>
      <c r="P1872" s="463" t="s">
        <v>1588</v>
      </c>
      <c r="Q1872" s="852">
        <v>0</v>
      </c>
      <c r="R1872" s="852">
        <v>0</v>
      </c>
      <c r="S1872" s="852">
        <v>0</v>
      </c>
      <c r="T1872" s="852">
        <v>0</v>
      </c>
      <c r="U1872" s="463" t="s">
        <v>8185</v>
      </c>
      <c r="V1872" s="463" t="s">
        <v>8212</v>
      </c>
      <c r="W1872" s="498">
        <v>390</v>
      </c>
      <c r="X1872" s="463" t="s">
        <v>2199</v>
      </c>
      <c r="Y1872" s="463" t="s">
        <v>3336</v>
      </c>
      <c r="Z1872" s="463" t="s">
        <v>8210</v>
      </c>
      <c r="AA1872" s="463" t="s">
        <v>1589</v>
      </c>
      <c r="AB1872" s="459" t="s">
        <v>1589</v>
      </c>
    </row>
    <row r="1873" spans="1:28" ht="24" customHeight="1">
      <c r="A1873" s="582" t="s">
        <v>1943</v>
      </c>
      <c r="B1873" s="460" t="s">
        <v>2201</v>
      </c>
      <c r="C1873" s="458" t="s">
        <v>304</v>
      </c>
      <c r="D1873" s="510" t="s">
        <v>8213</v>
      </c>
      <c r="E1873" s="498">
        <f t="shared" si="128"/>
        <v>15000</v>
      </c>
      <c r="F1873" s="653">
        <v>0</v>
      </c>
      <c r="G1873" s="653">
        <v>0</v>
      </c>
      <c r="H1873" s="653">
        <v>15000</v>
      </c>
      <c r="I1873" s="655">
        <f t="shared" si="126"/>
        <v>11294</v>
      </c>
      <c r="J1873" s="655">
        <v>0</v>
      </c>
      <c r="K1873" s="655">
        <v>0</v>
      </c>
      <c r="L1873" s="710">
        <v>11294</v>
      </c>
      <c r="M1873" s="963">
        <v>0.95396825396825402</v>
      </c>
      <c r="N1873" s="653">
        <v>678.76940000000002</v>
      </c>
      <c r="O1873" s="725" t="s">
        <v>8214</v>
      </c>
      <c r="P1873" s="463" t="s">
        <v>8215</v>
      </c>
      <c r="Q1873" s="852">
        <v>0</v>
      </c>
      <c r="R1873" s="852">
        <v>0</v>
      </c>
      <c r="S1873" s="852">
        <v>0</v>
      </c>
      <c r="T1873" s="852">
        <v>0</v>
      </c>
      <c r="U1873" s="463" t="s">
        <v>8216</v>
      </c>
      <c r="V1873" s="463" t="s">
        <v>2147</v>
      </c>
      <c r="W1873" s="498">
        <v>44024</v>
      </c>
      <c r="X1873" s="463" t="s">
        <v>1532</v>
      </c>
      <c r="Y1873" s="463" t="s">
        <v>3399</v>
      </c>
      <c r="Z1873" s="463" t="s">
        <v>1588</v>
      </c>
      <c r="AA1873" s="463" t="s">
        <v>1770</v>
      </c>
      <c r="AB1873" s="459" t="s">
        <v>1770</v>
      </c>
    </row>
    <row r="1874" spans="1:28" ht="24" customHeight="1">
      <c r="A1874" s="584"/>
      <c r="B1874" s="460" t="s">
        <v>2201</v>
      </c>
      <c r="C1874" s="458" t="s">
        <v>1944</v>
      </c>
      <c r="D1874" s="510" t="s">
        <v>8217</v>
      </c>
      <c r="E1874" s="498">
        <f t="shared" si="128"/>
        <v>2000</v>
      </c>
      <c r="F1874" s="653">
        <v>0</v>
      </c>
      <c r="G1874" s="653">
        <v>0</v>
      </c>
      <c r="H1874" s="653">
        <v>2000</v>
      </c>
      <c r="I1874" s="655">
        <f t="shared" si="126"/>
        <v>813</v>
      </c>
      <c r="J1874" s="655">
        <v>0</v>
      </c>
      <c r="K1874" s="655">
        <v>0</v>
      </c>
      <c r="L1874" s="710">
        <v>813</v>
      </c>
      <c r="M1874" s="963">
        <v>0.92037671232876717</v>
      </c>
      <c r="N1874" s="653">
        <v>87.397499999999994</v>
      </c>
      <c r="O1874" s="669" t="s">
        <v>1862</v>
      </c>
      <c r="P1874" s="463" t="s">
        <v>8215</v>
      </c>
      <c r="Q1874" s="852">
        <v>0</v>
      </c>
      <c r="R1874" s="852">
        <v>0</v>
      </c>
      <c r="S1874" s="852">
        <v>0</v>
      </c>
      <c r="T1874" s="852">
        <v>0</v>
      </c>
      <c r="U1874" s="463" t="s">
        <v>8216</v>
      </c>
      <c r="V1874" s="498" t="s">
        <v>8218</v>
      </c>
      <c r="W1874" s="498">
        <v>12250</v>
      </c>
      <c r="X1874" s="463" t="s">
        <v>1862</v>
      </c>
      <c r="Y1874" s="463" t="s">
        <v>1862</v>
      </c>
      <c r="Z1874" s="463" t="s">
        <v>1588</v>
      </c>
      <c r="AA1874" s="463" t="s">
        <v>1770</v>
      </c>
      <c r="AB1874" s="459" t="s">
        <v>1770</v>
      </c>
    </row>
    <row r="1875" spans="1:28" ht="24" customHeight="1">
      <c r="A1875" s="584"/>
      <c r="B1875" s="460" t="s">
        <v>675</v>
      </c>
      <c r="C1875" s="458" t="s">
        <v>6762</v>
      </c>
      <c r="D1875" s="510" t="s">
        <v>8219</v>
      </c>
      <c r="E1875" s="498">
        <f t="shared" si="128"/>
        <v>20</v>
      </c>
      <c r="F1875" s="653">
        <v>0</v>
      </c>
      <c r="G1875" s="653">
        <v>0</v>
      </c>
      <c r="H1875" s="653">
        <v>20</v>
      </c>
      <c r="I1875" s="655">
        <f t="shared" si="126"/>
        <v>20</v>
      </c>
      <c r="J1875" s="655">
        <v>0</v>
      </c>
      <c r="K1875" s="655">
        <v>0</v>
      </c>
      <c r="L1875" s="710">
        <v>20</v>
      </c>
      <c r="M1875" s="963">
        <v>1</v>
      </c>
      <c r="N1875" s="653">
        <v>0</v>
      </c>
      <c r="O1875" s="725" t="s">
        <v>8220</v>
      </c>
      <c r="P1875" s="498">
        <v>0</v>
      </c>
      <c r="Q1875" s="852">
        <v>0</v>
      </c>
      <c r="R1875" s="852">
        <v>0</v>
      </c>
      <c r="S1875" s="852">
        <v>0</v>
      </c>
      <c r="T1875" s="852">
        <v>0</v>
      </c>
      <c r="U1875" s="498" t="s">
        <v>8221</v>
      </c>
      <c r="V1875" s="498" t="s">
        <v>8222</v>
      </c>
      <c r="W1875" s="498">
        <v>223</v>
      </c>
      <c r="X1875" s="463" t="s">
        <v>1862</v>
      </c>
      <c r="Y1875" s="498" t="s">
        <v>3399</v>
      </c>
      <c r="Z1875" s="498"/>
      <c r="AA1875" s="463" t="s">
        <v>1770</v>
      </c>
      <c r="AB1875" s="459" t="s">
        <v>1770</v>
      </c>
    </row>
    <row r="1876" spans="1:28" ht="24" customHeight="1">
      <c r="A1876" s="584"/>
      <c r="B1876" s="460" t="s">
        <v>675</v>
      </c>
      <c r="C1876" s="458" t="s">
        <v>8223</v>
      </c>
      <c r="D1876" s="510" t="s">
        <v>8224</v>
      </c>
      <c r="E1876" s="498">
        <f t="shared" si="128"/>
        <v>16</v>
      </c>
      <c r="F1876" s="653">
        <v>0</v>
      </c>
      <c r="G1876" s="653">
        <v>16</v>
      </c>
      <c r="H1876" s="653">
        <v>0</v>
      </c>
      <c r="I1876" s="765">
        <f t="shared" ref="I1876:I1908" si="129">SUM(J1876:L1876)</f>
        <v>16</v>
      </c>
      <c r="J1876" s="655">
        <v>0</v>
      </c>
      <c r="K1876" s="655">
        <v>16</v>
      </c>
      <c r="L1876" s="710">
        <v>0</v>
      </c>
      <c r="M1876" s="963">
        <v>1</v>
      </c>
      <c r="N1876" s="653">
        <v>0</v>
      </c>
      <c r="O1876" s="725" t="s">
        <v>1254</v>
      </c>
      <c r="P1876" s="498">
        <v>0</v>
      </c>
      <c r="Q1876" s="852">
        <v>0</v>
      </c>
      <c r="R1876" s="852">
        <v>0</v>
      </c>
      <c r="S1876" s="852">
        <v>0</v>
      </c>
      <c r="T1876" s="852">
        <v>0</v>
      </c>
      <c r="U1876" s="498" t="s">
        <v>8221</v>
      </c>
      <c r="V1876" s="498" t="s">
        <v>8222</v>
      </c>
      <c r="W1876" s="498">
        <v>65</v>
      </c>
      <c r="X1876" s="463" t="s">
        <v>1862</v>
      </c>
      <c r="Y1876" s="498" t="s">
        <v>3399</v>
      </c>
      <c r="Z1876" s="498"/>
      <c r="AA1876" s="463" t="s">
        <v>1770</v>
      </c>
      <c r="AB1876" s="459" t="s">
        <v>1770</v>
      </c>
    </row>
    <row r="1877" spans="1:28" ht="24" customHeight="1">
      <c r="A1877" s="584"/>
      <c r="B1877" s="460" t="s">
        <v>675</v>
      </c>
      <c r="C1877" s="458" t="s">
        <v>8225</v>
      </c>
      <c r="D1877" s="510" t="s">
        <v>8226</v>
      </c>
      <c r="E1877" s="498">
        <f t="shared" si="128"/>
        <v>20</v>
      </c>
      <c r="F1877" s="653">
        <v>0</v>
      </c>
      <c r="G1877" s="653">
        <v>20</v>
      </c>
      <c r="H1877" s="653">
        <v>0</v>
      </c>
      <c r="I1877" s="655">
        <f t="shared" si="129"/>
        <v>20</v>
      </c>
      <c r="J1877" s="655">
        <v>0</v>
      </c>
      <c r="K1877" s="655">
        <v>20</v>
      </c>
      <c r="L1877" s="710">
        <v>0</v>
      </c>
      <c r="M1877" s="963">
        <v>1</v>
      </c>
      <c r="N1877" s="653">
        <v>0</v>
      </c>
      <c r="O1877" s="725" t="s">
        <v>8227</v>
      </c>
      <c r="P1877" s="498">
        <v>0</v>
      </c>
      <c r="Q1877" s="852">
        <v>0</v>
      </c>
      <c r="R1877" s="852">
        <v>0</v>
      </c>
      <c r="S1877" s="852">
        <v>0</v>
      </c>
      <c r="T1877" s="852">
        <v>0</v>
      </c>
      <c r="U1877" s="498" t="s">
        <v>8228</v>
      </c>
      <c r="V1877" s="498" t="s">
        <v>8229</v>
      </c>
      <c r="W1877" s="498">
        <v>278</v>
      </c>
      <c r="X1877" s="463" t="s">
        <v>1862</v>
      </c>
      <c r="Y1877" s="498" t="s">
        <v>3399</v>
      </c>
      <c r="Z1877" s="498"/>
      <c r="AA1877" s="463" t="s">
        <v>1770</v>
      </c>
      <c r="AB1877" s="459" t="s">
        <v>1770</v>
      </c>
    </row>
    <row r="1878" spans="1:28" ht="24" customHeight="1">
      <c r="A1878" s="584"/>
      <c r="B1878" s="460" t="s">
        <v>675</v>
      </c>
      <c r="C1878" s="458" t="s">
        <v>8230</v>
      </c>
      <c r="D1878" s="510" t="s">
        <v>8231</v>
      </c>
      <c r="E1878" s="498">
        <f t="shared" si="128"/>
        <v>25</v>
      </c>
      <c r="F1878" s="653">
        <v>0</v>
      </c>
      <c r="G1878" s="653">
        <v>0</v>
      </c>
      <c r="H1878" s="653">
        <v>25</v>
      </c>
      <c r="I1878" s="655">
        <f t="shared" si="129"/>
        <v>25</v>
      </c>
      <c r="J1878" s="655">
        <v>0</v>
      </c>
      <c r="K1878" s="655">
        <v>0</v>
      </c>
      <c r="L1878" s="710">
        <v>25</v>
      </c>
      <c r="M1878" s="963">
        <v>1</v>
      </c>
      <c r="N1878" s="653">
        <v>0</v>
      </c>
      <c r="O1878" s="725" t="s">
        <v>8232</v>
      </c>
      <c r="P1878" s="498">
        <v>0</v>
      </c>
      <c r="Q1878" s="852">
        <v>0</v>
      </c>
      <c r="R1878" s="852">
        <v>0</v>
      </c>
      <c r="S1878" s="852">
        <v>0</v>
      </c>
      <c r="T1878" s="852">
        <v>0</v>
      </c>
      <c r="U1878" s="498" t="s">
        <v>8228</v>
      </c>
      <c r="V1878" s="498" t="s">
        <v>8233</v>
      </c>
      <c r="W1878" s="498">
        <v>208</v>
      </c>
      <c r="X1878" s="463" t="s">
        <v>1862</v>
      </c>
      <c r="Y1878" s="498" t="s">
        <v>3399</v>
      </c>
      <c r="Z1878" s="498"/>
      <c r="AA1878" s="463" t="s">
        <v>1770</v>
      </c>
      <c r="AB1878" s="459" t="s">
        <v>1770</v>
      </c>
    </row>
    <row r="1879" spans="1:28" ht="24" customHeight="1">
      <c r="A1879" s="584"/>
      <c r="B1879" s="460" t="s">
        <v>675</v>
      </c>
      <c r="C1879" s="458" t="s">
        <v>4406</v>
      </c>
      <c r="D1879" s="510" t="s">
        <v>8234</v>
      </c>
      <c r="E1879" s="498">
        <f t="shared" si="128"/>
        <v>45</v>
      </c>
      <c r="F1879" s="653">
        <v>0</v>
      </c>
      <c r="G1879" s="653">
        <v>0</v>
      </c>
      <c r="H1879" s="653">
        <v>45</v>
      </c>
      <c r="I1879" s="655">
        <f t="shared" si="129"/>
        <v>45</v>
      </c>
      <c r="J1879" s="655">
        <v>0</v>
      </c>
      <c r="K1879" s="655">
        <v>0</v>
      </c>
      <c r="L1879" s="710">
        <v>45</v>
      </c>
      <c r="M1879" s="963">
        <v>1</v>
      </c>
      <c r="N1879" s="653">
        <v>0</v>
      </c>
      <c r="O1879" s="725" t="s">
        <v>8235</v>
      </c>
      <c r="P1879" s="498">
        <v>0</v>
      </c>
      <c r="Q1879" s="852">
        <v>0</v>
      </c>
      <c r="R1879" s="852">
        <v>0</v>
      </c>
      <c r="S1879" s="852">
        <v>0</v>
      </c>
      <c r="T1879" s="852">
        <v>0</v>
      </c>
      <c r="U1879" s="498" t="s">
        <v>8228</v>
      </c>
      <c r="V1879" s="498" t="s">
        <v>8236</v>
      </c>
      <c r="W1879" s="498">
        <v>310</v>
      </c>
      <c r="X1879" s="463" t="s">
        <v>1862</v>
      </c>
      <c r="Y1879" s="498" t="s">
        <v>8237</v>
      </c>
      <c r="Z1879" s="498"/>
      <c r="AA1879" s="463" t="s">
        <v>1770</v>
      </c>
      <c r="AB1879" s="459" t="s">
        <v>1770</v>
      </c>
    </row>
    <row r="1880" spans="1:28" ht="24" customHeight="1">
      <c r="A1880" s="584"/>
      <c r="B1880" s="460" t="s">
        <v>675</v>
      </c>
      <c r="C1880" s="458" t="s">
        <v>8238</v>
      </c>
      <c r="D1880" s="510" t="s">
        <v>8239</v>
      </c>
      <c r="E1880" s="498">
        <f t="shared" si="128"/>
        <v>330</v>
      </c>
      <c r="F1880" s="653">
        <v>0</v>
      </c>
      <c r="G1880" s="653">
        <v>0</v>
      </c>
      <c r="H1880" s="653">
        <v>330</v>
      </c>
      <c r="I1880" s="655">
        <f t="shared" si="129"/>
        <v>330</v>
      </c>
      <c r="J1880" s="655">
        <v>0</v>
      </c>
      <c r="K1880" s="655">
        <v>0</v>
      </c>
      <c r="L1880" s="710">
        <v>330</v>
      </c>
      <c r="M1880" s="963">
        <v>1</v>
      </c>
      <c r="N1880" s="653">
        <v>0</v>
      </c>
      <c r="O1880" s="725" t="s">
        <v>8235</v>
      </c>
      <c r="P1880" s="498">
        <v>0</v>
      </c>
      <c r="Q1880" s="852">
        <v>0</v>
      </c>
      <c r="R1880" s="852">
        <v>0</v>
      </c>
      <c r="S1880" s="852">
        <v>0</v>
      </c>
      <c r="T1880" s="852">
        <v>0</v>
      </c>
      <c r="U1880" s="498" t="s">
        <v>8228</v>
      </c>
      <c r="V1880" s="498" t="s">
        <v>8236</v>
      </c>
      <c r="W1880" s="498">
        <v>434</v>
      </c>
      <c r="X1880" s="463" t="s">
        <v>1862</v>
      </c>
      <c r="Y1880" s="498" t="s">
        <v>3399</v>
      </c>
      <c r="Z1880" s="498"/>
      <c r="AA1880" s="463" t="s">
        <v>1770</v>
      </c>
      <c r="AB1880" s="459" t="s">
        <v>1770</v>
      </c>
    </row>
    <row r="1881" spans="1:28" ht="24" customHeight="1">
      <c r="A1881" s="584"/>
      <c r="B1881" s="460" t="s">
        <v>675</v>
      </c>
      <c r="C1881" s="458" t="s">
        <v>8240</v>
      </c>
      <c r="D1881" s="510" t="s">
        <v>8241</v>
      </c>
      <c r="E1881" s="498">
        <f t="shared" si="128"/>
        <v>80</v>
      </c>
      <c r="F1881" s="653">
        <v>0</v>
      </c>
      <c r="G1881" s="653">
        <v>0</v>
      </c>
      <c r="H1881" s="653">
        <v>80</v>
      </c>
      <c r="I1881" s="655">
        <f t="shared" si="129"/>
        <v>80</v>
      </c>
      <c r="J1881" s="655">
        <v>0</v>
      </c>
      <c r="K1881" s="655">
        <v>0</v>
      </c>
      <c r="L1881" s="710">
        <v>80</v>
      </c>
      <c r="M1881" s="963">
        <v>1</v>
      </c>
      <c r="N1881" s="653">
        <v>0</v>
      </c>
      <c r="O1881" s="725" t="s">
        <v>2967</v>
      </c>
      <c r="P1881" s="498">
        <v>0</v>
      </c>
      <c r="Q1881" s="852">
        <v>0</v>
      </c>
      <c r="R1881" s="852">
        <v>0</v>
      </c>
      <c r="S1881" s="852">
        <v>0</v>
      </c>
      <c r="T1881" s="852">
        <v>0</v>
      </c>
      <c r="U1881" s="498" t="s">
        <v>8228</v>
      </c>
      <c r="V1881" s="498" t="s">
        <v>8242</v>
      </c>
      <c r="W1881" s="498">
        <v>344</v>
      </c>
      <c r="X1881" s="463" t="s">
        <v>1862</v>
      </c>
      <c r="Y1881" s="498" t="s">
        <v>8237</v>
      </c>
      <c r="Z1881" s="498"/>
      <c r="AA1881" s="463" t="s">
        <v>1770</v>
      </c>
      <c r="AB1881" s="459" t="s">
        <v>1770</v>
      </c>
    </row>
    <row r="1882" spans="1:28" ht="24" customHeight="1">
      <c r="A1882" s="584"/>
      <c r="B1882" s="460" t="s">
        <v>675</v>
      </c>
      <c r="C1882" s="458" t="s">
        <v>8243</v>
      </c>
      <c r="D1882" s="510" t="s">
        <v>8244</v>
      </c>
      <c r="E1882" s="498">
        <f t="shared" si="128"/>
        <v>45</v>
      </c>
      <c r="F1882" s="653">
        <v>0</v>
      </c>
      <c r="G1882" s="653">
        <v>0</v>
      </c>
      <c r="H1882" s="653">
        <v>45</v>
      </c>
      <c r="I1882" s="655">
        <f t="shared" si="129"/>
        <v>45</v>
      </c>
      <c r="J1882" s="655">
        <v>0</v>
      </c>
      <c r="K1882" s="655">
        <v>0</v>
      </c>
      <c r="L1882" s="710">
        <v>45</v>
      </c>
      <c r="M1882" s="963">
        <v>1</v>
      </c>
      <c r="N1882" s="653">
        <v>0</v>
      </c>
      <c r="O1882" s="725" t="s">
        <v>8245</v>
      </c>
      <c r="P1882" s="498">
        <v>0</v>
      </c>
      <c r="Q1882" s="852">
        <v>0</v>
      </c>
      <c r="R1882" s="852">
        <v>0</v>
      </c>
      <c r="S1882" s="852">
        <v>0</v>
      </c>
      <c r="T1882" s="852">
        <v>0</v>
      </c>
      <c r="U1882" s="498" t="s">
        <v>8228</v>
      </c>
      <c r="V1882" s="498" t="s">
        <v>8246</v>
      </c>
      <c r="W1882" s="498">
        <v>319</v>
      </c>
      <c r="X1882" s="463" t="s">
        <v>1862</v>
      </c>
      <c r="Y1882" s="498" t="s">
        <v>3399</v>
      </c>
      <c r="Z1882" s="498"/>
      <c r="AA1882" s="463" t="s">
        <v>1770</v>
      </c>
      <c r="AB1882" s="459" t="s">
        <v>1770</v>
      </c>
    </row>
    <row r="1883" spans="1:28" ht="24" customHeight="1">
      <c r="A1883" s="584"/>
      <c r="B1883" s="460" t="s">
        <v>675</v>
      </c>
      <c r="C1883" s="458" t="s">
        <v>8247</v>
      </c>
      <c r="D1883" s="510" t="s">
        <v>8248</v>
      </c>
      <c r="E1883" s="498">
        <f t="shared" si="128"/>
        <v>65</v>
      </c>
      <c r="F1883" s="653">
        <v>0</v>
      </c>
      <c r="G1883" s="653">
        <v>0</v>
      </c>
      <c r="H1883" s="653">
        <v>65</v>
      </c>
      <c r="I1883" s="655">
        <f t="shared" si="129"/>
        <v>65</v>
      </c>
      <c r="J1883" s="655">
        <v>0</v>
      </c>
      <c r="K1883" s="655">
        <v>0</v>
      </c>
      <c r="L1883" s="710">
        <v>65</v>
      </c>
      <c r="M1883" s="963">
        <v>1</v>
      </c>
      <c r="N1883" s="653">
        <v>0</v>
      </c>
      <c r="O1883" s="725" t="s">
        <v>8220</v>
      </c>
      <c r="P1883" s="498">
        <v>0</v>
      </c>
      <c r="Q1883" s="852">
        <v>0</v>
      </c>
      <c r="R1883" s="852">
        <v>0</v>
      </c>
      <c r="S1883" s="852">
        <v>0</v>
      </c>
      <c r="T1883" s="852">
        <v>0</v>
      </c>
      <c r="U1883" s="498" t="s">
        <v>8228</v>
      </c>
      <c r="V1883" s="498" t="s">
        <v>8249</v>
      </c>
      <c r="W1883" s="498">
        <v>223</v>
      </c>
      <c r="X1883" s="463" t="s">
        <v>1862</v>
      </c>
      <c r="Y1883" s="498" t="s">
        <v>8237</v>
      </c>
      <c r="Z1883" s="498"/>
      <c r="AA1883" s="463" t="s">
        <v>1770</v>
      </c>
      <c r="AB1883" s="459" t="s">
        <v>1770</v>
      </c>
    </row>
    <row r="1884" spans="1:28" ht="24" customHeight="1">
      <c r="A1884" s="584"/>
      <c r="B1884" s="460" t="s">
        <v>675</v>
      </c>
      <c r="C1884" s="458" t="s">
        <v>8250</v>
      </c>
      <c r="D1884" s="510" t="s">
        <v>8251</v>
      </c>
      <c r="E1884" s="498">
        <f t="shared" si="128"/>
        <v>240</v>
      </c>
      <c r="F1884" s="653">
        <v>0</v>
      </c>
      <c r="G1884" s="653">
        <v>0</v>
      </c>
      <c r="H1884" s="653">
        <v>240</v>
      </c>
      <c r="I1884" s="655">
        <f t="shared" si="129"/>
        <v>240</v>
      </c>
      <c r="J1884" s="655">
        <v>0</v>
      </c>
      <c r="K1884" s="655">
        <v>0</v>
      </c>
      <c r="L1884" s="710">
        <v>240</v>
      </c>
      <c r="M1884" s="963">
        <v>1</v>
      </c>
      <c r="N1884" s="653">
        <v>0</v>
      </c>
      <c r="O1884" s="725" t="s">
        <v>8220</v>
      </c>
      <c r="P1884" s="498">
        <v>0</v>
      </c>
      <c r="Q1884" s="852">
        <v>0</v>
      </c>
      <c r="R1884" s="852">
        <v>0</v>
      </c>
      <c r="S1884" s="852">
        <v>0</v>
      </c>
      <c r="T1884" s="852">
        <v>0</v>
      </c>
      <c r="U1884" s="498" t="s">
        <v>8228</v>
      </c>
      <c r="V1884" s="498" t="s">
        <v>8252</v>
      </c>
      <c r="W1884" s="498">
        <v>875</v>
      </c>
      <c r="X1884" s="463" t="s">
        <v>1862</v>
      </c>
      <c r="Y1884" s="575">
        <v>0</v>
      </c>
      <c r="Z1884" s="498"/>
      <c r="AA1884" s="463" t="s">
        <v>1770</v>
      </c>
      <c r="AB1884" s="459" t="s">
        <v>1770</v>
      </c>
    </row>
    <row r="1885" spans="1:28" ht="24" customHeight="1">
      <c r="A1885" s="584"/>
      <c r="B1885" s="460" t="s">
        <v>675</v>
      </c>
      <c r="C1885" s="458" t="s">
        <v>8253</v>
      </c>
      <c r="D1885" s="510" t="s">
        <v>8254</v>
      </c>
      <c r="E1885" s="498">
        <f t="shared" si="128"/>
        <v>70</v>
      </c>
      <c r="F1885" s="653">
        <v>0</v>
      </c>
      <c r="G1885" s="653">
        <v>70</v>
      </c>
      <c r="H1885" s="653">
        <v>0</v>
      </c>
      <c r="I1885" s="655">
        <f t="shared" si="129"/>
        <v>70</v>
      </c>
      <c r="J1885" s="655">
        <v>0</v>
      </c>
      <c r="K1885" s="655">
        <v>70</v>
      </c>
      <c r="L1885" s="710">
        <v>0</v>
      </c>
      <c r="M1885" s="963">
        <v>1</v>
      </c>
      <c r="N1885" s="653">
        <v>0</v>
      </c>
      <c r="O1885" s="725" t="s">
        <v>6980</v>
      </c>
      <c r="P1885" s="498">
        <v>0</v>
      </c>
      <c r="Q1885" s="852">
        <v>0</v>
      </c>
      <c r="R1885" s="852">
        <v>0</v>
      </c>
      <c r="S1885" s="852">
        <v>0</v>
      </c>
      <c r="T1885" s="852">
        <v>0</v>
      </c>
      <c r="U1885" s="498" t="s">
        <v>8228</v>
      </c>
      <c r="V1885" s="498" t="s">
        <v>8255</v>
      </c>
      <c r="W1885" s="498">
        <v>325</v>
      </c>
      <c r="X1885" s="463" t="s">
        <v>1862</v>
      </c>
      <c r="Y1885" s="575">
        <v>0</v>
      </c>
      <c r="Z1885" s="498"/>
      <c r="AA1885" s="463" t="s">
        <v>1770</v>
      </c>
      <c r="AB1885" s="459" t="s">
        <v>1770</v>
      </c>
    </row>
    <row r="1886" spans="1:28" ht="24" customHeight="1">
      <c r="A1886" s="584"/>
      <c r="B1886" s="460" t="s">
        <v>675</v>
      </c>
      <c r="C1886" s="458" t="s">
        <v>8256</v>
      </c>
      <c r="D1886" s="510" t="s">
        <v>8257</v>
      </c>
      <c r="E1886" s="498">
        <f t="shared" si="128"/>
        <v>200</v>
      </c>
      <c r="F1886" s="653">
        <v>0</v>
      </c>
      <c r="G1886" s="653">
        <v>0</v>
      </c>
      <c r="H1886" s="653">
        <v>200</v>
      </c>
      <c r="I1886" s="655">
        <f t="shared" si="129"/>
        <v>200</v>
      </c>
      <c r="J1886" s="655">
        <v>0</v>
      </c>
      <c r="K1886" s="655">
        <v>0</v>
      </c>
      <c r="L1886" s="710">
        <v>200</v>
      </c>
      <c r="M1886" s="963">
        <v>1</v>
      </c>
      <c r="N1886" s="653">
        <v>0</v>
      </c>
      <c r="O1886" s="725" t="s">
        <v>8235</v>
      </c>
      <c r="P1886" s="498">
        <v>0</v>
      </c>
      <c r="Q1886" s="852">
        <v>0</v>
      </c>
      <c r="R1886" s="852">
        <v>0</v>
      </c>
      <c r="S1886" s="852">
        <v>0</v>
      </c>
      <c r="T1886" s="852">
        <v>0</v>
      </c>
      <c r="U1886" s="498" t="s">
        <v>8228</v>
      </c>
      <c r="V1886" s="498" t="s">
        <v>8258</v>
      </c>
      <c r="W1886" s="498">
        <v>599</v>
      </c>
      <c r="X1886" s="463" t="s">
        <v>1862</v>
      </c>
      <c r="Y1886" s="498" t="s">
        <v>8237</v>
      </c>
      <c r="Z1886" s="498"/>
      <c r="AA1886" s="463" t="s">
        <v>1770</v>
      </c>
      <c r="AB1886" s="459" t="s">
        <v>1770</v>
      </c>
    </row>
    <row r="1887" spans="1:28" ht="24" customHeight="1">
      <c r="A1887" s="584"/>
      <c r="B1887" s="460" t="s">
        <v>675</v>
      </c>
      <c r="C1887" s="458" t="s">
        <v>8259</v>
      </c>
      <c r="D1887" s="510" t="s">
        <v>8260</v>
      </c>
      <c r="E1887" s="498">
        <f t="shared" si="128"/>
        <v>25</v>
      </c>
      <c r="F1887" s="653">
        <v>0</v>
      </c>
      <c r="G1887" s="653">
        <v>0</v>
      </c>
      <c r="H1887" s="653">
        <v>25</v>
      </c>
      <c r="I1887" s="655">
        <f t="shared" si="129"/>
        <v>25</v>
      </c>
      <c r="J1887" s="655">
        <v>0</v>
      </c>
      <c r="K1887" s="655">
        <v>0</v>
      </c>
      <c r="L1887" s="710">
        <v>25</v>
      </c>
      <c r="M1887" s="963">
        <v>1</v>
      </c>
      <c r="N1887" s="653">
        <v>0</v>
      </c>
      <c r="O1887" s="725" t="s">
        <v>8232</v>
      </c>
      <c r="P1887" s="498">
        <v>0</v>
      </c>
      <c r="Q1887" s="852">
        <v>0</v>
      </c>
      <c r="R1887" s="852">
        <v>0</v>
      </c>
      <c r="S1887" s="852">
        <v>0</v>
      </c>
      <c r="T1887" s="852">
        <v>0</v>
      </c>
      <c r="U1887" s="498" t="s">
        <v>8228</v>
      </c>
      <c r="V1887" s="498" t="s">
        <v>8233</v>
      </c>
      <c r="W1887" s="498">
        <v>225</v>
      </c>
      <c r="X1887" s="463" t="s">
        <v>1862</v>
      </c>
      <c r="Y1887" s="498" t="s">
        <v>3399</v>
      </c>
      <c r="Z1887" s="498"/>
      <c r="AA1887" s="463" t="s">
        <v>1770</v>
      </c>
      <c r="AB1887" s="459" t="s">
        <v>1770</v>
      </c>
    </row>
    <row r="1888" spans="1:28" ht="24" customHeight="1">
      <c r="A1888" s="584"/>
      <c r="B1888" s="460" t="s">
        <v>675</v>
      </c>
      <c r="C1888" s="458" t="s">
        <v>8261</v>
      </c>
      <c r="D1888" s="510" t="s">
        <v>8262</v>
      </c>
      <c r="E1888" s="498">
        <f t="shared" si="128"/>
        <v>30</v>
      </c>
      <c r="F1888" s="653">
        <v>0</v>
      </c>
      <c r="G1888" s="653">
        <v>30</v>
      </c>
      <c r="H1888" s="653">
        <v>0</v>
      </c>
      <c r="I1888" s="655">
        <f t="shared" si="129"/>
        <v>30</v>
      </c>
      <c r="J1888" s="655">
        <v>0</v>
      </c>
      <c r="K1888" s="655">
        <v>30</v>
      </c>
      <c r="L1888" s="710">
        <v>0</v>
      </c>
      <c r="M1888" s="963">
        <v>1</v>
      </c>
      <c r="N1888" s="653">
        <v>0</v>
      </c>
      <c r="O1888" s="725" t="s">
        <v>6980</v>
      </c>
      <c r="P1888" s="498">
        <v>0</v>
      </c>
      <c r="Q1888" s="852">
        <v>0</v>
      </c>
      <c r="R1888" s="852">
        <v>0</v>
      </c>
      <c r="S1888" s="852">
        <v>0</v>
      </c>
      <c r="T1888" s="852">
        <v>0</v>
      </c>
      <c r="U1888" s="498" t="s">
        <v>8228</v>
      </c>
      <c r="V1888" s="498" t="s">
        <v>8263</v>
      </c>
      <c r="W1888" s="498">
        <v>310</v>
      </c>
      <c r="X1888" s="463" t="s">
        <v>1862</v>
      </c>
      <c r="Y1888" s="575">
        <v>0</v>
      </c>
      <c r="Z1888" s="498"/>
      <c r="AA1888" s="463" t="s">
        <v>1770</v>
      </c>
      <c r="AB1888" s="459" t="s">
        <v>1770</v>
      </c>
    </row>
    <row r="1889" spans="1:28" ht="24" customHeight="1">
      <c r="A1889" s="584"/>
      <c r="B1889" s="460" t="s">
        <v>675</v>
      </c>
      <c r="C1889" s="458" t="s">
        <v>8264</v>
      </c>
      <c r="D1889" s="510" t="s">
        <v>8265</v>
      </c>
      <c r="E1889" s="498">
        <f t="shared" si="128"/>
        <v>45</v>
      </c>
      <c r="F1889" s="653">
        <v>0</v>
      </c>
      <c r="G1889" s="653">
        <v>0</v>
      </c>
      <c r="H1889" s="653">
        <v>45</v>
      </c>
      <c r="I1889" s="655">
        <f t="shared" si="129"/>
        <v>45</v>
      </c>
      <c r="J1889" s="655">
        <v>0</v>
      </c>
      <c r="K1889" s="655">
        <v>0</v>
      </c>
      <c r="L1889" s="710">
        <v>45</v>
      </c>
      <c r="M1889" s="963">
        <v>1</v>
      </c>
      <c r="N1889" s="653">
        <v>0</v>
      </c>
      <c r="O1889" s="725" t="s">
        <v>8235</v>
      </c>
      <c r="P1889" s="498">
        <v>0</v>
      </c>
      <c r="Q1889" s="852">
        <v>0</v>
      </c>
      <c r="R1889" s="852">
        <v>0</v>
      </c>
      <c r="S1889" s="852">
        <v>0</v>
      </c>
      <c r="T1889" s="852">
        <v>0</v>
      </c>
      <c r="U1889" s="498" t="s">
        <v>8228</v>
      </c>
      <c r="V1889" s="498" t="s">
        <v>8266</v>
      </c>
      <c r="W1889" s="498">
        <v>302</v>
      </c>
      <c r="X1889" s="463" t="s">
        <v>1862</v>
      </c>
      <c r="Y1889" s="575">
        <v>0</v>
      </c>
      <c r="Z1889" s="498"/>
      <c r="AA1889" s="463" t="s">
        <v>1770</v>
      </c>
      <c r="AB1889" s="459" t="s">
        <v>1770</v>
      </c>
    </row>
    <row r="1890" spans="1:28" ht="24" customHeight="1">
      <c r="A1890" s="584"/>
      <c r="B1890" s="460" t="s">
        <v>675</v>
      </c>
      <c r="C1890" s="458" t="s">
        <v>8267</v>
      </c>
      <c r="D1890" s="510" t="s">
        <v>8268</v>
      </c>
      <c r="E1890" s="498">
        <f t="shared" si="128"/>
        <v>50</v>
      </c>
      <c r="F1890" s="653">
        <v>0</v>
      </c>
      <c r="G1890" s="653">
        <v>50</v>
      </c>
      <c r="H1890" s="653">
        <v>0</v>
      </c>
      <c r="I1890" s="655">
        <f t="shared" si="129"/>
        <v>50</v>
      </c>
      <c r="J1890" s="655">
        <v>0</v>
      </c>
      <c r="K1890" s="655">
        <v>50</v>
      </c>
      <c r="L1890" s="710">
        <v>0</v>
      </c>
      <c r="M1890" s="963">
        <v>1</v>
      </c>
      <c r="N1890" s="653">
        <v>0</v>
      </c>
      <c r="O1890" s="725" t="s">
        <v>8269</v>
      </c>
      <c r="P1890" s="498">
        <v>0</v>
      </c>
      <c r="Q1890" s="852">
        <v>0</v>
      </c>
      <c r="R1890" s="852">
        <v>0</v>
      </c>
      <c r="S1890" s="852">
        <v>0</v>
      </c>
      <c r="T1890" s="852">
        <v>0</v>
      </c>
      <c r="U1890" s="498" t="s">
        <v>8228</v>
      </c>
      <c r="V1890" s="498" t="s">
        <v>8263</v>
      </c>
      <c r="W1890" s="498">
        <v>259</v>
      </c>
      <c r="X1890" s="463" t="s">
        <v>1862</v>
      </c>
      <c r="Y1890" s="575">
        <v>0</v>
      </c>
      <c r="Z1890" s="498"/>
      <c r="AA1890" s="463" t="s">
        <v>1770</v>
      </c>
      <c r="AB1890" s="459" t="s">
        <v>1770</v>
      </c>
    </row>
    <row r="1891" spans="1:28" ht="24" customHeight="1">
      <c r="A1891" s="584"/>
      <c r="B1891" s="460" t="s">
        <v>675</v>
      </c>
      <c r="C1891" s="458" t="s">
        <v>8270</v>
      </c>
      <c r="D1891" s="510" t="s">
        <v>8271</v>
      </c>
      <c r="E1891" s="498">
        <f t="shared" si="128"/>
        <v>40</v>
      </c>
      <c r="F1891" s="653">
        <v>0</v>
      </c>
      <c r="G1891" s="653">
        <v>0</v>
      </c>
      <c r="H1891" s="653">
        <v>40</v>
      </c>
      <c r="I1891" s="655">
        <f t="shared" si="129"/>
        <v>40</v>
      </c>
      <c r="J1891" s="655">
        <v>0</v>
      </c>
      <c r="K1891" s="655">
        <v>0</v>
      </c>
      <c r="L1891" s="710">
        <v>40</v>
      </c>
      <c r="M1891" s="963">
        <v>1</v>
      </c>
      <c r="N1891" s="653">
        <v>0</v>
      </c>
      <c r="O1891" s="725" t="s">
        <v>8245</v>
      </c>
      <c r="P1891" s="498">
        <v>0</v>
      </c>
      <c r="Q1891" s="852">
        <v>0</v>
      </c>
      <c r="R1891" s="852">
        <v>0</v>
      </c>
      <c r="S1891" s="852">
        <v>0</v>
      </c>
      <c r="T1891" s="852">
        <v>0</v>
      </c>
      <c r="U1891" s="498" t="s">
        <v>8228</v>
      </c>
      <c r="V1891" s="498" t="s">
        <v>8266</v>
      </c>
      <c r="W1891" s="498">
        <v>366</v>
      </c>
      <c r="X1891" s="463" t="s">
        <v>1862</v>
      </c>
      <c r="Y1891" s="498" t="s">
        <v>8237</v>
      </c>
      <c r="Z1891" s="498"/>
      <c r="AA1891" s="463" t="s">
        <v>1770</v>
      </c>
      <c r="AB1891" s="459" t="s">
        <v>1770</v>
      </c>
    </row>
    <row r="1892" spans="1:28" ht="24" customHeight="1">
      <c r="A1892" s="584"/>
      <c r="B1892" s="460" t="s">
        <v>675</v>
      </c>
      <c r="C1892" s="458" t="s">
        <v>8272</v>
      </c>
      <c r="D1892" s="510" t="s">
        <v>8273</v>
      </c>
      <c r="E1892" s="498">
        <f t="shared" si="128"/>
        <v>45</v>
      </c>
      <c r="F1892" s="653">
        <v>0</v>
      </c>
      <c r="G1892" s="653">
        <v>0</v>
      </c>
      <c r="H1892" s="653">
        <v>45</v>
      </c>
      <c r="I1892" s="655">
        <f t="shared" si="129"/>
        <v>45</v>
      </c>
      <c r="J1892" s="655">
        <v>0</v>
      </c>
      <c r="K1892" s="655">
        <v>0</v>
      </c>
      <c r="L1892" s="710">
        <v>45</v>
      </c>
      <c r="M1892" s="963">
        <v>1</v>
      </c>
      <c r="N1892" s="653">
        <v>0</v>
      </c>
      <c r="O1892" s="725" t="s">
        <v>2967</v>
      </c>
      <c r="P1892" s="498">
        <v>0</v>
      </c>
      <c r="Q1892" s="852">
        <v>0</v>
      </c>
      <c r="R1892" s="852">
        <v>0</v>
      </c>
      <c r="S1892" s="852">
        <v>0</v>
      </c>
      <c r="T1892" s="852">
        <v>0</v>
      </c>
      <c r="U1892" s="498" t="s">
        <v>8228</v>
      </c>
      <c r="V1892" s="498" t="s">
        <v>8266</v>
      </c>
      <c r="W1892" s="498">
        <v>138</v>
      </c>
      <c r="X1892" s="463" t="s">
        <v>1862</v>
      </c>
      <c r="Y1892" s="575">
        <v>0</v>
      </c>
      <c r="Z1892" s="498"/>
      <c r="AA1892" s="463" t="s">
        <v>1770</v>
      </c>
      <c r="AB1892" s="459" t="s">
        <v>1770</v>
      </c>
    </row>
    <row r="1893" spans="1:28" ht="24" customHeight="1">
      <c r="A1893" s="584"/>
      <c r="B1893" s="460" t="s">
        <v>675</v>
      </c>
      <c r="C1893" s="458" t="s">
        <v>8274</v>
      </c>
      <c r="D1893" s="510" t="s">
        <v>8275</v>
      </c>
      <c r="E1893" s="498">
        <f t="shared" si="128"/>
        <v>45</v>
      </c>
      <c r="F1893" s="653">
        <v>0</v>
      </c>
      <c r="G1893" s="653">
        <v>45</v>
      </c>
      <c r="H1893" s="653">
        <v>0</v>
      </c>
      <c r="I1893" s="655">
        <f t="shared" si="129"/>
        <v>45</v>
      </c>
      <c r="J1893" s="655">
        <v>0</v>
      </c>
      <c r="K1893" s="655">
        <v>45</v>
      </c>
      <c r="L1893" s="710">
        <v>0</v>
      </c>
      <c r="M1893" s="963">
        <v>1</v>
      </c>
      <c r="N1893" s="653">
        <v>0</v>
      </c>
      <c r="O1893" s="725" t="s">
        <v>6980</v>
      </c>
      <c r="P1893" s="498">
        <v>0</v>
      </c>
      <c r="Q1893" s="852">
        <v>0</v>
      </c>
      <c r="R1893" s="852">
        <v>0</v>
      </c>
      <c r="S1893" s="852">
        <v>0</v>
      </c>
      <c r="T1893" s="852">
        <v>0</v>
      </c>
      <c r="U1893" s="498" t="s">
        <v>8228</v>
      </c>
      <c r="V1893" s="498" t="s">
        <v>8276</v>
      </c>
      <c r="W1893" s="498">
        <v>334</v>
      </c>
      <c r="X1893" s="463" t="s">
        <v>1862</v>
      </c>
      <c r="Y1893" s="575">
        <v>0</v>
      </c>
      <c r="Z1893" s="498"/>
      <c r="AA1893" s="463" t="s">
        <v>1770</v>
      </c>
      <c r="AB1893" s="459" t="s">
        <v>1770</v>
      </c>
    </row>
    <row r="1894" spans="1:28" ht="24" customHeight="1">
      <c r="A1894" s="584"/>
      <c r="B1894" s="460" t="s">
        <v>675</v>
      </c>
      <c r="C1894" s="458" t="s">
        <v>8277</v>
      </c>
      <c r="D1894" s="510" t="s">
        <v>8278</v>
      </c>
      <c r="E1894" s="498">
        <f t="shared" si="128"/>
        <v>45</v>
      </c>
      <c r="F1894" s="653">
        <v>0</v>
      </c>
      <c r="G1894" s="653">
        <v>0</v>
      </c>
      <c r="H1894" s="653">
        <v>45</v>
      </c>
      <c r="I1894" s="655">
        <f t="shared" si="129"/>
        <v>45</v>
      </c>
      <c r="J1894" s="655">
        <v>0</v>
      </c>
      <c r="K1894" s="655">
        <v>0</v>
      </c>
      <c r="L1894" s="710">
        <v>45</v>
      </c>
      <c r="M1894" s="963">
        <v>1</v>
      </c>
      <c r="N1894" s="653">
        <v>0</v>
      </c>
      <c r="O1894" s="725" t="s">
        <v>8235</v>
      </c>
      <c r="P1894" s="498">
        <v>0</v>
      </c>
      <c r="Q1894" s="852">
        <v>0</v>
      </c>
      <c r="R1894" s="852">
        <v>0</v>
      </c>
      <c r="S1894" s="852">
        <v>0</v>
      </c>
      <c r="T1894" s="852">
        <v>0</v>
      </c>
      <c r="U1894" s="498" t="s">
        <v>8228</v>
      </c>
      <c r="V1894" s="498" t="s">
        <v>8279</v>
      </c>
      <c r="W1894" s="498">
        <v>374</v>
      </c>
      <c r="X1894" s="463" t="s">
        <v>1862</v>
      </c>
      <c r="Y1894" s="575">
        <v>0</v>
      </c>
      <c r="Z1894" s="498"/>
      <c r="AA1894" s="463" t="s">
        <v>1770</v>
      </c>
      <c r="AB1894" s="459" t="s">
        <v>1770</v>
      </c>
    </row>
    <row r="1895" spans="1:28" ht="24" customHeight="1">
      <c r="A1895" s="584"/>
      <c r="B1895" s="460" t="s">
        <v>675</v>
      </c>
      <c r="C1895" s="458" t="s">
        <v>8280</v>
      </c>
      <c r="D1895" s="510" t="s">
        <v>8281</v>
      </c>
      <c r="E1895" s="498">
        <f t="shared" si="128"/>
        <v>490</v>
      </c>
      <c r="F1895" s="653">
        <v>0</v>
      </c>
      <c r="G1895" s="653">
        <v>0</v>
      </c>
      <c r="H1895" s="653">
        <v>490</v>
      </c>
      <c r="I1895" s="655">
        <f t="shared" si="129"/>
        <v>490</v>
      </c>
      <c r="J1895" s="655">
        <v>0</v>
      </c>
      <c r="K1895" s="655">
        <v>0</v>
      </c>
      <c r="L1895" s="710">
        <v>490</v>
      </c>
      <c r="M1895" s="963">
        <v>1</v>
      </c>
      <c r="N1895" s="653">
        <v>0</v>
      </c>
      <c r="O1895" s="725" t="s">
        <v>8220</v>
      </c>
      <c r="P1895" s="498">
        <v>0</v>
      </c>
      <c r="Q1895" s="852">
        <v>0</v>
      </c>
      <c r="R1895" s="852">
        <v>0</v>
      </c>
      <c r="S1895" s="852">
        <v>0</v>
      </c>
      <c r="T1895" s="852">
        <v>0</v>
      </c>
      <c r="U1895" s="498" t="s">
        <v>8228</v>
      </c>
      <c r="V1895" s="498" t="s">
        <v>8282</v>
      </c>
      <c r="W1895" s="498">
        <v>2483</v>
      </c>
      <c r="X1895" s="463" t="s">
        <v>1862</v>
      </c>
      <c r="Y1895" s="498" t="s">
        <v>3399</v>
      </c>
      <c r="Z1895" s="498"/>
      <c r="AA1895" s="463" t="s">
        <v>1770</v>
      </c>
      <c r="AB1895" s="459" t="s">
        <v>1770</v>
      </c>
    </row>
    <row r="1896" spans="1:28" ht="24" customHeight="1">
      <c r="A1896" s="584"/>
      <c r="B1896" s="460" t="s">
        <v>675</v>
      </c>
      <c r="C1896" s="458" t="s">
        <v>8283</v>
      </c>
      <c r="D1896" s="510" t="s">
        <v>8284</v>
      </c>
      <c r="E1896" s="498">
        <f t="shared" si="128"/>
        <v>250</v>
      </c>
      <c r="F1896" s="653">
        <v>0</v>
      </c>
      <c r="G1896" s="653">
        <v>0</v>
      </c>
      <c r="H1896" s="653">
        <v>250</v>
      </c>
      <c r="I1896" s="655">
        <f t="shared" si="129"/>
        <v>250</v>
      </c>
      <c r="J1896" s="655">
        <v>0</v>
      </c>
      <c r="K1896" s="655">
        <v>0</v>
      </c>
      <c r="L1896" s="710">
        <v>250</v>
      </c>
      <c r="M1896" s="963">
        <v>1</v>
      </c>
      <c r="N1896" s="653">
        <v>0</v>
      </c>
      <c r="O1896" s="725" t="s">
        <v>8235</v>
      </c>
      <c r="P1896" s="498">
        <v>0</v>
      </c>
      <c r="Q1896" s="852">
        <v>0</v>
      </c>
      <c r="R1896" s="852">
        <v>0</v>
      </c>
      <c r="S1896" s="852">
        <v>0</v>
      </c>
      <c r="T1896" s="852">
        <v>0</v>
      </c>
      <c r="U1896" s="498" t="s">
        <v>8228</v>
      </c>
      <c r="V1896" s="498" t="s">
        <v>8285</v>
      </c>
      <c r="W1896" s="498">
        <v>630</v>
      </c>
      <c r="X1896" s="463" t="s">
        <v>1862</v>
      </c>
      <c r="Y1896" s="498" t="s">
        <v>3399</v>
      </c>
      <c r="Z1896" s="498"/>
      <c r="AA1896" s="463" t="s">
        <v>1770</v>
      </c>
      <c r="AB1896" s="459" t="s">
        <v>1770</v>
      </c>
    </row>
    <row r="1897" spans="1:28" ht="24" customHeight="1">
      <c r="A1897" s="584"/>
      <c r="B1897" s="460" t="s">
        <v>675</v>
      </c>
      <c r="C1897" s="458" t="s">
        <v>8286</v>
      </c>
      <c r="D1897" s="510" t="s">
        <v>8287</v>
      </c>
      <c r="E1897" s="498">
        <f t="shared" si="128"/>
        <v>140</v>
      </c>
      <c r="F1897" s="653">
        <v>0</v>
      </c>
      <c r="G1897" s="653">
        <v>0</v>
      </c>
      <c r="H1897" s="653">
        <v>140</v>
      </c>
      <c r="I1897" s="655">
        <f t="shared" si="129"/>
        <v>140</v>
      </c>
      <c r="J1897" s="655">
        <v>0</v>
      </c>
      <c r="K1897" s="655">
        <v>0</v>
      </c>
      <c r="L1897" s="710">
        <v>140</v>
      </c>
      <c r="M1897" s="963">
        <v>1</v>
      </c>
      <c r="N1897" s="653">
        <v>0</v>
      </c>
      <c r="O1897" s="725" t="s">
        <v>8235</v>
      </c>
      <c r="P1897" s="498">
        <v>0</v>
      </c>
      <c r="Q1897" s="852">
        <v>0</v>
      </c>
      <c r="R1897" s="852">
        <v>0</v>
      </c>
      <c r="S1897" s="852">
        <v>0</v>
      </c>
      <c r="T1897" s="852">
        <v>0</v>
      </c>
      <c r="U1897" s="498" t="s">
        <v>8228</v>
      </c>
      <c r="V1897" s="498" t="s">
        <v>8285</v>
      </c>
      <c r="W1897" s="498">
        <v>1015</v>
      </c>
      <c r="X1897" s="463" t="s">
        <v>1862</v>
      </c>
      <c r="Y1897" s="498" t="s">
        <v>3399</v>
      </c>
      <c r="Z1897" s="498"/>
      <c r="AA1897" s="463" t="s">
        <v>1770</v>
      </c>
      <c r="AB1897" s="459" t="s">
        <v>1770</v>
      </c>
    </row>
    <row r="1898" spans="1:28" ht="24" customHeight="1">
      <c r="A1898" s="584"/>
      <c r="B1898" s="460" t="s">
        <v>675</v>
      </c>
      <c r="C1898" s="458" t="s">
        <v>8288</v>
      </c>
      <c r="D1898" s="510" t="s">
        <v>8289</v>
      </c>
      <c r="E1898" s="498">
        <f t="shared" si="128"/>
        <v>60</v>
      </c>
      <c r="F1898" s="653">
        <v>0</v>
      </c>
      <c r="G1898" s="653">
        <v>0</v>
      </c>
      <c r="H1898" s="653">
        <v>60</v>
      </c>
      <c r="I1898" s="655">
        <f t="shared" si="129"/>
        <v>60</v>
      </c>
      <c r="J1898" s="655">
        <v>0</v>
      </c>
      <c r="K1898" s="655">
        <v>0</v>
      </c>
      <c r="L1898" s="710">
        <v>60</v>
      </c>
      <c r="M1898" s="963">
        <v>1</v>
      </c>
      <c r="N1898" s="653">
        <v>0</v>
      </c>
      <c r="O1898" s="725" t="s">
        <v>8232</v>
      </c>
      <c r="P1898" s="498">
        <v>0</v>
      </c>
      <c r="Q1898" s="852">
        <v>0</v>
      </c>
      <c r="R1898" s="852">
        <v>0</v>
      </c>
      <c r="S1898" s="852">
        <v>0</v>
      </c>
      <c r="T1898" s="852">
        <v>0</v>
      </c>
      <c r="U1898" s="498" t="s">
        <v>8228</v>
      </c>
      <c r="V1898" s="498" t="s">
        <v>8290</v>
      </c>
      <c r="W1898" s="498">
        <v>620</v>
      </c>
      <c r="X1898" s="463" t="s">
        <v>1862</v>
      </c>
      <c r="Y1898" s="498" t="s">
        <v>8237</v>
      </c>
      <c r="Z1898" s="498"/>
      <c r="AA1898" s="463" t="s">
        <v>1770</v>
      </c>
      <c r="AB1898" s="459" t="s">
        <v>1770</v>
      </c>
    </row>
    <row r="1899" spans="1:28" ht="24" customHeight="1">
      <c r="A1899" s="584"/>
      <c r="B1899" s="612" t="s">
        <v>675</v>
      </c>
      <c r="C1899" s="453" t="s">
        <v>8291</v>
      </c>
      <c r="D1899" s="510" t="s">
        <v>8292</v>
      </c>
      <c r="E1899" s="498">
        <f t="shared" si="128"/>
        <v>75</v>
      </c>
      <c r="F1899" s="653">
        <v>0</v>
      </c>
      <c r="G1899" s="653">
        <v>0</v>
      </c>
      <c r="H1899" s="653">
        <v>75</v>
      </c>
      <c r="I1899" s="655">
        <f t="shared" si="129"/>
        <v>75</v>
      </c>
      <c r="J1899" s="655">
        <v>0</v>
      </c>
      <c r="K1899" s="655">
        <v>0</v>
      </c>
      <c r="L1899" s="710">
        <v>75</v>
      </c>
      <c r="M1899" s="963">
        <v>1</v>
      </c>
      <c r="N1899" s="653">
        <v>0</v>
      </c>
      <c r="O1899" s="725" t="s">
        <v>8232</v>
      </c>
      <c r="P1899" s="498">
        <v>0</v>
      </c>
      <c r="Q1899" s="852">
        <v>0</v>
      </c>
      <c r="R1899" s="852">
        <v>0</v>
      </c>
      <c r="S1899" s="852">
        <v>0</v>
      </c>
      <c r="T1899" s="852">
        <v>0</v>
      </c>
      <c r="U1899" s="498" t="s">
        <v>8228</v>
      </c>
      <c r="V1899" s="498" t="s">
        <v>8290</v>
      </c>
      <c r="W1899" s="498">
        <v>859</v>
      </c>
      <c r="X1899" s="463" t="s">
        <v>1862</v>
      </c>
      <c r="Y1899" s="498" t="s">
        <v>3399</v>
      </c>
      <c r="Z1899" s="498"/>
      <c r="AA1899" s="463" t="s">
        <v>1770</v>
      </c>
      <c r="AB1899" s="459" t="s">
        <v>1770</v>
      </c>
    </row>
    <row r="1900" spans="1:28" ht="24" customHeight="1">
      <c r="A1900" s="582" t="s">
        <v>1771</v>
      </c>
      <c r="B1900" s="638" t="s">
        <v>2201</v>
      </c>
      <c r="C1900" s="766" t="s">
        <v>2350</v>
      </c>
      <c r="D1900" s="767" t="s">
        <v>8293</v>
      </c>
      <c r="E1900" s="498">
        <f t="shared" si="128"/>
        <v>48000</v>
      </c>
      <c r="F1900" s="498">
        <v>0</v>
      </c>
      <c r="G1900" s="498">
        <v>0</v>
      </c>
      <c r="H1900" s="498">
        <v>48000</v>
      </c>
      <c r="I1900" s="655">
        <f t="shared" si="129"/>
        <v>0</v>
      </c>
      <c r="J1900" s="655">
        <v>0</v>
      </c>
      <c r="K1900" s="655">
        <v>0</v>
      </c>
      <c r="L1900" s="710" t="s">
        <v>3211</v>
      </c>
      <c r="M1900" s="963">
        <v>0.88124999999999998</v>
      </c>
      <c r="N1900" s="653">
        <v>0</v>
      </c>
      <c r="O1900" s="669" t="s">
        <v>3268</v>
      </c>
      <c r="P1900" s="463" t="s">
        <v>1588</v>
      </c>
      <c r="Q1900" s="852">
        <v>0</v>
      </c>
      <c r="R1900" s="852">
        <v>0</v>
      </c>
      <c r="S1900" s="852">
        <v>0</v>
      </c>
      <c r="T1900" s="852">
        <v>0</v>
      </c>
      <c r="U1900" s="463" t="s">
        <v>2353</v>
      </c>
      <c r="V1900" s="576">
        <v>36115</v>
      </c>
      <c r="W1900" s="498">
        <v>54796</v>
      </c>
      <c r="X1900" s="463" t="s">
        <v>2276</v>
      </c>
      <c r="Y1900" s="463" t="s">
        <v>3336</v>
      </c>
      <c r="Z1900" s="463" t="s">
        <v>1772</v>
      </c>
      <c r="AA1900" s="463" t="s">
        <v>1589</v>
      </c>
      <c r="AB1900" s="459" t="s">
        <v>1589</v>
      </c>
    </row>
    <row r="1901" spans="1:28" ht="24" customHeight="1">
      <c r="A1901" s="584"/>
      <c r="B1901" s="639" t="s">
        <v>2201</v>
      </c>
      <c r="C1901" s="779"/>
      <c r="D1901" s="767" t="s">
        <v>2351</v>
      </c>
      <c r="E1901" s="498">
        <f t="shared" si="128"/>
        <v>98000</v>
      </c>
      <c r="F1901" s="498">
        <v>0</v>
      </c>
      <c r="G1901" s="498">
        <v>0</v>
      </c>
      <c r="H1901" s="498">
        <v>98000</v>
      </c>
      <c r="I1901" s="655">
        <f t="shared" si="129"/>
        <v>59909</v>
      </c>
      <c r="J1901" s="655">
        <v>0</v>
      </c>
      <c r="K1901" s="655">
        <v>0</v>
      </c>
      <c r="L1901" s="710">
        <v>59909</v>
      </c>
      <c r="M1901" s="963">
        <v>0.6113163265306123</v>
      </c>
      <c r="N1901" s="653">
        <v>6483</v>
      </c>
      <c r="O1901" s="669" t="s">
        <v>3268</v>
      </c>
      <c r="P1901" s="463" t="s">
        <v>1588</v>
      </c>
      <c r="Q1901" s="852">
        <v>172</v>
      </c>
      <c r="R1901" s="852">
        <v>0</v>
      </c>
      <c r="S1901" s="852">
        <v>442</v>
      </c>
      <c r="T1901" s="852">
        <v>0</v>
      </c>
      <c r="U1901" s="463" t="s">
        <v>2353</v>
      </c>
      <c r="V1901" s="576">
        <v>38282</v>
      </c>
      <c r="W1901" s="498">
        <v>162206</v>
      </c>
      <c r="X1901" s="463" t="s">
        <v>2276</v>
      </c>
      <c r="Y1901" s="463" t="s">
        <v>3336</v>
      </c>
      <c r="Z1901" s="463" t="s">
        <v>1772</v>
      </c>
      <c r="AA1901" s="463" t="s">
        <v>1589</v>
      </c>
      <c r="AB1901" s="459" t="s">
        <v>1589</v>
      </c>
    </row>
    <row r="1902" spans="1:28" ht="24" customHeight="1">
      <c r="A1902" s="584"/>
      <c r="B1902" s="639" t="s">
        <v>675</v>
      </c>
      <c r="C1902" s="768" t="s">
        <v>2149</v>
      </c>
      <c r="D1902" s="510" t="s">
        <v>8294</v>
      </c>
      <c r="E1902" s="498">
        <f t="shared" si="128"/>
        <v>65</v>
      </c>
      <c r="F1902" s="498">
        <v>0</v>
      </c>
      <c r="G1902" s="498">
        <v>0</v>
      </c>
      <c r="H1902" s="498">
        <v>65</v>
      </c>
      <c r="I1902" s="655">
        <f t="shared" si="129"/>
        <v>84</v>
      </c>
      <c r="J1902" s="655">
        <v>0</v>
      </c>
      <c r="K1902" s="655">
        <v>0</v>
      </c>
      <c r="L1902" s="710">
        <v>84</v>
      </c>
      <c r="M1902" s="963">
        <v>1.2923076923076922</v>
      </c>
      <c r="N1902" s="653">
        <v>7.7</v>
      </c>
      <c r="O1902" s="669" t="s">
        <v>3268</v>
      </c>
      <c r="P1902" s="463" t="s">
        <v>1588</v>
      </c>
      <c r="Q1902" s="852">
        <v>0</v>
      </c>
      <c r="R1902" s="852">
        <v>0</v>
      </c>
      <c r="S1902" s="852">
        <v>0</v>
      </c>
      <c r="T1902" s="852">
        <v>0</v>
      </c>
      <c r="U1902" s="463" t="s">
        <v>2353</v>
      </c>
      <c r="V1902" s="576">
        <v>38212</v>
      </c>
      <c r="W1902" s="498">
        <v>7525</v>
      </c>
      <c r="X1902" s="463" t="s">
        <v>2276</v>
      </c>
      <c r="Y1902" s="463" t="s">
        <v>3336</v>
      </c>
      <c r="Z1902" s="463" t="s">
        <v>8295</v>
      </c>
      <c r="AA1902" s="463" t="s">
        <v>1589</v>
      </c>
      <c r="AB1902" s="459" t="s">
        <v>1589</v>
      </c>
    </row>
    <row r="1903" spans="1:28" ht="24" customHeight="1">
      <c r="A1903" s="584"/>
      <c r="B1903" s="640" t="s">
        <v>675</v>
      </c>
      <c r="C1903" s="458" t="s">
        <v>2150</v>
      </c>
      <c r="D1903" s="510" t="s">
        <v>8296</v>
      </c>
      <c r="E1903" s="498">
        <f t="shared" si="128"/>
        <v>20</v>
      </c>
      <c r="F1903" s="498">
        <v>0</v>
      </c>
      <c r="G1903" s="498">
        <v>20</v>
      </c>
      <c r="H1903" s="498">
        <v>0</v>
      </c>
      <c r="I1903" s="498">
        <f t="shared" si="129"/>
        <v>20</v>
      </c>
      <c r="J1903" s="498">
        <v>0</v>
      </c>
      <c r="K1903" s="498">
        <v>20</v>
      </c>
      <c r="L1903" s="498">
        <v>0</v>
      </c>
      <c r="M1903" s="963">
        <v>1</v>
      </c>
      <c r="N1903" s="653">
        <v>0.98</v>
      </c>
      <c r="O1903" s="669" t="s">
        <v>8297</v>
      </c>
      <c r="P1903" s="463" t="s">
        <v>1588</v>
      </c>
      <c r="Q1903" s="852">
        <v>0</v>
      </c>
      <c r="R1903" s="852">
        <v>0</v>
      </c>
      <c r="S1903" s="852">
        <v>0</v>
      </c>
      <c r="T1903" s="852">
        <v>0</v>
      </c>
      <c r="U1903" s="463" t="s">
        <v>2353</v>
      </c>
      <c r="V1903" s="576">
        <v>38212</v>
      </c>
      <c r="W1903" s="498"/>
      <c r="X1903" s="463" t="s">
        <v>2276</v>
      </c>
      <c r="Y1903" s="463"/>
      <c r="Z1903" s="463" t="s">
        <v>8295</v>
      </c>
      <c r="AA1903" s="463" t="s">
        <v>1589</v>
      </c>
      <c r="AB1903" s="459" t="s">
        <v>1589</v>
      </c>
    </row>
    <row r="1904" spans="1:28" ht="24" customHeight="1">
      <c r="A1904" s="584"/>
      <c r="B1904" s="640" t="s">
        <v>675</v>
      </c>
      <c r="C1904" s="458" t="s">
        <v>8298</v>
      </c>
      <c r="D1904" s="510" t="s">
        <v>8299</v>
      </c>
      <c r="E1904" s="498">
        <f t="shared" si="128"/>
        <v>30</v>
      </c>
      <c r="F1904" s="498">
        <v>0</v>
      </c>
      <c r="G1904" s="498">
        <v>30</v>
      </c>
      <c r="H1904" s="498">
        <v>0</v>
      </c>
      <c r="I1904" s="498">
        <f t="shared" si="129"/>
        <v>30</v>
      </c>
      <c r="J1904" s="498">
        <v>0</v>
      </c>
      <c r="K1904" s="498">
        <v>30</v>
      </c>
      <c r="L1904" s="498">
        <v>0</v>
      </c>
      <c r="M1904" s="963">
        <v>1</v>
      </c>
      <c r="N1904" s="653">
        <v>1.59</v>
      </c>
      <c r="O1904" s="669" t="s">
        <v>8297</v>
      </c>
      <c r="P1904" s="463" t="s">
        <v>1588</v>
      </c>
      <c r="Q1904" s="852">
        <v>0</v>
      </c>
      <c r="R1904" s="852">
        <v>0</v>
      </c>
      <c r="S1904" s="852">
        <v>0</v>
      </c>
      <c r="T1904" s="852">
        <v>0</v>
      </c>
      <c r="U1904" s="463" t="s">
        <v>2353</v>
      </c>
      <c r="V1904" s="576">
        <v>38212</v>
      </c>
      <c r="W1904" s="498"/>
      <c r="X1904" s="463" t="s">
        <v>2276</v>
      </c>
      <c r="Y1904" s="463"/>
      <c r="Z1904" s="463" t="s">
        <v>8295</v>
      </c>
      <c r="AA1904" s="463" t="s">
        <v>1589</v>
      </c>
      <c r="AB1904" s="459" t="s">
        <v>1589</v>
      </c>
    </row>
    <row r="1905" spans="1:28" ht="24" customHeight="1">
      <c r="A1905" s="584"/>
      <c r="B1905" s="640" t="s">
        <v>675</v>
      </c>
      <c r="C1905" s="458" t="s">
        <v>8300</v>
      </c>
      <c r="D1905" s="510" t="s">
        <v>8301</v>
      </c>
      <c r="E1905" s="498">
        <f t="shared" si="128"/>
        <v>48</v>
      </c>
      <c r="F1905" s="498">
        <v>0</v>
      </c>
      <c r="G1905" s="498">
        <v>48</v>
      </c>
      <c r="H1905" s="498">
        <v>0</v>
      </c>
      <c r="I1905" s="498">
        <f t="shared" si="129"/>
        <v>48</v>
      </c>
      <c r="J1905" s="498">
        <v>0</v>
      </c>
      <c r="K1905" s="498">
        <v>48</v>
      </c>
      <c r="L1905" s="498">
        <v>0</v>
      </c>
      <c r="M1905" s="963">
        <v>1</v>
      </c>
      <c r="N1905" s="653">
        <v>3.35</v>
      </c>
      <c r="O1905" s="669" t="s">
        <v>8302</v>
      </c>
      <c r="P1905" s="463" t="s">
        <v>1588</v>
      </c>
      <c r="Q1905" s="852">
        <v>0</v>
      </c>
      <c r="R1905" s="852">
        <v>0</v>
      </c>
      <c r="S1905" s="852">
        <v>0</v>
      </c>
      <c r="T1905" s="852">
        <v>0</v>
      </c>
      <c r="U1905" s="463" t="s">
        <v>2353</v>
      </c>
      <c r="V1905" s="576">
        <v>38383</v>
      </c>
      <c r="W1905" s="498"/>
      <c r="X1905" s="463" t="s">
        <v>2276</v>
      </c>
      <c r="Y1905" s="463"/>
      <c r="Z1905" s="463" t="s">
        <v>8295</v>
      </c>
      <c r="AA1905" s="463" t="s">
        <v>1589</v>
      </c>
      <c r="AB1905" s="459" t="s">
        <v>1589</v>
      </c>
    </row>
    <row r="1906" spans="1:28" ht="24" customHeight="1">
      <c r="A1906" s="584"/>
      <c r="B1906" s="640" t="s">
        <v>675</v>
      </c>
      <c r="C1906" s="458" t="s">
        <v>2148</v>
      </c>
      <c r="D1906" s="510" t="s">
        <v>8303</v>
      </c>
      <c r="E1906" s="498">
        <f t="shared" si="128"/>
        <v>20</v>
      </c>
      <c r="F1906" s="498">
        <v>0</v>
      </c>
      <c r="G1906" s="498">
        <v>20</v>
      </c>
      <c r="H1906" s="498">
        <v>0</v>
      </c>
      <c r="I1906" s="498">
        <f t="shared" si="129"/>
        <v>20</v>
      </c>
      <c r="J1906" s="498">
        <v>0</v>
      </c>
      <c r="K1906" s="498">
        <v>20</v>
      </c>
      <c r="L1906" s="498">
        <v>0</v>
      </c>
      <c r="M1906" s="963">
        <v>1</v>
      </c>
      <c r="N1906" s="653">
        <v>1.05</v>
      </c>
      <c r="O1906" s="669" t="s">
        <v>8302</v>
      </c>
      <c r="P1906" s="463" t="s">
        <v>1588</v>
      </c>
      <c r="Q1906" s="852">
        <v>0</v>
      </c>
      <c r="R1906" s="852">
        <v>0</v>
      </c>
      <c r="S1906" s="852">
        <v>0</v>
      </c>
      <c r="T1906" s="852">
        <v>0</v>
      </c>
      <c r="U1906" s="463" t="s">
        <v>2353</v>
      </c>
      <c r="V1906" s="576">
        <v>38383</v>
      </c>
      <c r="W1906" s="498"/>
      <c r="X1906" s="463" t="s">
        <v>2276</v>
      </c>
      <c r="Y1906" s="463"/>
      <c r="Z1906" s="463" t="s">
        <v>8295</v>
      </c>
      <c r="AA1906" s="463" t="s">
        <v>1589</v>
      </c>
      <c r="AB1906" s="459" t="s">
        <v>1589</v>
      </c>
    </row>
    <row r="1907" spans="1:28" ht="24" customHeight="1">
      <c r="A1907" s="584"/>
      <c r="B1907" s="640" t="s">
        <v>675</v>
      </c>
      <c r="C1907" s="458" t="s">
        <v>1662</v>
      </c>
      <c r="D1907" s="510" t="s">
        <v>8304</v>
      </c>
      <c r="E1907" s="498">
        <f t="shared" si="128"/>
        <v>25</v>
      </c>
      <c r="F1907" s="498">
        <v>0</v>
      </c>
      <c r="G1907" s="498">
        <v>25</v>
      </c>
      <c r="H1907" s="498">
        <v>0</v>
      </c>
      <c r="I1907" s="498">
        <f t="shared" si="129"/>
        <v>25</v>
      </c>
      <c r="J1907" s="498">
        <v>0</v>
      </c>
      <c r="K1907" s="498">
        <v>25</v>
      </c>
      <c r="L1907" s="498">
        <v>0</v>
      </c>
      <c r="M1907" s="963">
        <v>1</v>
      </c>
      <c r="N1907" s="653">
        <v>1.69</v>
      </c>
      <c r="O1907" s="669" t="s">
        <v>8302</v>
      </c>
      <c r="P1907" s="463" t="s">
        <v>1588</v>
      </c>
      <c r="Q1907" s="852">
        <v>0</v>
      </c>
      <c r="R1907" s="852">
        <v>0</v>
      </c>
      <c r="S1907" s="852">
        <v>0</v>
      </c>
      <c r="T1907" s="852">
        <v>0</v>
      </c>
      <c r="U1907" s="463" t="s">
        <v>2353</v>
      </c>
      <c r="V1907" s="576">
        <v>38383</v>
      </c>
      <c r="W1907" s="498"/>
      <c r="X1907" s="463" t="s">
        <v>2276</v>
      </c>
      <c r="Y1907" s="463"/>
      <c r="Z1907" s="463" t="s">
        <v>8295</v>
      </c>
      <c r="AA1907" s="463" t="s">
        <v>1589</v>
      </c>
      <c r="AB1907" s="459" t="s">
        <v>1589</v>
      </c>
    </row>
    <row r="1908" spans="1:28" ht="24" customHeight="1">
      <c r="A1908" s="583"/>
      <c r="B1908" s="640" t="s">
        <v>675</v>
      </c>
      <c r="C1908" s="458" t="s">
        <v>8305</v>
      </c>
      <c r="D1908" s="510" t="s">
        <v>8306</v>
      </c>
      <c r="E1908" s="498">
        <f t="shared" si="128"/>
        <v>30</v>
      </c>
      <c r="F1908" s="498">
        <v>0</v>
      </c>
      <c r="G1908" s="498">
        <v>30</v>
      </c>
      <c r="H1908" s="498">
        <v>0</v>
      </c>
      <c r="I1908" s="498">
        <f t="shared" si="129"/>
        <v>30</v>
      </c>
      <c r="J1908" s="498">
        <v>0</v>
      </c>
      <c r="K1908" s="498">
        <v>30</v>
      </c>
      <c r="L1908" s="498">
        <v>0</v>
      </c>
      <c r="M1908" s="963">
        <v>1</v>
      </c>
      <c r="N1908" s="653">
        <v>0.74</v>
      </c>
      <c r="O1908" s="669" t="s">
        <v>6499</v>
      </c>
      <c r="P1908" s="498" t="s">
        <v>1588</v>
      </c>
      <c r="Q1908" s="852">
        <v>0</v>
      </c>
      <c r="R1908" s="852">
        <v>0</v>
      </c>
      <c r="S1908" s="852">
        <v>0</v>
      </c>
      <c r="T1908" s="852">
        <v>0</v>
      </c>
      <c r="U1908" s="463" t="s">
        <v>2353</v>
      </c>
      <c r="V1908" s="576">
        <v>35056</v>
      </c>
      <c r="W1908" s="498">
        <v>95</v>
      </c>
      <c r="X1908" s="463" t="s">
        <v>2276</v>
      </c>
      <c r="Y1908" s="463"/>
      <c r="Z1908" s="463" t="s">
        <v>1773</v>
      </c>
      <c r="AA1908" s="463" t="s">
        <v>1589</v>
      </c>
      <c r="AB1908" s="459" t="s">
        <v>1589</v>
      </c>
    </row>
    <row r="1909" spans="1:28" ht="24" customHeight="1">
      <c r="A1909" s="584" t="s">
        <v>1616</v>
      </c>
      <c r="B1909" s="458" t="s">
        <v>6050</v>
      </c>
      <c r="C1909" s="579"/>
      <c r="D1909" s="579"/>
      <c r="E1909" s="498" t="s">
        <v>6274</v>
      </c>
      <c r="F1909" s="498">
        <v>0</v>
      </c>
      <c r="G1909" s="498" t="s">
        <v>6275</v>
      </c>
      <c r="H1909" s="498" t="s">
        <v>6276</v>
      </c>
      <c r="I1909" s="498" t="s">
        <v>6277</v>
      </c>
      <c r="J1909" s="498">
        <v>0</v>
      </c>
      <c r="K1909" s="498" t="s">
        <v>6278</v>
      </c>
      <c r="L1909" s="668" t="s">
        <v>6280</v>
      </c>
      <c r="M1909" s="956"/>
      <c r="N1909" s="498" t="s">
        <v>6281</v>
      </c>
      <c r="O1909" s="669" t="s">
        <v>1588</v>
      </c>
      <c r="P1909" s="463" t="s">
        <v>1588</v>
      </c>
      <c r="Q1909" s="852">
        <f>SUM(Q1910:Q2036)</f>
        <v>198.8</v>
      </c>
      <c r="R1909" s="852">
        <f>SUM(R1910:R2036)</f>
        <v>197.11</v>
      </c>
      <c r="S1909" s="852">
        <f>SUM(S1910:S2036)</f>
        <v>137.01999999999998</v>
      </c>
      <c r="T1909" s="852">
        <f>SUM(T1910:T2036)</f>
        <v>0</v>
      </c>
      <c r="U1909" s="463"/>
      <c r="V1909" s="463"/>
      <c r="W1909" s="498">
        <f>SUM(W1910:W2036)</f>
        <v>3680333.35</v>
      </c>
      <c r="X1909" s="463"/>
      <c r="Y1909" s="463"/>
      <c r="Z1909" s="463"/>
      <c r="AA1909" s="463"/>
      <c r="AB1909" s="459"/>
    </row>
    <row r="1910" spans="1:28" ht="24" customHeight="1">
      <c r="A1910" s="582" t="s">
        <v>1774</v>
      </c>
      <c r="B1910" s="460" t="s">
        <v>2201</v>
      </c>
      <c r="C1910" s="458" t="s">
        <v>2354</v>
      </c>
      <c r="D1910" s="510" t="s">
        <v>2355</v>
      </c>
      <c r="E1910" s="653">
        <f t="shared" ref="E1910:E1950" si="130">F1910+G1910+H1910</f>
        <v>4000</v>
      </c>
      <c r="F1910" s="498">
        <v>0</v>
      </c>
      <c r="G1910" s="653">
        <v>4000</v>
      </c>
      <c r="H1910" s="653">
        <v>0</v>
      </c>
      <c r="I1910" s="655">
        <f t="shared" ref="I1910:I1968" si="131">SUM(J1910:L1910)</f>
        <v>3254</v>
      </c>
      <c r="J1910" s="655">
        <v>0</v>
      </c>
      <c r="K1910" s="655">
        <v>3254</v>
      </c>
      <c r="L1910" s="710">
        <v>0</v>
      </c>
      <c r="M1910" s="963">
        <v>0.9688442211055277</v>
      </c>
      <c r="N1910" s="653">
        <v>313.68560000000002</v>
      </c>
      <c r="O1910" s="725" t="s">
        <v>3714</v>
      </c>
      <c r="P1910" s="498" t="s">
        <v>1588</v>
      </c>
      <c r="Q1910" s="852">
        <v>15</v>
      </c>
      <c r="R1910" s="852">
        <v>55</v>
      </c>
      <c r="S1910" s="852">
        <v>19</v>
      </c>
      <c r="T1910" s="852">
        <v>0</v>
      </c>
      <c r="U1910" s="498" t="s">
        <v>2356</v>
      </c>
      <c r="V1910" s="518" t="s">
        <v>8307</v>
      </c>
      <c r="W1910" s="498">
        <v>19200</v>
      </c>
      <c r="X1910" s="498" t="s">
        <v>2199</v>
      </c>
      <c r="Y1910" s="498" t="s">
        <v>1533</v>
      </c>
      <c r="Z1910" s="498"/>
      <c r="AA1910" s="498" t="s">
        <v>1932</v>
      </c>
      <c r="AB1910" s="577" t="s">
        <v>1589</v>
      </c>
    </row>
    <row r="1911" spans="1:28" ht="24" customHeight="1">
      <c r="A1911" s="584"/>
      <c r="B1911" s="460" t="s">
        <v>2201</v>
      </c>
      <c r="C1911" s="458" t="s">
        <v>8308</v>
      </c>
      <c r="D1911" s="510" t="s">
        <v>8309</v>
      </c>
      <c r="E1911" s="653">
        <f t="shared" si="130"/>
        <v>1000</v>
      </c>
      <c r="F1911" s="498">
        <v>0</v>
      </c>
      <c r="G1911" s="653">
        <v>1000</v>
      </c>
      <c r="H1911" s="653">
        <v>0</v>
      </c>
      <c r="I1911" s="655">
        <f t="shared" si="131"/>
        <v>1137</v>
      </c>
      <c r="J1911" s="655">
        <v>0</v>
      </c>
      <c r="K1911" s="655">
        <v>1137</v>
      </c>
      <c r="L1911" s="710">
        <v>0</v>
      </c>
      <c r="M1911" s="963">
        <v>0.89160305343511448</v>
      </c>
      <c r="N1911" s="653">
        <v>66.400800000000004</v>
      </c>
      <c r="O1911" s="725" t="s">
        <v>3714</v>
      </c>
      <c r="P1911" s="498" t="s">
        <v>1588</v>
      </c>
      <c r="Q1911" s="852">
        <v>0</v>
      </c>
      <c r="R1911" s="852">
        <v>0</v>
      </c>
      <c r="S1911" s="852">
        <v>0</v>
      </c>
      <c r="T1911" s="852">
        <v>0</v>
      </c>
      <c r="U1911" s="498" t="s">
        <v>2356</v>
      </c>
      <c r="V1911" s="518" t="s">
        <v>8310</v>
      </c>
      <c r="W1911" s="498">
        <v>4466</v>
      </c>
      <c r="X1911" s="498" t="s">
        <v>2199</v>
      </c>
      <c r="Y1911" s="498" t="s">
        <v>3399</v>
      </c>
      <c r="Z1911" s="498"/>
      <c r="AA1911" s="498" t="s">
        <v>1589</v>
      </c>
      <c r="AB1911" s="577" t="s">
        <v>1589</v>
      </c>
    </row>
    <row r="1912" spans="1:28" ht="24" customHeight="1">
      <c r="A1912" s="584"/>
      <c r="B1912" s="460" t="s">
        <v>675</v>
      </c>
      <c r="C1912" s="458" t="s">
        <v>4830</v>
      </c>
      <c r="D1912" s="510" t="s">
        <v>8311</v>
      </c>
      <c r="E1912" s="498">
        <f t="shared" si="130"/>
        <v>110</v>
      </c>
      <c r="F1912" s="498">
        <v>0</v>
      </c>
      <c r="G1912" s="498">
        <v>110</v>
      </c>
      <c r="H1912" s="498">
        <v>0</v>
      </c>
      <c r="I1912" s="655">
        <f t="shared" si="131"/>
        <v>33.6</v>
      </c>
      <c r="J1912" s="655">
        <v>0</v>
      </c>
      <c r="K1912" s="655">
        <v>33.6</v>
      </c>
      <c r="L1912" s="710">
        <v>0</v>
      </c>
      <c r="M1912" s="963">
        <v>0.30545454545454548</v>
      </c>
      <c r="N1912" s="653">
        <v>0.83</v>
      </c>
      <c r="O1912" s="725" t="s">
        <v>8312</v>
      </c>
      <c r="P1912" s="498" t="s">
        <v>1588</v>
      </c>
      <c r="Q1912" s="852">
        <v>0</v>
      </c>
      <c r="R1912" s="852">
        <v>0</v>
      </c>
      <c r="S1912" s="852">
        <v>0</v>
      </c>
      <c r="T1912" s="852">
        <v>0</v>
      </c>
      <c r="U1912" s="498" t="s">
        <v>2356</v>
      </c>
      <c r="V1912" s="518" t="s">
        <v>8313</v>
      </c>
      <c r="W1912" s="498">
        <v>473</v>
      </c>
      <c r="X1912" s="498" t="s">
        <v>2199</v>
      </c>
      <c r="Y1912" s="498" t="s">
        <v>3399</v>
      </c>
      <c r="Z1912" s="498"/>
      <c r="AA1912" s="498" t="s">
        <v>1932</v>
      </c>
      <c r="AB1912" s="577" t="s">
        <v>1589</v>
      </c>
    </row>
    <row r="1913" spans="1:28" ht="24" customHeight="1">
      <c r="A1913" s="584"/>
      <c r="B1913" s="460" t="s">
        <v>675</v>
      </c>
      <c r="C1913" s="458" t="s">
        <v>8314</v>
      </c>
      <c r="D1913" s="510" t="s">
        <v>8315</v>
      </c>
      <c r="E1913" s="498">
        <f t="shared" si="130"/>
        <v>60</v>
      </c>
      <c r="F1913" s="498">
        <v>0</v>
      </c>
      <c r="G1913" s="498">
        <v>60</v>
      </c>
      <c r="H1913" s="498">
        <v>0</v>
      </c>
      <c r="I1913" s="655">
        <f t="shared" si="131"/>
        <v>21.3</v>
      </c>
      <c r="J1913" s="655">
        <v>0</v>
      </c>
      <c r="K1913" s="655">
        <v>21.3</v>
      </c>
      <c r="L1913" s="710">
        <v>0</v>
      </c>
      <c r="M1913" s="963">
        <v>0.35500000000000009</v>
      </c>
      <c r="N1913" s="653">
        <v>1</v>
      </c>
      <c r="O1913" s="725" t="s">
        <v>5089</v>
      </c>
      <c r="P1913" s="498" t="s">
        <v>1588</v>
      </c>
      <c r="Q1913" s="852">
        <v>0</v>
      </c>
      <c r="R1913" s="852">
        <v>0</v>
      </c>
      <c r="S1913" s="852">
        <v>0</v>
      </c>
      <c r="T1913" s="852">
        <v>0</v>
      </c>
      <c r="U1913" s="498" t="s">
        <v>2356</v>
      </c>
      <c r="V1913" s="518" t="s">
        <v>8316</v>
      </c>
      <c r="W1913" s="498">
        <v>360</v>
      </c>
      <c r="X1913" s="498" t="s">
        <v>2199</v>
      </c>
      <c r="Y1913" s="498" t="s">
        <v>1533</v>
      </c>
      <c r="Z1913" s="498"/>
      <c r="AA1913" s="498" t="s">
        <v>1932</v>
      </c>
      <c r="AB1913" s="577" t="s">
        <v>1589</v>
      </c>
    </row>
    <row r="1914" spans="1:28" ht="24" customHeight="1">
      <c r="A1914" s="584"/>
      <c r="B1914" s="460" t="s">
        <v>675</v>
      </c>
      <c r="C1914" s="458" t="s">
        <v>2133</v>
      </c>
      <c r="D1914" s="510" t="s">
        <v>8317</v>
      </c>
      <c r="E1914" s="498">
        <f t="shared" si="130"/>
        <v>50</v>
      </c>
      <c r="F1914" s="498">
        <v>0</v>
      </c>
      <c r="G1914" s="498">
        <v>50</v>
      </c>
      <c r="H1914" s="498">
        <v>0</v>
      </c>
      <c r="I1914" s="655">
        <f t="shared" si="131"/>
        <v>14.9</v>
      </c>
      <c r="J1914" s="655">
        <v>0</v>
      </c>
      <c r="K1914" s="655">
        <v>14.9</v>
      </c>
      <c r="L1914" s="710">
        <v>0</v>
      </c>
      <c r="M1914" s="963">
        <v>0.29799999999999999</v>
      </c>
      <c r="N1914" s="653">
        <v>0.49</v>
      </c>
      <c r="O1914" s="725" t="s">
        <v>8312</v>
      </c>
      <c r="P1914" s="498" t="s">
        <v>1588</v>
      </c>
      <c r="Q1914" s="852">
        <v>0</v>
      </c>
      <c r="R1914" s="852">
        <v>0</v>
      </c>
      <c r="S1914" s="852">
        <v>0</v>
      </c>
      <c r="T1914" s="852">
        <v>0</v>
      </c>
      <c r="U1914" s="498" t="s">
        <v>2356</v>
      </c>
      <c r="V1914" s="518" t="s">
        <v>8318</v>
      </c>
      <c r="W1914" s="498">
        <v>600</v>
      </c>
      <c r="X1914" s="498" t="s">
        <v>2199</v>
      </c>
      <c r="Y1914" s="498" t="s">
        <v>3399</v>
      </c>
      <c r="Z1914" s="498"/>
      <c r="AA1914" s="498" t="s">
        <v>1932</v>
      </c>
      <c r="AB1914" s="577" t="s">
        <v>1589</v>
      </c>
    </row>
    <row r="1915" spans="1:28" ht="24" customHeight="1">
      <c r="A1915" s="584"/>
      <c r="B1915" s="460" t="s">
        <v>675</v>
      </c>
      <c r="C1915" s="458" t="s">
        <v>8319</v>
      </c>
      <c r="D1915" s="510" t="s">
        <v>8320</v>
      </c>
      <c r="E1915" s="498">
        <f t="shared" si="130"/>
        <v>60</v>
      </c>
      <c r="F1915" s="498">
        <v>0</v>
      </c>
      <c r="G1915" s="498">
        <v>60</v>
      </c>
      <c r="H1915" s="498">
        <v>0</v>
      </c>
      <c r="I1915" s="655">
        <f t="shared" si="131"/>
        <v>19.600000000000001</v>
      </c>
      <c r="J1915" s="655">
        <v>0</v>
      </c>
      <c r="K1915" s="655">
        <v>19.600000000000001</v>
      </c>
      <c r="L1915" s="710">
        <v>0</v>
      </c>
      <c r="M1915" s="963">
        <v>0.32666666666666672</v>
      </c>
      <c r="N1915" s="653">
        <v>0.53</v>
      </c>
      <c r="O1915" s="725" t="s">
        <v>5089</v>
      </c>
      <c r="P1915" s="498" t="s">
        <v>1588</v>
      </c>
      <c r="Q1915" s="852">
        <v>0</v>
      </c>
      <c r="R1915" s="852">
        <v>0</v>
      </c>
      <c r="S1915" s="852">
        <v>0</v>
      </c>
      <c r="T1915" s="852">
        <v>0</v>
      </c>
      <c r="U1915" s="498" t="s">
        <v>2356</v>
      </c>
      <c r="V1915" s="518" t="s">
        <v>8321</v>
      </c>
      <c r="W1915" s="498">
        <v>273</v>
      </c>
      <c r="X1915" s="498" t="s">
        <v>2199</v>
      </c>
      <c r="Y1915" s="498" t="s">
        <v>1533</v>
      </c>
      <c r="Z1915" s="498"/>
      <c r="AA1915" s="498" t="s">
        <v>1932</v>
      </c>
      <c r="AB1915" s="577" t="s">
        <v>1589</v>
      </c>
    </row>
    <row r="1916" spans="1:28" ht="24" customHeight="1">
      <c r="A1916" s="584"/>
      <c r="B1916" s="460" t="s">
        <v>675</v>
      </c>
      <c r="C1916" s="458" t="s">
        <v>8322</v>
      </c>
      <c r="D1916" s="510" t="s">
        <v>8323</v>
      </c>
      <c r="E1916" s="498">
        <f t="shared" si="130"/>
        <v>50</v>
      </c>
      <c r="F1916" s="498">
        <v>0</v>
      </c>
      <c r="G1916" s="498">
        <v>50</v>
      </c>
      <c r="H1916" s="498">
        <v>0</v>
      </c>
      <c r="I1916" s="655">
        <f t="shared" si="131"/>
        <v>55.3</v>
      </c>
      <c r="J1916" s="655">
        <v>0</v>
      </c>
      <c r="K1916" s="655">
        <v>55.3</v>
      </c>
      <c r="L1916" s="710">
        <v>0</v>
      </c>
      <c r="M1916" s="963">
        <v>1.1059999999999999</v>
      </c>
      <c r="N1916" s="653">
        <v>1.23</v>
      </c>
      <c r="O1916" s="725" t="s">
        <v>4660</v>
      </c>
      <c r="P1916" s="498" t="s">
        <v>1588</v>
      </c>
      <c r="Q1916" s="852">
        <v>0</v>
      </c>
      <c r="R1916" s="852">
        <v>0</v>
      </c>
      <c r="S1916" s="852">
        <v>0</v>
      </c>
      <c r="T1916" s="852">
        <v>0</v>
      </c>
      <c r="U1916" s="498" t="s">
        <v>2356</v>
      </c>
      <c r="V1916" s="518" t="s">
        <v>2557</v>
      </c>
      <c r="W1916" s="498">
        <v>466</v>
      </c>
      <c r="X1916" s="498" t="s">
        <v>2199</v>
      </c>
      <c r="Y1916" s="498" t="s">
        <v>1533</v>
      </c>
      <c r="Z1916" s="498"/>
      <c r="AA1916" s="498" t="s">
        <v>1932</v>
      </c>
      <c r="AB1916" s="577" t="s">
        <v>1589</v>
      </c>
    </row>
    <row r="1917" spans="1:28" ht="24" customHeight="1">
      <c r="A1917" s="584"/>
      <c r="B1917" s="460" t="s">
        <v>675</v>
      </c>
      <c r="C1917" s="458" t="s">
        <v>6604</v>
      </c>
      <c r="D1917" s="510" t="s">
        <v>8324</v>
      </c>
      <c r="E1917" s="498">
        <f t="shared" si="130"/>
        <v>50</v>
      </c>
      <c r="F1917" s="498">
        <v>0</v>
      </c>
      <c r="G1917" s="498">
        <v>50</v>
      </c>
      <c r="H1917" s="498">
        <v>0</v>
      </c>
      <c r="I1917" s="655">
        <f t="shared" si="131"/>
        <v>16.2</v>
      </c>
      <c r="J1917" s="655">
        <v>0</v>
      </c>
      <c r="K1917" s="655">
        <v>16.2</v>
      </c>
      <c r="L1917" s="710">
        <v>0</v>
      </c>
      <c r="M1917" s="963">
        <v>0.32400000000000001</v>
      </c>
      <c r="N1917" s="653">
        <v>0.23</v>
      </c>
      <c r="O1917" s="725" t="s">
        <v>8325</v>
      </c>
      <c r="P1917" s="498" t="s">
        <v>1588</v>
      </c>
      <c r="Q1917" s="852">
        <v>0</v>
      </c>
      <c r="R1917" s="852">
        <v>0</v>
      </c>
      <c r="S1917" s="852">
        <v>0</v>
      </c>
      <c r="T1917" s="852">
        <v>0</v>
      </c>
      <c r="U1917" s="498" t="s">
        <v>2356</v>
      </c>
      <c r="V1917" s="518" t="s">
        <v>8279</v>
      </c>
      <c r="W1917" s="498">
        <v>370</v>
      </c>
      <c r="X1917" s="498" t="s">
        <v>2199</v>
      </c>
      <c r="Y1917" s="498" t="s">
        <v>1533</v>
      </c>
      <c r="Z1917" s="498"/>
      <c r="AA1917" s="498" t="s">
        <v>1589</v>
      </c>
      <c r="AB1917" s="577" t="s">
        <v>1589</v>
      </c>
    </row>
    <row r="1918" spans="1:28" ht="24" customHeight="1">
      <c r="A1918" s="584"/>
      <c r="B1918" s="460" t="s">
        <v>675</v>
      </c>
      <c r="C1918" s="458" t="s">
        <v>8326</v>
      </c>
      <c r="D1918" s="510" t="s">
        <v>8327</v>
      </c>
      <c r="E1918" s="498">
        <f t="shared" si="130"/>
        <v>60</v>
      </c>
      <c r="F1918" s="498">
        <v>0</v>
      </c>
      <c r="G1918" s="498">
        <v>60</v>
      </c>
      <c r="H1918" s="498">
        <v>0</v>
      </c>
      <c r="I1918" s="655">
        <f t="shared" si="131"/>
        <v>5.9</v>
      </c>
      <c r="J1918" s="655">
        <v>0</v>
      </c>
      <c r="K1918" s="655">
        <v>5.9</v>
      </c>
      <c r="L1918" s="710">
        <v>0</v>
      </c>
      <c r="M1918" s="963">
        <v>9.8333333333333342E-2</v>
      </c>
      <c r="N1918" s="653">
        <v>0.17</v>
      </c>
      <c r="O1918" s="725" t="s">
        <v>8312</v>
      </c>
      <c r="P1918" s="498" t="s">
        <v>1588</v>
      </c>
      <c r="Q1918" s="852">
        <v>0</v>
      </c>
      <c r="R1918" s="852">
        <v>0</v>
      </c>
      <c r="S1918" s="852">
        <v>0</v>
      </c>
      <c r="T1918" s="852">
        <v>0</v>
      </c>
      <c r="U1918" s="498" t="s">
        <v>2356</v>
      </c>
      <c r="V1918" s="518" t="s">
        <v>8328</v>
      </c>
      <c r="W1918" s="498">
        <v>475</v>
      </c>
      <c r="X1918" s="498" t="s">
        <v>2199</v>
      </c>
      <c r="Y1918" s="498" t="s">
        <v>1533</v>
      </c>
      <c r="Z1918" s="498"/>
      <c r="AA1918" s="498" t="s">
        <v>1589</v>
      </c>
      <c r="AB1918" s="577" t="s">
        <v>1589</v>
      </c>
    </row>
    <row r="1919" spans="1:28" ht="24" customHeight="1">
      <c r="A1919" s="582" t="s">
        <v>1775</v>
      </c>
      <c r="B1919" s="460" t="s">
        <v>2201</v>
      </c>
      <c r="C1919" s="458" t="s">
        <v>3689</v>
      </c>
      <c r="D1919" s="510" t="s">
        <v>8329</v>
      </c>
      <c r="E1919" s="498">
        <f t="shared" si="130"/>
        <v>6800</v>
      </c>
      <c r="F1919" s="498">
        <v>0</v>
      </c>
      <c r="G1919" s="498">
        <v>6800</v>
      </c>
      <c r="H1919" s="498">
        <v>0</v>
      </c>
      <c r="I1919" s="655">
        <f t="shared" si="131"/>
        <v>6317</v>
      </c>
      <c r="J1919" s="655">
        <v>0</v>
      </c>
      <c r="K1919" s="655">
        <v>6317</v>
      </c>
      <c r="L1919" s="710">
        <v>0</v>
      </c>
      <c r="M1919" s="963">
        <v>0.84468664850136244</v>
      </c>
      <c r="N1919" s="653">
        <v>195.82700000000003</v>
      </c>
      <c r="O1919" s="669" t="s">
        <v>3714</v>
      </c>
      <c r="P1919" s="463" t="s">
        <v>3173</v>
      </c>
      <c r="Q1919" s="852">
        <v>26.29</v>
      </c>
      <c r="R1919" s="852">
        <v>142.11000000000001</v>
      </c>
      <c r="S1919" s="852">
        <v>23.02</v>
      </c>
      <c r="T1919" s="852">
        <v>0</v>
      </c>
      <c r="U1919" s="463" t="s">
        <v>8330</v>
      </c>
      <c r="V1919" s="463" t="s">
        <v>8331</v>
      </c>
      <c r="W1919" s="498">
        <v>20481</v>
      </c>
      <c r="X1919" s="463" t="s">
        <v>2199</v>
      </c>
      <c r="Y1919" s="463" t="s">
        <v>3327</v>
      </c>
      <c r="Z1919" s="463" t="s">
        <v>1776</v>
      </c>
      <c r="AA1919" s="463" t="s">
        <v>1589</v>
      </c>
      <c r="AB1919" s="459" t="s">
        <v>1589</v>
      </c>
    </row>
    <row r="1920" spans="1:28" ht="24" customHeight="1">
      <c r="A1920" s="584"/>
      <c r="B1920" s="460" t="s">
        <v>2201</v>
      </c>
      <c r="C1920" s="458" t="s">
        <v>1690</v>
      </c>
      <c r="D1920" s="510" t="s">
        <v>8332</v>
      </c>
      <c r="E1920" s="498">
        <f t="shared" si="130"/>
        <v>600</v>
      </c>
      <c r="F1920" s="498">
        <v>0</v>
      </c>
      <c r="G1920" s="498">
        <v>0</v>
      </c>
      <c r="H1920" s="498">
        <v>600</v>
      </c>
      <c r="I1920" s="655">
        <f t="shared" si="131"/>
        <v>334</v>
      </c>
      <c r="J1920" s="655">
        <v>0</v>
      </c>
      <c r="K1920" s="655">
        <v>0</v>
      </c>
      <c r="L1920" s="710">
        <v>334</v>
      </c>
      <c r="M1920" s="963">
        <v>0.98562628336755642</v>
      </c>
      <c r="N1920" s="653">
        <v>32.064</v>
      </c>
      <c r="O1920" s="669" t="s">
        <v>1535</v>
      </c>
      <c r="P1920" s="463" t="s">
        <v>5737</v>
      </c>
      <c r="Q1920" s="852">
        <v>0</v>
      </c>
      <c r="R1920" s="852">
        <v>0</v>
      </c>
      <c r="S1920" s="852">
        <v>0</v>
      </c>
      <c r="T1920" s="852">
        <v>0</v>
      </c>
      <c r="U1920" s="463" t="s">
        <v>8333</v>
      </c>
      <c r="V1920" s="463" t="s">
        <v>8334</v>
      </c>
      <c r="W1920" s="498">
        <v>6056</v>
      </c>
      <c r="X1920" s="463" t="s">
        <v>2199</v>
      </c>
      <c r="Y1920" s="463" t="s">
        <v>3327</v>
      </c>
      <c r="Z1920" s="463" t="s">
        <v>8335</v>
      </c>
      <c r="AA1920" s="463" t="s">
        <v>1589</v>
      </c>
      <c r="AB1920" s="459" t="s">
        <v>1589</v>
      </c>
    </row>
    <row r="1921" spans="1:28" ht="24" customHeight="1">
      <c r="A1921" s="584"/>
      <c r="B1921" s="460" t="s">
        <v>675</v>
      </c>
      <c r="C1921" s="458" t="s">
        <v>8336</v>
      </c>
      <c r="D1921" s="510" t="s">
        <v>8337</v>
      </c>
      <c r="E1921" s="498">
        <f t="shared" si="130"/>
        <v>60</v>
      </c>
      <c r="F1921" s="498">
        <v>0</v>
      </c>
      <c r="G1921" s="498">
        <v>60</v>
      </c>
      <c r="H1921" s="498">
        <v>0</v>
      </c>
      <c r="I1921" s="655">
        <f t="shared" si="131"/>
        <v>60</v>
      </c>
      <c r="J1921" s="655">
        <v>0</v>
      </c>
      <c r="K1921" s="655">
        <v>60</v>
      </c>
      <c r="L1921" s="710">
        <v>0</v>
      </c>
      <c r="M1921" s="963">
        <v>1</v>
      </c>
      <c r="N1921" s="653">
        <v>504</v>
      </c>
      <c r="O1921" s="669" t="s">
        <v>1535</v>
      </c>
      <c r="P1921" s="463" t="s">
        <v>8338</v>
      </c>
      <c r="Q1921" s="852">
        <v>0</v>
      </c>
      <c r="R1921" s="852">
        <v>0</v>
      </c>
      <c r="S1921" s="852">
        <v>0</v>
      </c>
      <c r="T1921" s="852">
        <v>0</v>
      </c>
      <c r="U1921" s="463" t="s">
        <v>8333</v>
      </c>
      <c r="V1921" s="463" t="s">
        <v>8339</v>
      </c>
      <c r="W1921" s="498">
        <v>525</v>
      </c>
      <c r="X1921" s="463" t="s">
        <v>2199</v>
      </c>
      <c r="Y1921" s="463" t="s">
        <v>1533</v>
      </c>
      <c r="Z1921" s="463" t="s">
        <v>1776</v>
      </c>
      <c r="AA1921" s="463" t="s">
        <v>1589</v>
      </c>
      <c r="AB1921" s="459" t="s">
        <v>1589</v>
      </c>
    </row>
    <row r="1922" spans="1:28" ht="24" customHeight="1">
      <c r="A1922" s="584"/>
      <c r="B1922" s="460" t="s">
        <v>675</v>
      </c>
      <c r="C1922" s="458" t="s">
        <v>3681</v>
      </c>
      <c r="D1922" s="510" t="s">
        <v>8340</v>
      </c>
      <c r="E1922" s="498">
        <f t="shared" si="130"/>
        <v>20</v>
      </c>
      <c r="F1922" s="498">
        <v>0</v>
      </c>
      <c r="G1922" s="498">
        <v>20</v>
      </c>
      <c r="H1922" s="498">
        <v>0</v>
      </c>
      <c r="I1922" s="655">
        <f t="shared" si="131"/>
        <v>20</v>
      </c>
      <c r="J1922" s="655">
        <v>0</v>
      </c>
      <c r="K1922" s="655">
        <v>20</v>
      </c>
      <c r="L1922" s="710">
        <v>0</v>
      </c>
      <c r="M1922" s="963">
        <v>1</v>
      </c>
      <c r="N1922" s="653">
        <v>160</v>
      </c>
      <c r="O1922" s="669" t="s">
        <v>1535</v>
      </c>
      <c r="P1922" s="463" t="s">
        <v>8338</v>
      </c>
      <c r="Q1922" s="852">
        <v>0</v>
      </c>
      <c r="R1922" s="852">
        <v>0</v>
      </c>
      <c r="S1922" s="852">
        <v>0</v>
      </c>
      <c r="T1922" s="852">
        <v>0</v>
      </c>
      <c r="U1922" s="463" t="s">
        <v>8333</v>
      </c>
      <c r="V1922" s="463" t="s">
        <v>8341</v>
      </c>
      <c r="W1922" s="498">
        <v>250</v>
      </c>
      <c r="X1922" s="463" t="s">
        <v>2199</v>
      </c>
      <c r="Y1922" s="463" t="s">
        <v>1533</v>
      </c>
      <c r="Z1922" s="463" t="s">
        <v>1776</v>
      </c>
      <c r="AA1922" s="463" t="s">
        <v>1589</v>
      </c>
      <c r="AB1922" s="459" t="s">
        <v>1589</v>
      </c>
    </row>
    <row r="1923" spans="1:28" ht="24" customHeight="1">
      <c r="A1923" s="584"/>
      <c r="B1923" s="460" t="s">
        <v>675</v>
      </c>
      <c r="C1923" s="458" t="s">
        <v>2024</v>
      </c>
      <c r="D1923" s="510" t="s">
        <v>8342</v>
      </c>
      <c r="E1923" s="498">
        <f t="shared" si="130"/>
        <v>80</v>
      </c>
      <c r="F1923" s="498">
        <v>0</v>
      </c>
      <c r="G1923" s="498">
        <v>80</v>
      </c>
      <c r="H1923" s="498">
        <v>0</v>
      </c>
      <c r="I1923" s="655">
        <f t="shared" si="131"/>
        <v>80</v>
      </c>
      <c r="J1923" s="655">
        <v>0</v>
      </c>
      <c r="K1923" s="655">
        <v>80</v>
      </c>
      <c r="L1923" s="710">
        <v>0</v>
      </c>
      <c r="M1923" s="963">
        <v>1</v>
      </c>
      <c r="N1923" s="653">
        <v>650</v>
      </c>
      <c r="O1923" s="669" t="s">
        <v>1535</v>
      </c>
      <c r="P1923" s="463" t="s">
        <v>8338</v>
      </c>
      <c r="Q1923" s="852">
        <v>0</v>
      </c>
      <c r="R1923" s="852">
        <v>0</v>
      </c>
      <c r="S1923" s="852">
        <v>0</v>
      </c>
      <c r="T1923" s="852">
        <v>0</v>
      </c>
      <c r="U1923" s="463" t="s">
        <v>8333</v>
      </c>
      <c r="V1923" s="463" t="s">
        <v>8343</v>
      </c>
      <c r="W1923" s="498">
        <v>482</v>
      </c>
      <c r="X1923" s="463" t="s">
        <v>2199</v>
      </c>
      <c r="Y1923" s="463" t="s">
        <v>1533</v>
      </c>
      <c r="Z1923" s="463" t="s">
        <v>1777</v>
      </c>
      <c r="AA1923" s="463" t="s">
        <v>1589</v>
      </c>
      <c r="AB1923" s="459" t="s">
        <v>1589</v>
      </c>
    </row>
    <row r="1924" spans="1:28" ht="24" customHeight="1">
      <c r="A1924" s="584"/>
      <c r="B1924" s="460" t="s">
        <v>675</v>
      </c>
      <c r="C1924" s="458" t="s">
        <v>8344</v>
      </c>
      <c r="D1924" s="510" t="s">
        <v>8345</v>
      </c>
      <c r="E1924" s="498">
        <f t="shared" si="130"/>
        <v>16</v>
      </c>
      <c r="F1924" s="498">
        <v>0</v>
      </c>
      <c r="G1924" s="498">
        <v>16</v>
      </c>
      <c r="H1924" s="498">
        <v>0</v>
      </c>
      <c r="I1924" s="655">
        <f t="shared" si="131"/>
        <v>16</v>
      </c>
      <c r="J1924" s="655">
        <v>0</v>
      </c>
      <c r="K1924" s="655">
        <v>16</v>
      </c>
      <c r="L1924" s="710">
        <v>0</v>
      </c>
      <c r="M1924" s="963">
        <v>1</v>
      </c>
      <c r="N1924" s="653">
        <v>41</v>
      </c>
      <c r="O1924" s="669" t="s">
        <v>1535</v>
      </c>
      <c r="P1924" s="463" t="s">
        <v>8338</v>
      </c>
      <c r="Q1924" s="852">
        <v>0</v>
      </c>
      <c r="R1924" s="852">
        <v>0</v>
      </c>
      <c r="S1924" s="852">
        <v>0</v>
      </c>
      <c r="T1924" s="852">
        <v>0</v>
      </c>
      <c r="U1924" s="463" t="s">
        <v>8333</v>
      </c>
      <c r="V1924" s="463" t="s">
        <v>8346</v>
      </c>
      <c r="W1924" s="498">
        <v>171</v>
      </c>
      <c r="X1924" s="463" t="s">
        <v>2199</v>
      </c>
      <c r="Y1924" s="463" t="s">
        <v>1533</v>
      </c>
      <c r="Z1924" s="463" t="s">
        <v>1776</v>
      </c>
      <c r="AA1924" s="463" t="s">
        <v>1589</v>
      </c>
      <c r="AB1924" s="459" t="s">
        <v>1589</v>
      </c>
    </row>
    <row r="1925" spans="1:28" ht="24" customHeight="1">
      <c r="A1925" s="584"/>
      <c r="B1925" s="460" t="s">
        <v>675</v>
      </c>
      <c r="C1925" s="458" t="s">
        <v>2145</v>
      </c>
      <c r="D1925" s="510" t="s">
        <v>8347</v>
      </c>
      <c r="E1925" s="498">
        <f t="shared" si="130"/>
        <v>100</v>
      </c>
      <c r="F1925" s="498">
        <v>0</v>
      </c>
      <c r="G1925" s="498">
        <v>100</v>
      </c>
      <c r="H1925" s="498">
        <v>0</v>
      </c>
      <c r="I1925" s="655">
        <f t="shared" si="131"/>
        <v>100</v>
      </c>
      <c r="J1925" s="655">
        <v>0</v>
      </c>
      <c r="K1925" s="655">
        <v>100</v>
      </c>
      <c r="L1925" s="710">
        <v>0</v>
      </c>
      <c r="M1925" s="963">
        <v>1</v>
      </c>
      <c r="N1925" s="653">
        <v>255</v>
      </c>
      <c r="O1925" s="669" t="s">
        <v>1535</v>
      </c>
      <c r="P1925" s="463" t="s">
        <v>8338</v>
      </c>
      <c r="Q1925" s="852">
        <v>0</v>
      </c>
      <c r="R1925" s="852">
        <v>0</v>
      </c>
      <c r="S1925" s="852">
        <v>0</v>
      </c>
      <c r="T1925" s="852">
        <v>0</v>
      </c>
      <c r="U1925" s="463" t="s">
        <v>8333</v>
      </c>
      <c r="V1925" s="463" t="s">
        <v>6654</v>
      </c>
      <c r="W1925" s="498">
        <v>334</v>
      </c>
      <c r="X1925" s="463" t="s">
        <v>2199</v>
      </c>
      <c r="Y1925" s="463" t="s">
        <v>1533</v>
      </c>
      <c r="Z1925" s="463" t="s">
        <v>1932</v>
      </c>
      <c r="AA1925" s="463" t="s">
        <v>1589</v>
      </c>
      <c r="AB1925" s="459" t="s">
        <v>1589</v>
      </c>
    </row>
    <row r="1926" spans="1:28" ht="24" customHeight="1">
      <c r="A1926" s="584"/>
      <c r="B1926" s="460" t="s">
        <v>675</v>
      </c>
      <c r="C1926" s="458" t="s">
        <v>8348</v>
      </c>
      <c r="D1926" s="510" t="s">
        <v>8349</v>
      </c>
      <c r="E1926" s="498">
        <f t="shared" si="130"/>
        <v>300</v>
      </c>
      <c r="F1926" s="498">
        <v>0</v>
      </c>
      <c r="G1926" s="498">
        <v>0</v>
      </c>
      <c r="H1926" s="498">
        <v>300</v>
      </c>
      <c r="I1926" s="655">
        <f t="shared" si="131"/>
        <v>71</v>
      </c>
      <c r="J1926" s="655">
        <v>0</v>
      </c>
      <c r="K1926" s="655">
        <v>0</v>
      </c>
      <c r="L1926" s="710">
        <v>71</v>
      </c>
      <c r="M1926" s="963">
        <v>0.23666666666666669</v>
      </c>
      <c r="N1926" s="653">
        <v>135</v>
      </c>
      <c r="O1926" s="669" t="s">
        <v>1535</v>
      </c>
      <c r="P1926" s="463" t="s">
        <v>3655</v>
      </c>
      <c r="Q1926" s="852">
        <v>0</v>
      </c>
      <c r="R1926" s="852">
        <v>0</v>
      </c>
      <c r="S1926" s="852">
        <v>0</v>
      </c>
      <c r="T1926" s="852">
        <v>0</v>
      </c>
      <c r="U1926" s="463" t="s">
        <v>8333</v>
      </c>
      <c r="V1926" s="463" t="s">
        <v>8350</v>
      </c>
      <c r="W1926" s="498">
        <v>6656</v>
      </c>
      <c r="X1926" s="463" t="s">
        <v>2199</v>
      </c>
      <c r="Y1926" s="463" t="s">
        <v>3327</v>
      </c>
      <c r="Z1926" s="463" t="s">
        <v>1777</v>
      </c>
      <c r="AA1926" s="463" t="s">
        <v>1589</v>
      </c>
      <c r="AB1926" s="459" t="s">
        <v>1589</v>
      </c>
    </row>
    <row r="1927" spans="1:28" ht="24" customHeight="1">
      <c r="A1927" s="582" t="s">
        <v>1778</v>
      </c>
      <c r="B1927" s="460" t="s">
        <v>2201</v>
      </c>
      <c r="C1927" s="458" t="s">
        <v>8351</v>
      </c>
      <c r="D1927" s="510" t="s">
        <v>8352</v>
      </c>
      <c r="E1927" s="498">
        <f t="shared" si="130"/>
        <v>6000</v>
      </c>
      <c r="F1927" s="498">
        <v>0</v>
      </c>
      <c r="G1927" s="498">
        <v>6000</v>
      </c>
      <c r="H1927" s="498">
        <v>0</v>
      </c>
      <c r="I1927" s="655">
        <f t="shared" si="131"/>
        <v>4733</v>
      </c>
      <c r="J1927" s="655">
        <v>0</v>
      </c>
      <c r="K1927" s="655">
        <v>4733</v>
      </c>
      <c r="L1927" s="710">
        <v>0</v>
      </c>
      <c r="M1927" s="963">
        <v>0.95623987034035651</v>
      </c>
      <c r="N1927" s="653">
        <v>279.24700000000001</v>
      </c>
      <c r="O1927" s="725" t="s">
        <v>7271</v>
      </c>
      <c r="P1927" s="463" t="s">
        <v>1588</v>
      </c>
      <c r="Q1927" s="852">
        <v>0</v>
      </c>
      <c r="R1927" s="852">
        <v>0</v>
      </c>
      <c r="S1927" s="852">
        <v>0</v>
      </c>
      <c r="T1927" s="852">
        <v>0</v>
      </c>
      <c r="U1927" s="498" t="s">
        <v>8353</v>
      </c>
      <c r="V1927" s="498" t="s">
        <v>2151</v>
      </c>
      <c r="W1927" s="498">
        <v>11130</v>
      </c>
      <c r="X1927" s="498" t="s">
        <v>2276</v>
      </c>
      <c r="Y1927" s="578" t="s">
        <v>3161</v>
      </c>
      <c r="Z1927" s="578" t="s">
        <v>1779</v>
      </c>
      <c r="AA1927" s="578" t="s">
        <v>1589</v>
      </c>
      <c r="AB1927" s="577" t="s">
        <v>1770</v>
      </c>
    </row>
    <row r="1928" spans="1:28" ht="24" customHeight="1">
      <c r="A1928" s="584"/>
      <c r="B1928" s="460" t="s">
        <v>2201</v>
      </c>
      <c r="C1928" s="458" t="s">
        <v>2442</v>
      </c>
      <c r="D1928" s="510" t="s">
        <v>8354</v>
      </c>
      <c r="E1928" s="498">
        <f t="shared" si="130"/>
        <v>5250</v>
      </c>
      <c r="F1928" s="498">
        <v>0</v>
      </c>
      <c r="G1928" s="653">
        <v>0</v>
      </c>
      <c r="H1928" s="498">
        <v>5250</v>
      </c>
      <c r="I1928" s="655">
        <f t="shared" si="131"/>
        <v>4419</v>
      </c>
      <c r="J1928" s="655">
        <v>0</v>
      </c>
      <c r="K1928" s="655">
        <v>0</v>
      </c>
      <c r="L1928" s="710">
        <v>4419</v>
      </c>
      <c r="M1928" s="970">
        <v>0.90354330708661423</v>
      </c>
      <c r="N1928" s="653">
        <v>202.8321</v>
      </c>
      <c r="O1928" s="769" t="s">
        <v>8355</v>
      </c>
      <c r="P1928" s="463" t="s">
        <v>1588</v>
      </c>
      <c r="Q1928" s="854">
        <v>37.200000000000003</v>
      </c>
      <c r="R1928" s="852">
        <v>0</v>
      </c>
      <c r="S1928" s="852">
        <v>0</v>
      </c>
      <c r="T1928" s="852">
        <v>0</v>
      </c>
      <c r="U1928" s="498" t="s">
        <v>2465</v>
      </c>
      <c r="V1928" s="578" t="s">
        <v>8356</v>
      </c>
      <c r="W1928" s="498">
        <v>26290</v>
      </c>
      <c r="X1928" s="498" t="s">
        <v>2276</v>
      </c>
      <c r="Y1928" s="578" t="s">
        <v>3161</v>
      </c>
      <c r="Z1928" s="498" t="s">
        <v>1780</v>
      </c>
      <c r="AA1928" s="498" t="s">
        <v>1589</v>
      </c>
      <c r="AB1928" s="577" t="s">
        <v>1770</v>
      </c>
    </row>
    <row r="1929" spans="1:28" ht="24" customHeight="1">
      <c r="A1929" s="584"/>
      <c r="B1929" s="460" t="s">
        <v>2201</v>
      </c>
      <c r="C1929" s="458" t="s">
        <v>179</v>
      </c>
      <c r="D1929" s="510" t="s">
        <v>8357</v>
      </c>
      <c r="E1929" s="498">
        <f t="shared" si="130"/>
        <v>13000</v>
      </c>
      <c r="F1929" s="498">
        <v>0</v>
      </c>
      <c r="G1929" s="498">
        <v>13000</v>
      </c>
      <c r="H1929" s="498">
        <v>0</v>
      </c>
      <c r="I1929" s="655">
        <f t="shared" si="131"/>
        <v>4719</v>
      </c>
      <c r="J1929" s="655">
        <v>0</v>
      </c>
      <c r="K1929" s="655">
        <v>4719</v>
      </c>
      <c r="L1929" s="710">
        <v>0</v>
      </c>
      <c r="M1929" s="970">
        <v>0.97581493165089384</v>
      </c>
      <c r="N1929" s="653">
        <v>437.92320000000001</v>
      </c>
      <c r="O1929" s="725" t="s">
        <v>7271</v>
      </c>
      <c r="P1929" s="463" t="s">
        <v>1588</v>
      </c>
      <c r="Q1929" s="852">
        <v>0</v>
      </c>
      <c r="R1929" s="852">
        <v>0</v>
      </c>
      <c r="S1929" s="852">
        <v>0</v>
      </c>
      <c r="T1929" s="852">
        <v>0</v>
      </c>
      <c r="U1929" s="498" t="s">
        <v>8358</v>
      </c>
      <c r="V1929" s="498" t="s">
        <v>2182</v>
      </c>
      <c r="W1929" s="498">
        <v>9797</v>
      </c>
      <c r="X1929" s="498" t="s">
        <v>2276</v>
      </c>
      <c r="Y1929" s="578" t="s">
        <v>8359</v>
      </c>
      <c r="Z1929" s="498" t="s">
        <v>1781</v>
      </c>
      <c r="AA1929" s="498" t="s">
        <v>1589</v>
      </c>
      <c r="AB1929" s="577" t="s">
        <v>1770</v>
      </c>
    </row>
    <row r="1930" spans="1:28" ht="24" customHeight="1">
      <c r="A1930" s="584"/>
      <c r="B1930" s="460" t="s">
        <v>675</v>
      </c>
      <c r="C1930" s="458" t="s">
        <v>6638</v>
      </c>
      <c r="D1930" s="510" t="s">
        <v>8360</v>
      </c>
      <c r="E1930" s="498">
        <f t="shared" si="130"/>
        <v>99</v>
      </c>
      <c r="F1930" s="498">
        <v>0</v>
      </c>
      <c r="G1930" s="498">
        <v>99</v>
      </c>
      <c r="H1930" s="498">
        <v>0</v>
      </c>
      <c r="I1930" s="655">
        <f t="shared" si="131"/>
        <v>99</v>
      </c>
      <c r="J1930" s="655">
        <v>0</v>
      </c>
      <c r="K1930" s="655">
        <v>99</v>
      </c>
      <c r="L1930" s="710">
        <v>0</v>
      </c>
      <c r="M1930" s="963">
        <v>1</v>
      </c>
      <c r="N1930" s="653">
        <v>0</v>
      </c>
      <c r="O1930" s="725" t="s">
        <v>3757</v>
      </c>
      <c r="P1930" s="463" t="s">
        <v>1588</v>
      </c>
      <c r="Q1930" s="852">
        <v>0</v>
      </c>
      <c r="R1930" s="852">
        <v>0</v>
      </c>
      <c r="S1930" s="852">
        <v>0</v>
      </c>
      <c r="T1930" s="852">
        <v>0</v>
      </c>
      <c r="U1930" s="498" t="s">
        <v>8353</v>
      </c>
      <c r="V1930" s="498" t="s">
        <v>8361</v>
      </c>
      <c r="W1930" s="498">
        <v>432</v>
      </c>
      <c r="X1930" s="498" t="s">
        <v>2276</v>
      </c>
      <c r="Y1930" s="578" t="s">
        <v>8359</v>
      </c>
      <c r="Z1930" s="498" t="s">
        <v>8362</v>
      </c>
      <c r="AA1930" s="498" t="s">
        <v>1589</v>
      </c>
      <c r="AB1930" s="577" t="s">
        <v>1770</v>
      </c>
    </row>
    <row r="1931" spans="1:28" ht="24" customHeight="1">
      <c r="A1931" s="584"/>
      <c r="B1931" s="460" t="s">
        <v>675</v>
      </c>
      <c r="C1931" s="458" t="s">
        <v>8200</v>
      </c>
      <c r="D1931" s="510" t="s">
        <v>8363</v>
      </c>
      <c r="E1931" s="498">
        <f t="shared" si="130"/>
        <v>135</v>
      </c>
      <c r="F1931" s="498">
        <v>0</v>
      </c>
      <c r="G1931" s="498">
        <v>135</v>
      </c>
      <c r="H1931" s="498">
        <v>0</v>
      </c>
      <c r="I1931" s="655">
        <f t="shared" si="131"/>
        <v>135</v>
      </c>
      <c r="J1931" s="655">
        <v>0</v>
      </c>
      <c r="K1931" s="655">
        <v>135</v>
      </c>
      <c r="L1931" s="710">
        <v>0</v>
      </c>
      <c r="M1931" s="963">
        <v>1</v>
      </c>
      <c r="N1931" s="653">
        <v>0</v>
      </c>
      <c r="O1931" s="725" t="s">
        <v>3757</v>
      </c>
      <c r="P1931" s="463" t="s">
        <v>1588</v>
      </c>
      <c r="Q1931" s="852">
        <v>0</v>
      </c>
      <c r="R1931" s="852">
        <v>0</v>
      </c>
      <c r="S1931" s="852">
        <v>0</v>
      </c>
      <c r="T1931" s="852">
        <v>0</v>
      </c>
      <c r="U1931" s="498" t="s">
        <v>8353</v>
      </c>
      <c r="V1931" s="498" t="s">
        <v>5137</v>
      </c>
      <c r="W1931" s="498">
        <v>400</v>
      </c>
      <c r="X1931" s="498" t="s">
        <v>2276</v>
      </c>
      <c r="Y1931" s="578" t="s">
        <v>8359</v>
      </c>
      <c r="Z1931" s="498" t="s">
        <v>8364</v>
      </c>
      <c r="AA1931" s="498" t="s">
        <v>1589</v>
      </c>
      <c r="AB1931" s="577" t="s">
        <v>1770</v>
      </c>
    </row>
    <row r="1932" spans="1:28" ht="24" customHeight="1">
      <c r="A1932" s="584"/>
      <c r="B1932" s="460" t="s">
        <v>675</v>
      </c>
      <c r="C1932" s="458" t="s">
        <v>8365</v>
      </c>
      <c r="D1932" s="510" t="s">
        <v>8366</v>
      </c>
      <c r="E1932" s="498">
        <f t="shared" si="130"/>
        <v>60</v>
      </c>
      <c r="F1932" s="498">
        <v>0</v>
      </c>
      <c r="G1932" s="498">
        <v>60</v>
      </c>
      <c r="H1932" s="498">
        <v>0</v>
      </c>
      <c r="I1932" s="655">
        <f t="shared" si="131"/>
        <v>60</v>
      </c>
      <c r="J1932" s="655">
        <v>0</v>
      </c>
      <c r="K1932" s="655">
        <v>60</v>
      </c>
      <c r="L1932" s="710">
        <v>0</v>
      </c>
      <c r="M1932" s="963">
        <v>1</v>
      </c>
      <c r="N1932" s="653">
        <v>0</v>
      </c>
      <c r="O1932" s="725" t="s">
        <v>3757</v>
      </c>
      <c r="P1932" s="463" t="s">
        <v>1588</v>
      </c>
      <c r="Q1932" s="852">
        <v>0</v>
      </c>
      <c r="R1932" s="852">
        <v>0</v>
      </c>
      <c r="S1932" s="852">
        <v>0</v>
      </c>
      <c r="T1932" s="852">
        <v>0</v>
      </c>
      <c r="U1932" s="498" t="s">
        <v>8367</v>
      </c>
      <c r="V1932" s="498" t="s">
        <v>8368</v>
      </c>
      <c r="W1932" s="498">
        <v>373</v>
      </c>
      <c r="X1932" s="498" t="s">
        <v>2276</v>
      </c>
      <c r="Y1932" s="578" t="s">
        <v>8359</v>
      </c>
      <c r="Z1932" s="498" t="s">
        <v>8369</v>
      </c>
      <c r="AA1932" s="498" t="s">
        <v>1589</v>
      </c>
      <c r="AB1932" s="577" t="s">
        <v>1770</v>
      </c>
    </row>
    <row r="1933" spans="1:28" ht="24" customHeight="1">
      <c r="A1933" s="584"/>
      <c r="B1933" s="460" t="s">
        <v>675</v>
      </c>
      <c r="C1933" s="458" t="s">
        <v>8370</v>
      </c>
      <c r="D1933" s="510" t="s">
        <v>8371</v>
      </c>
      <c r="E1933" s="498">
        <f t="shared" si="130"/>
        <v>65</v>
      </c>
      <c r="F1933" s="498">
        <v>0</v>
      </c>
      <c r="G1933" s="498">
        <v>65</v>
      </c>
      <c r="H1933" s="498">
        <v>0</v>
      </c>
      <c r="I1933" s="655">
        <f t="shared" si="131"/>
        <v>65</v>
      </c>
      <c r="J1933" s="655">
        <v>0</v>
      </c>
      <c r="K1933" s="655">
        <v>65</v>
      </c>
      <c r="L1933" s="710">
        <v>0</v>
      </c>
      <c r="M1933" s="963">
        <v>1</v>
      </c>
      <c r="N1933" s="653">
        <v>0</v>
      </c>
      <c r="O1933" s="725" t="s">
        <v>3757</v>
      </c>
      <c r="P1933" s="463" t="s">
        <v>1588</v>
      </c>
      <c r="Q1933" s="852">
        <v>0</v>
      </c>
      <c r="R1933" s="852">
        <v>0</v>
      </c>
      <c r="S1933" s="852">
        <v>0</v>
      </c>
      <c r="T1933" s="852">
        <v>0</v>
      </c>
      <c r="U1933" s="498" t="s">
        <v>8367</v>
      </c>
      <c r="V1933" s="498" t="s">
        <v>8368</v>
      </c>
      <c r="W1933" s="498">
        <v>352</v>
      </c>
      <c r="X1933" s="498" t="s">
        <v>2276</v>
      </c>
      <c r="Y1933" s="578" t="s">
        <v>8359</v>
      </c>
      <c r="Z1933" s="498" t="s">
        <v>8369</v>
      </c>
      <c r="AA1933" s="498" t="s">
        <v>1589</v>
      </c>
      <c r="AB1933" s="577" t="s">
        <v>1770</v>
      </c>
    </row>
    <row r="1934" spans="1:28" ht="24" customHeight="1">
      <c r="A1934" s="584"/>
      <c r="B1934" s="460" t="s">
        <v>675</v>
      </c>
      <c r="C1934" s="458" t="s">
        <v>6536</v>
      </c>
      <c r="D1934" s="510" t="s">
        <v>8372</v>
      </c>
      <c r="E1934" s="498">
        <f t="shared" si="130"/>
        <v>60</v>
      </c>
      <c r="F1934" s="498">
        <v>0</v>
      </c>
      <c r="G1934" s="498">
        <v>60</v>
      </c>
      <c r="H1934" s="498">
        <v>0</v>
      </c>
      <c r="I1934" s="655">
        <f t="shared" si="131"/>
        <v>60</v>
      </c>
      <c r="J1934" s="655">
        <v>0</v>
      </c>
      <c r="K1934" s="655">
        <v>60</v>
      </c>
      <c r="L1934" s="710">
        <v>0</v>
      </c>
      <c r="M1934" s="963">
        <v>1</v>
      </c>
      <c r="N1934" s="653">
        <v>0</v>
      </c>
      <c r="O1934" s="725" t="s">
        <v>8373</v>
      </c>
      <c r="P1934" s="463" t="s">
        <v>1588</v>
      </c>
      <c r="Q1934" s="852">
        <v>0</v>
      </c>
      <c r="R1934" s="852">
        <v>0</v>
      </c>
      <c r="S1934" s="852">
        <v>0</v>
      </c>
      <c r="T1934" s="852">
        <v>0</v>
      </c>
      <c r="U1934" s="498" t="s">
        <v>8367</v>
      </c>
      <c r="V1934" s="498" t="s">
        <v>8361</v>
      </c>
      <c r="W1934" s="498">
        <v>285</v>
      </c>
      <c r="X1934" s="498" t="s">
        <v>2276</v>
      </c>
      <c r="Y1934" s="578" t="s">
        <v>8359</v>
      </c>
      <c r="Z1934" s="498" t="s">
        <v>8374</v>
      </c>
      <c r="AA1934" s="498" t="s">
        <v>1589</v>
      </c>
      <c r="AB1934" s="577" t="s">
        <v>1770</v>
      </c>
    </row>
    <row r="1935" spans="1:28" ht="24" customHeight="1">
      <c r="A1935" s="584"/>
      <c r="B1935" s="460" t="s">
        <v>675</v>
      </c>
      <c r="C1935" s="458" t="s">
        <v>8375</v>
      </c>
      <c r="D1935" s="510" t="s">
        <v>8376</v>
      </c>
      <c r="E1935" s="498">
        <f t="shared" si="130"/>
        <v>100</v>
      </c>
      <c r="F1935" s="498">
        <v>0</v>
      </c>
      <c r="G1935" s="498">
        <v>100</v>
      </c>
      <c r="H1935" s="498">
        <v>0</v>
      </c>
      <c r="I1935" s="655">
        <f t="shared" si="131"/>
        <v>100</v>
      </c>
      <c r="J1935" s="655">
        <v>0</v>
      </c>
      <c r="K1935" s="655">
        <v>100</v>
      </c>
      <c r="L1935" s="710">
        <v>0</v>
      </c>
      <c r="M1935" s="963">
        <v>1</v>
      </c>
      <c r="N1935" s="653">
        <v>0</v>
      </c>
      <c r="O1935" s="725" t="s">
        <v>8377</v>
      </c>
      <c r="P1935" s="463" t="s">
        <v>1588</v>
      </c>
      <c r="Q1935" s="852">
        <v>0</v>
      </c>
      <c r="R1935" s="852">
        <v>0</v>
      </c>
      <c r="S1935" s="852">
        <v>0</v>
      </c>
      <c r="T1935" s="852">
        <v>0</v>
      </c>
      <c r="U1935" s="498" t="s">
        <v>8367</v>
      </c>
      <c r="V1935" s="498" t="s">
        <v>8378</v>
      </c>
      <c r="W1935" s="498">
        <v>207</v>
      </c>
      <c r="X1935" s="498" t="s">
        <v>2276</v>
      </c>
      <c r="Y1935" s="578" t="s">
        <v>8359</v>
      </c>
      <c r="Z1935" s="498" t="s">
        <v>8362</v>
      </c>
      <c r="AA1935" s="498" t="s">
        <v>1589</v>
      </c>
      <c r="AB1935" s="577" t="s">
        <v>1770</v>
      </c>
    </row>
    <row r="1936" spans="1:28" ht="24" customHeight="1">
      <c r="A1936" s="584"/>
      <c r="B1936" s="460" t="s">
        <v>675</v>
      </c>
      <c r="C1936" s="458" t="s">
        <v>2985</v>
      </c>
      <c r="D1936" s="510" t="s">
        <v>8379</v>
      </c>
      <c r="E1936" s="498">
        <f t="shared" si="130"/>
        <v>30</v>
      </c>
      <c r="F1936" s="498">
        <v>0</v>
      </c>
      <c r="G1936" s="498">
        <v>30</v>
      </c>
      <c r="H1936" s="498">
        <v>0</v>
      </c>
      <c r="I1936" s="655">
        <f t="shared" si="131"/>
        <v>30</v>
      </c>
      <c r="J1936" s="655">
        <v>0</v>
      </c>
      <c r="K1936" s="655">
        <v>30</v>
      </c>
      <c r="L1936" s="710">
        <v>0</v>
      </c>
      <c r="M1936" s="963">
        <v>1</v>
      </c>
      <c r="N1936" s="653">
        <v>0</v>
      </c>
      <c r="O1936" s="725" t="s">
        <v>8373</v>
      </c>
      <c r="P1936" s="463" t="s">
        <v>1588</v>
      </c>
      <c r="Q1936" s="852">
        <v>0</v>
      </c>
      <c r="R1936" s="852">
        <v>0</v>
      </c>
      <c r="S1936" s="852">
        <v>0</v>
      </c>
      <c r="T1936" s="852">
        <v>0</v>
      </c>
      <c r="U1936" s="498" t="s">
        <v>8367</v>
      </c>
      <c r="V1936" s="498" t="s">
        <v>8361</v>
      </c>
      <c r="W1936" s="498">
        <v>213</v>
      </c>
      <c r="X1936" s="498" t="s">
        <v>2276</v>
      </c>
      <c r="Y1936" s="578" t="s">
        <v>8359</v>
      </c>
      <c r="Z1936" s="498" t="s">
        <v>8335</v>
      </c>
      <c r="AA1936" s="498" t="s">
        <v>1589</v>
      </c>
      <c r="AB1936" s="577" t="s">
        <v>1770</v>
      </c>
    </row>
    <row r="1937" spans="1:28" ht="24" customHeight="1">
      <c r="A1937" s="584"/>
      <c r="B1937" s="460" t="s">
        <v>675</v>
      </c>
      <c r="C1937" s="458" t="s">
        <v>8380</v>
      </c>
      <c r="D1937" s="510" t="s">
        <v>8381</v>
      </c>
      <c r="E1937" s="498">
        <f t="shared" si="130"/>
        <v>102</v>
      </c>
      <c r="F1937" s="498">
        <v>0</v>
      </c>
      <c r="G1937" s="498">
        <v>102</v>
      </c>
      <c r="H1937" s="498">
        <v>0</v>
      </c>
      <c r="I1937" s="655">
        <f t="shared" si="131"/>
        <v>102</v>
      </c>
      <c r="J1937" s="655">
        <v>0</v>
      </c>
      <c r="K1937" s="655">
        <v>102</v>
      </c>
      <c r="L1937" s="710">
        <v>0</v>
      </c>
      <c r="M1937" s="963">
        <v>1</v>
      </c>
      <c r="N1937" s="653">
        <v>0</v>
      </c>
      <c r="O1937" s="669" t="s">
        <v>3757</v>
      </c>
      <c r="P1937" s="463" t="s">
        <v>1588</v>
      </c>
      <c r="Q1937" s="852">
        <v>0</v>
      </c>
      <c r="R1937" s="852">
        <v>0</v>
      </c>
      <c r="S1937" s="852">
        <v>0</v>
      </c>
      <c r="T1937" s="852">
        <v>0</v>
      </c>
      <c r="U1937" s="498" t="s">
        <v>8367</v>
      </c>
      <c r="V1937" s="463" t="s">
        <v>8382</v>
      </c>
      <c r="W1937" s="498">
        <v>351</v>
      </c>
      <c r="X1937" s="463" t="s">
        <v>2276</v>
      </c>
      <c r="Y1937" s="463" t="s">
        <v>8359</v>
      </c>
      <c r="Z1937" s="463" t="s">
        <v>8383</v>
      </c>
      <c r="AA1937" s="498" t="s">
        <v>1589</v>
      </c>
      <c r="AB1937" s="577" t="s">
        <v>1770</v>
      </c>
    </row>
    <row r="1938" spans="1:28" ht="24" customHeight="1">
      <c r="A1938" s="584"/>
      <c r="B1938" s="460" t="s">
        <v>675</v>
      </c>
      <c r="C1938" s="458" t="s">
        <v>8384</v>
      </c>
      <c r="D1938" s="510" t="s">
        <v>8385</v>
      </c>
      <c r="E1938" s="498">
        <f t="shared" si="130"/>
        <v>70</v>
      </c>
      <c r="F1938" s="498">
        <v>0</v>
      </c>
      <c r="G1938" s="498">
        <v>70</v>
      </c>
      <c r="H1938" s="498">
        <v>0</v>
      </c>
      <c r="I1938" s="655">
        <f t="shared" si="131"/>
        <v>70</v>
      </c>
      <c r="J1938" s="655">
        <v>0</v>
      </c>
      <c r="K1938" s="655">
        <v>70</v>
      </c>
      <c r="L1938" s="710">
        <v>0</v>
      </c>
      <c r="M1938" s="963">
        <v>1</v>
      </c>
      <c r="N1938" s="653">
        <v>0</v>
      </c>
      <c r="O1938" s="669" t="s">
        <v>8386</v>
      </c>
      <c r="P1938" s="463" t="s">
        <v>1588</v>
      </c>
      <c r="Q1938" s="852">
        <v>0</v>
      </c>
      <c r="R1938" s="852">
        <v>0</v>
      </c>
      <c r="S1938" s="852">
        <v>0</v>
      </c>
      <c r="T1938" s="852">
        <v>0</v>
      </c>
      <c r="U1938" s="498" t="s">
        <v>2465</v>
      </c>
      <c r="V1938" s="463" t="s">
        <v>8368</v>
      </c>
      <c r="W1938" s="498">
        <v>360</v>
      </c>
      <c r="X1938" s="463" t="s">
        <v>2276</v>
      </c>
      <c r="Y1938" s="463" t="s">
        <v>8359</v>
      </c>
      <c r="Z1938" s="463" t="s">
        <v>3023</v>
      </c>
      <c r="AA1938" s="498" t="s">
        <v>1589</v>
      </c>
      <c r="AB1938" s="577" t="s">
        <v>1770</v>
      </c>
    </row>
    <row r="1939" spans="1:28" ht="24" customHeight="1">
      <c r="A1939" s="584"/>
      <c r="B1939" s="460" t="s">
        <v>675</v>
      </c>
      <c r="C1939" s="458" t="s">
        <v>8387</v>
      </c>
      <c r="D1939" s="510" t="s">
        <v>8388</v>
      </c>
      <c r="E1939" s="498">
        <f t="shared" si="130"/>
        <v>150</v>
      </c>
      <c r="F1939" s="498">
        <v>0</v>
      </c>
      <c r="G1939" s="498">
        <v>150</v>
      </c>
      <c r="H1939" s="498">
        <v>0</v>
      </c>
      <c r="I1939" s="655">
        <f t="shared" si="131"/>
        <v>150</v>
      </c>
      <c r="J1939" s="655">
        <v>0</v>
      </c>
      <c r="K1939" s="655">
        <v>150</v>
      </c>
      <c r="L1939" s="710">
        <v>0</v>
      </c>
      <c r="M1939" s="963">
        <v>1</v>
      </c>
      <c r="N1939" s="653">
        <v>0</v>
      </c>
      <c r="O1939" s="669" t="s">
        <v>8389</v>
      </c>
      <c r="P1939" s="463" t="s">
        <v>1588</v>
      </c>
      <c r="Q1939" s="852">
        <v>0</v>
      </c>
      <c r="R1939" s="852">
        <v>0</v>
      </c>
      <c r="S1939" s="852">
        <v>0</v>
      </c>
      <c r="T1939" s="852">
        <v>0</v>
      </c>
      <c r="U1939" s="498" t="s">
        <v>2465</v>
      </c>
      <c r="V1939" s="463" t="s">
        <v>8390</v>
      </c>
      <c r="W1939" s="498">
        <v>618</v>
      </c>
      <c r="X1939" s="463" t="s">
        <v>2276</v>
      </c>
      <c r="Y1939" s="463" t="s">
        <v>8359</v>
      </c>
      <c r="Z1939" s="463" t="s">
        <v>1780</v>
      </c>
      <c r="AA1939" s="498" t="s">
        <v>1589</v>
      </c>
      <c r="AB1939" s="577" t="s">
        <v>1770</v>
      </c>
    </row>
    <row r="1940" spans="1:28" ht="24" customHeight="1">
      <c r="A1940" s="582" t="s">
        <v>1609</v>
      </c>
      <c r="B1940" s="460" t="s">
        <v>2201</v>
      </c>
      <c r="C1940" s="458" t="s">
        <v>1609</v>
      </c>
      <c r="D1940" s="510" t="s">
        <v>8391</v>
      </c>
      <c r="E1940" s="498">
        <f t="shared" si="130"/>
        <v>10500</v>
      </c>
      <c r="F1940" s="498">
        <v>0</v>
      </c>
      <c r="G1940" s="498">
        <v>10500</v>
      </c>
      <c r="H1940" s="498">
        <v>0</v>
      </c>
      <c r="I1940" s="655">
        <f t="shared" si="131"/>
        <v>8520</v>
      </c>
      <c r="J1940" s="655">
        <v>0</v>
      </c>
      <c r="K1940" s="655">
        <v>8520</v>
      </c>
      <c r="L1940" s="710">
        <v>0</v>
      </c>
      <c r="M1940" s="970">
        <v>0.93353474320241692</v>
      </c>
      <c r="N1940" s="653">
        <v>263.26799999999997</v>
      </c>
      <c r="O1940" s="669" t="s">
        <v>3714</v>
      </c>
      <c r="P1940" s="463" t="s">
        <v>1588</v>
      </c>
      <c r="Q1940" s="852">
        <v>18</v>
      </c>
      <c r="R1940" s="852">
        <v>0</v>
      </c>
      <c r="S1940" s="852">
        <v>0</v>
      </c>
      <c r="T1940" s="852">
        <v>0</v>
      </c>
      <c r="U1940" s="463" t="s">
        <v>2466</v>
      </c>
      <c r="V1940" s="463" t="s">
        <v>6722</v>
      </c>
      <c r="W1940" s="498">
        <v>26270</v>
      </c>
      <c r="X1940" s="463" t="s">
        <v>1532</v>
      </c>
      <c r="Y1940" s="463" t="s">
        <v>8392</v>
      </c>
      <c r="Z1940" s="463" t="s">
        <v>8393</v>
      </c>
      <c r="AA1940" s="463" t="s">
        <v>1770</v>
      </c>
      <c r="AB1940" s="459" t="s">
        <v>1587</v>
      </c>
    </row>
    <row r="1941" spans="1:28" ht="24" customHeight="1">
      <c r="A1941" s="584"/>
      <c r="B1941" s="460" t="s">
        <v>675</v>
      </c>
      <c r="C1941" s="458" t="s">
        <v>2844</v>
      </c>
      <c r="D1941" s="510" t="s">
        <v>8394</v>
      </c>
      <c r="E1941" s="498">
        <f t="shared" si="130"/>
        <v>30</v>
      </c>
      <c r="F1941" s="498">
        <v>0</v>
      </c>
      <c r="G1941" s="498">
        <v>30</v>
      </c>
      <c r="H1941" s="498">
        <v>0</v>
      </c>
      <c r="I1941" s="498">
        <f t="shared" si="131"/>
        <v>18</v>
      </c>
      <c r="J1941" s="498">
        <v>0</v>
      </c>
      <c r="K1941" s="498">
        <v>18</v>
      </c>
      <c r="L1941" s="668" t="s">
        <v>3211</v>
      </c>
      <c r="M1941" s="963">
        <v>0.6</v>
      </c>
      <c r="N1941" s="653">
        <v>0</v>
      </c>
      <c r="O1941" s="669" t="s">
        <v>6590</v>
      </c>
      <c r="P1941" s="463" t="s">
        <v>1588</v>
      </c>
      <c r="Q1941" s="852">
        <v>0</v>
      </c>
      <c r="R1941" s="852">
        <v>0</v>
      </c>
      <c r="S1941" s="852">
        <v>0</v>
      </c>
      <c r="T1941" s="852">
        <v>0</v>
      </c>
      <c r="U1941" s="463" t="s">
        <v>7520</v>
      </c>
      <c r="V1941" s="463" t="s">
        <v>8395</v>
      </c>
      <c r="W1941" s="498">
        <v>385</v>
      </c>
      <c r="X1941" s="463" t="s">
        <v>1532</v>
      </c>
      <c r="Y1941" s="463" t="s">
        <v>1533</v>
      </c>
      <c r="Z1941" s="463" t="s">
        <v>8393</v>
      </c>
      <c r="AA1941" s="463"/>
      <c r="AB1941" s="459" t="s">
        <v>1587</v>
      </c>
    </row>
    <row r="1942" spans="1:28" ht="24" customHeight="1">
      <c r="A1942" s="584"/>
      <c r="B1942" s="460" t="s">
        <v>675</v>
      </c>
      <c r="C1942" s="458" t="s">
        <v>8396</v>
      </c>
      <c r="D1942" s="510" t="s">
        <v>8397</v>
      </c>
      <c r="E1942" s="498">
        <f t="shared" si="130"/>
        <v>50</v>
      </c>
      <c r="F1942" s="498">
        <v>0</v>
      </c>
      <c r="G1942" s="498">
        <v>50</v>
      </c>
      <c r="H1942" s="498">
        <v>0</v>
      </c>
      <c r="I1942" s="498">
        <f t="shared" si="131"/>
        <v>20</v>
      </c>
      <c r="J1942" s="498">
        <v>0</v>
      </c>
      <c r="K1942" s="498">
        <v>20</v>
      </c>
      <c r="L1942" s="668">
        <v>0</v>
      </c>
      <c r="M1942" s="968">
        <v>0.4</v>
      </c>
      <c r="N1942" s="653">
        <v>0</v>
      </c>
      <c r="O1942" s="669" t="s">
        <v>3439</v>
      </c>
      <c r="P1942" s="463" t="s">
        <v>1588</v>
      </c>
      <c r="Q1942" s="852">
        <v>0</v>
      </c>
      <c r="R1942" s="852">
        <v>0</v>
      </c>
      <c r="S1942" s="852">
        <v>0</v>
      </c>
      <c r="T1942" s="852">
        <v>0</v>
      </c>
      <c r="U1942" s="463" t="s">
        <v>7520</v>
      </c>
      <c r="V1942" s="463" t="s">
        <v>8398</v>
      </c>
      <c r="W1942" s="498">
        <v>187</v>
      </c>
      <c r="X1942" s="463" t="s">
        <v>1532</v>
      </c>
      <c r="Y1942" s="463" t="s">
        <v>1533</v>
      </c>
      <c r="Z1942" s="463" t="s">
        <v>8399</v>
      </c>
      <c r="AA1942" s="463"/>
      <c r="AB1942" s="459" t="s">
        <v>1587</v>
      </c>
    </row>
    <row r="1943" spans="1:28" ht="24" customHeight="1">
      <c r="A1943" s="584"/>
      <c r="B1943" s="460" t="s">
        <v>675</v>
      </c>
      <c r="C1943" s="458" t="s">
        <v>8400</v>
      </c>
      <c r="D1943" s="510" t="s">
        <v>8401</v>
      </c>
      <c r="E1943" s="498">
        <f t="shared" si="130"/>
        <v>70</v>
      </c>
      <c r="F1943" s="498">
        <v>0</v>
      </c>
      <c r="G1943" s="498">
        <v>70</v>
      </c>
      <c r="H1943" s="498">
        <v>0</v>
      </c>
      <c r="I1943" s="498">
        <f t="shared" si="131"/>
        <v>35</v>
      </c>
      <c r="J1943" s="498">
        <v>0</v>
      </c>
      <c r="K1943" s="498">
        <v>35</v>
      </c>
      <c r="L1943" s="668">
        <v>0</v>
      </c>
      <c r="M1943" s="956">
        <v>0.5</v>
      </c>
      <c r="N1943" s="653">
        <v>0</v>
      </c>
      <c r="O1943" s="669" t="s">
        <v>6590</v>
      </c>
      <c r="P1943" s="463" t="s">
        <v>1588</v>
      </c>
      <c r="Q1943" s="852">
        <v>0</v>
      </c>
      <c r="R1943" s="852">
        <v>0</v>
      </c>
      <c r="S1943" s="852">
        <v>0</v>
      </c>
      <c r="T1943" s="852">
        <v>0</v>
      </c>
      <c r="U1943" s="463" t="s">
        <v>7520</v>
      </c>
      <c r="V1943" s="463" t="s">
        <v>4230</v>
      </c>
      <c r="W1943" s="498">
        <v>373</v>
      </c>
      <c r="X1943" s="463" t="s">
        <v>1532</v>
      </c>
      <c r="Y1943" s="463" t="s">
        <v>1533</v>
      </c>
      <c r="Z1943" s="463" t="s">
        <v>8402</v>
      </c>
      <c r="AA1943" s="463"/>
      <c r="AB1943" s="459" t="s">
        <v>1587</v>
      </c>
    </row>
    <row r="1944" spans="1:28" ht="24" customHeight="1">
      <c r="A1944" s="584"/>
      <c r="B1944" s="460" t="s">
        <v>675</v>
      </c>
      <c r="C1944" s="458" t="s">
        <v>8403</v>
      </c>
      <c r="D1944" s="510" t="s">
        <v>8404</v>
      </c>
      <c r="E1944" s="498">
        <f t="shared" si="130"/>
        <v>49</v>
      </c>
      <c r="F1944" s="498">
        <v>0</v>
      </c>
      <c r="G1944" s="498">
        <v>49</v>
      </c>
      <c r="H1944" s="498">
        <v>0</v>
      </c>
      <c r="I1944" s="498">
        <f t="shared" si="131"/>
        <v>26</v>
      </c>
      <c r="J1944" s="498">
        <v>0</v>
      </c>
      <c r="K1944" s="498">
        <v>26</v>
      </c>
      <c r="L1944" s="668">
        <v>0</v>
      </c>
      <c r="M1944" s="956">
        <v>0.53061224489795922</v>
      </c>
      <c r="N1944" s="653">
        <v>0</v>
      </c>
      <c r="O1944" s="669" t="s">
        <v>8405</v>
      </c>
      <c r="P1944" s="463" t="s">
        <v>1588</v>
      </c>
      <c r="Q1944" s="852">
        <v>0</v>
      </c>
      <c r="R1944" s="852">
        <v>0</v>
      </c>
      <c r="S1944" s="852">
        <v>0</v>
      </c>
      <c r="T1944" s="852">
        <v>0</v>
      </c>
      <c r="U1944" s="463" t="s">
        <v>7520</v>
      </c>
      <c r="V1944" s="463" t="s">
        <v>8406</v>
      </c>
      <c r="W1944" s="498">
        <v>200</v>
      </c>
      <c r="X1944" s="463" t="s">
        <v>1532</v>
      </c>
      <c r="Y1944" s="463" t="s">
        <v>1533</v>
      </c>
      <c r="Z1944" s="463" t="s">
        <v>8407</v>
      </c>
      <c r="AA1944" s="463"/>
      <c r="AB1944" s="459" t="s">
        <v>1589</v>
      </c>
    </row>
    <row r="1945" spans="1:28" ht="24" customHeight="1">
      <c r="A1945" s="584"/>
      <c r="B1945" s="460" t="s">
        <v>675</v>
      </c>
      <c r="C1945" s="458" t="s">
        <v>8408</v>
      </c>
      <c r="D1945" s="510" t="s">
        <v>8409</v>
      </c>
      <c r="E1945" s="498">
        <f t="shared" si="130"/>
        <v>54</v>
      </c>
      <c r="F1945" s="498">
        <v>0</v>
      </c>
      <c r="G1945" s="498">
        <v>54</v>
      </c>
      <c r="H1945" s="498">
        <v>0</v>
      </c>
      <c r="I1945" s="498">
        <f t="shared" si="131"/>
        <v>50</v>
      </c>
      <c r="J1945" s="498">
        <v>0</v>
      </c>
      <c r="K1945" s="498">
        <v>50</v>
      </c>
      <c r="L1945" s="668">
        <v>0</v>
      </c>
      <c r="M1945" s="956">
        <v>0.92592592592592593</v>
      </c>
      <c r="N1945" s="653">
        <v>0</v>
      </c>
      <c r="O1945" s="669" t="s">
        <v>8410</v>
      </c>
      <c r="P1945" s="463" t="s">
        <v>1588</v>
      </c>
      <c r="Q1945" s="852">
        <v>0</v>
      </c>
      <c r="R1945" s="852">
        <v>0</v>
      </c>
      <c r="S1945" s="852">
        <v>0</v>
      </c>
      <c r="T1945" s="852">
        <v>0</v>
      </c>
      <c r="U1945" s="463" t="s">
        <v>7520</v>
      </c>
      <c r="V1945" s="463" t="s">
        <v>8411</v>
      </c>
      <c r="W1945" s="498">
        <v>246</v>
      </c>
      <c r="X1945" s="463" t="s">
        <v>1532</v>
      </c>
      <c r="Y1945" s="463" t="s">
        <v>1533</v>
      </c>
      <c r="Z1945" s="463" t="s">
        <v>8412</v>
      </c>
      <c r="AA1945" s="463"/>
      <c r="AB1945" s="459" t="s">
        <v>1587</v>
      </c>
    </row>
    <row r="1946" spans="1:28" ht="24" customHeight="1">
      <c r="A1946" s="584"/>
      <c r="B1946" s="460" t="s">
        <v>675</v>
      </c>
      <c r="C1946" s="458" t="s">
        <v>8413</v>
      </c>
      <c r="D1946" s="510" t="s">
        <v>8414</v>
      </c>
      <c r="E1946" s="498">
        <f t="shared" si="130"/>
        <v>40</v>
      </c>
      <c r="F1946" s="498">
        <v>0</v>
      </c>
      <c r="G1946" s="498">
        <v>40</v>
      </c>
      <c r="H1946" s="498">
        <v>0</v>
      </c>
      <c r="I1946" s="498">
        <f t="shared" si="131"/>
        <v>33</v>
      </c>
      <c r="J1946" s="498">
        <v>0</v>
      </c>
      <c r="K1946" s="498">
        <v>33</v>
      </c>
      <c r="L1946" s="668">
        <v>0</v>
      </c>
      <c r="M1946" s="956">
        <v>0.82499999999999996</v>
      </c>
      <c r="N1946" s="653">
        <v>0</v>
      </c>
      <c r="O1946" s="669" t="s">
        <v>8415</v>
      </c>
      <c r="P1946" s="463" t="s">
        <v>1588</v>
      </c>
      <c r="Q1946" s="852">
        <v>0</v>
      </c>
      <c r="R1946" s="852">
        <v>0</v>
      </c>
      <c r="S1946" s="852">
        <v>0</v>
      </c>
      <c r="T1946" s="852">
        <v>0</v>
      </c>
      <c r="U1946" s="463" t="s">
        <v>7520</v>
      </c>
      <c r="V1946" s="463" t="s">
        <v>8416</v>
      </c>
      <c r="W1946" s="498">
        <v>246.3</v>
      </c>
      <c r="X1946" s="463" t="s">
        <v>1532</v>
      </c>
      <c r="Y1946" s="463" t="s">
        <v>1533</v>
      </c>
      <c r="Z1946" s="463" t="s">
        <v>8417</v>
      </c>
      <c r="AA1946" s="463"/>
      <c r="AB1946" s="459" t="s">
        <v>1587</v>
      </c>
    </row>
    <row r="1947" spans="1:28" ht="24" customHeight="1">
      <c r="A1947" s="584"/>
      <c r="B1947" s="460" t="s">
        <v>675</v>
      </c>
      <c r="C1947" s="458" t="s">
        <v>1970</v>
      </c>
      <c r="D1947" s="510" t="s">
        <v>8418</v>
      </c>
      <c r="E1947" s="498">
        <f t="shared" si="130"/>
        <v>50</v>
      </c>
      <c r="F1947" s="498">
        <v>0</v>
      </c>
      <c r="G1947" s="498">
        <v>50</v>
      </c>
      <c r="H1947" s="498">
        <v>0</v>
      </c>
      <c r="I1947" s="498">
        <f t="shared" si="131"/>
        <v>25</v>
      </c>
      <c r="J1947" s="498">
        <v>0</v>
      </c>
      <c r="K1947" s="498">
        <v>25</v>
      </c>
      <c r="L1947" s="668">
        <v>0</v>
      </c>
      <c r="M1947" s="956">
        <v>0.5</v>
      </c>
      <c r="N1947" s="653">
        <v>0</v>
      </c>
      <c r="O1947" s="669" t="s">
        <v>2262</v>
      </c>
      <c r="P1947" s="463" t="s">
        <v>1588</v>
      </c>
      <c r="Q1947" s="852">
        <v>0</v>
      </c>
      <c r="R1947" s="852">
        <v>0</v>
      </c>
      <c r="S1947" s="852">
        <v>0</v>
      </c>
      <c r="T1947" s="852">
        <v>0</v>
      </c>
      <c r="U1947" s="463" t="s">
        <v>7520</v>
      </c>
      <c r="V1947" s="463" t="s">
        <v>8419</v>
      </c>
      <c r="W1947" s="498">
        <v>290</v>
      </c>
      <c r="X1947" s="463" t="s">
        <v>1532</v>
      </c>
      <c r="Y1947" s="463" t="s">
        <v>8237</v>
      </c>
      <c r="Z1947" s="463" t="s">
        <v>1590</v>
      </c>
      <c r="AA1947" s="463"/>
      <c r="AB1947" s="459" t="s">
        <v>1587</v>
      </c>
    </row>
    <row r="1948" spans="1:28" ht="24" customHeight="1">
      <c r="A1948" s="584"/>
      <c r="B1948" s="460" t="s">
        <v>675</v>
      </c>
      <c r="C1948" s="458" t="s">
        <v>8420</v>
      </c>
      <c r="D1948" s="510" t="s">
        <v>8421</v>
      </c>
      <c r="E1948" s="498">
        <f t="shared" si="130"/>
        <v>150</v>
      </c>
      <c r="F1948" s="498">
        <v>0</v>
      </c>
      <c r="G1948" s="498">
        <v>150</v>
      </c>
      <c r="H1948" s="498">
        <v>0</v>
      </c>
      <c r="I1948" s="498">
        <f t="shared" si="131"/>
        <v>85</v>
      </c>
      <c r="J1948" s="498">
        <v>0</v>
      </c>
      <c r="K1948" s="498">
        <v>85</v>
      </c>
      <c r="L1948" s="668">
        <v>0</v>
      </c>
      <c r="M1948" s="956">
        <v>0.56666666666666665</v>
      </c>
      <c r="N1948" s="653">
        <v>0</v>
      </c>
      <c r="O1948" s="770" t="s">
        <v>8422</v>
      </c>
      <c r="P1948" s="463" t="s">
        <v>1588</v>
      </c>
      <c r="Q1948" s="852">
        <v>0</v>
      </c>
      <c r="R1948" s="852">
        <v>0</v>
      </c>
      <c r="S1948" s="852">
        <v>0</v>
      </c>
      <c r="T1948" s="852">
        <v>0</v>
      </c>
      <c r="U1948" s="463" t="s">
        <v>7520</v>
      </c>
      <c r="V1948" s="458" t="s">
        <v>8423</v>
      </c>
      <c r="W1948" s="498">
        <v>400</v>
      </c>
      <c r="X1948" s="463" t="s">
        <v>1532</v>
      </c>
      <c r="Y1948" s="463" t="s">
        <v>1533</v>
      </c>
      <c r="Z1948" s="463" t="s">
        <v>8424</v>
      </c>
      <c r="AA1948" s="463"/>
      <c r="AB1948" s="459" t="s">
        <v>1587</v>
      </c>
    </row>
    <row r="1949" spans="1:28" ht="24" customHeight="1">
      <c r="A1949" s="584"/>
      <c r="B1949" s="460" t="s">
        <v>675</v>
      </c>
      <c r="C1949" s="458" t="s">
        <v>8425</v>
      </c>
      <c r="D1949" s="510" t="s">
        <v>8426</v>
      </c>
      <c r="E1949" s="498">
        <f t="shared" si="130"/>
        <v>49</v>
      </c>
      <c r="F1949" s="498">
        <v>0</v>
      </c>
      <c r="G1949" s="498">
        <v>49</v>
      </c>
      <c r="H1949" s="498">
        <v>0</v>
      </c>
      <c r="I1949" s="498">
        <f t="shared" si="131"/>
        <v>45</v>
      </c>
      <c r="J1949" s="498">
        <v>0</v>
      </c>
      <c r="K1949" s="498">
        <v>45</v>
      </c>
      <c r="L1949" s="668">
        <v>0</v>
      </c>
      <c r="M1949" s="956">
        <v>0.91836734693877564</v>
      </c>
      <c r="N1949" s="653">
        <v>0</v>
      </c>
      <c r="O1949" s="669" t="s">
        <v>8405</v>
      </c>
      <c r="P1949" s="463" t="s">
        <v>1588</v>
      </c>
      <c r="Q1949" s="852">
        <v>0</v>
      </c>
      <c r="R1949" s="852">
        <v>0</v>
      </c>
      <c r="S1949" s="852">
        <v>0</v>
      </c>
      <c r="T1949" s="852">
        <v>0</v>
      </c>
      <c r="U1949" s="463" t="s">
        <v>7520</v>
      </c>
      <c r="V1949" s="463" t="s">
        <v>8427</v>
      </c>
      <c r="W1949" s="498">
        <v>555</v>
      </c>
      <c r="X1949" s="463" t="s">
        <v>1532</v>
      </c>
      <c r="Y1949" s="463" t="s">
        <v>1533</v>
      </c>
      <c r="Z1949" s="463" t="s">
        <v>8393</v>
      </c>
      <c r="AA1949" s="463"/>
      <c r="AB1949" s="459" t="s">
        <v>1587</v>
      </c>
    </row>
    <row r="1950" spans="1:28" ht="24" customHeight="1">
      <c r="A1950" s="584"/>
      <c r="B1950" s="460" t="s">
        <v>675</v>
      </c>
      <c r="C1950" s="458" t="s">
        <v>8428</v>
      </c>
      <c r="D1950" s="510" t="s">
        <v>8429</v>
      </c>
      <c r="E1950" s="498">
        <f t="shared" si="130"/>
        <v>40</v>
      </c>
      <c r="F1950" s="498">
        <v>0</v>
      </c>
      <c r="G1950" s="498">
        <v>40</v>
      </c>
      <c r="H1950" s="498">
        <v>0</v>
      </c>
      <c r="I1950" s="498">
        <f t="shared" si="131"/>
        <v>35</v>
      </c>
      <c r="J1950" s="498">
        <v>0</v>
      </c>
      <c r="K1950" s="498">
        <v>35</v>
      </c>
      <c r="L1950" s="668">
        <v>0</v>
      </c>
      <c r="M1950" s="956">
        <v>0.875</v>
      </c>
      <c r="N1950" s="653">
        <v>0</v>
      </c>
      <c r="O1950" s="669" t="s">
        <v>2262</v>
      </c>
      <c r="P1950" s="463" t="s">
        <v>1588</v>
      </c>
      <c r="Q1950" s="852">
        <v>0</v>
      </c>
      <c r="R1950" s="852">
        <v>0</v>
      </c>
      <c r="S1950" s="852">
        <v>0</v>
      </c>
      <c r="T1950" s="852">
        <v>0</v>
      </c>
      <c r="U1950" s="463" t="s">
        <v>7520</v>
      </c>
      <c r="V1950" s="463" t="s">
        <v>8430</v>
      </c>
      <c r="W1950" s="498">
        <v>407.5</v>
      </c>
      <c r="X1950" s="463" t="s">
        <v>1532</v>
      </c>
      <c r="Y1950" s="463" t="s">
        <v>1533</v>
      </c>
      <c r="Z1950" s="463" t="s">
        <v>8431</v>
      </c>
      <c r="AA1950" s="463"/>
      <c r="AB1950" s="459" t="s">
        <v>1587</v>
      </c>
    </row>
    <row r="1951" spans="1:28" ht="24" customHeight="1">
      <c r="A1951" s="584"/>
      <c r="B1951" s="460" t="s">
        <v>675</v>
      </c>
      <c r="C1951" s="458" t="s">
        <v>8432</v>
      </c>
      <c r="D1951" s="510" t="s">
        <v>8433</v>
      </c>
      <c r="E1951" s="498">
        <f>F1951+G1951+H1951</f>
        <v>45</v>
      </c>
      <c r="F1951" s="498">
        <v>0</v>
      </c>
      <c r="G1951" s="498">
        <v>45</v>
      </c>
      <c r="H1951" s="498">
        <v>0</v>
      </c>
      <c r="I1951" s="498">
        <f t="shared" si="131"/>
        <v>40</v>
      </c>
      <c r="J1951" s="498">
        <v>0</v>
      </c>
      <c r="K1951" s="498">
        <v>40</v>
      </c>
      <c r="L1951" s="668">
        <v>0</v>
      </c>
      <c r="M1951" s="956">
        <v>0.88888888888888884</v>
      </c>
      <c r="N1951" s="653">
        <v>0</v>
      </c>
      <c r="O1951" s="669" t="s">
        <v>2262</v>
      </c>
      <c r="P1951" s="463" t="s">
        <v>1588</v>
      </c>
      <c r="Q1951" s="852">
        <v>0</v>
      </c>
      <c r="R1951" s="852">
        <v>0</v>
      </c>
      <c r="S1951" s="852">
        <v>0</v>
      </c>
      <c r="T1951" s="852">
        <v>0</v>
      </c>
      <c r="U1951" s="463" t="s">
        <v>7520</v>
      </c>
      <c r="V1951" s="463" t="s">
        <v>8430</v>
      </c>
      <c r="W1951" s="498">
        <v>467.55</v>
      </c>
      <c r="X1951" s="463" t="s">
        <v>1532</v>
      </c>
      <c r="Y1951" s="463" t="s">
        <v>1533</v>
      </c>
      <c r="Z1951" s="463" t="s">
        <v>8434</v>
      </c>
      <c r="AA1951" s="463"/>
      <c r="AB1951" s="459" t="s">
        <v>1587</v>
      </c>
    </row>
    <row r="1952" spans="1:28" ht="24" customHeight="1">
      <c r="A1952" s="582" t="s">
        <v>1945</v>
      </c>
      <c r="B1952" s="460" t="s">
        <v>2201</v>
      </c>
      <c r="C1952" s="718" t="s">
        <v>1946</v>
      </c>
      <c r="D1952" s="510" t="s">
        <v>8435</v>
      </c>
      <c r="E1952" s="653">
        <f>SUM(F1952:H1952)</f>
        <v>5600</v>
      </c>
      <c r="F1952" s="498">
        <v>0</v>
      </c>
      <c r="G1952" s="653">
        <v>5600</v>
      </c>
      <c r="H1952" s="498">
        <v>0</v>
      </c>
      <c r="I1952" s="655">
        <f t="shared" si="131"/>
        <v>6191</v>
      </c>
      <c r="J1952" s="655">
        <v>0</v>
      </c>
      <c r="K1952" s="655">
        <v>6191</v>
      </c>
      <c r="L1952" s="710">
        <v>0</v>
      </c>
      <c r="M1952" s="970">
        <v>0.98711595639246785</v>
      </c>
      <c r="N1952" s="653">
        <v>616.62360000000012</v>
      </c>
      <c r="O1952" s="669" t="s">
        <v>3173</v>
      </c>
      <c r="P1952" s="463" t="s">
        <v>1588</v>
      </c>
      <c r="Q1952" s="852">
        <v>46.31</v>
      </c>
      <c r="R1952" s="852" t="s">
        <v>1704</v>
      </c>
      <c r="S1952" s="852">
        <v>82</v>
      </c>
      <c r="T1952" s="852">
        <v>0</v>
      </c>
      <c r="U1952" s="463" t="s">
        <v>2467</v>
      </c>
      <c r="V1952" s="463" t="s">
        <v>8436</v>
      </c>
      <c r="W1952" s="498">
        <v>16365</v>
      </c>
      <c r="X1952" s="463" t="s">
        <v>2199</v>
      </c>
      <c r="Y1952" s="463" t="s">
        <v>3399</v>
      </c>
      <c r="Z1952" s="463" t="s">
        <v>2184</v>
      </c>
      <c r="AA1952" s="463" t="s">
        <v>1770</v>
      </c>
      <c r="AB1952" s="459" t="s">
        <v>1587</v>
      </c>
    </row>
    <row r="1953" spans="1:28" ht="24" customHeight="1">
      <c r="A1953" s="584"/>
      <c r="B1953" s="460" t="s">
        <v>2201</v>
      </c>
      <c r="C1953" s="458" t="s">
        <v>1947</v>
      </c>
      <c r="D1953" s="510" t="s">
        <v>8437</v>
      </c>
      <c r="E1953" s="653">
        <f>SUM(F1953:H1953)</f>
        <v>600</v>
      </c>
      <c r="F1953" s="498">
        <v>0</v>
      </c>
      <c r="G1953" s="498">
        <v>0</v>
      </c>
      <c r="H1953" s="498">
        <v>600</v>
      </c>
      <c r="I1953" s="655">
        <f t="shared" si="131"/>
        <v>418</v>
      </c>
      <c r="J1953" s="655">
        <v>0</v>
      </c>
      <c r="K1953" s="655">
        <v>0</v>
      </c>
      <c r="L1953" s="710">
        <v>418</v>
      </c>
      <c r="M1953" s="963">
        <v>0.93290322580645157</v>
      </c>
      <c r="N1953" s="653">
        <v>30.221399999999999</v>
      </c>
      <c r="O1953" s="669" t="s">
        <v>8438</v>
      </c>
      <c r="P1953" s="463" t="s">
        <v>3208</v>
      </c>
      <c r="Q1953" s="852">
        <v>0</v>
      </c>
      <c r="R1953" s="852">
        <v>0</v>
      </c>
      <c r="S1953" s="852">
        <v>0</v>
      </c>
      <c r="T1953" s="852">
        <v>0</v>
      </c>
      <c r="U1953" s="463" t="s">
        <v>8439</v>
      </c>
      <c r="V1953" s="463" t="s">
        <v>8440</v>
      </c>
      <c r="W1953" s="498">
        <v>11021</v>
      </c>
      <c r="X1953" s="463" t="s">
        <v>2199</v>
      </c>
      <c r="Y1953" s="463" t="s">
        <v>3566</v>
      </c>
      <c r="Z1953" s="463" t="s">
        <v>8441</v>
      </c>
      <c r="AA1953" s="463" t="s">
        <v>1770</v>
      </c>
      <c r="AB1953" s="459" t="s">
        <v>1587</v>
      </c>
    </row>
    <row r="1954" spans="1:28" ht="24" customHeight="1">
      <c r="A1954" s="584"/>
      <c r="B1954" s="460" t="s">
        <v>675</v>
      </c>
      <c r="C1954" s="458" t="s">
        <v>8442</v>
      </c>
      <c r="D1954" s="510" t="s">
        <v>8443</v>
      </c>
      <c r="E1954" s="653">
        <f t="shared" ref="E1954:E2015" si="132">SUM(F1954:H1954)</f>
        <v>80</v>
      </c>
      <c r="F1954" s="498">
        <v>0</v>
      </c>
      <c r="G1954" s="498">
        <v>0</v>
      </c>
      <c r="H1954" s="498">
        <v>80</v>
      </c>
      <c r="I1954" s="655">
        <f t="shared" si="131"/>
        <v>64</v>
      </c>
      <c r="J1954" s="655">
        <v>0</v>
      </c>
      <c r="K1954" s="655">
        <v>64</v>
      </c>
      <c r="L1954" s="710">
        <v>0</v>
      </c>
      <c r="M1954" s="956">
        <v>0.8</v>
      </c>
      <c r="N1954" s="653">
        <v>0</v>
      </c>
      <c r="O1954" s="699" t="s">
        <v>4410</v>
      </c>
      <c r="P1954" s="771" t="s">
        <v>1588</v>
      </c>
      <c r="Q1954" s="852">
        <v>0</v>
      </c>
      <c r="R1954" s="852">
        <v>0</v>
      </c>
      <c r="S1954" s="852">
        <v>0</v>
      </c>
      <c r="T1954" s="852">
        <v>0</v>
      </c>
      <c r="U1954" s="463" t="s">
        <v>7521</v>
      </c>
      <c r="V1954" s="498" t="s">
        <v>8444</v>
      </c>
      <c r="W1954" s="498">
        <v>200</v>
      </c>
      <c r="X1954" s="463" t="s">
        <v>2199</v>
      </c>
      <c r="Y1954" s="462" t="s">
        <v>3566</v>
      </c>
      <c r="Z1954" s="463"/>
      <c r="AA1954" s="463" t="s">
        <v>1770</v>
      </c>
      <c r="AB1954" s="459" t="s">
        <v>1587</v>
      </c>
    </row>
    <row r="1955" spans="1:28" ht="24" customHeight="1">
      <c r="A1955" s="584"/>
      <c r="B1955" s="460" t="s">
        <v>675</v>
      </c>
      <c r="C1955" s="458" t="s">
        <v>8445</v>
      </c>
      <c r="D1955" s="510" t="s">
        <v>8446</v>
      </c>
      <c r="E1955" s="653">
        <f t="shared" si="132"/>
        <v>110</v>
      </c>
      <c r="F1955" s="498">
        <v>0</v>
      </c>
      <c r="G1955" s="498">
        <v>0</v>
      </c>
      <c r="H1955" s="498">
        <v>110</v>
      </c>
      <c r="I1955" s="655">
        <f t="shared" si="131"/>
        <v>88</v>
      </c>
      <c r="J1955" s="655">
        <v>0</v>
      </c>
      <c r="K1955" s="655">
        <v>88</v>
      </c>
      <c r="L1955" s="710">
        <v>0</v>
      </c>
      <c r="M1955" s="963">
        <v>0.8</v>
      </c>
      <c r="N1955" s="653">
        <v>0</v>
      </c>
      <c r="O1955" s="699" t="s">
        <v>8447</v>
      </c>
      <c r="P1955" s="771" t="s">
        <v>1588</v>
      </c>
      <c r="Q1955" s="852">
        <v>0</v>
      </c>
      <c r="R1955" s="852">
        <v>0</v>
      </c>
      <c r="S1955" s="852">
        <v>0</v>
      </c>
      <c r="T1955" s="852">
        <v>0</v>
      </c>
      <c r="U1955" s="463" t="s">
        <v>7521</v>
      </c>
      <c r="V1955" s="498" t="s">
        <v>2112</v>
      </c>
      <c r="W1955" s="498">
        <v>385</v>
      </c>
      <c r="X1955" s="463" t="s">
        <v>2199</v>
      </c>
      <c r="Y1955" s="462" t="s">
        <v>8448</v>
      </c>
      <c r="Z1955" s="463"/>
      <c r="AA1955" s="463" t="s">
        <v>1770</v>
      </c>
      <c r="AB1955" s="459" t="s">
        <v>1587</v>
      </c>
    </row>
    <row r="1956" spans="1:28" ht="24" customHeight="1">
      <c r="A1956" s="584"/>
      <c r="B1956" s="460" t="s">
        <v>675</v>
      </c>
      <c r="C1956" s="458" t="s">
        <v>1720</v>
      </c>
      <c r="D1956" s="510" t="s">
        <v>8449</v>
      </c>
      <c r="E1956" s="653">
        <f t="shared" si="132"/>
        <v>50</v>
      </c>
      <c r="F1956" s="498">
        <v>0</v>
      </c>
      <c r="G1956" s="498">
        <v>0</v>
      </c>
      <c r="H1956" s="498">
        <v>50</v>
      </c>
      <c r="I1956" s="655">
        <f t="shared" si="131"/>
        <v>40</v>
      </c>
      <c r="J1956" s="655">
        <v>0</v>
      </c>
      <c r="K1956" s="655">
        <v>40</v>
      </c>
      <c r="L1956" s="710">
        <v>0</v>
      </c>
      <c r="M1956" s="963">
        <v>0.8</v>
      </c>
      <c r="N1956" s="653">
        <v>0</v>
      </c>
      <c r="O1956" s="699" t="s">
        <v>8450</v>
      </c>
      <c r="P1956" s="771" t="s">
        <v>1588</v>
      </c>
      <c r="Q1956" s="852">
        <v>0</v>
      </c>
      <c r="R1956" s="852">
        <v>0</v>
      </c>
      <c r="S1956" s="852">
        <v>0</v>
      </c>
      <c r="T1956" s="852">
        <v>0</v>
      </c>
      <c r="U1956" s="463" t="s">
        <v>7521</v>
      </c>
      <c r="V1956" s="498" t="s">
        <v>8451</v>
      </c>
      <c r="W1956" s="498">
        <v>235</v>
      </c>
      <c r="X1956" s="463" t="s">
        <v>2199</v>
      </c>
      <c r="Y1956" s="462" t="s">
        <v>8448</v>
      </c>
      <c r="Z1956" s="463"/>
      <c r="AA1956" s="463" t="s">
        <v>1770</v>
      </c>
      <c r="AB1956" s="459" t="s">
        <v>1587</v>
      </c>
    </row>
    <row r="1957" spans="1:28" ht="24" customHeight="1">
      <c r="A1957" s="584"/>
      <c r="B1957" s="460" t="s">
        <v>675</v>
      </c>
      <c r="C1957" s="458" t="s">
        <v>8452</v>
      </c>
      <c r="D1957" s="510" t="s">
        <v>8453</v>
      </c>
      <c r="E1957" s="653">
        <f t="shared" si="132"/>
        <v>100</v>
      </c>
      <c r="F1957" s="498">
        <v>0</v>
      </c>
      <c r="G1957" s="498">
        <v>0</v>
      </c>
      <c r="H1957" s="498">
        <v>100</v>
      </c>
      <c r="I1957" s="655">
        <f t="shared" si="131"/>
        <v>80</v>
      </c>
      <c r="J1957" s="655">
        <v>0</v>
      </c>
      <c r="K1957" s="655">
        <v>0</v>
      </c>
      <c r="L1957" s="710">
        <v>80</v>
      </c>
      <c r="M1957" s="963">
        <v>0.8</v>
      </c>
      <c r="N1957" s="653">
        <v>0</v>
      </c>
      <c r="O1957" s="699" t="s">
        <v>8454</v>
      </c>
      <c r="P1957" s="771" t="s">
        <v>1588</v>
      </c>
      <c r="Q1957" s="852">
        <v>0</v>
      </c>
      <c r="R1957" s="852">
        <v>0</v>
      </c>
      <c r="S1957" s="852">
        <v>0</v>
      </c>
      <c r="T1957" s="852">
        <v>0</v>
      </c>
      <c r="U1957" s="463" t="s">
        <v>7521</v>
      </c>
      <c r="V1957" s="498" t="s">
        <v>8455</v>
      </c>
      <c r="W1957" s="498">
        <v>483</v>
      </c>
      <c r="X1957" s="463" t="s">
        <v>2199</v>
      </c>
      <c r="Y1957" s="462" t="s">
        <v>8456</v>
      </c>
      <c r="Z1957" s="463"/>
      <c r="AA1957" s="463" t="s">
        <v>1770</v>
      </c>
      <c r="AB1957" s="459" t="s">
        <v>1587</v>
      </c>
    </row>
    <row r="1958" spans="1:28" ht="24" customHeight="1">
      <c r="A1958" s="584"/>
      <c r="B1958" s="460" t="s">
        <v>675</v>
      </c>
      <c r="C1958" s="458" t="s">
        <v>8457</v>
      </c>
      <c r="D1958" s="510" t="s">
        <v>8458</v>
      </c>
      <c r="E1958" s="653">
        <f t="shared" si="132"/>
        <v>100</v>
      </c>
      <c r="F1958" s="498">
        <v>0</v>
      </c>
      <c r="G1958" s="498">
        <v>0</v>
      </c>
      <c r="H1958" s="498">
        <v>100</v>
      </c>
      <c r="I1958" s="655">
        <f t="shared" si="131"/>
        <v>80</v>
      </c>
      <c r="J1958" s="655">
        <v>0</v>
      </c>
      <c r="K1958" s="655">
        <v>80</v>
      </c>
      <c r="L1958" s="710">
        <v>0</v>
      </c>
      <c r="M1958" s="963">
        <v>0.8</v>
      </c>
      <c r="N1958" s="653">
        <v>0</v>
      </c>
      <c r="O1958" s="699" t="s">
        <v>8459</v>
      </c>
      <c r="P1958" s="771" t="s">
        <v>1588</v>
      </c>
      <c r="Q1958" s="852">
        <v>0</v>
      </c>
      <c r="R1958" s="852">
        <v>0</v>
      </c>
      <c r="S1958" s="852">
        <v>0</v>
      </c>
      <c r="T1958" s="852">
        <v>0</v>
      </c>
      <c r="U1958" s="463" t="s">
        <v>7521</v>
      </c>
      <c r="V1958" s="498" t="s">
        <v>8460</v>
      </c>
      <c r="W1958" s="498">
        <v>395</v>
      </c>
      <c r="X1958" s="463" t="s">
        <v>2199</v>
      </c>
      <c r="Y1958" s="462" t="s">
        <v>8448</v>
      </c>
      <c r="Z1958" s="463"/>
      <c r="AA1958" s="463" t="s">
        <v>1770</v>
      </c>
      <c r="AB1958" s="459" t="s">
        <v>1587</v>
      </c>
    </row>
    <row r="1959" spans="1:28" ht="24" customHeight="1">
      <c r="A1959" s="584"/>
      <c r="B1959" s="460" t="s">
        <v>675</v>
      </c>
      <c r="C1959" s="458" t="s">
        <v>8461</v>
      </c>
      <c r="D1959" s="510" t="s">
        <v>8462</v>
      </c>
      <c r="E1959" s="653">
        <f t="shared" si="132"/>
        <v>60</v>
      </c>
      <c r="F1959" s="498">
        <v>0</v>
      </c>
      <c r="G1959" s="498">
        <v>0</v>
      </c>
      <c r="H1959" s="498">
        <v>60</v>
      </c>
      <c r="I1959" s="655">
        <f t="shared" si="131"/>
        <v>48</v>
      </c>
      <c r="J1959" s="655">
        <v>0</v>
      </c>
      <c r="K1959" s="655">
        <v>48</v>
      </c>
      <c r="L1959" s="710">
        <v>0</v>
      </c>
      <c r="M1959" s="963">
        <v>0.8</v>
      </c>
      <c r="N1959" s="653">
        <v>0</v>
      </c>
      <c r="O1959" s="699" t="s">
        <v>8463</v>
      </c>
      <c r="P1959" s="771" t="s">
        <v>1588</v>
      </c>
      <c r="Q1959" s="852">
        <v>0</v>
      </c>
      <c r="R1959" s="852">
        <v>0</v>
      </c>
      <c r="S1959" s="852">
        <v>0</v>
      </c>
      <c r="T1959" s="852">
        <v>0</v>
      </c>
      <c r="U1959" s="463" t="s">
        <v>7521</v>
      </c>
      <c r="V1959" s="498" t="s">
        <v>8464</v>
      </c>
      <c r="W1959" s="498">
        <v>221</v>
      </c>
      <c r="X1959" s="463" t="s">
        <v>2199</v>
      </c>
      <c r="Y1959" s="462" t="s">
        <v>8448</v>
      </c>
      <c r="Z1959" s="463"/>
      <c r="AA1959" s="463" t="s">
        <v>1770</v>
      </c>
      <c r="AB1959" s="459" t="s">
        <v>1587</v>
      </c>
    </row>
    <row r="1960" spans="1:28" ht="24" customHeight="1">
      <c r="A1960" s="584"/>
      <c r="B1960" s="460" t="s">
        <v>675</v>
      </c>
      <c r="C1960" s="458" t="s">
        <v>4412</v>
      </c>
      <c r="D1960" s="510" t="s">
        <v>8465</v>
      </c>
      <c r="E1960" s="653">
        <f t="shared" si="132"/>
        <v>65</v>
      </c>
      <c r="F1960" s="498">
        <v>0</v>
      </c>
      <c r="G1960" s="498">
        <v>0</v>
      </c>
      <c r="H1960" s="498">
        <v>65</v>
      </c>
      <c r="I1960" s="655">
        <f t="shared" si="131"/>
        <v>52</v>
      </c>
      <c r="J1960" s="655">
        <v>0</v>
      </c>
      <c r="K1960" s="655">
        <v>52</v>
      </c>
      <c r="L1960" s="710">
        <v>0</v>
      </c>
      <c r="M1960" s="963">
        <v>0.8</v>
      </c>
      <c r="N1960" s="653">
        <v>0</v>
      </c>
      <c r="O1960" s="699" t="s">
        <v>8466</v>
      </c>
      <c r="P1960" s="771" t="s">
        <v>1588</v>
      </c>
      <c r="Q1960" s="852">
        <v>0</v>
      </c>
      <c r="R1960" s="852">
        <v>0</v>
      </c>
      <c r="S1960" s="852">
        <v>0</v>
      </c>
      <c r="T1960" s="852">
        <v>0</v>
      </c>
      <c r="U1960" s="463" t="s">
        <v>7521</v>
      </c>
      <c r="V1960" s="498" t="s">
        <v>8467</v>
      </c>
      <c r="W1960" s="498">
        <v>270</v>
      </c>
      <c r="X1960" s="463" t="s">
        <v>2199</v>
      </c>
      <c r="Y1960" s="462" t="s">
        <v>3566</v>
      </c>
      <c r="Z1960" s="463"/>
      <c r="AA1960" s="463" t="s">
        <v>1770</v>
      </c>
      <c r="AB1960" s="459" t="s">
        <v>1587</v>
      </c>
    </row>
    <row r="1961" spans="1:28" ht="24" customHeight="1">
      <c r="A1961" s="584"/>
      <c r="B1961" s="460" t="s">
        <v>675</v>
      </c>
      <c r="C1961" s="458" t="s">
        <v>5317</v>
      </c>
      <c r="D1961" s="510" t="s">
        <v>8468</v>
      </c>
      <c r="E1961" s="653">
        <f t="shared" si="132"/>
        <v>80</v>
      </c>
      <c r="F1961" s="498">
        <v>0</v>
      </c>
      <c r="G1961" s="498">
        <v>0</v>
      </c>
      <c r="H1961" s="498">
        <v>80</v>
      </c>
      <c r="I1961" s="655">
        <f t="shared" si="131"/>
        <v>64</v>
      </c>
      <c r="J1961" s="655">
        <v>0</v>
      </c>
      <c r="K1961" s="655">
        <v>64</v>
      </c>
      <c r="L1961" s="710">
        <v>0</v>
      </c>
      <c r="M1961" s="963">
        <v>0.8</v>
      </c>
      <c r="N1961" s="653">
        <v>0</v>
      </c>
      <c r="O1961" s="699" t="s">
        <v>8469</v>
      </c>
      <c r="P1961" s="771" t="s">
        <v>1588</v>
      </c>
      <c r="Q1961" s="852">
        <v>0</v>
      </c>
      <c r="R1961" s="852">
        <v>0</v>
      </c>
      <c r="S1961" s="852">
        <v>0</v>
      </c>
      <c r="T1961" s="852">
        <v>0</v>
      </c>
      <c r="U1961" s="463" t="s">
        <v>7521</v>
      </c>
      <c r="V1961" s="498" t="s">
        <v>8470</v>
      </c>
      <c r="W1961" s="498">
        <v>341</v>
      </c>
      <c r="X1961" s="463" t="s">
        <v>2199</v>
      </c>
      <c r="Y1961" s="462" t="s">
        <v>3566</v>
      </c>
      <c r="Z1961" s="463"/>
      <c r="AA1961" s="463" t="s">
        <v>1770</v>
      </c>
      <c r="AB1961" s="459" t="s">
        <v>1587</v>
      </c>
    </row>
    <row r="1962" spans="1:28" ht="24" customHeight="1">
      <c r="A1962" s="584"/>
      <c r="B1962" s="460" t="s">
        <v>675</v>
      </c>
      <c r="C1962" s="458" t="s">
        <v>8471</v>
      </c>
      <c r="D1962" s="510" t="s">
        <v>8472</v>
      </c>
      <c r="E1962" s="653">
        <f t="shared" si="132"/>
        <v>60</v>
      </c>
      <c r="F1962" s="498">
        <v>0</v>
      </c>
      <c r="G1962" s="498">
        <v>0</v>
      </c>
      <c r="H1962" s="498">
        <v>60</v>
      </c>
      <c r="I1962" s="655">
        <f t="shared" si="131"/>
        <v>48</v>
      </c>
      <c r="J1962" s="655">
        <v>0</v>
      </c>
      <c r="K1962" s="655">
        <v>48</v>
      </c>
      <c r="L1962" s="710">
        <v>0</v>
      </c>
      <c r="M1962" s="963">
        <v>0.8</v>
      </c>
      <c r="N1962" s="653">
        <v>0</v>
      </c>
      <c r="O1962" s="699" t="s">
        <v>8473</v>
      </c>
      <c r="P1962" s="771" t="s">
        <v>1588</v>
      </c>
      <c r="Q1962" s="852">
        <v>0</v>
      </c>
      <c r="R1962" s="852">
        <v>0</v>
      </c>
      <c r="S1962" s="852">
        <v>0</v>
      </c>
      <c r="T1962" s="852">
        <v>0</v>
      </c>
      <c r="U1962" s="463" t="s">
        <v>7521</v>
      </c>
      <c r="V1962" s="498" t="s">
        <v>8474</v>
      </c>
      <c r="W1962" s="498">
        <v>228</v>
      </c>
      <c r="X1962" s="463" t="s">
        <v>2199</v>
      </c>
      <c r="Y1962" s="462" t="s">
        <v>8448</v>
      </c>
      <c r="Z1962" s="463"/>
      <c r="AA1962" s="463" t="s">
        <v>1770</v>
      </c>
      <c r="AB1962" s="459" t="s">
        <v>1587</v>
      </c>
    </row>
    <row r="1963" spans="1:28" ht="24" customHeight="1">
      <c r="A1963" s="584"/>
      <c r="B1963" s="460" t="s">
        <v>675</v>
      </c>
      <c r="C1963" s="458" t="s">
        <v>8475</v>
      </c>
      <c r="D1963" s="510" t="s">
        <v>8476</v>
      </c>
      <c r="E1963" s="653">
        <f t="shared" si="132"/>
        <v>80</v>
      </c>
      <c r="F1963" s="498">
        <v>0</v>
      </c>
      <c r="G1963" s="498">
        <v>0</v>
      </c>
      <c r="H1963" s="498">
        <v>80</v>
      </c>
      <c r="I1963" s="655">
        <f t="shared" si="131"/>
        <v>64</v>
      </c>
      <c r="J1963" s="655">
        <v>0</v>
      </c>
      <c r="K1963" s="655">
        <v>0</v>
      </c>
      <c r="L1963" s="710">
        <v>64</v>
      </c>
      <c r="M1963" s="963">
        <v>0.8</v>
      </c>
      <c r="N1963" s="653">
        <v>0</v>
      </c>
      <c r="O1963" s="699" t="s">
        <v>8477</v>
      </c>
      <c r="P1963" s="771" t="s">
        <v>1588</v>
      </c>
      <c r="Q1963" s="852">
        <v>0</v>
      </c>
      <c r="R1963" s="852">
        <v>0</v>
      </c>
      <c r="S1963" s="852">
        <v>0</v>
      </c>
      <c r="T1963" s="852">
        <v>0</v>
      </c>
      <c r="U1963" s="463" t="s">
        <v>7521</v>
      </c>
      <c r="V1963" s="498" t="s">
        <v>8478</v>
      </c>
      <c r="W1963" s="498">
        <v>230</v>
      </c>
      <c r="X1963" s="463" t="s">
        <v>2199</v>
      </c>
      <c r="Y1963" s="462" t="s">
        <v>8448</v>
      </c>
      <c r="Z1963" s="463"/>
      <c r="AA1963" s="463" t="s">
        <v>1770</v>
      </c>
      <c r="AB1963" s="459" t="s">
        <v>1587</v>
      </c>
    </row>
    <row r="1964" spans="1:28" ht="24" customHeight="1">
      <c r="A1964" s="584"/>
      <c r="B1964" s="460" t="s">
        <v>675</v>
      </c>
      <c r="C1964" s="458" t="s">
        <v>8479</v>
      </c>
      <c r="D1964" s="510" t="s">
        <v>8480</v>
      </c>
      <c r="E1964" s="653">
        <f t="shared" si="132"/>
        <v>50</v>
      </c>
      <c r="F1964" s="498">
        <v>0</v>
      </c>
      <c r="G1964" s="498">
        <v>0</v>
      </c>
      <c r="H1964" s="498">
        <v>50</v>
      </c>
      <c r="I1964" s="655">
        <f t="shared" si="131"/>
        <v>40</v>
      </c>
      <c r="J1964" s="655">
        <v>0</v>
      </c>
      <c r="K1964" s="655">
        <v>40</v>
      </c>
      <c r="L1964" s="710">
        <v>0</v>
      </c>
      <c r="M1964" s="963">
        <v>0.8</v>
      </c>
      <c r="N1964" s="653">
        <v>0</v>
      </c>
      <c r="O1964" s="699" t="s">
        <v>6980</v>
      </c>
      <c r="P1964" s="771" t="s">
        <v>1588</v>
      </c>
      <c r="Q1964" s="852">
        <v>0</v>
      </c>
      <c r="R1964" s="852">
        <v>0</v>
      </c>
      <c r="S1964" s="852">
        <v>0</v>
      </c>
      <c r="T1964" s="852">
        <v>0</v>
      </c>
      <c r="U1964" s="463" t="s">
        <v>7521</v>
      </c>
      <c r="V1964" s="498" t="s">
        <v>8481</v>
      </c>
      <c r="W1964" s="498">
        <v>207</v>
      </c>
      <c r="X1964" s="463" t="s">
        <v>2199</v>
      </c>
      <c r="Y1964" s="462" t="s">
        <v>3566</v>
      </c>
      <c r="Z1964" s="463"/>
      <c r="AA1964" s="463" t="s">
        <v>1770</v>
      </c>
      <c r="AB1964" s="459" t="s">
        <v>1587</v>
      </c>
    </row>
    <row r="1965" spans="1:28" ht="24" customHeight="1">
      <c r="A1965" s="584"/>
      <c r="B1965" s="460" t="s">
        <v>675</v>
      </c>
      <c r="C1965" s="458" t="s">
        <v>8482</v>
      </c>
      <c r="D1965" s="510" t="s">
        <v>8483</v>
      </c>
      <c r="E1965" s="653">
        <f t="shared" si="132"/>
        <v>60</v>
      </c>
      <c r="F1965" s="498">
        <v>0</v>
      </c>
      <c r="G1965" s="498">
        <v>0</v>
      </c>
      <c r="H1965" s="498">
        <v>60</v>
      </c>
      <c r="I1965" s="655">
        <f t="shared" si="131"/>
        <v>48</v>
      </c>
      <c r="J1965" s="655">
        <v>0</v>
      </c>
      <c r="K1965" s="655">
        <v>48</v>
      </c>
      <c r="L1965" s="710">
        <v>0</v>
      </c>
      <c r="M1965" s="963">
        <v>0.8</v>
      </c>
      <c r="N1965" s="653">
        <v>0</v>
      </c>
      <c r="O1965" s="699" t="s">
        <v>8484</v>
      </c>
      <c r="P1965" s="771" t="s">
        <v>1588</v>
      </c>
      <c r="Q1965" s="852">
        <v>0</v>
      </c>
      <c r="R1965" s="852">
        <v>0</v>
      </c>
      <c r="S1965" s="852">
        <v>0</v>
      </c>
      <c r="T1965" s="852">
        <v>0</v>
      </c>
      <c r="U1965" s="463" t="s">
        <v>7521</v>
      </c>
      <c r="V1965" s="498" t="s">
        <v>5724</v>
      </c>
      <c r="W1965" s="498">
        <v>191</v>
      </c>
      <c r="X1965" s="463" t="s">
        <v>2199</v>
      </c>
      <c r="Y1965" s="462" t="s">
        <v>3566</v>
      </c>
      <c r="Z1965" s="463"/>
      <c r="AA1965" s="463" t="s">
        <v>1770</v>
      </c>
      <c r="AB1965" s="459" t="s">
        <v>1587</v>
      </c>
    </row>
    <row r="1966" spans="1:28" ht="24" customHeight="1">
      <c r="A1966" s="584"/>
      <c r="B1966" s="460" t="s">
        <v>675</v>
      </c>
      <c r="C1966" s="458" t="s">
        <v>8485</v>
      </c>
      <c r="D1966" s="510" t="s">
        <v>8486</v>
      </c>
      <c r="E1966" s="653">
        <f t="shared" si="132"/>
        <v>50</v>
      </c>
      <c r="F1966" s="498">
        <v>0</v>
      </c>
      <c r="G1966" s="498">
        <v>0</v>
      </c>
      <c r="H1966" s="498">
        <v>50</v>
      </c>
      <c r="I1966" s="655">
        <f t="shared" si="131"/>
        <v>40</v>
      </c>
      <c r="J1966" s="655">
        <v>0</v>
      </c>
      <c r="K1966" s="655">
        <v>40</v>
      </c>
      <c r="L1966" s="710">
        <v>0</v>
      </c>
      <c r="M1966" s="963">
        <v>0.8</v>
      </c>
      <c r="N1966" s="653">
        <v>0</v>
      </c>
      <c r="O1966" s="699" t="s">
        <v>6980</v>
      </c>
      <c r="P1966" s="771" t="s">
        <v>1588</v>
      </c>
      <c r="Q1966" s="852">
        <v>0</v>
      </c>
      <c r="R1966" s="852">
        <v>0</v>
      </c>
      <c r="S1966" s="852">
        <v>0</v>
      </c>
      <c r="T1966" s="852">
        <v>0</v>
      </c>
      <c r="U1966" s="463" t="s">
        <v>7521</v>
      </c>
      <c r="V1966" s="498" t="s">
        <v>8487</v>
      </c>
      <c r="W1966" s="498">
        <v>227</v>
      </c>
      <c r="X1966" s="463" t="s">
        <v>2199</v>
      </c>
      <c r="Y1966" s="462" t="s">
        <v>3566</v>
      </c>
      <c r="Z1966" s="463"/>
      <c r="AA1966" s="463" t="s">
        <v>1770</v>
      </c>
      <c r="AB1966" s="459" t="s">
        <v>1587</v>
      </c>
    </row>
    <row r="1967" spans="1:28" ht="24" customHeight="1">
      <c r="A1967" s="584"/>
      <c r="B1967" s="460" t="s">
        <v>675</v>
      </c>
      <c r="C1967" s="458" t="s">
        <v>5732</v>
      </c>
      <c r="D1967" s="510" t="s">
        <v>8488</v>
      </c>
      <c r="E1967" s="653">
        <f t="shared" si="132"/>
        <v>110</v>
      </c>
      <c r="F1967" s="498">
        <v>0</v>
      </c>
      <c r="G1967" s="498">
        <v>0</v>
      </c>
      <c r="H1967" s="498">
        <v>110</v>
      </c>
      <c r="I1967" s="655">
        <f t="shared" si="131"/>
        <v>88</v>
      </c>
      <c r="J1967" s="655">
        <v>0</v>
      </c>
      <c r="K1967" s="655">
        <v>88</v>
      </c>
      <c r="L1967" s="710">
        <v>0</v>
      </c>
      <c r="M1967" s="963">
        <v>0.8</v>
      </c>
      <c r="N1967" s="653">
        <v>0</v>
      </c>
      <c r="O1967" s="699" t="s">
        <v>8469</v>
      </c>
      <c r="P1967" s="771" t="s">
        <v>1588</v>
      </c>
      <c r="Q1967" s="852">
        <v>0</v>
      </c>
      <c r="R1967" s="852">
        <v>0</v>
      </c>
      <c r="S1967" s="852">
        <v>0</v>
      </c>
      <c r="T1967" s="852">
        <v>0</v>
      </c>
      <c r="U1967" s="463" t="s">
        <v>7521</v>
      </c>
      <c r="V1967" s="498" t="s">
        <v>3375</v>
      </c>
      <c r="W1967" s="498">
        <v>604</v>
      </c>
      <c r="X1967" s="463" t="s">
        <v>2199</v>
      </c>
      <c r="Y1967" s="462" t="s">
        <v>3566</v>
      </c>
      <c r="Z1967" s="463"/>
      <c r="AA1967" s="463" t="s">
        <v>1770</v>
      </c>
      <c r="AB1967" s="459" t="s">
        <v>1587</v>
      </c>
    </row>
    <row r="1968" spans="1:28" ht="24" customHeight="1">
      <c r="A1968" s="584"/>
      <c r="B1968" s="460" t="s">
        <v>675</v>
      </c>
      <c r="C1968" s="458" t="s">
        <v>8489</v>
      </c>
      <c r="D1968" s="510" t="s">
        <v>8490</v>
      </c>
      <c r="E1968" s="653">
        <f t="shared" si="132"/>
        <v>100</v>
      </c>
      <c r="F1968" s="498">
        <v>0</v>
      </c>
      <c r="G1968" s="498">
        <v>0</v>
      </c>
      <c r="H1968" s="498">
        <v>100</v>
      </c>
      <c r="I1968" s="655">
        <f t="shared" si="131"/>
        <v>80</v>
      </c>
      <c r="J1968" s="655">
        <v>0</v>
      </c>
      <c r="K1968" s="655">
        <v>80</v>
      </c>
      <c r="L1968" s="710">
        <v>0</v>
      </c>
      <c r="M1968" s="963">
        <v>0.8</v>
      </c>
      <c r="N1968" s="653">
        <v>0</v>
      </c>
      <c r="O1968" s="699" t="s">
        <v>8491</v>
      </c>
      <c r="P1968" s="771" t="s">
        <v>1588</v>
      </c>
      <c r="Q1968" s="852">
        <v>0</v>
      </c>
      <c r="R1968" s="852">
        <v>0</v>
      </c>
      <c r="S1968" s="852">
        <v>0</v>
      </c>
      <c r="T1968" s="852">
        <v>0</v>
      </c>
      <c r="U1968" s="463" t="s">
        <v>7521</v>
      </c>
      <c r="V1968" s="498" t="s">
        <v>8492</v>
      </c>
      <c r="W1968" s="498">
        <v>324</v>
      </c>
      <c r="X1968" s="463" t="s">
        <v>2199</v>
      </c>
      <c r="Y1968" s="462" t="s">
        <v>8448</v>
      </c>
      <c r="Z1968" s="463"/>
      <c r="AA1968" s="498" t="s">
        <v>1770</v>
      </c>
      <c r="AB1968" s="459" t="s">
        <v>1587</v>
      </c>
    </row>
    <row r="1969" spans="1:28" ht="24" customHeight="1">
      <c r="A1969" s="584"/>
      <c r="B1969" s="460" t="s">
        <v>675</v>
      </c>
      <c r="C1969" s="458" t="s">
        <v>8493</v>
      </c>
      <c r="D1969" s="510" t="s">
        <v>8494</v>
      </c>
      <c r="E1969" s="653">
        <f t="shared" si="132"/>
        <v>100</v>
      </c>
      <c r="F1969" s="498">
        <v>0</v>
      </c>
      <c r="G1969" s="498">
        <v>0</v>
      </c>
      <c r="H1969" s="498">
        <v>100</v>
      </c>
      <c r="I1969" s="655">
        <f t="shared" ref="I1969:I2028" si="133">SUM(J1969:L1969)</f>
        <v>80</v>
      </c>
      <c r="J1969" s="655">
        <v>0</v>
      </c>
      <c r="K1969" s="655">
        <v>80</v>
      </c>
      <c r="L1969" s="710">
        <v>0</v>
      </c>
      <c r="M1969" s="963">
        <v>0.8</v>
      </c>
      <c r="N1969" s="653">
        <v>0</v>
      </c>
      <c r="O1969" s="699" t="s">
        <v>8495</v>
      </c>
      <c r="P1969" s="771" t="s">
        <v>1588</v>
      </c>
      <c r="Q1969" s="852">
        <v>0</v>
      </c>
      <c r="R1969" s="852">
        <v>0</v>
      </c>
      <c r="S1969" s="852">
        <v>0</v>
      </c>
      <c r="T1969" s="852">
        <v>0</v>
      </c>
      <c r="U1969" s="463" t="s">
        <v>7521</v>
      </c>
      <c r="V1969" s="498" t="s">
        <v>8496</v>
      </c>
      <c r="W1969" s="498">
        <v>346</v>
      </c>
      <c r="X1969" s="463" t="s">
        <v>2199</v>
      </c>
      <c r="Y1969" s="462" t="s">
        <v>8448</v>
      </c>
      <c r="Z1969" s="463"/>
      <c r="AA1969" s="498" t="s">
        <v>1770</v>
      </c>
      <c r="AB1969" s="459" t="s">
        <v>1587</v>
      </c>
    </row>
    <row r="1970" spans="1:28" ht="24" customHeight="1">
      <c r="A1970" s="584"/>
      <c r="B1970" s="460" t="s">
        <v>675</v>
      </c>
      <c r="C1970" s="458" t="s">
        <v>8497</v>
      </c>
      <c r="D1970" s="510" t="s">
        <v>8498</v>
      </c>
      <c r="E1970" s="653">
        <f t="shared" si="132"/>
        <v>100</v>
      </c>
      <c r="F1970" s="498">
        <v>0</v>
      </c>
      <c r="G1970" s="498">
        <v>0</v>
      </c>
      <c r="H1970" s="498">
        <v>100</v>
      </c>
      <c r="I1970" s="655">
        <f t="shared" si="133"/>
        <v>80</v>
      </c>
      <c r="J1970" s="655">
        <v>0</v>
      </c>
      <c r="K1970" s="655">
        <v>80</v>
      </c>
      <c r="L1970" s="710">
        <v>0</v>
      </c>
      <c r="M1970" s="963">
        <v>0.8</v>
      </c>
      <c r="N1970" s="653">
        <v>0</v>
      </c>
      <c r="O1970" s="699" t="s">
        <v>8499</v>
      </c>
      <c r="P1970" s="771" t="s">
        <v>1588</v>
      </c>
      <c r="Q1970" s="852">
        <v>0</v>
      </c>
      <c r="R1970" s="852">
        <v>0</v>
      </c>
      <c r="S1970" s="852">
        <v>0</v>
      </c>
      <c r="T1970" s="852">
        <v>0</v>
      </c>
      <c r="U1970" s="463" t="s">
        <v>7521</v>
      </c>
      <c r="V1970" s="498" t="s">
        <v>8500</v>
      </c>
      <c r="W1970" s="498">
        <v>271</v>
      </c>
      <c r="X1970" s="463" t="s">
        <v>2199</v>
      </c>
      <c r="Y1970" s="462" t="s">
        <v>8448</v>
      </c>
      <c r="Z1970" s="463"/>
      <c r="AA1970" s="498" t="s">
        <v>1770</v>
      </c>
      <c r="AB1970" s="459" t="s">
        <v>1587</v>
      </c>
    </row>
    <row r="1971" spans="1:28" ht="24" customHeight="1">
      <c r="A1971" s="584"/>
      <c r="B1971" s="460" t="s">
        <v>675</v>
      </c>
      <c r="C1971" s="458" t="s">
        <v>8501</v>
      </c>
      <c r="D1971" s="510" t="s">
        <v>8502</v>
      </c>
      <c r="E1971" s="653">
        <f t="shared" si="132"/>
        <v>58</v>
      </c>
      <c r="F1971" s="498">
        <v>0</v>
      </c>
      <c r="G1971" s="498">
        <v>0</v>
      </c>
      <c r="H1971" s="498">
        <v>58</v>
      </c>
      <c r="I1971" s="655">
        <f t="shared" si="133"/>
        <v>46</v>
      </c>
      <c r="J1971" s="655">
        <v>0</v>
      </c>
      <c r="K1971" s="655">
        <v>0</v>
      </c>
      <c r="L1971" s="710">
        <v>46</v>
      </c>
      <c r="M1971" s="963">
        <v>0.7931034482758621</v>
      </c>
      <c r="N1971" s="653">
        <v>0</v>
      </c>
      <c r="O1971" s="699" t="s">
        <v>8503</v>
      </c>
      <c r="P1971" s="771" t="s">
        <v>1588</v>
      </c>
      <c r="Q1971" s="852">
        <v>0</v>
      </c>
      <c r="R1971" s="852">
        <v>0</v>
      </c>
      <c r="S1971" s="852">
        <v>0</v>
      </c>
      <c r="T1971" s="852">
        <v>0</v>
      </c>
      <c r="U1971" s="463" t="s">
        <v>7521</v>
      </c>
      <c r="V1971" s="498" t="s">
        <v>8504</v>
      </c>
      <c r="W1971" s="498">
        <v>172</v>
      </c>
      <c r="X1971" s="463" t="s">
        <v>2199</v>
      </c>
      <c r="Y1971" s="462" t="s">
        <v>8448</v>
      </c>
      <c r="Z1971" s="463"/>
      <c r="AA1971" s="498" t="s">
        <v>1770</v>
      </c>
      <c r="AB1971" s="459" t="s">
        <v>1587</v>
      </c>
    </row>
    <row r="1972" spans="1:28" ht="24" customHeight="1">
      <c r="A1972" s="584"/>
      <c r="B1972" s="460" t="s">
        <v>675</v>
      </c>
      <c r="C1972" s="458" t="s">
        <v>8505</v>
      </c>
      <c r="D1972" s="510" t="s">
        <v>8506</v>
      </c>
      <c r="E1972" s="653">
        <f t="shared" si="132"/>
        <v>110</v>
      </c>
      <c r="F1972" s="498">
        <v>0</v>
      </c>
      <c r="G1972" s="498">
        <v>0</v>
      </c>
      <c r="H1972" s="498">
        <v>110</v>
      </c>
      <c r="I1972" s="655">
        <f t="shared" si="133"/>
        <v>88</v>
      </c>
      <c r="J1972" s="655">
        <v>0</v>
      </c>
      <c r="K1972" s="655">
        <v>88</v>
      </c>
      <c r="L1972" s="710">
        <v>0</v>
      </c>
      <c r="M1972" s="963">
        <v>0.8</v>
      </c>
      <c r="N1972" s="653">
        <v>0</v>
      </c>
      <c r="O1972" s="699" t="s">
        <v>6980</v>
      </c>
      <c r="P1972" s="771" t="s">
        <v>1588</v>
      </c>
      <c r="Q1972" s="852">
        <v>0</v>
      </c>
      <c r="R1972" s="852">
        <v>0</v>
      </c>
      <c r="S1972" s="852">
        <v>0</v>
      </c>
      <c r="T1972" s="852">
        <v>0</v>
      </c>
      <c r="U1972" s="463" t="s">
        <v>7521</v>
      </c>
      <c r="V1972" s="498" t="s">
        <v>8507</v>
      </c>
      <c r="W1972" s="498">
        <v>375</v>
      </c>
      <c r="X1972" s="463" t="s">
        <v>2199</v>
      </c>
      <c r="Y1972" s="462" t="s">
        <v>8448</v>
      </c>
      <c r="Z1972" s="463"/>
      <c r="AA1972" s="498" t="s">
        <v>1770</v>
      </c>
      <c r="AB1972" s="459" t="s">
        <v>1587</v>
      </c>
    </row>
    <row r="1973" spans="1:28" ht="24" customHeight="1">
      <c r="A1973" s="584"/>
      <c r="B1973" s="460" t="s">
        <v>675</v>
      </c>
      <c r="C1973" s="458" t="s">
        <v>8508</v>
      </c>
      <c r="D1973" s="510" t="s">
        <v>8509</v>
      </c>
      <c r="E1973" s="653">
        <f t="shared" si="132"/>
        <v>300</v>
      </c>
      <c r="F1973" s="498">
        <v>0</v>
      </c>
      <c r="G1973" s="498">
        <v>0</v>
      </c>
      <c r="H1973" s="498">
        <v>300</v>
      </c>
      <c r="I1973" s="655">
        <f t="shared" si="133"/>
        <v>240</v>
      </c>
      <c r="J1973" s="655">
        <v>0</v>
      </c>
      <c r="K1973" s="655">
        <v>0</v>
      </c>
      <c r="L1973" s="710">
        <v>240</v>
      </c>
      <c r="M1973" s="963">
        <v>0.8</v>
      </c>
      <c r="N1973" s="653">
        <v>0</v>
      </c>
      <c r="O1973" s="699" t="s">
        <v>8454</v>
      </c>
      <c r="P1973" s="771" t="s">
        <v>1588</v>
      </c>
      <c r="Q1973" s="852">
        <v>0</v>
      </c>
      <c r="R1973" s="852">
        <v>0</v>
      </c>
      <c r="S1973" s="852">
        <v>0</v>
      </c>
      <c r="T1973" s="852">
        <v>0</v>
      </c>
      <c r="U1973" s="463" t="s">
        <v>7521</v>
      </c>
      <c r="V1973" s="498" t="s">
        <v>4465</v>
      </c>
      <c r="W1973" s="498">
        <v>689</v>
      </c>
      <c r="X1973" s="463" t="s">
        <v>2199</v>
      </c>
      <c r="Y1973" s="462" t="s">
        <v>8456</v>
      </c>
      <c r="Z1973" s="463"/>
      <c r="AA1973" s="498" t="s">
        <v>1770</v>
      </c>
      <c r="AB1973" s="459" t="s">
        <v>1587</v>
      </c>
    </row>
    <row r="1974" spans="1:28" ht="24" customHeight="1">
      <c r="A1974" s="584"/>
      <c r="B1974" s="460" t="s">
        <v>675</v>
      </c>
      <c r="C1974" s="458" t="s">
        <v>8501</v>
      </c>
      <c r="D1974" s="510" t="s">
        <v>8510</v>
      </c>
      <c r="E1974" s="653">
        <f t="shared" si="132"/>
        <v>58</v>
      </c>
      <c r="F1974" s="498">
        <v>0</v>
      </c>
      <c r="G1974" s="498">
        <v>0</v>
      </c>
      <c r="H1974" s="498">
        <v>58</v>
      </c>
      <c r="I1974" s="655">
        <f t="shared" si="133"/>
        <v>40</v>
      </c>
      <c r="J1974" s="655">
        <v>0</v>
      </c>
      <c r="K1974" s="655">
        <v>0</v>
      </c>
      <c r="L1974" s="710">
        <v>40</v>
      </c>
      <c r="M1974" s="963">
        <v>0.68965517241379315</v>
      </c>
      <c r="N1974" s="653">
        <v>0</v>
      </c>
      <c r="O1974" s="699" t="s">
        <v>8503</v>
      </c>
      <c r="P1974" s="462" t="s">
        <v>1588</v>
      </c>
      <c r="Q1974" s="852">
        <v>0</v>
      </c>
      <c r="R1974" s="852">
        <v>0</v>
      </c>
      <c r="S1974" s="852">
        <v>0</v>
      </c>
      <c r="T1974" s="852">
        <v>0</v>
      </c>
      <c r="U1974" s="463" t="s">
        <v>7521</v>
      </c>
      <c r="V1974" s="498" t="s">
        <v>8504</v>
      </c>
      <c r="W1974" s="498">
        <v>172000</v>
      </c>
      <c r="X1974" s="463" t="s">
        <v>2199</v>
      </c>
      <c r="Y1974" s="462" t="s">
        <v>8448</v>
      </c>
      <c r="Z1974" s="463"/>
      <c r="AA1974" s="498" t="s">
        <v>1770</v>
      </c>
      <c r="AB1974" s="459" t="s">
        <v>1770</v>
      </c>
    </row>
    <row r="1975" spans="1:28" ht="24" customHeight="1">
      <c r="A1975" s="584"/>
      <c r="B1975" s="460" t="s">
        <v>675</v>
      </c>
      <c r="C1975" s="458" t="s">
        <v>8505</v>
      </c>
      <c r="D1975" s="510" t="s">
        <v>8511</v>
      </c>
      <c r="E1975" s="653">
        <f t="shared" si="132"/>
        <v>110</v>
      </c>
      <c r="F1975" s="498">
        <v>0</v>
      </c>
      <c r="G1975" s="498">
        <v>0</v>
      </c>
      <c r="H1975" s="498">
        <v>110</v>
      </c>
      <c r="I1975" s="655">
        <f t="shared" si="133"/>
        <v>77</v>
      </c>
      <c r="J1975" s="655">
        <v>0</v>
      </c>
      <c r="K1975" s="655">
        <v>77</v>
      </c>
      <c r="L1975" s="710">
        <v>0</v>
      </c>
      <c r="M1975" s="963">
        <v>0.7</v>
      </c>
      <c r="N1975" s="653">
        <v>0</v>
      </c>
      <c r="O1975" s="699" t="s">
        <v>6980</v>
      </c>
      <c r="P1975" s="462" t="s">
        <v>1588</v>
      </c>
      <c r="Q1975" s="852">
        <v>0</v>
      </c>
      <c r="R1975" s="852">
        <v>0</v>
      </c>
      <c r="S1975" s="852">
        <v>0</v>
      </c>
      <c r="T1975" s="852">
        <v>0</v>
      </c>
      <c r="U1975" s="463" t="s">
        <v>7521</v>
      </c>
      <c r="V1975" s="498" t="s">
        <v>8507</v>
      </c>
      <c r="W1975" s="498">
        <v>375000</v>
      </c>
      <c r="X1975" s="463" t="s">
        <v>2199</v>
      </c>
      <c r="Y1975" s="462" t="s">
        <v>3566</v>
      </c>
      <c r="Z1975" s="463"/>
      <c r="AA1975" s="498" t="s">
        <v>1770</v>
      </c>
      <c r="AB1975" s="459" t="s">
        <v>1770</v>
      </c>
    </row>
    <row r="1976" spans="1:28" ht="24" customHeight="1">
      <c r="A1976" s="584"/>
      <c r="B1976" s="460" t="s">
        <v>675</v>
      </c>
      <c r="C1976" s="458" t="s">
        <v>8508</v>
      </c>
      <c r="D1976" s="510" t="s">
        <v>8512</v>
      </c>
      <c r="E1976" s="653">
        <f t="shared" si="132"/>
        <v>300</v>
      </c>
      <c r="F1976" s="498">
        <v>0</v>
      </c>
      <c r="G1976" s="498">
        <v>0</v>
      </c>
      <c r="H1976" s="498">
        <v>300</v>
      </c>
      <c r="I1976" s="655">
        <f t="shared" si="133"/>
        <v>210</v>
      </c>
      <c r="J1976" s="655">
        <v>0</v>
      </c>
      <c r="K1976" s="655">
        <v>0</v>
      </c>
      <c r="L1976" s="710">
        <v>210</v>
      </c>
      <c r="M1976" s="963">
        <v>0.7</v>
      </c>
      <c r="N1976" s="653">
        <v>0</v>
      </c>
      <c r="O1976" s="699" t="s">
        <v>8454</v>
      </c>
      <c r="P1976" s="462" t="s">
        <v>1588</v>
      </c>
      <c r="Q1976" s="852">
        <v>0</v>
      </c>
      <c r="R1976" s="852">
        <v>0</v>
      </c>
      <c r="S1976" s="852">
        <v>0</v>
      </c>
      <c r="T1976" s="852">
        <v>0</v>
      </c>
      <c r="U1976" s="463" t="s">
        <v>7521</v>
      </c>
      <c r="V1976" s="498" t="s">
        <v>4465</v>
      </c>
      <c r="W1976" s="498">
        <v>689000</v>
      </c>
      <c r="X1976" s="463" t="s">
        <v>2199</v>
      </c>
      <c r="Y1976" s="462" t="s">
        <v>8456</v>
      </c>
      <c r="Z1976" s="463"/>
      <c r="AA1976" s="498" t="s">
        <v>1770</v>
      </c>
      <c r="AB1976" s="459" t="s">
        <v>1770</v>
      </c>
    </row>
    <row r="1977" spans="1:28" ht="24" customHeight="1">
      <c r="A1977" s="584"/>
      <c r="B1977" s="460" t="s">
        <v>675</v>
      </c>
      <c r="C1977" s="458" t="s">
        <v>8452</v>
      </c>
      <c r="D1977" s="510" t="s">
        <v>8513</v>
      </c>
      <c r="E1977" s="653">
        <f t="shared" si="132"/>
        <v>100</v>
      </c>
      <c r="F1977" s="498">
        <v>0</v>
      </c>
      <c r="G1977" s="498">
        <v>0</v>
      </c>
      <c r="H1977" s="498">
        <v>100</v>
      </c>
      <c r="I1977" s="655">
        <f t="shared" si="133"/>
        <v>70</v>
      </c>
      <c r="J1977" s="655">
        <v>0</v>
      </c>
      <c r="K1977" s="655">
        <v>0</v>
      </c>
      <c r="L1977" s="710">
        <v>70</v>
      </c>
      <c r="M1977" s="963">
        <v>0.7</v>
      </c>
      <c r="N1977" s="653">
        <v>0</v>
      </c>
      <c r="O1977" s="699" t="s">
        <v>8454</v>
      </c>
      <c r="P1977" s="462" t="s">
        <v>1588</v>
      </c>
      <c r="Q1977" s="852">
        <v>0</v>
      </c>
      <c r="R1977" s="852">
        <v>0</v>
      </c>
      <c r="S1977" s="852">
        <v>0</v>
      </c>
      <c r="T1977" s="852">
        <v>0</v>
      </c>
      <c r="U1977" s="463" t="s">
        <v>7521</v>
      </c>
      <c r="V1977" s="498" t="s">
        <v>8455</v>
      </c>
      <c r="W1977" s="498">
        <v>483000</v>
      </c>
      <c r="X1977" s="463" t="s">
        <v>2199</v>
      </c>
      <c r="Y1977" s="462" t="s">
        <v>8456</v>
      </c>
      <c r="Z1977" s="463"/>
      <c r="AA1977" s="498" t="s">
        <v>8514</v>
      </c>
      <c r="AB1977" s="459" t="s">
        <v>1770</v>
      </c>
    </row>
    <row r="1978" spans="1:28" ht="24" customHeight="1">
      <c r="A1978" s="584"/>
      <c r="B1978" s="460" t="s">
        <v>675</v>
      </c>
      <c r="C1978" s="458" t="s">
        <v>8515</v>
      </c>
      <c r="D1978" s="510" t="s">
        <v>8516</v>
      </c>
      <c r="E1978" s="653">
        <f t="shared" si="132"/>
        <v>48</v>
      </c>
      <c r="F1978" s="498">
        <v>0</v>
      </c>
      <c r="G1978" s="498">
        <v>0</v>
      </c>
      <c r="H1978" s="498">
        <v>48</v>
      </c>
      <c r="I1978" s="655">
        <f t="shared" si="133"/>
        <v>33</v>
      </c>
      <c r="J1978" s="655">
        <v>0</v>
      </c>
      <c r="K1978" s="655">
        <v>0</v>
      </c>
      <c r="L1978" s="710">
        <v>33</v>
      </c>
      <c r="M1978" s="963">
        <v>0.6875</v>
      </c>
      <c r="N1978" s="653">
        <v>0</v>
      </c>
      <c r="O1978" s="699" t="s">
        <v>8517</v>
      </c>
      <c r="P1978" s="462" t="s">
        <v>1588</v>
      </c>
      <c r="Q1978" s="852">
        <v>0</v>
      </c>
      <c r="R1978" s="852">
        <v>0</v>
      </c>
      <c r="S1978" s="852">
        <v>0</v>
      </c>
      <c r="T1978" s="852">
        <v>0</v>
      </c>
      <c r="U1978" s="463" t="s">
        <v>7521</v>
      </c>
      <c r="V1978" s="498" t="s">
        <v>8518</v>
      </c>
      <c r="W1978" s="498">
        <v>492000</v>
      </c>
      <c r="X1978" s="463" t="s">
        <v>2199</v>
      </c>
      <c r="Y1978" s="462" t="s">
        <v>3566</v>
      </c>
      <c r="Z1978" s="463"/>
      <c r="AA1978" s="498" t="s">
        <v>8514</v>
      </c>
      <c r="AB1978" s="459" t="s">
        <v>1770</v>
      </c>
    </row>
    <row r="1979" spans="1:28" ht="24" customHeight="1">
      <c r="A1979" s="584"/>
      <c r="B1979" s="460" t="s">
        <v>675</v>
      </c>
      <c r="C1979" s="458" t="s">
        <v>2985</v>
      </c>
      <c r="D1979" s="510" t="s">
        <v>8519</v>
      </c>
      <c r="E1979" s="653">
        <f t="shared" si="132"/>
        <v>40</v>
      </c>
      <c r="F1979" s="498">
        <v>0</v>
      </c>
      <c r="G1979" s="498">
        <v>0</v>
      </c>
      <c r="H1979" s="498">
        <v>40</v>
      </c>
      <c r="I1979" s="655">
        <f t="shared" si="133"/>
        <v>28</v>
      </c>
      <c r="J1979" s="655">
        <v>0</v>
      </c>
      <c r="K1979" s="655">
        <v>0</v>
      </c>
      <c r="L1979" s="710">
        <v>28</v>
      </c>
      <c r="M1979" s="963">
        <v>0.7</v>
      </c>
      <c r="N1979" s="653">
        <v>0</v>
      </c>
      <c r="O1979" s="699" t="s">
        <v>1061</v>
      </c>
      <c r="P1979" s="462" t="s">
        <v>1588</v>
      </c>
      <c r="Q1979" s="852">
        <v>0</v>
      </c>
      <c r="R1979" s="852">
        <v>0</v>
      </c>
      <c r="S1979" s="852">
        <v>0</v>
      </c>
      <c r="T1979" s="852">
        <v>0</v>
      </c>
      <c r="U1979" s="463" t="s">
        <v>7521</v>
      </c>
      <c r="V1979" s="498" t="s">
        <v>8520</v>
      </c>
      <c r="W1979" s="498">
        <v>221353</v>
      </c>
      <c r="X1979" s="463" t="s">
        <v>2199</v>
      </c>
      <c r="Y1979" s="462" t="s">
        <v>8448</v>
      </c>
      <c r="Z1979" s="463"/>
      <c r="AA1979" s="498" t="s">
        <v>8521</v>
      </c>
      <c r="AB1979" s="459" t="s">
        <v>1770</v>
      </c>
    </row>
    <row r="1980" spans="1:28" ht="24" customHeight="1">
      <c r="A1980" s="584"/>
      <c r="B1980" s="460" t="s">
        <v>675</v>
      </c>
      <c r="C1980" s="458" t="s">
        <v>6612</v>
      </c>
      <c r="D1980" s="510" t="s">
        <v>8522</v>
      </c>
      <c r="E1980" s="653">
        <f t="shared" si="132"/>
        <v>30</v>
      </c>
      <c r="F1980" s="498">
        <v>0</v>
      </c>
      <c r="G1980" s="498">
        <v>0</v>
      </c>
      <c r="H1980" s="498">
        <v>30</v>
      </c>
      <c r="I1980" s="655">
        <f t="shared" si="133"/>
        <v>21</v>
      </c>
      <c r="J1980" s="655">
        <v>0</v>
      </c>
      <c r="K1980" s="655">
        <v>0</v>
      </c>
      <c r="L1980" s="710">
        <v>21</v>
      </c>
      <c r="M1980" s="963">
        <v>0.7</v>
      </c>
      <c r="N1980" s="653">
        <v>0</v>
      </c>
      <c r="O1980" s="699" t="s">
        <v>2967</v>
      </c>
      <c r="P1980" s="462" t="s">
        <v>1588</v>
      </c>
      <c r="Q1980" s="852">
        <v>0</v>
      </c>
      <c r="R1980" s="852">
        <v>0</v>
      </c>
      <c r="S1980" s="852">
        <v>0</v>
      </c>
      <c r="T1980" s="852">
        <v>0</v>
      </c>
      <c r="U1980" s="463" t="s">
        <v>7521</v>
      </c>
      <c r="V1980" s="498" t="s">
        <v>8523</v>
      </c>
      <c r="W1980" s="498">
        <v>151410</v>
      </c>
      <c r="X1980" s="463" t="s">
        <v>2199</v>
      </c>
      <c r="Y1980" s="462" t="s">
        <v>3566</v>
      </c>
      <c r="Z1980" s="463"/>
      <c r="AA1980" s="498" t="s">
        <v>8514</v>
      </c>
      <c r="AB1980" s="459" t="s">
        <v>1770</v>
      </c>
    </row>
    <row r="1981" spans="1:28" ht="24" customHeight="1">
      <c r="A1981" s="584"/>
      <c r="B1981" s="460" t="s">
        <v>675</v>
      </c>
      <c r="C1981" s="458" t="s">
        <v>8524</v>
      </c>
      <c r="D1981" s="510" t="s">
        <v>8525</v>
      </c>
      <c r="E1981" s="653">
        <f t="shared" si="132"/>
        <v>30</v>
      </c>
      <c r="F1981" s="498">
        <v>0</v>
      </c>
      <c r="G1981" s="498">
        <v>0</v>
      </c>
      <c r="H1981" s="498">
        <v>30</v>
      </c>
      <c r="I1981" s="655">
        <f t="shared" si="133"/>
        <v>21</v>
      </c>
      <c r="J1981" s="655">
        <v>0</v>
      </c>
      <c r="K1981" s="655">
        <v>21</v>
      </c>
      <c r="L1981" s="710">
        <v>0</v>
      </c>
      <c r="M1981" s="963">
        <v>0.7</v>
      </c>
      <c r="N1981" s="653">
        <v>0</v>
      </c>
      <c r="O1981" s="699" t="s">
        <v>8526</v>
      </c>
      <c r="P1981" s="462" t="s">
        <v>1588</v>
      </c>
      <c r="Q1981" s="852">
        <v>0</v>
      </c>
      <c r="R1981" s="852">
        <v>0</v>
      </c>
      <c r="S1981" s="852">
        <v>0</v>
      </c>
      <c r="T1981" s="852">
        <v>0</v>
      </c>
      <c r="U1981" s="463" t="s">
        <v>7521</v>
      </c>
      <c r="V1981" s="498" t="s">
        <v>8527</v>
      </c>
      <c r="W1981" s="498">
        <v>197000</v>
      </c>
      <c r="X1981" s="463" t="s">
        <v>2199</v>
      </c>
      <c r="Y1981" s="462" t="s">
        <v>3566</v>
      </c>
      <c r="Z1981" s="463"/>
      <c r="AA1981" s="463" t="s">
        <v>1770</v>
      </c>
      <c r="AB1981" s="459" t="s">
        <v>1770</v>
      </c>
    </row>
    <row r="1982" spans="1:28" ht="24" customHeight="1">
      <c r="A1982" s="584"/>
      <c r="B1982" s="460" t="s">
        <v>675</v>
      </c>
      <c r="C1982" s="458" t="s">
        <v>8528</v>
      </c>
      <c r="D1982" s="510" t="s">
        <v>8529</v>
      </c>
      <c r="E1982" s="653">
        <f t="shared" si="132"/>
        <v>30</v>
      </c>
      <c r="F1982" s="498">
        <v>0</v>
      </c>
      <c r="G1982" s="498">
        <v>0</v>
      </c>
      <c r="H1982" s="498">
        <v>30</v>
      </c>
      <c r="I1982" s="655">
        <f t="shared" si="133"/>
        <v>21</v>
      </c>
      <c r="J1982" s="655">
        <v>0</v>
      </c>
      <c r="K1982" s="655">
        <v>0</v>
      </c>
      <c r="L1982" s="710">
        <v>21</v>
      </c>
      <c r="M1982" s="963">
        <v>0.7</v>
      </c>
      <c r="N1982" s="653">
        <v>0</v>
      </c>
      <c r="O1982" s="699" t="s">
        <v>8530</v>
      </c>
      <c r="P1982" s="462" t="s">
        <v>1588</v>
      </c>
      <c r="Q1982" s="852">
        <v>0</v>
      </c>
      <c r="R1982" s="852">
        <v>0</v>
      </c>
      <c r="S1982" s="852">
        <v>0</v>
      </c>
      <c r="T1982" s="852">
        <v>0</v>
      </c>
      <c r="U1982" s="463" t="s">
        <v>7521</v>
      </c>
      <c r="V1982" s="498" t="s">
        <v>8531</v>
      </c>
      <c r="W1982" s="498">
        <v>395364</v>
      </c>
      <c r="X1982" s="463" t="s">
        <v>2199</v>
      </c>
      <c r="Y1982" s="462" t="s">
        <v>8448</v>
      </c>
      <c r="Z1982" s="463"/>
      <c r="AA1982" s="498" t="s">
        <v>1770</v>
      </c>
      <c r="AB1982" s="459" t="s">
        <v>1770</v>
      </c>
    </row>
    <row r="1983" spans="1:28" ht="24" customHeight="1">
      <c r="A1983" s="584"/>
      <c r="B1983" s="460" t="s">
        <v>675</v>
      </c>
      <c r="C1983" s="458" t="s">
        <v>8532</v>
      </c>
      <c r="D1983" s="510" t="s">
        <v>8533</v>
      </c>
      <c r="E1983" s="653">
        <f t="shared" si="132"/>
        <v>30</v>
      </c>
      <c r="F1983" s="498">
        <v>0</v>
      </c>
      <c r="G1983" s="498">
        <v>0</v>
      </c>
      <c r="H1983" s="498">
        <v>30</v>
      </c>
      <c r="I1983" s="655">
        <f t="shared" si="133"/>
        <v>21</v>
      </c>
      <c r="J1983" s="655">
        <v>0</v>
      </c>
      <c r="K1983" s="655">
        <v>0</v>
      </c>
      <c r="L1983" s="710">
        <v>21</v>
      </c>
      <c r="M1983" s="963">
        <v>0.7</v>
      </c>
      <c r="N1983" s="653">
        <v>0</v>
      </c>
      <c r="O1983" s="699" t="s">
        <v>8534</v>
      </c>
      <c r="P1983" s="462" t="s">
        <v>1588</v>
      </c>
      <c r="Q1983" s="852">
        <v>0</v>
      </c>
      <c r="R1983" s="852">
        <v>0</v>
      </c>
      <c r="S1983" s="852">
        <v>0</v>
      </c>
      <c r="T1983" s="852">
        <v>0</v>
      </c>
      <c r="U1983" s="463" t="s">
        <v>7521</v>
      </c>
      <c r="V1983" s="498" t="s">
        <v>4319</v>
      </c>
      <c r="W1983" s="498">
        <v>197000</v>
      </c>
      <c r="X1983" s="463" t="s">
        <v>2199</v>
      </c>
      <c r="Y1983" s="462" t="s">
        <v>8448</v>
      </c>
      <c r="Z1983" s="463"/>
      <c r="AA1983" s="463" t="s">
        <v>8521</v>
      </c>
      <c r="AB1983" s="459" t="s">
        <v>1770</v>
      </c>
    </row>
    <row r="1984" spans="1:28" ht="24" customHeight="1">
      <c r="A1984" s="582" t="s">
        <v>1948</v>
      </c>
      <c r="B1984" s="460" t="s">
        <v>2201</v>
      </c>
      <c r="C1984" s="458" t="s">
        <v>2096</v>
      </c>
      <c r="D1984" s="510" t="s">
        <v>2358</v>
      </c>
      <c r="E1984" s="653">
        <f t="shared" si="132"/>
        <v>7500</v>
      </c>
      <c r="F1984" s="498">
        <v>0</v>
      </c>
      <c r="G1984" s="498">
        <v>7500</v>
      </c>
      <c r="H1984" s="498">
        <v>0</v>
      </c>
      <c r="I1984" s="655">
        <f t="shared" si="133"/>
        <v>7238</v>
      </c>
      <c r="J1984" s="655">
        <v>0</v>
      </c>
      <c r="K1984" s="655">
        <v>7238</v>
      </c>
      <c r="L1984" s="710">
        <v>0</v>
      </c>
      <c r="M1984" s="963">
        <v>0.95384615384615379</v>
      </c>
      <c r="N1984" s="653">
        <v>807.7607999999999</v>
      </c>
      <c r="O1984" s="715" t="s">
        <v>1535</v>
      </c>
      <c r="P1984" s="501" t="s">
        <v>1588</v>
      </c>
      <c r="Q1984" s="852">
        <v>0</v>
      </c>
      <c r="R1984" s="852">
        <v>0</v>
      </c>
      <c r="S1984" s="852">
        <v>0</v>
      </c>
      <c r="T1984" s="852">
        <v>0</v>
      </c>
      <c r="U1984" s="501" t="s">
        <v>8535</v>
      </c>
      <c r="V1984" s="501" t="s">
        <v>8536</v>
      </c>
      <c r="W1984" s="498">
        <v>21203</v>
      </c>
      <c r="X1984" s="501" t="s">
        <v>2200</v>
      </c>
      <c r="Y1984" s="501" t="s">
        <v>3161</v>
      </c>
      <c r="Z1984" s="501" t="s">
        <v>1686</v>
      </c>
      <c r="AA1984" s="501" t="s">
        <v>1686</v>
      </c>
      <c r="AB1984" s="502" t="s">
        <v>1686</v>
      </c>
    </row>
    <row r="1985" spans="1:28" ht="24" customHeight="1">
      <c r="A1985" s="584"/>
      <c r="B1985" s="460" t="s">
        <v>675</v>
      </c>
      <c r="C1985" s="458" t="s">
        <v>8537</v>
      </c>
      <c r="D1985" s="510" t="s">
        <v>8538</v>
      </c>
      <c r="E1985" s="653">
        <f t="shared" si="132"/>
        <v>40</v>
      </c>
      <c r="F1985" s="498">
        <v>0</v>
      </c>
      <c r="G1985" s="498">
        <v>0</v>
      </c>
      <c r="H1985" s="498">
        <v>40</v>
      </c>
      <c r="I1985" s="655">
        <f t="shared" si="133"/>
        <v>34</v>
      </c>
      <c r="J1985" s="655">
        <v>0</v>
      </c>
      <c r="K1985" s="655">
        <v>0</v>
      </c>
      <c r="L1985" s="710">
        <v>34</v>
      </c>
      <c r="M1985" s="963">
        <v>0.85</v>
      </c>
      <c r="N1985" s="653">
        <v>1.6</v>
      </c>
      <c r="O1985" s="715" t="s">
        <v>8539</v>
      </c>
      <c r="P1985" s="501" t="s">
        <v>1588</v>
      </c>
      <c r="Q1985" s="852">
        <v>0</v>
      </c>
      <c r="R1985" s="852">
        <v>0</v>
      </c>
      <c r="S1985" s="852">
        <v>0</v>
      </c>
      <c r="T1985" s="852">
        <v>0</v>
      </c>
      <c r="U1985" s="501" t="s">
        <v>8540</v>
      </c>
      <c r="V1985" s="501" t="s">
        <v>8541</v>
      </c>
      <c r="W1985" s="498">
        <v>342</v>
      </c>
      <c r="X1985" s="501" t="s">
        <v>1862</v>
      </c>
      <c r="Y1985" s="501" t="s">
        <v>1862</v>
      </c>
      <c r="Z1985" s="501" t="s">
        <v>1949</v>
      </c>
      <c r="AA1985" s="501" t="s">
        <v>1686</v>
      </c>
      <c r="AB1985" s="502" t="s">
        <v>1686</v>
      </c>
    </row>
    <row r="1986" spans="1:28" ht="24" customHeight="1">
      <c r="A1986" s="584"/>
      <c r="B1986" s="460" t="s">
        <v>675</v>
      </c>
      <c r="C1986" s="458" t="s">
        <v>8542</v>
      </c>
      <c r="D1986" s="510" t="s">
        <v>8543</v>
      </c>
      <c r="E1986" s="653">
        <f t="shared" si="132"/>
        <v>40</v>
      </c>
      <c r="F1986" s="498">
        <v>0</v>
      </c>
      <c r="G1986" s="498">
        <v>0</v>
      </c>
      <c r="H1986" s="498">
        <v>40</v>
      </c>
      <c r="I1986" s="655">
        <f t="shared" si="133"/>
        <v>35</v>
      </c>
      <c r="J1986" s="655">
        <v>0</v>
      </c>
      <c r="K1986" s="655">
        <v>0</v>
      </c>
      <c r="L1986" s="710">
        <v>35</v>
      </c>
      <c r="M1986" s="963">
        <v>0.875</v>
      </c>
      <c r="N1986" s="653">
        <v>2.6</v>
      </c>
      <c r="O1986" s="715" t="s">
        <v>4781</v>
      </c>
      <c r="P1986" s="501" t="s">
        <v>4781</v>
      </c>
      <c r="Q1986" s="852">
        <v>0</v>
      </c>
      <c r="R1986" s="852">
        <v>0</v>
      </c>
      <c r="S1986" s="852">
        <v>0</v>
      </c>
      <c r="T1986" s="852">
        <v>0</v>
      </c>
      <c r="U1986" s="501" t="s">
        <v>8540</v>
      </c>
      <c r="V1986" s="501" t="s">
        <v>8544</v>
      </c>
      <c r="W1986" s="498">
        <v>367</v>
      </c>
      <c r="X1986" s="501" t="s">
        <v>1862</v>
      </c>
      <c r="Y1986" s="501" t="s">
        <v>1862</v>
      </c>
      <c r="Z1986" s="501" t="s">
        <v>1862</v>
      </c>
      <c r="AA1986" s="501" t="s">
        <v>1862</v>
      </c>
      <c r="AB1986" s="502" t="s">
        <v>1862</v>
      </c>
    </row>
    <row r="1987" spans="1:28" ht="24" customHeight="1">
      <c r="A1987" s="584"/>
      <c r="B1987" s="460" t="s">
        <v>675</v>
      </c>
      <c r="C1987" s="458" t="s">
        <v>2135</v>
      </c>
      <c r="D1987" s="510" t="s">
        <v>8545</v>
      </c>
      <c r="E1987" s="653">
        <f t="shared" si="132"/>
        <v>70</v>
      </c>
      <c r="F1987" s="498">
        <v>0</v>
      </c>
      <c r="G1987" s="498">
        <v>70</v>
      </c>
      <c r="H1987" s="498">
        <v>0</v>
      </c>
      <c r="I1987" s="655">
        <f t="shared" si="133"/>
        <v>68</v>
      </c>
      <c r="J1987" s="655">
        <v>0</v>
      </c>
      <c r="K1987" s="655">
        <v>68</v>
      </c>
      <c r="L1987" s="710">
        <v>0</v>
      </c>
      <c r="M1987" s="963">
        <v>0.97142857142857142</v>
      </c>
      <c r="N1987" s="653">
        <v>4.7</v>
      </c>
      <c r="O1987" s="715" t="s">
        <v>8546</v>
      </c>
      <c r="P1987" s="501" t="s">
        <v>1588</v>
      </c>
      <c r="Q1987" s="852">
        <v>0</v>
      </c>
      <c r="R1987" s="852">
        <v>0</v>
      </c>
      <c r="S1987" s="852">
        <v>0</v>
      </c>
      <c r="T1987" s="852">
        <v>0</v>
      </c>
      <c r="U1987" s="501" t="s">
        <v>8540</v>
      </c>
      <c r="V1987" s="501" t="s">
        <v>8547</v>
      </c>
      <c r="W1987" s="498">
        <v>200</v>
      </c>
      <c r="X1987" s="501" t="s">
        <v>1862</v>
      </c>
      <c r="Y1987" s="501" t="s">
        <v>3232</v>
      </c>
      <c r="Z1987" s="501" t="s">
        <v>1862</v>
      </c>
      <c r="AA1987" s="501" t="s">
        <v>1862</v>
      </c>
      <c r="AB1987" s="502" t="s">
        <v>1862</v>
      </c>
    </row>
    <row r="1988" spans="1:28" ht="24" customHeight="1">
      <c r="A1988" s="584"/>
      <c r="B1988" s="460" t="s">
        <v>675</v>
      </c>
      <c r="C1988" s="458" t="s">
        <v>8548</v>
      </c>
      <c r="D1988" s="510" t="s">
        <v>8549</v>
      </c>
      <c r="E1988" s="653">
        <f t="shared" si="132"/>
        <v>60</v>
      </c>
      <c r="F1988" s="498">
        <v>0</v>
      </c>
      <c r="G1988" s="498">
        <v>60</v>
      </c>
      <c r="H1988" s="498">
        <v>0</v>
      </c>
      <c r="I1988" s="655">
        <f t="shared" si="133"/>
        <v>52</v>
      </c>
      <c r="J1988" s="655">
        <v>0</v>
      </c>
      <c r="K1988" s="655">
        <v>52</v>
      </c>
      <c r="L1988" s="710">
        <v>0</v>
      </c>
      <c r="M1988" s="963">
        <v>0.8666666666666667</v>
      </c>
      <c r="N1988" s="653">
        <v>2.6</v>
      </c>
      <c r="O1988" s="715" t="s">
        <v>8546</v>
      </c>
      <c r="P1988" s="501" t="s">
        <v>1588</v>
      </c>
      <c r="Q1988" s="852">
        <v>0</v>
      </c>
      <c r="R1988" s="852">
        <v>0</v>
      </c>
      <c r="S1988" s="852">
        <v>0</v>
      </c>
      <c r="T1988" s="852">
        <v>0</v>
      </c>
      <c r="U1988" s="501" t="s">
        <v>8540</v>
      </c>
      <c r="V1988" s="501" t="s">
        <v>8547</v>
      </c>
      <c r="W1988" s="498">
        <v>200</v>
      </c>
      <c r="X1988" s="501" t="s">
        <v>1862</v>
      </c>
      <c r="Y1988" s="501" t="s">
        <v>3232</v>
      </c>
      <c r="Z1988" s="501" t="s">
        <v>1862</v>
      </c>
      <c r="AA1988" s="501" t="s">
        <v>1862</v>
      </c>
      <c r="AB1988" s="502" t="s">
        <v>1862</v>
      </c>
    </row>
    <row r="1989" spans="1:28" ht="24" customHeight="1">
      <c r="A1989" s="584"/>
      <c r="B1989" s="460" t="s">
        <v>675</v>
      </c>
      <c r="C1989" s="458" t="s">
        <v>2045</v>
      </c>
      <c r="D1989" s="510" t="s">
        <v>8550</v>
      </c>
      <c r="E1989" s="653">
        <f t="shared" si="132"/>
        <v>60</v>
      </c>
      <c r="F1989" s="498">
        <v>0</v>
      </c>
      <c r="G1989" s="498">
        <v>60</v>
      </c>
      <c r="H1989" s="498">
        <v>0</v>
      </c>
      <c r="I1989" s="655">
        <f t="shared" si="133"/>
        <v>58</v>
      </c>
      <c r="J1989" s="655">
        <v>0</v>
      </c>
      <c r="K1989" s="655">
        <v>58</v>
      </c>
      <c r="L1989" s="710">
        <v>0</v>
      </c>
      <c r="M1989" s="963">
        <v>0.96666666666666667</v>
      </c>
      <c r="N1989" s="653">
        <v>3.7</v>
      </c>
      <c r="O1989" s="715" t="s">
        <v>8551</v>
      </c>
      <c r="P1989" s="501" t="s">
        <v>1588</v>
      </c>
      <c r="Q1989" s="852">
        <v>0</v>
      </c>
      <c r="R1989" s="852">
        <v>0</v>
      </c>
      <c r="S1989" s="852">
        <v>0</v>
      </c>
      <c r="T1989" s="852">
        <v>0</v>
      </c>
      <c r="U1989" s="501" t="s">
        <v>8540</v>
      </c>
      <c r="V1989" s="501" t="s">
        <v>8552</v>
      </c>
      <c r="W1989" s="498">
        <v>276</v>
      </c>
      <c r="X1989" s="501" t="s">
        <v>1862</v>
      </c>
      <c r="Y1989" s="501" t="s">
        <v>3161</v>
      </c>
      <c r="Z1989" s="501" t="s">
        <v>1862</v>
      </c>
      <c r="AA1989" s="501" t="s">
        <v>1862</v>
      </c>
      <c r="AB1989" s="502" t="s">
        <v>1862</v>
      </c>
    </row>
    <row r="1990" spans="1:28" ht="24" customHeight="1">
      <c r="A1990" s="584"/>
      <c r="B1990" s="460" t="s">
        <v>675</v>
      </c>
      <c r="C1990" s="458" t="s">
        <v>8553</v>
      </c>
      <c r="D1990" s="510" t="s">
        <v>8543</v>
      </c>
      <c r="E1990" s="653">
        <f t="shared" si="132"/>
        <v>80</v>
      </c>
      <c r="F1990" s="498">
        <v>0</v>
      </c>
      <c r="G1990" s="498">
        <v>80</v>
      </c>
      <c r="H1990" s="498">
        <v>0</v>
      </c>
      <c r="I1990" s="655">
        <f t="shared" si="133"/>
        <v>76</v>
      </c>
      <c r="J1990" s="655">
        <v>0</v>
      </c>
      <c r="K1990" s="655">
        <v>76</v>
      </c>
      <c r="L1990" s="710">
        <v>0</v>
      </c>
      <c r="M1990" s="963">
        <v>0.95</v>
      </c>
      <c r="N1990" s="653">
        <v>0</v>
      </c>
      <c r="O1990" s="715" t="s">
        <v>5177</v>
      </c>
      <c r="P1990" s="501" t="s">
        <v>1588</v>
      </c>
      <c r="Q1990" s="852">
        <v>0</v>
      </c>
      <c r="R1990" s="852">
        <v>0</v>
      </c>
      <c r="S1990" s="852">
        <v>0</v>
      </c>
      <c r="T1990" s="852">
        <v>0</v>
      </c>
      <c r="U1990" s="501" t="s">
        <v>8540</v>
      </c>
      <c r="V1990" s="501" t="s">
        <v>8554</v>
      </c>
      <c r="W1990" s="498">
        <v>320</v>
      </c>
      <c r="X1990" s="501" t="s">
        <v>1862</v>
      </c>
      <c r="Y1990" s="501" t="s">
        <v>1862</v>
      </c>
      <c r="Z1990" s="501" t="s">
        <v>1862</v>
      </c>
      <c r="AA1990" s="501" t="s">
        <v>1862</v>
      </c>
      <c r="AB1990" s="502" t="s">
        <v>1862</v>
      </c>
    </row>
    <row r="1991" spans="1:28" ht="24" customHeight="1">
      <c r="A1991" s="584"/>
      <c r="B1991" s="460" t="s">
        <v>675</v>
      </c>
      <c r="C1991" s="458" t="s">
        <v>8555</v>
      </c>
      <c r="D1991" s="510" t="s">
        <v>8556</v>
      </c>
      <c r="E1991" s="653">
        <f t="shared" si="132"/>
        <v>100</v>
      </c>
      <c r="F1991" s="498">
        <v>0</v>
      </c>
      <c r="G1991" s="498">
        <v>100</v>
      </c>
      <c r="H1991" s="498">
        <v>0</v>
      </c>
      <c r="I1991" s="655">
        <f t="shared" si="133"/>
        <v>90</v>
      </c>
      <c r="J1991" s="655">
        <v>0</v>
      </c>
      <c r="K1991" s="655">
        <v>90</v>
      </c>
      <c r="L1991" s="710">
        <v>0</v>
      </c>
      <c r="M1991" s="963">
        <v>0.9</v>
      </c>
      <c r="N1991" s="653">
        <v>0</v>
      </c>
      <c r="O1991" s="715" t="s">
        <v>5177</v>
      </c>
      <c r="P1991" s="501" t="s">
        <v>1588</v>
      </c>
      <c r="Q1991" s="852">
        <v>0</v>
      </c>
      <c r="R1991" s="852">
        <v>0</v>
      </c>
      <c r="S1991" s="852">
        <v>0</v>
      </c>
      <c r="T1991" s="852">
        <v>0</v>
      </c>
      <c r="U1991" s="501" t="s">
        <v>8540</v>
      </c>
      <c r="V1991" s="501" t="s">
        <v>2138</v>
      </c>
      <c r="W1991" s="498">
        <v>387</v>
      </c>
      <c r="X1991" s="501" t="s">
        <v>1862</v>
      </c>
      <c r="Y1991" s="501" t="s">
        <v>1862</v>
      </c>
      <c r="Z1991" s="501" t="s">
        <v>1862</v>
      </c>
      <c r="AA1991" s="501" t="s">
        <v>1862</v>
      </c>
      <c r="AB1991" s="502" t="s">
        <v>1862</v>
      </c>
    </row>
    <row r="1992" spans="1:28" ht="24" customHeight="1">
      <c r="A1992" s="584"/>
      <c r="B1992" s="460" t="s">
        <v>675</v>
      </c>
      <c r="C1992" s="458" t="s">
        <v>8557</v>
      </c>
      <c r="D1992" s="510" t="s">
        <v>8558</v>
      </c>
      <c r="E1992" s="653">
        <f t="shared" si="132"/>
        <v>70</v>
      </c>
      <c r="F1992" s="498">
        <v>0</v>
      </c>
      <c r="G1992" s="498">
        <v>70</v>
      </c>
      <c r="H1992" s="498">
        <v>0</v>
      </c>
      <c r="I1992" s="655">
        <f t="shared" si="133"/>
        <v>64</v>
      </c>
      <c r="J1992" s="655">
        <v>0</v>
      </c>
      <c r="K1992" s="655">
        <v>64</v>
      </c>
      <c r="L1992" s="710">
        <v>0</v>
      </c>
      <c r="M1992" s="963">
        <v>0.91428571428571426</v>
      </c>
      <c r="N1992" s="653">
        <v>2.2999999999999998</v>
      </c>
      <c r="O1992" s="715" t="s">
        <v>8551</v>
      </c>
      <c r="P1992" s="501" t="s">
        <v>1588</v>
      </c>
      <c r="Q1992" s="852">
        <v>0</v>
      </c>
      <c r="R1992" s="852">
        <v>0</v>
      </c>
      <c r="S1992" s="852">
        <v>0</v>
      </c>
      <c r="T1992" s="852">
        <v>0</v>
      </c>
      <c r="U1992" s="501" t="s">
        <v>8540</v>
      </c>
      <c r="V1992" s="501" t="s">
        <v>8559</v>
      </c>
      <c r="W1992" s="498">
        <v>307</v>
      </c>
      <c r="X1992" s="501" t="s">
        <v>1862</v>
      </c>
      <c r="Y1992" s="501" t="s">
        <v>1862</v>
      </c>
      <c r="Z1992" s="501" t="s">
        <v>1862</v>
      </c>
      <c r="AA1992" s="501" t="s">
        <v>1862</v>
      </c>
      <c r="AB1992" s="502" t="s">
        <v>1862</v>
      </c>
    </row>
    <row r="1993" spans="1:28" ht="24" customHeight="1">
      <c r="A1993" s="584"/>
      <c r="B1993" s="460" t="s">
        <v>675</v>
      </c>
      <c r="C1993" s="458" t="s">
        <v>8560</v>
      </c>
      <c r="D1993" s="510" t="s">
        <v>8561</v>
      </c>
      <c r="E1993" s="653">
        <f t="shared" si="132"/>
        <v>50</v>
      </c>
      <c r="F1993" s="498">
        <v>0</v>
      </c>
      <c r="G1993" s="498">
        <v>0</v>
      </c>
      <c r="H1993" s="498">
        <v>50</v>
      </c>
      <c r="I1993" s="655">
        <f t="shared" si="133"/>
        <v>45</v>
      </c>
      <c r="J1993" s="655">
        <v>0</v>
      </c>
      <c r="K1993" s="655">
        <v>0</v>
      </c>
      <c r="L1993" s="710">
        <v>45</v>
      </c>
      <c r="M1993" s="963">
        <v>0.9</v>
      </c>
      <c r="N1993" s="653">
        <v>2.1</v>
      </c>
      <c r="O1993" s="715" t="s">
        <v>8562</v>
      </c>
      <c r="P1993" s="501" t="s">
        <v>1588</v>
      </c>
      <c r="Q1993" s="852">
        <v>0</v>
      </c>
      <c r="R1993" s="852">
        <v>0</v>
      </c>
      <c r="S1993" s="852">
        <v>0</v>
      </c>
      <c r="T1993" s="852">
        <v>0</v>
      </c>
      <c r="U1993" s="501" t="s">
        <v>8540</v>
      </c>
      <c r="V1993" s="501" t="s">
        <v>8563</v>
      </c>
      <c r="W1993" s="498">
        <v>257</v>
      </c>
      <c r="X1993" s="501" t="s">
        <v>1862</v>
      </c>
      <c r="Y1993" s="501" t="s">
        <v>1862</v>
      </c>
      <c r="Z1993" s="501" t="s">
        <v>1862</v>
      </c>
      <c r="AA1993" s="501" t="s">
        <v>1862</v>
      </c>
      <c r="AB1993" s="502" t="s">
        <v>1862</v>
      </c>
    </row>
    <row r="1994" spans="1:28" ht="24" customHeight="1">
      <c r="A1994" s="584"/>
      <c r="B1994" s="460" t="s">
        <v>675</v>
      </c>
      <c r="C1994" s="458" t="s">
        <v>8564</v>
      </c>
      <c r="D1994" s="510" t="s">
        <v>8550</v>
      </c>
      <c r="E1994" s="653">
        <f t="shared" si="132"/>
        <v>50</v>
      </c>
      <c r="F1994" s="498">
        <v>0</v>
      </c>
      <c r="G1994" s="498">
        <v>50</v>
      </c>
      <c r="H1994" s="498">
        <v>0</v>
      </c>
      <c r="I1994" s="655">
        <f t="shared" si="133"/>
        <v>40</v>
      </c>
      <c r="J1994" s="655">
        <v>0</v>
      </c>
      <c r="K1994" s="655">
        <v>40</v>
      </c>
      <c r="L1994" s="710">
        <v>0</v>
      </c>
      <c r="M1994" s="963">
        <v>0.8</v>
      </c>
      <c r="N1994" s="653">
        <v>2.1</v>
      </c>
      <c r="O1994" s="715" t="s">
        <v>4660</v>
      </c>
      <c r="P1994" s="501" t="s">
        <v>1588</v>
      </c>
      <c r="Q1994" s="852">
        <v>0</v>
      </c>
      <c r="R1994" s="852">
        <v>0</v>
      </c>
      <c r="S1994" s="852">
        <v>0</v>
      </c>
      <c r="T1994" s="852">
        <v>0</v>
      </c>
      <c r="U1994" s="501" t="s">
        <v>8540</v>
      </c>
      <c r="V1994" s="501" t="s">
        <v>8565</v>
      </c>
      <c r="W1994" s="498">
        <v>257</v>
      </c>
      <c r="X1994" s="501" t="s">
        <v>1862</v>
      </c>
      <c r="Y1994" s="501" t="s">
        <v>1862</v>
      </c>
      <c r="Z1994" s="501" t="s">
        <v>1862</v>
      </c>
      <c r="AA1994" s="501" t="s">
        <v>1862</v>
      </c>
      <c r="AB1994" s="502" t="s">
        <v>1862</v>
      </c>
    </row>
    <row r="1995" spans="1:28" ht="24" customHeight="1">
      <c r="A1995" s="584"/>
      <c r="B1995" s="460" t="s">
        <v>675</v>
      </c>
      <c r="C1995" s="458" t="s">
        <v>8566</v>
      </c>
      <c r="D1995" s="510" t="s">
        <v>8545</v>
      </c>
      <c r="E1995" s="653">
        <f t="shared" si="132"/>
        <v>49</v>
      </c>
      <c r="F1995" s="498">
        <v>0</v>
      </c>
      <c r="G1995" s="498">
        <v>0</v>
      </c>
      <c r="H1995" s="498">
        <v>49</v>
      </c>
      <c r="I1995" s="655">
        <f t="shared" si="133"/>
        <v>43</v>
      </c>
      <c r="J1995" s="655">
        <v>0</v>
      </c>
      <c r="K1995" s="655">
        <v>0</v>
      </c>
      <c r="L1995" s="710">
        <v>43</v>
      </c>
      <c r="M1995" s="963">
        <v>0.87755102040816324</v>
      </c>
      <c r="N1995" s="653">
        <v>0</v>
      </c>
      <c r="O1995" s="715" t="s">
        <v>3447</v>
      </c>
      <c r="P1995" s="501" t="s">
        <v>3447</v>
      </c>
      <c r="Q1995" s="852">
        <v>0</v>
      </c>
      <c r="R1995" s="852">
        <v>0</v>
      </c>
      <c r="S1995" s="852">
        <v>0</v>
      </c>
      <c r="T1995" s="852">
        <v>0</v>
      </c>
      <c r="U1995" s="501" t="s">
        <v>8540</v>
      </c>
      <c r="V1995" s="501" t="s">
        <v>8567</v>
      </c>
      <c r="W1995" s="498">
        <v>395</v>
      </c>
      <c r="X1995" s="501" t="s">
        <v>1862</v>
      </c>
      <c r="Y1995" s="501" t="s">
        <v>1862</v>
      </c>
      <c r="Z1995" s="501" t="s">
        <v>1862</v>
      </c>
      <c r="AA1995" s="501" t="s">
        <v>1862</v>
      </c>
      <c r="AB1995" s="502" t="s">
        <v>1862</v>
      </c>
    </row>
    <row r="1996" spans="1:28" ht="24" customHeight="1">
      <c r="A1996" s="584"/>
      <c r="B1996" s="460" t="s">
        <v>675</v>
      </c>
      <c r="C1996" s="458" t="s">
        <v>8568</v>
      </c>
      <c r="D1996" s="510" t="s">
        <v>8569</v>
      </c>
      <c r="E1996" s="653">
        <f t="shared" si="132"/>
        <v>49</v>
      </c>
      <c r="F1996" s="498">
        <v>0</v>
      </c>
      <c r="G1996" s="498">
        <v>0</v>
      </c>
      <c r="H1996" s="498">
        <v>49</v>
      </c>
      <c r="I1996" s="655">
        <f t="shared" si="133"/>
        <v>44</v>
      </c>
      <c r="J1996" s="655">
        <v>0</v>
      </c>
      <c r="K1996" s="655">
        <v>0</v>
      </c>
      <c r="L1996" s="710">
        <v>44</v>
      </c>
      <c r="M1996" s="963">
        <v>0.89795918367346939</v>
      </c>
      <c r="N1996" s="653">
        <v>0</v>
      </c>
      <c r="O1996" s="715" t="s">
        <v>4660</v>
      </c>
      <c r="P1996" s="501" t="s">
        <v>1588</v>
      </c>
      <c r="Q1996" s="852">
        <v>0</v>
      </c>
      <c r="R1996" s="852">
        <v>0</v>
      </c>
      <c r="S1996" s="852">
        <v>0</v>
      </c>
      <c r="T1996" s="852">
        <v>0</v>
      </c>
      <c r="U1996" s="501" t="s">
        <v>8540</v>
      </c>
      <c r="V1996" s="501" t="s">
        <v>8570</v>
      </c>
      <c r="W1996" s="498">
        <v>345</v>
      </c>
      <c r="X1996" s="501" t="s">
        <v>1862</v>
      </c>
      <c r="Y1996" s="501" t="s">
        <v>1862</v>
      </c>
      <c r="Z1996" s="501" t="s">
        <v>1862</v>
      </c>
      <c r="AA1996" s="501" t="s">
        <v>1862</v>
      </c>
      <c r="AB1996" s="502" t="s">
        <v>1862</v>
      </c>
    </row>
    <row r="1997" spans="1:28" ht="24" customHeight="1">
      <c r="A1997" s="584"/>
      <c r="B1997" s="460" t="s">
        <v>675</v>
      </c>
      <c r="C1997" s="458" t="s">
        <v>8571</v>
      </c>
      <c r="D1997" s="510" t="s">
        <v>8572</v>
      </c>
      <c r="E1997" s="653">
        <f t="shared" si="132"/>
        <v>100</v>
      </c>
      <c r="F1997" s="498">
        <v>0</v>
      </c>
      <c r="G1997" s="498">
        <v>100</v>
      </c>
      <c r="H1997" s="498">
        <v>0</v>
      </c>
      <c r="I1997" s="655">
        <f t="shared" si="133"/>
        <v>80</v>
      </c>
      <c r="J1997" s="655">
        <v>0</v>
      </c>
      <c r="K1997" s="655">
        <v>80</v>
      </c>
      <c r="L1997" s="710">
        <v>0</v>
      </c>
      <c r="M1997" s="963">
        <v>0.8</v>
      </c>
      <c r="N1997" s="653">
        <v>6.8</v>
      </c>
      <c r="O1997" s="715" t="s">
        <v>8573</v>
      </c>
      <c r="P1997" s="501" t="s">
        <v>1588</v>
      </c>
      <c r="Q1997" s="852">
        <v>0</v>
      </c>
      <c r="R1997" s="852">
        <v>0</v>
      </c>
      <c r="S1997" s="852">
        <v>0</v>
      </c>
      <c r="T1997" s="852">
        <v>0</v>
      </c>
      <c r="U1997" s="501" t="s">
        <v>8540</v>
      </c>
      <c r="V1997" s="501" t="s">
        <v>8574</v>
      </c>
      <c r="W1997" s="498">
        <v>393</v>
      </c>
      <c r="X1997" s="501" t="s">
        <v>1862</v>
      </c>
      <c r="Y1997" s="501" t="s">
        <v>1862</v>
      </c>
      <c r="Z1997" s="501" t="s">
        <v>1950</v>
      </c>
      <c r="AA1997" s="501" t="s">
        <v>1862</v>
      </c>
      <c r="AB1997" s="502" t="s">
        <v>1770</v>
      </c>
    </row>
    <row r="1998" spans="1:28" ht="24" customHeight="1">
      <c r="A1998" s="584"/>
      <c r="B1998" s="460" t="s">
        <v>675</v>
      </c>
      <c r="C1998" s="458" t="s">
        <v>8575</v>
      </c>
      <c r="D1998" s="510" t="s">
        <v>8576</v>
      </c>
      <c r="E1998" s="653">
        <f t="shared" si="132"/>
        <v>100</v>
      </c>
      <c r="F1998" s="498">
        <v>0</v>
      </c>
      <c r="G1998" s="498">
        <v>100</v>
      </c>
      <c r="H1998" s="498">
        <v>0</v>
      </c>
      <c r="I1998" s="655">
        <f t="shared" si="133"/>
        <v>88</v>
      </c>
      <c r="J1998" s="655">
        <v>0</v>
      </c>
      <c r="K1998" s="655">
        <v>88</v>
      </c>
      <c r="L1998" s="710">
        <v>0</v>
      </c>
      <c r="M1998" s="963">
        <v>0.88</v>
      </c>
      <c r="N1998" s="653">
        <v>5.5</v>
      </c>
      <c r="O1998" s="715" t="s">
        <v>8577</v>
      </c>
      <c r="P1998" s="501" t="s">
        <v>1588</v>
      </c>
      <c r="Q1998" s="852">
        <v>0</v>
      </c>
      <c r="R1998" s="852">
        <v>0</v>
      </c>
      <c r="S1998" s="852">
        <v>0</v>
      </c>
      <c r="T1998" s="852">
        <v>0</v>
      </c>
      <c r="U1998" s="501" t="s">
        <v>8540</v>
      </c>
      <c r="V1998" s="501" t="s">
        <v>8578</v>
      </c>
      <c r="W1998" s="498">
        <v>415</v>
      </c>
      <c r="X1998" s="501" t="s">
        <v>1862</v>
      </c>
      <c r="Y1998" s="501" t="s">
        <v>1862</v>
      </c>
      <c r="Z1998" s="501" t="s">
        <v>1862</v>
      </c>
      <c r="AA1998" s="501" t="s">
        <v>1862</v>
      </c>
      <c r="AB1998" s="502" t="s">
        <v>1862</v>
      </c>
    </row>
    <row r="1999" spans="1:28" ht="24" customHeight="1">
      <c r="A1999" s="584"/>
      <c r="B1999" s="460" t="s">
        <v>675</v>
      </c>
      <c r="C1999" s="458" t="s">
        <v>8579</v>
      </c>
      <c r="D1999" s="510" t="s">
        <v>8580</v>
      </c>
      <c r="E1999" s="653">
        <f t="shared" si="132"/>
        <v>100</v>
      </c>
      <c r="F1999" s="498">
        <v>0</v>
      </c>
      <c r="G1999" s="498">
        <v>0</v>
      </c>
      <c r="H1999" s="498">
        <v>100</v>
      </c>
      <c r="I1999" s="655">
        <f t="shared" si="133"/>
        <v>94</v>
      </c>
      <c r="J1999" s="655">
        <v>0</v>
      </c>
      <c r="K1999" s="655">
        <v>0</v>
      </c>
      <c r="L1999" s="710">
        <v>94</v>
      </c>
      <c r="M1999" s="963">
        <v>0.94</v>
      </c>
      <c r="N1999" s="653">
        <v>3.1</v>
      </c>
      <c r="O1999" s="715" t="s">
        <v>8581</v>
      </c>
      <c r="P1999" s="501" t="s">
        <v>8581</v>
      </c>
      <c r="Q1999" s="852">
        <v>0</v>
      </c>
      <c r="R1999" s="852">
        <v>0</v>
      </c>
      <c r="S1999" s="852">
        <v>0</v>
      </c>
      <c r="T1999" s="852">
        <v>0</v>
      </c>
      <c r="U1999" s="501" t="s">
        <v>8540</v>
      </c>
      <c r="V1999" s="501" t="s">
        <v>8582</v>
      </c>
      <c r="W1999" s="498">
        <v>1143</v>
      </c>
      <c r="X1999" s="501" t="s">
        <v>1862</v>
      </c>
      <c r="Y1999" s="501" t="s">
        <v>1862</v>
      </c>
      <c r="Z1999" s="501" t="s">
        <v>1862</v>
      </c>
      <c r="AA1999" s="501" t="s">
        <v>1862</v>
      </c>
      <c r="AB1999" s="502" t="s">
        <v>1862</v>
      </c>
    </row>
    <row r="2000" spans="1:28" ht="24" customHeight="1">
      <c r="A2000" s="584"/>
      <c r="B2000" s="460" t="s">
        <v>675</v>
      </c>
      <c r="C2000" s="458" t="s">
        <v>5580</v>
      </c>
      <c r="D2000" s="510" t="s">
        <v>8583</v>
      </c>
      <c r="E2000" s="653">
        <f t="shared" si="132"/>
        <v>85</v>
      </c>
      <c r="F2000" s="498">
        <v>0</v>
      </c>
      <c r="G2000" s="498">
        <v>0</v>
      </c>
      <c r="H2000" s="498">
        <v>85</v>
      </c>
      <c r="I2000" s="655">
        <f t="shared" si="133"/>
        <v>76</v>
      </c>
      <c r="J2000" s="655">
        <v>0</v>
      </c>
      <c r="K2000" s="655">
        <v>0</v>
      </c>
      <c r="L2000" s="710">
        <v>76</v>
      </c>
      <c r="M2000" s="963">
        <v>0.89411764705882357</v>
      </c>
      <c r="N2000" s="653">
        <v>0</v>
      </c>
      <c r="O2000" s="715" t="s">
        <v>3176</v>
      </c>
      <c r="P2000" s="501" t="s">
        <v>3176</v>
      </c>
      <c r="Q2000" s="852">
        <v>0</v>
      </c>
      <c r="R2000" s="852">
        <v>0</v>
      </c>
      <c r="S2000" s="852">
        <v>0</v>
      </c>
      <c r="T2000" s="852">
        <v>0</v>
      </c>
      <c r="U2000" s="501" t="s">
        <v>8540</v>
      </c>
      <c r="V2000" s="501" t="s">
        <v>8584</v>
      </c>
      <c r="W2000" s="498">
        <v>960</v>
      </c>
      <c r="X2000" s="501" t="s">
        <v>1862</v>
      </c>
      <c r="Y2000" s="501" t="s">
        <v>1862</v>
      </c>
      <c r="Z2000" s="501" t="s">
        <v>1862</v>
      </c>
      <c r="AA2000" s="501" t="s">
        <v>1862</v>
      </c>
      <c r="AB2000" s="502" t="s">
        <v>1862</v>
      </c>
    </row>
    <row r="2001" spans="1:28" ht="24" customHeight="1">
      <c r="A2001" s="584"/>
      <c r="B2001" s="460" t="s">
        <v>675</v>
      </c>
      <c r="C2001" s="458" t="s">
        <v>8585</v>
      </c>
      <c r="D2001" s="510" t="s">
        <v>8586</v>
      </c>
      <c r="E2001" s="653">
        <f t="shared" si="132"/>
        <v>20</v>
      </c>
      <c r="F2001" s="498">
        <v>0</v>
      </c>
      <c r="G2001" s="498">
        <v>20</v>
      </c>
      <c r="H2001" s="498">
        <v>0</v>
      </c>
      <c r="I2001" s="655">
        <f t="shared" si="133"/>
        <v>16</v>
      </c>
      <c r="J2001" s="655">
        <v>0</v>
      </c>
      <c r="K2001" s="655">
        <v>16</v>
      </c>
      <c r="L2001" s="710">
        <v>0</v>
      </c>
      <c r="M2001" s="963">
        <v>0.8</v>
      </c>
      <c r="N2001" s="653">
        <v>1</v>
      </c>
      <c r="O2001" s="715" t="s">
        <v>6463</v>
      </c>
      <c r="P2001" s="501" t="s">
        <v>1588</v>
      </c>
      <c r="Q2001" s="852">
        <v>0</v>
      </c>
      <c r="R2001" s="852">
        <v>0</v>
      </c>
      <c r="S2001" s="852">
        <v>0</v>
      </c>
      <c r="T2001" s="852">
        <v>0</v>
      </c>
      <c r="U2001" s="501" t="s">
        <v>8540</v>
      </c>
      <c r="V2001" s="501" t="s">
        <v>2527</v>
      </c>
      <c r="W2001" s="498">
        <v>215</v>
      </c>
      <c r="X2001" s="501" t="s">
        <v>1862</v>
      </c>
      <c r="Y2001" s="501" t="s">
        <v>1862</v>
      </c>
      <c r="Z2001" s="501" t="s">
        <v>1951</v>
      </c>
      <c r="AA2001" s="501" t="s">
        <v>1862</v>
      </c>
      <c r="AB2001" s="502" t="s">
        <v>1862</v>
      </c>
    </row>
    <row r="2002" spans="1:28" ht="24" customHeight="1">
      <c r="A2002" s="584"/>
      <c r="B2002" s="460" t="s">
        <v>675</v>
      </c>
      <c r="C2002" s="458" t="s">
        <v>8587</v>
      </c>
      <c r="D2002" s="510" t="s">
        <v>8588</v>
      </c>
      <c r="E2002" s="653">
        <f t="shared" si="132"/>
        <v>200</v>
      </c>
      <c r="F2002" s="498">
        <v>0</v>
      </c>
      <c r="G2002" s="498">
        <v>200</v>
      </c>
      <c r="H2002" s="498">
        <v>0</v>
      </c>
      <c r="I2002" s="655">
        <f t="shared" si="133"/>
        <v>150</v>
      </c>
      <c r="J2002" s="655">
        <v>0</v>
      </c>
      <c r="K2002" s="655">
        <v>150</v>
      </c>
      <c r="L2002" s="710">
        <v>0</v>
      </c>
      <c r="M2002" s="963">
        <v>0.75</v>
      </c>
      <c r="N2002" s="653">
        <v>6.9</v>
      </c>
      <c r="O2002" s="715" t="s">
        <v>5177</v>
      </c>
      <c r="P2002" s="501" t="s">
        <v>1588</v>
      </c>
      <c r="Q2002" s="852">
        <v>0</v>
      </c>
      <c r="R2002" s="852">
        <v>0</v>
      </c>
      <c r="S2002" s="852">
        <v>0</v>
      </c>
      <c r="T2002" s="852">
        <v>0</v>
      </c>
      <c r="U2002" s="501" t="s">
        <v>8540</v>
      </c>
      <c r="V2002" s="501" t="s">
        <v>8589</v>
      </c>
      <c r="W2002" s="498">
        <v>400</v>
      </c>
      <c r="X2002" s="501" t="s">
        <v>1862</v>
      </c>
      <c r="Y2002" s="501" t="s">
        <v>1862</v>
      </c>
      <c r="Z2002" s="501" t="s">
        <v>1862</v>
      </c>
      <c r="AA2002" s="501" t="s">
        <v>1862</v>
      </c>
      <c r="AB2002" s="502" t="s">
        <v>1862</v>
      </c>
    </row>
    <row r="2003" spans="1:28" ht="24" customHeight="1">
      <c r="A2003" s="584"/>
      <c r="B2003" s="460" t="s">
        <v>675</v>
      </c>
      <c r="C2003" s="458" t="s">
        <v>8590</v>
      </c>
      <c r="D2003" s="510" t="s">
        <v>8591</v>
      </c>
      <c r="E2003" s="653">
        <f t="shared" si="132"/>
        <v>60</v>
      </c>
      <c r="F2003" s="498">
        <v>0</v>
      </c>
      <c r="G2003" s="498">
        <v>60</v>
      </c>
      <c r="H2003" s="498">
        <v>0</v>
      </c>
      <c r="I2003" s="655">
        <f t="shared" si="133"/>
        <v>57</v>
      </c>
      <c r="J2003" s="655">
        <v>0</v>
      </c>
      <c r="K2003" s="655">
        <v>57</v>
      </c>
      <c r="L2003" s="710">
        <v>0</v>
      </c>
      <c r="M2003" s="963">
        <v>0.95</v>
      </c>
      <c r="N2003" s="653">
        <v>4.8</v>
      </c>
      <c r="O2003" s="715" t="s">
        <v>8577</v>
      </c>
      <c r="P2003" s="501" t="s">
        <v>1588</v>
      </c>
      <c r="Q2003" s="852">
        <v>0</v>
      </c>
      <c r="R2003" s="852">
        <v>0</v>
      </c>
      <c r="S2003" s="852">
        <v>0</v>
      </c>
      <c r="T2003" s="852">
        <v>0</v>
      </c>
      <c r="U2003" s="501" t="s">
        <v>8540</v>
      </c>
      <c r="V2003" s="501" t="s">
        <v>8592</v>
      </c>
      <c r="W2003" s="498">
        <v>257</v>
      </c>
      <c r="X2003" s="501" t="s">
        <v>1862</v>
      </c>
      <c r="Y2003" s="501" t="s">
        <v>1862</v>
      </c>
      <c r="Z2003" s="501"/>
      <c r="AA2003" s="501" t="s">
        <v>1770</v>
      </c>
      <c r="AB2003" s="502" t="s">
        <v>1862</v>
      </c>
    </row>
    <row r="2004" spans="1:28" ht="24" customHeight="1">
      <c r="A2004" s="584"/>
      <c r="B2004" s="460" t="s">
        <v>675</v>
      </c>
      <c r="C2004" s="458" t="s">
        <v>8593</v>
      </c>
      <c r="D2004" s="510" t="s">
        <v>8594</v>
      </c>
      <c r="E2004" s="653">
        <f t="shared" si="132"/>
        <v>60</v>
      </c>
      <c r="F2004" s="498">
        <v>0</v>
      </c>
      <c r="G2004" s="498">
        <v>60</v>
      </c>
      <c r="H2004" s="498">
        <v>0</v>
      </c>
      <c r="I2004" s="655">
        <f t="shared" si="133"/>
        <v>52</v>
      </c>
      <c r="J2004" s="655">
        <v>0</v>
      </c>
      <c r="K2004" s="655">
        <v>52</v>
      </c>
      <c r="L2004" s="710">
        <v>0</v>
      </c>
      <c r="M2004" s="963">
        <v>0.8666666666666667</v>
      </c>
      <c r="N2004" s="653">
        <v>0</v>
      </c>
      <c r="O2004" s="715" t="s">
        <v>8573</v>
      </c>
      <c r="P2004" s="501" t="s">
        <v>1588</v>
      </c>
      <c r="Q2004" s="852">
        <v>0</v>
      </c>
      <c r="R2004" s="852">
        <v>0</v>
      </c>
      <c r="S2004" s="852">
        <v>0</v>
      </c>
      <c r="T2004" s="852">
        <v>0</v>
      </c>
      <c r="U2004" s="501" t="s">
        <v>8540</v>
      </c>
      <c r="V2004" s="501" t="s">
        <v>6781</v>
      </c>
      <c r="W2004" s="498">
        <v>448</v>
      </c>
      <c r="X2004" s="501" t="s">
        <v>1862</v>
      </c>
      <c r="Y2004" s="501" t="s">
        <v>1862</v>
      </c>
      <c r="Z2004" s="501" t="s">
        <v>8595</v>
      </c>
      <c r="AA2004" s="501" t="s">
        <v>1862</v>
      </c>
      <c r="AB2004" s="502" t="s">
        <v>1862</v>
      </c>
    </row>
    <row r="2005" spans="1:28" ht="24" customHeight="1">
      <c r="A2005" s="584"/>
      <c r="B2005" s="460" t="s">
        <v>675</v>
      </c>
      <c r="C2005" s="458" t="s">
        <v>8596</v>
      </c>
      <c r="D2005" s="510" t="s">
        <v>8597</v>
      </c>
      <c r="E2005" s="653">
        <f t="shared" si="132"/>
        <v>49</v>
      </c>
      <c r="F2005" s="498">
        <v>0</v>
      </c>
      <c r="G2005" s="498">
        <v>0</v>
      </c>
      <c r="H2005" s="498">
        <v>49</v>
      </c>
      <c r="I2005" s="655">
        <f t="shared" si="133"/>
        <v>41</v>
      </c>
      <c r="J2005" s="655">
        <v>0</v>
      </c>
      <c r="K2005" s="655">
        <v>0</v>
      </c>
      <c r="L2005" s="710">
        <v>41</v>
      </c>
      <c r="M2005" s="963">
        <v>0.83673469387755106</v>
      </c>
      <c r="N2005" s="653">
        <v>0</v>
      </c>
      <c r="O2005" s="715" t="s">
        <v>3447</v>
      </c>
      <c r="P2005" s="501" t="s">
        <v>3447</v>
      </c>
      <c r="Q2005" s="852">
        <v>0</v>
      </c>
      <c r="R2005" s="852">
        <v>0</v>
      </c>
      <c r="S2005" s="852">
        <v>0</v>
      </c>
      <c r="T2005" s="852">
        <v>0</v>
      </c>
      <c r="U2005" s="501" t="s">
        <v>8540</v>
      </c>
      <c r="V2005" s="501" t="s">
        <v>8570</v>
      </c>
      <c r="W2005" s="498">
        <v>491</v>
      </c>
      <c r="X2005" s="501" t="s">
        <v>1862</v>
      </c>
      <c r="Y2005" s="501" t="s">
        <v>1862</v>
      </c>
      <c r="Z2005" s="501" t="s">
        <v>1952</v>
      </c>
      <c r="AA2005" s="501" t="s">
        <v>1862</v>
      </c>
      <c r="AB2005" s="502" t="s">
        <v>1862</v>
      </c>
    </row>
    <row r="2006" spans="1:28" ht="24" customHeight="1">
      <c r="A2006" s="584"/>
      <c r="B2006" s="460" t="s">
        <v>675</v>
      </c>
      <c r="C2006" s="458" t="s">
        <v>8598</v>
      </c>
      <c r="D2006" s="510" t="s">
        <v>8599</v>
      </c>
      <c r="E2006" s="653">
        <f t="shared" si="132"/>
        <v>70</v>
      </c>
      <c r="F2006" s="498">
        <v>0</v>
      </c>
      <c r="G2006" s="498">
        <v>70</v>
      </c>
      <c r="H2006" s="498">
        <v>0</v>
      </c>
      <c r="I2006" s="655">
        <f t="shared" si="133"/>
        <v>62</v>
      </c>
      <c r="J2006" s="655">
        <v>0</v>
      </c>
      <c r="K2006" s="655">
        <v>62</v>
      </c>
      <c r="L2006" s="710">
        <v>0</v>
      </c>
      <c r="M2006" s="963">
        <v>0.88571428571428568</v>
      </c>
      <c r="N2006" s="653">
        <v>4.7</v>
      </c>
      <c r="O2006" s="715" t="s">
        <v>8551</v>
      </c>
      <c r="P2006" s="501" t="s">
        <v>1588</v>
      </c>
      <c r="Q2006" s="852">
        <v>0</v>
      </c>
      <c r="R2006" s="852">
        <v>0</v>
      </c>
      <c r="S2006" s="852">
        <v>0</v>
      </c>
      <c r="T2006" s="852">
        <v>0</v>
      </c>
      <c r="U2006" s="501" t="s">
        <v>8540</v>
      </c>
      <c r="V2006" s="501" t="s">
        <v>8600</v>
      </c>
      <c r="W2006" s="498">
        <v>408</v>
      </c>
      <c r="X2006" s="501" t="s">
        <v>1862</v>
      </c>
      <c r="Y2006" s="501" t="s">
        <v>1862</v>
      </c>
      <c r="Z2006" s="501" t="s">
        <v>1953</v>
      </c>
      <c r="AA2006" s="501" t="s">
        <v>1686</v>
      </c>
      <c r="AB2006" s="502" t="s">
        <v>1862</v>
      </c>
    </row>
    <row r="2007" spans="1:28" ht="24" customHeight="1">
      <c r="A2007" s="584"/>
      <c r="B2007" s="460" t="s">
        <v>675</v>
      </c>
      <c r="C2007" s="458" t="s">
        <v>8601</v>
      </c>
      <c r="D2007" s="510" t="s">
        <v>8602</v>
      </c>
      <c r="E2007" s="653">
        <f t="shared" si="132"/>
        <v>80</v>
      </c>
      <c r="F2007" s="498">
        <v>0</v>
      </c>
      <c r="G2007" s="498">
        <v>80</v>
      </c>
      <c r="H2007" s="498">
        <v>0</v>
      </c>
      <c r="I2007" s="655">
        <f t="shared" si="133"/>
        <v>75</v>
      </c>
      <c r="J2007" s="655">
        <v>0</v>
      </c>
      <c r="K2007" s="655">
        <v>75</v>
      </c>
      <c r="L2007" s="710">
        <v>0</v>
      </c>
      <c r="M2007" s="963">
        <v>0.9375</v>
      </c>
      <c r="N2007" s="653">
        <v>5.5</v>
      </c>
      <c r="O2007" s="715" t="s">
        <v>8551</v>
      </c>
      <c r="P2007" s="501" t="s">
        <v>1588</v>
      </c>
      <c r="Q2007" s="852">
        <v>0</v>
      </c>
      <c r="R2007" s="852">
        <v>0</v>
      </c>
      <c r="S2007" s="852">
        <v>0</v>
      </c>
      <c r="T2007" s="852">
        <v>0</v>
      </c>
      <c r="U2007" s="501" t="s">
        <v>8540</v>
      </c>
      <c r="V2007" s="501" t="s">
        <v>2102</v>
      </c>
      <c r="W2007" s="498">
        <v>325</v>
      </c>
      <c r="X2007" s="501" t="s">
        <v>1862</v>
      </c>
      <c r="Y2007" s="501" t="s">
        <v>1862</v>
      </c>
      <c r="Z2007" s="501" t="s">
        <v>1954</v>
      </c>
      <c r="AA2007" s="501" t="s">
        <v>1770</v>
      </c>
      <c r="AB2007" s="502" t="s">
        <v>1862</v>
      </c>
    </row>
    <row r="2008" spans="1:28" ht="24" customHeight="1">
      <c r="A2008" s="584"/>
      <c r="B2008" s="460" t="s">
        <v>675</v>
      </c>
      <c r="C2008" s="458" t="s">
        <v>2116</v>
      </c>
      <c r="D2008" s="510" t="s">
        <v>8603</v>
      </c>
      <c r="E2008" s="653">
        <f t="shared" si="132"/>
        <v>70</v>
      </c>
      <c r="F2008" s="498">
        <v>0</v>
      </c>
      <c r="G2008" s="498">
        <v>70</v>
      </c>
      <c r="H2008" s="498">
        <v>0</v>
      </c>
      <c r="I2008" s="655">
        <f t="shared" si="133"/>
        <v>65</v>
      </c>
      <c r="J2008" s="655">
        <v>0</v>
      </c>
      <c r="K2008" s="655">
        <v>65</v>
      </c>
      <c r="L2008" s="710">
        <v>0</v>
      </c>
      <c r="M2008" s="963">
        <v>0.9285714285714286</v>
      </c>
      <c r="N2008" s="653">
        <v>2.5</v>
      </c>
      <c r="O2008" s="715" t="s">
        <v>8577</v>
      </c>
      <c r="P2008" s="501" t="s">
        <v>1588</v>
      </c>
      <c r="Q2008" s="852">
        <v>0</v>
      </c>
      <c r="R2008" s="852">
        <v>0</v>
      </c>
      <c r="S2008" s="852">
        <v>0</v>
      </c>
      <c r="T2008" s="852">
        <v>0</v>
      </c>
      <c r="U2008" s="501" t="s">
        <v>8540</v>
      </c>
      <c r="V2008" s="501" t="s">
        <v>8604</v>
      </c>
      <c r="W2008" s="498">
        <v>401</v>
      </c>
      <c r="X2008" s="501" t="s">
        <v>1862</v>
      </c>
      <c r="Y2008" s="501" t="s">
        <v>1862</v>
      </c>
      <c r="Z2008" s="501" t="s">
        <v>1862</v>
      </c>
      <c r="AA2008" s="501" t="s">
        <v>1862</v>
      </c>
      <c r="AB2008" s="502" t="s">
        <v>1862</v>
      </c>
    </row>
    <row r="2009" spans="1:28" ht="24" customHeight="1">
      <c r="A2009" s="584"/>
      <c r="B2009" s="460" t="s">
        <v>675</v>
      </c>
      <c r="C2009" s="458" t="s">
        <v>8605</v>
      </c>
      <c r="D2009" s="510" t="s">
        <v>8606</v>
      </c>
      <c r="E2009" s="653">
        <f t="shared" si="132"/>
        <v>40</v>
      </c>
      <c r="F2009" s="498">
        <v>0</v>
      </c>
      <c r="G2009" s="498">
        <v>0</v>
      </c>
      <c r="H2009" s="498">
        <v>40</v>
      </c>
      <c r="I2009" s="655">
        <f t="shared" si="133"/>
        <v>34</v>
      </c>
      <c r="J2009" s="655">
        <v>0</v>
      </c>
      <c r="K2009" s="655">
        <v>0</v>
      </c>
      <c r="L2009" s="710">
        <v>34</v>
      </c>
      <c r="M2009" s="963">
        <v>0.85</v>
      </c>
      <c r="N2009" s="653">
        <v>0</v>
      </c>
      <c r="O2009" s="715" t="s">
        <v>3447</v>
      </c>
      <c r="P2009" s="501" t="s">
        <v>3447</v>
      </c>
      <c r="Q2009" s="852">
        <v>0</v>
      </c>
      <c r="R2009" s="852">
        <v>0</v>
      </c>
      <c r="S2009" s="852">
        <v>0</v>
      </c>
      <c r="T2009" s="852">
        <v>0</v>
      </c>
      <c r="U2009" s="501" t="s">
        <v>8540</v>
      </c>
      <c r="V2009" s="501" t="s">
        <v>8607</v>
      </c>
      <c r="W2009" s="498">
        <v>430</v>
      </c>
      <c r="X2009" s="501" t="s">
        <v>1862</v>
      </c>
      <c r="Y2009" s="501" t="s">
        <v>1862</v>
      </c>
      <c r="Z2009" s="501" t="s">
        <v>1862</v>
      </c>
      <c r="AA2009" s="501" t="s">
        <v>1862</v>
      </c>
      <c r="AB2009" s="502" t="s">
        <v>1862</v>
      </c>
    </row>
    <row r="2010" spans="1:28" ht="24" customHeight="1">
      <c r="A2010" s="584"/>
      <c r="B2010" s="460" t="s">
        <v>675</v>
      </c>
      <c r="C2010" s="458" t="s">
        <v>8608</v>
      </c>
      <c r="D2010" s="510" t="s">
        <v>8603</v>
      </c>
      <c r="E2010" s="653">
        <f t="shared" si="132"/>
        <v>50</v>
      </c>
      <c r="F2010" s="498">
        <v>0</v>
      </c>
      <c r="G2010" s="498">
        <v>0</v>
      </c>
      <c r="H2010" s="498">
        <v>50</v>
      </c>
      <c r="I2010" s="655">
        <f t="shared" si="133"/>
        <v>46</v>
      </c>
      <c r="J2010" s="655">
        <v>0</v>
      </c>
      <c r="K2010" s="655">
        <v>0</v>
      </c>
      <c r="L2010" s="710">
        <v>46</v>
      </c>
      <c r="M2010" s="963">
        <v>0.92</v>
      </c>
      <c r="N2010" s="653">
        <v>2.1</v>
      </c>
      <c r="O2010" s="715" t="s">
        <v>8609</v>
      </c>
      <c r="P2010" s="501" t="s">
        <v>1588</v>
      </c>
      <c r="Q2010" s="852">
        <v>0</v>
      </c>
      <c r="R2010" s="852">
        <v>0</v>
      </c>
      <c r="S2010" s="852">
        <v>0</v>
      </c>
      <c r="T2010" s="852">
        <v>0</v>
      </c>
      <c r="U2010" s="501" t="s">
        <v>8540</v>
      </c>
      <c r="V2010" s="501" t="s">
        <v>8610</v>
      </c>
      <c r="W2010" s="498">
        <v>549</v>
      </c>
      <c r="X2010" s="501" t="s">
        <v>1862</v>
      </c>
      <c r="Y2010" s="501" t="s">
        <v>1862</v>
      </c>
      <c r="Z2010" s="501" t="s">
        <v>8611</v>
      </c>
      <c r="AA2010" s="501" t="s">
        <v>1954</v>
      </c>
      <c r="AB2010" s="502" t="s">
        <v>1862</v>
      </c>
    </row>
    <row r="2011" spans="1:28" ht="24" customHeight="1">
      <c r="A2011" s="584"/>
      <c r="B2011" s="460" t="s">
        <v>675</v>
      </c>
      <c r="C2011" s="458" t="s">
        <v>6772</v>
      </c>
      <c r="D2011" s="510" t="s">
        <v>8602</v>
      </c>
      <c r="E2011" s="653">
        <f t="shared" si="132"/>
        <v>45</v>
      </c>
      <c r="F2011" s="498">
        <v>0</v>
      </c>
      <c r="G2011" s="498">
        <v>0</v>
      </c>
      <c r="H2011" s="498">
        <v>45</v>
      </c>
      <c r="I2011" s="655">
        <f t="shared" si="133"/>
        <v>40</v>
      </c>
      <c r="J2011" s="655">
        <v>0</v>
      </c>
      <c r="K2011" s="655">
        <v>0</v>
      </c>
      <c r="L2011" s="710">
        <v>40</v>
      </c>
      <c r="M2011" s="963">
        <v>0.88888888888888884</v>
      </c>
      <c r="N2011" s="653">
        <v>0</v>
      </c>
      <c r="O2011" s="715" t="s">
        <v>8609</v>
      </c>
      <c r="P2011" s="501" t="s">
        <v>1588</v>
      </c>
      <c r="Q2011" s="852">
        <v>0</v>
      </c>
      <c r="R2011" s="852">
        <v>0</v>
      </c>
      <c r="S2011" s="852">
        <v>0</v>
      </c>
      <c r="T2011" s="852">
        <v>0</v>
      </c>
      <c r="U2011" s="501" t="s">
        <v>8540</v>
      </c>
      <c r="V2011" s="501" t="s">
        <v>8612</v>
      </c>
      <c r="W2011" s="498">
        <v>1093</v>
      </c>
      <c r="X2011" s="501" t="s">
        <v>1862</v>
      </c>
      <c r="Y2011" s="501" t="s">
        <v>1862</v>
      </c>
      <c r="Z2011" s="501" t="s">
        <v>1954</v>
      </c>
      <c r="AA2011" s="501" t="s">
        <v>1954</v>
      </c>
      <c r="AB2011" s="502" t="s">
        <v>1862</v>
      </c>
    </row>
    <row r="2012" spans="1:28" ht="24" customHeight="1">
      <c r="A2012" s="584"/>
      <c r="B2012" s="460" t="s">
        <v>675</v>
      </c>
      <c r="C2012" s="458" t="s">
        <v>4832</v>
      </c>
      <c r="D2012" s="510" t="s">
        <v>8613</v>
      </c>
      <c r="E2012" s="653">
        <f t="shared" si="132"/>
        <v>80</v>
      </c>
      <c r="F2012" s="498">
        <v>0</v>
      </c>
      <c r="G2012" s="498">
        <v>80</v>
      </c>
      <c r="H2012" s="498">
        <v>0</v>
      </c>
      <c r="I2012" s="655">
        <f t="shared" si="133"/>
        <v>73</v>
      </c>
      <c r="J2012" s="655">
        <v>0</v>
      </c>
      <c r="K2012" s="655">
        <v>73</v>
      </c>
      <c r="L2012" s="710">
        <v>0</v>
      </c>
      <c r="M2012" s="963">
        <v>0.91249999999999998</v>
      </c>
      <c r="N2012" s="653">
        <v>7</v>
      </c>
      <c r="O2012" s="715" t="s">
        <v>8551</v>
      </c>
      <c r="P2012" s="501" t="s">
        <v>1588</v>
      </c>
      <c r="Q2012" s="852">
        <v>0</v>
      </c>
      <c r="R2012" s="852">
        <v>0</v>
      </c>
      <c r="S2012" s="852">
        <v>0</v>
      </c>
      <c r="T2012" s="852">
        <v>0</v>
      </c>
      <c r="U2012" s="501" t="s">
        <v>8540</v>
      </c>
      <c r="V2012" s="501" t="s">
        <v>8552</v>
      </c>
      <c r="W2012" s="498">
        <v>343</v>
      </c>
      <c r="X2012" s="501" t="s">
        <v>1862</v>
      </c>
      <c r="Y2012" s="501" t="s">
        <v>1862</v>
      </c>
      <c r="Z2012" s="501"/>
      <c r="AA2012" s="501" t="s">
        <v>8614</v>
      </c>
      <c r="AB2012" s="502" t="s">
        <v>1862</v>
      </c>
    </row>
    <row r="2013" spans="1:28" ht="24" customHeight="1">
      <c r="A2013" s="584"/>
      <c r="B2013" s="460" t="s">
        <v>675</v>
      </c>
      <c r="C2013" s="458" t="s">
        <v>8615</v>
      </c>
      <c r="D2013" s="510" t="s">
        <v>8616</v>
      </c>
      <c r="E2013" s="653">
        <f t="shared" si="132"/>
        <v>50</v>
      </c>
      <c r="F2013" s="498">
        <v>0</v>
      </c>
      <c r="G2013" s="498">
        <v>0</v>
      </c>
      <c r="H2013" s="498">
        <v>50</v>
      </c>
      <c r="I2013" s="655">
        <f t="shared" si="133"/>
        <v>43</v>
      </c>
      <c r="J2013" s="655">
        <v>0</v>
      </c>
      <c r="K2013" s="655">
        <v>0</v>
      </c>
      <c r="L2013" s="710">
        <v>43</v>
      </c>
      <c r="M2013" s="963">
        <v>0.86</v>
      </c>
      <c r="N2013" s="653">
        <v>1.7</v>
      </c>
      <c r="O2013" s="715" t="s">
        <v>8617</v>
      </c>
      <c r="P2013" s="501" t="s">
        <v>1588</v>
      </c>
      <c r="Q2013" s="852">
        <v>0</v>
      </c>
      <c r="R2013" s="852">
        <v>0</v>
      </c>
      <c r="S2013" s="852">
        <v>0</v>
      </c>
      <c r="T2013" s="852">
        <v>0</v>
      </c>
      <c r="U2013" s="501" t="s">
        <v>8540</v>
      </c>
      <c r="V2013" s="501" t="s">
        <v>8618</v>
      </c>
      <c r="W2013" s="498">
        <v>350</v>
      </c>
      <c r="X2013" s="501" t="s">
        <v>1862</v>
      </c>
      <c r="Y2013" s="501" t="s">
        <v>1862</v>
      </c>
      <c r="Z2013" s="501"/>
      <c r="AA2013" s="501" t="s">
        <v>1862</v>
      </c>
      <c r="AB2013" s="502" t="s">
        <v>1862</v>
      </c>
    </row>
    <row r="2014" spans="1:28" ht="24" customHeight="1">
      <c r="A2014" s="584"/>
      <c r="B2014" s="460" t="s">
        <v>675</v>
      </c>
      <c r="C2014" s="458" t="s">
        <v>8619</v>
      </c>
      <c r="D2014" s="510" t="s">
        <v>8620</v>
      </c>
      <c r="E2014" s="653">
        <f t="shared" si="132"/>
        <v>30</v>
      </c>
      <c r="F2014" s="498">
        <v>0</v>
      </c>
      <c r="G2014" s="498">
        <v>0</v>
      </c>
      <c r="H2014" s="498">
        <v>30</v>
      </c>
      <c r="I2014" s="655">
        <f t="shared" si="133"/>
        <v>27</v>
      </c>
      <c r="J2014" s="655">
        <v>0</v>
      </c>
      <c r="K2014" s="655">
        <v>0</v>
      </c>
      <c r="L2014" s="710">
        <v>27</v>
      </c>
      <c r="M2014" s="963">
        <v>0.9</v>
      </c>
      <c r="N2014" s="653">
        <v>0</v>
      </c>
      <c r="O2014" s="715" t="s">
        <v>8621</v>
      </c>
      <c r="P2014" s="501" t="s">
        <v>1588</v>
      </c>
      <c r="Q2014" s="852">
        <v>0</v>
      </c>
      <c r="R2014" s="852">
        <v>0</v>
      </c>
      <c r="S2014" s="852">
        <v>0</v>
      </c>
      <c r="T2014" s="852">
        <v>0</v>
      </c>
      <c r="U2014" s="501" t="s">
        <v>8540</v>
      </c>
      <c r="V2014" s="501" t="s">
        <v>8622</v>
      </c>
      <c r="W2014" s="498">
        <v>257</v>
      </c>
      <c r="X2014" s="501" t="s">
        <v>1862</v>
      </c>
      <c r="Y2014" s="501" t="s">
        <v>1862</v>
      </c>
      <c r="Z2014" s="501" t="s">
        <v>1955</v>
      </c>
      <c r="AA2014" s="501" t="s">
        <v>1862</v>
      </c>
      <c r="AB2014" s="502" t="s">
        <v>1862</v>
      </c>
    </row>
    <row r="2015" spans="1:28" ht="24" customHeight="1">
      <c r="A2015" s="584"/>
      <c r="B2015" s="460" t="s">
        <v>675</v>
      </c>
      <c r="C2015" s="458" t="s">
        <v>8623</v>
      </c>
      <c r="D2015" s="510" t="s">
        <v>8624</v>
      </c>
      <c r="E2015" s="653">
        <f t="shared" si="132"/>
        <v>49</v>
      </c>
      <c r="F2015" s="498">
        <v>0</v>
      </c>
      <c r="G2015" s="498">
        <v>0</v>
      </c>
      <c r="H2015" s="498">
        <v>49</v>
      </c>
      <c r="I2015" s="655">
        <f t="shared" si="133"/>
        <v>42</v>
      </c>
      <c r="J2015" s="655">
        <v>0</v>
      </c>
      <c r="K2015" s="655">
        <v>0</v>
      </c>
      <c r="L2015" s="710">
        <v>42</v>
      </c>
      <c r="M2015" s="963">
        <v>0.8571428571428571</v>
      </c>
      <c r="N2015" s="653">
        <v>0</v>
      </c>
      <c r="O2015" s="715" t="s">
        <v>3447</v>
      </c>
      <c r="P2015" s="501" t="s">
        <v>3447</v>
      </c>
      <c r="Q2015" s="852">
        <v>0</v>
      </c>
      <c r="R2015" s="852">
        <v>0</v>
      </c>
      <c r="S2015" s="852">
        <v>0</v>
      </c>
      <c r="T2015" s="852">
        <v>0</v>
      </c>
      <c r="U2015" s="501" t="s">
        <v>8540</v>
      </c>
      <c r="V2015" s="501" t="s">
        <v>8625</v>
      </c>
      <c r="W2015" s="498">
        <v>446</v>
      </c>
      <c r="X2015" s="501" t="s">
        <v>1862</v>
      </c>
      <c r="Y2015" s="501" t="s">
        <v>1862</v>
      </c>
      <c r="Z2015" s="501" t="s">
        <v>8626</v>
      </c>
      <c r="AA2015" s="501" t="s">
        <v>1862</v>
      </c>
      <c r="AB2015" s="502" t="s">
        <v>1862</v>
      </c>
    </row>
    <row r="2016" spans="1:28" ht="24" customHeight="1">
      <c r="A2016" s="582" t="s">
        <v>1956</v>
      </c>
      <c r="B2016" s="460" t="s">
        <v>2201</v>
      </c>
      <c r="C2016" s="458" t="s">
        <v>2443</v>
      </c>
      <c r="D2016" s="510" t="s">
        <v>8627</v>
      </c>
      <c r="E2016" s="498">
        <f t="shared" ref="E2016:E2036" si="134">SUM(F2016:H2016)</f>
        <v>2800</v>
      </c>
      <c r="F2016" s="498">
        <v>0</v>
      </c>
      <c r="G2016" s="498">
        <v>0</v>
      </c>
      <c r="H2016" s="498">
        <v>2800</v>
      </c>
      <c r="I2016" s="655">
        <f t="shared" si="133"/>
        <v>2701</v>
      </c>
      <c r="J2016" s="655">
        <v>0</v>
      </c>
      <c r="K2016" s="655">
        <v>0</v>
      </c>
      <c r="L2016" s="710">
        <v>2701</v>
      </c>
      <c r="M2016" s="963">
        <v>0.92260692464358462</v>
      </c>
      <c r="N2016" s="653">
        <v>122.35530000000001</v>
      </c>
      <c r="O2016" s="669" t="s">
        <v>3173</v>
      </c>
      <c r="P2016" s="463" t="s">
        <v>3173</v>
      </c>
      <c r="Q2016" s="852">
        <v>0</v>
      </c>
      <c r="R2016" s="852">
        <v>0</v>
      </c>
      <c r="S2016" s="852">
        <v>0</v>
      </c>
      <c r="T2016" s="852">
        <v>0</v>
      </c>
      <c r="U2016" s="463" t="s">
        <v>8628</v>
      </c>
      <c r="V2016" s="458" t="s">
        <v>8629</v>
      </c>
      <c r="W2016" s="498">
        <v>18900</v>
      </c>
      <c r="X2016" s="463" t="s">
        <v>2244</v>
      </c>
      <c r="Y2016" s="463" t="s">
        <v>673</v>
      </c>
      <c r="Z2016" s="463" t="s">
        <v>8630</v>
      </c>
      <c r="AA2016" s="463" t="s">
        <v>8631</v>
      </c>
      <c r="AB2016" s="459" t="s">
        <v>1767</v>
      </c>
    </row>
    <row r="2017" spans="1:28" ht="24" customHeight="1">
      <c r="A2017" s="584"/>
      <c r="B2017" s="460" t="s">
        <v>675</v>
      </c>
      <c r="C2017" s="458" t="s">
        <v>8632</v>
      </c>
      <c r="D2017" s="510" t="s">
        <v>8633</v>
      </c>
      <c r="E2017" s="498">
        <f t="shared" si="134"/>
        <v>40</v>
      </c>
      <c r="F2017" s="498">
        <v>0</v>
      </c>
      <c r="G2017" s="498">
        <v>0</v>
      </c>
      <c r="H2017" s="498">
        <v>40</v>
      </c>
      <c r="I2017" s="655">
        <f t="shared" si="133"/>
        <v>40</v>
      </c>
      <c r="J2017" s="655">
        <v>0</v>
      </c>
      <c r="K2017" s="655">
        <v>0</v>
      </c>
      <c r="L2017" s="710">
        <v>40</v>
      </c>
      <c r="M2017" s="963">
        <v>1</v>
      </c>
      <c r="N2017" s="653">
        <v>20.45</v>
      </c>
      <c r="O2017" s="669" t="s">
        <v>4545</v>
      </c>
      <c r="P2017" s="463" t="s">
        <v>2967</v>
      </c>
      <c r="Q2017" s="852">
        <v>0</v>
      </c>
      <c r="R2017" s="852">
        <v>0</v>
      </c>
      <c r="S2017" s="852">
        <v>0</v>
      </c>
      <c r="T2017" s="852">
        <v>0</v>
      </c>
      <c r="U2017" s="463" t="s">
        <v>8628</v>
      </c>
      <c r="V2017" s="458" t="s">
        <v>8634</v>
      </c>
      <c r="W2017" s="498">
        <v>232</v>
      </c>
      <c r="X2017" s="463" t="s">
        <v>2244</v>
      </c>
      <c r="Y2017" s="463" t="s">
        <v>720</v>
      </c>
      <c r="Z2017" s="463" t="s">
        <v>8635</v>
      </c>
      <c r="AA2017" s="463" t="s">
        <v>1932</v>
      </c>
      <c r="AB2017" s="459" t="s">
        <v>1589</v>
      </c>
    </row>
    <row r="2018" spans="1:28" ht="24" customHeight="1">
      <c r="A2018" s="584"/>
      <c r="B2018" s="460" t="s">
        <v>675</v>
      </c>
      <c r="C2018" s="458" t="s">
        <v>7084</v>
      </c>
      <c r="D2018" s="510" t="s">
        <v>8636</v>
      </c>
      <c r="E2018" s="498">
        <f t="shared" si="134"/>
        <v>60</v>
      </c>
      <c r="F2018" s="498">
        <v>0</v>
      </c>
      <c r="G2018" s="498">
        <v>60</v>
      </c>
      <c r="H2018" s="498">
        <v>0</v>
      </c>
      <c r="I2018" s="655">
        <f t="shared" si="133"/>
        <v>60</v>
      </c>
      <c r="J2018" s="655">
        <v>0</v>
      </c>
      <c r="K2018" s="655">
        <v>60</v>
      </c>
      <c r="L2018" s="710">
        <v>0</v>
      </c>
      <c r="M2018" s="963">
        <v>1</v>
      </c>
      <c r="N2018" s="653">
        <v>2.4300000000000002</v>
      </c>
      <c r="O2018" s="669" t="s">
        <v>5089</v>
      </c>
      <c r="P2018" s="463" t="s">
        <v>1588</v>
      </c>
      <c r="Q2018" s="852">
        <v>0</v>
      </c>
      <c r="R2018" s="852">
        <v>0</v>
      </c>
      <c r="S2018" s="852">
        <v>0</v>
      </c>
      <c r="T2018" s="852">
        <v>0</v>
      </c>
      <c r="U2018" s="463" t="s">
        <v>8637</v>
      </c>
      <c r="V2018" s="458" t="s">
        <v>8638</v>
      </c>
      <c r="W2018" s="498">
        <v>279</v>
      </c>
      <c r="X2018" s="463" t="s">
        <v>2244</v>
      </c>
      <c r="Y2018" s="463" t="s">
        <v>6967</v>
      </c>
      <c r="Z2018" s="463" t="s">
        <v>8614</v>
      </c>
      <c r="AA2018" s="463" t="s">
        <v>1932</v>
      </c>
      <c r="AB2018" s="459" t="s">
        <v>1589</v>
      </c>
    </row>
    <row r="2019" spans="1:28" ht="24" customHeight="1">
      <c r="A2019" s="584"/>
      <c r="B2019" s="460" t="s">
        <v>675</v>
      </c>
      <c r="C2019" s="458" t="s">
        <v>6331</v>
      </c>
      <c r="D2019" s="510" t="s">
        <v>8639</v>
      </c>
      <c r="E2019" s="498">
        <f t="shared" si="134"/>
        <v>40</v>
      </c>
      <c r="F2019" s="498">
        <v>0</v>
      </c>
      <c r="G2019" s="498">
        <v>40</v>
      </c>
      <c r="H2019" s="498">
        <v>0</v>
      </c>
      <c r="I2019" s="655">
        <f t="shared" si="133"/>
        <v>40</v>
      </c>
      <c r="J2019" s="655">
        <v>0</v>
      </c>
      <c r="K2019" s="655">
        <v>40</v>
      </c>
      <c r="L2019" s="710">
        <v>0</v>
      </c>
      <c r="M2019" s="963">
        <v>1</v>
      </c>
      <c r="N2019" s="653">
        <v>15.08</v>
      </c>
      <c r="O2019" s="669" t="s">
        <v>4660</v>
      </c>
      <c r="P2019" s="463" t="s">
        <v>4660</v>
      </c>
      <c r="Q2019" s="852">
        <v>0</v>
      </c>
      <c r="R2019" s="852">
        <v>0</v>
      </c>
      <c r="S2019" s="852">
        <v>0</v>
      </c>
      <c r="T2019" s="852">
        <v>0</v>
      </c>
      <c r="U2019" s="463" t="s">
        <v>8637</v>
      </c>
      <c r="V2019" s="458" t="s">
        <v>8640</v>
      </c>
      <c r="W2019" s="498">
        <v>234</v>
      </c>
      <c r="X2019" s="463" t="s">
        <v>2244</v>
      </c>
      <c r="Y2019" s="463" t="s">
        <v>6967</v>
      </c>
      <c r="Z2019" s="463" t="s">
        <v>8614</v>
      </c>
      <c r="AA2019" s="463" t="s">
        <v>1932</v>
      </c>
      <c r="AB2019" s="459" t="s">
        <v>1589</v>
      </c>
    </row>
    <row r="2020" spans="1:28" ht="24" customHeight="1">
      <c r="A2020" s="584"/>
      <c r="B2020" s="460" t="s">
        <v>675</v>
      </c>
      <c r="C2020" s="458" t="s">
        <v>8641</v>
      </c>
      <c r="D2020" s="510" t="s">
        <v>8642</v>
      </c>
      <c r="E2020" s="498">
        <f t="shared" si="134"/>
        <v>69</v>
      </c>
      <c r="F2020" s="498">
        <v>0</v>
      </c>
      <c r="G2020" s="498">
        <v>69</v>
      </c>
      <c r="H2020" s="498">
        <v>0</v>
      </c>
      <c r="I2020" s="655">
        <f t="shared" si="133"/>
        <v>69</v>
      </c>
      <c r="J2020" s="655">
        <v>0</v>
      </c>
      <c r="K2020" s="655">
        <v>69</v>
      </c>
      <c r="L2020" s="710">
        <v>0</v>
      </c>
      <c r="M2020" s="963">
        <v>1</v>
      </c>
      <c r="N2020" s="653">
        <v>10.8</v>
      </c>
      <c r="O2020" s="669" t="s">
        <v>1153</v>
      </c>
      <c r="P2020" s="463" t="s">
        <v>1588</v>
      </c>
      <c r="Q2020" s="852">
        <v>0</v>
      </c>
      <c r="R2020" s="852">
        <v>0</v>
      </c>
      <c r="S2020" s="852">
        <v>0</v>
      </c>
      <c r="T2020" s="852">
        <v>0</v>
      </c>
      <c r="U2020" s="463" t="s">
        <v>8637</v>
      </c>
      <c r="V2020" s="458" t="s">
        <v>8643</v>
      </c>
      <c r="W2020" s="498">
        <v>390</v>
      </c>
      <c r="X2020" s="463" t="s">
        <v>2244</v>
      </c>
      <c r="Y2020" s="463" t="s">
        <v>3161</v>
      </c>
      <c r="Z2020" s="463" t="s">
        <v>8614</v>
      </c>
      <c r="AA2020" s="463" t="s">
        <v>1932</v>
      </c>
      <c r="AB2020" s="459" t="s">
        <v>1589</v>
      </c>
    </row>
    <row r="2021" spans="1:28" ht="24" customHeight="1">
      <c r="A2021" s="582" t="s">
        <v>1957</v>
      </c>
      <c r="B2021" s="460" t="s">
        <v>2201</v>
      </c>
      <c r="C2021" s="458" t="s">
        <v>2444</v>
      </c>
      <c r="D2021" s="510" t="s">
        <v>2011</v>
      </c>
      <c r="E2021" s="498">
        <f t="shared" si="134"/>
        <v>7000</v>
      </c>
      <c r="F2021" s="498">
        <v>0</v>
      </c>
      <c r="G2021" s="498">
        <v>7000</v>
      </c>
      <c r="H2021" s="498">
        <v>0</v>
      </c>
      <c r="I2021" s="655">
        <f t="shared" si="133"/>
        <v>6214</v>
      </c>
      <c r="J2021" s="655">
        <v>0</v>
      </c>
      <c r="K2021" s="655">
        <v>6214</v>
      </c>
      <c r="L2021" s="710">
        <v>0</v>
      </c>
      <c r="M2021" s="963">
        <v>0.98412698412698418</v>
      </c>
      <c r="N2021" s="653">
        <v>500.84840000000008</v>
      </c>
      <c r="O2021" s="669" t="s">
        <v>3434</v>
      </c>
      <c r="P2021" s="463" t="s">
        <v>1588</v>
      </c>
      <c r="Q2021" s="852">
        <v>0</v>
      </c>
      <c r="R2021" s="852">
        <v>0</v>
      </c>
      <c r="S2021" s="852">
        <v>0</v>
      </c>
      <c r="T2021" s="852">
        <v>0</v>
      </c>
      <c r="U2021" s="463" t="s">
        <v>8644</v>
      </c>
      <c r="V2021" s="520" t="s">
        <v>8645</v>
      </c>
      <c r="W2021" s="498">
        <v>17213</v>
      </c>
      <c r="X2021" s="463" t="s">
        <v>2199</v>
      </c>
      <c r="Y2021" s="463" t="s">
        <v>1533</v>
      </c>
      <c r="Z2021" s="463" t="s">
        <v>8646</v>
      </c>
      <c r="AA2021" s="463" t="s">
        <v>1932</v>
      </c>
      <c r="AB2021" s="459" t="s">
        <v>1589</v>
      </c>
    </row>
    <row r="2022" spans="1:28" ht="24" customHeight="1">
      <c r="A2022" s="584"/>
      <c r="B2022" s="460" t="s">
        <v>675</v>
      </c>
      <c r="C2022" s="458" t="s">
        <v>907</v>
      </c>
      <c r="D2022" s="510" t="s">
        <v>1650</v>
      </c>
      <c r="E2022" s="498">
        <f t="shared" si="134"/>
        <v>120</v>
      </c>
      <c r="F2022" s="498">
        <v>0</v>
      </c>
      <c r="G2022" s="498">
        <v>120</v>
      </c>
      <c r="H2022" s="498">
        <v>0</v>
      </c>
      <c r="I2022" s="655">
        <f t="shared" si="133"/>
        <v>120</v>
      </c>
      <c r="J2022" s="655">
        <v>0</v>
      </c>
      <c r="K2022" s="655">
        <v>120</v>
      </c>
      <c r="L2022" s="710">
        <v>0</v>
      </c>
      <c r="M2022" s="963">
        <v>1</v>
      </c>
      <c r="N2022" s="653">
        <v>0</v>
      </c>
      <c r="O2022" s="669" t="s">
        <v>8096</v>
      </c>
      <c r="P2022" s="463" t="s">
        <v>5301</v>
      </c>
      <c r="Q2022" s="852">
        <v>0</v>
      </c>
      <c r="R2022" s="852">
        <v>0</v>
      </c>
      <c r="S2022" s="852">
        <v>0</v>
      </c>
      <c r="T2022" s="852">
        <v>0</v>
      </c>
      <c r="U2022" s="463" t="s">
        <v>8644</v>
      </c>
      <c r="V2022" s="520" t="s">
        <v>8647</v>
      </c>
      <c r="W2022" s="498">
        <v>3595</v>
      </c>
      <c r="X2022" s="463" t="s">
        <v>2199</v>
      </c>
      <c r="Y2022" s="463" t="s">
        <v>1533</v>
      </c>
      <c r="Z2022" s="463" t="s">
        <v>8648</v>
      </c>
      <c r="AA2022" s="463" t="s">
        <v>1932</v>
      </c>
      <c r="AB2022" s="459" t="s">
        <v>1589</v>
      </c>
    </row>
    <row r="2023" spans="1:28" ht="24" customHeight="1">
      <c r="A2023" s="584"/>
      <c r="B2023" s="460" t="s">
        <v>675</v>
      </c>
      <c r="C2023" s="458" t="s">
        <v>8649</v>
      </c>
      <c r="D2023" s="510" t="s">
        <v>8650</v>
      </c>
      <c r="E2023" s="498">
        <f t="shared" si="134"/>
        <v>32</v>
      </c>
      <c r="F2023" s="498">
        <v>0</v>
      </c>
      <c r="G2023" s="498">
        <v>32</v>
      </c>
      <c r="H2023" s="498">
        <v>0</v>
      </c>
      <c r="I2023" s="655">
        <f t="shared" si="133"/>
        <v>26.75</v>
      </c>
      <c r="J2023" s="655">
        <v>0</v>
      </c>
      <c r="K2023" s="655">
        <v>26.75</v>
      </c>
      <c r="L2023" s="710">
        <v>0</v>
      </c>
      <c r="M2023" s="963">
        <v>0.8359375</v>
      </c>
      <c r="N2023" s="653">
        <v>0</v>
      </c>
      <c r="O2023" s="669" t="s">
        <v>8096</v>
      </c>
      <c r="P2023" s="463" t="s">
        <v>5301</v>
      </c>
      <c r="Q2023" s="852">
        <v>0</v>
      </c>
      <c r="R2023" s="852">
        <v>0</v>
      </c>
      <c r="S2023" s="852">
        <v>0</v>
      </c>
      <c r="T2023" s="852">
        <v>0</v>
      </c>
      <c r="U2023" s="463" t="s">
        <v>8644</v>
      </c>
      <c r="V2023" s="520" t="s">
        <v>8651</v>
      </c>
      <c r="W2023" s="498">
        <v>182</v>
      </c>
      <c r="X2023" s="463" t="s">
        <v>2199</v>
      </c>
      <c r="Y2023" s="463" t="s">
        <v>1533</v>
      </c>
      <c r="Z2023" s="463" t="s">
        <v>8652</v>
      </c>
      <c r="AA2023" s="463" t="s">
        <v>1932</v>
      </c>
      <c r="AB2023" s="459" t="s">
        <v>1589</v>
      </c>
    </row>
    <row r="2024" spans="1:28" ht="24" customHeight="1">
      <c r="A2024" s="584"/>
      <c r="B2024" s="460" t="s">
        <v>675</v>
      </c>
      <c r="C2024" s="458" t="s">
        <v>2045</v>
      </c>
      <c r="D2024" s="510" t="s">
        <v>2011</v>
      </c>
      <c r="E2024" s="498">
        <f t="shared" si="134"/>
        <v>50</v>
      </c>
      <c r="F2024" s="498">
        <v>0</v>
      </c>
      <c r="G2024" s="498">
        <v>50</v>
      </c>
      <c r="H2024" s="498">
        <v>0</v>
      </c>
      <c r="I2024" s="655">
        <f t="shared" si="133"/>
        <v>45.37</v>
      </c>
      <c r="J2024" s="655">
        <v>0</v>
      </c>
      <c r="K2024" s="655">
        <v>45.37</v>
      </c>
      <c r="L2024" s="710">
        <v>0</v>
      </c>
      <c r="M2024" s="963">
        <v>0.90739999999999998</v>
      </c>
      <c r="N2024" s="653">
        <v>0</v>
      </c>
      <c r="O2024" s="669" t="s">
        <v>8096</v>
      </c>
      <c r="P2024" s="463" t="s">
        <v>5301</v>
      </c>
      <c r="Q2024" s="852">
        <v>0</v>
      </c>
      <c r="R2024" s="852">
        <v>0</v>
      </c>
      <c r="S2024" s="852">
        <v>0</v>
      </c>
      <c r="T2024" s="852">
        <v>0</v>
      </c>
      <c r="U2024" s="463" t="s">
        <v>8644</v>
      </c>
      <c r="V2024" s="520" t="s">
        <v>8653</v>
      </c>
      <c r="W2024" s="498">
        <v>322</v>
      </c>
      <c r="X2024" s="463" t="s">
        <v>2199</v>
      </c>
      <c r="Y2024" s="463" t="s">
        <v>1533</v>
      </c>
      <c r="Z2024" s="463" t="s">
        <v>8646</v>
      </c>
      <c r="AA2024" s="463" t="s">
        <v>1932</v>
      </c>
      <c r="AB2024" s="459" t="s">
        <v>1589</v>
      </c>
    </row>
    <row r="2025" spans="1:28" ht="24" customHeight="1">
      <c r="A2025" s="584"/>
      <c r="B2025" s="460" t="s">
        <v>675</v>
      </c>
      <c r="C2025" s="458" t="s">
        <v>8654</v>
      </c>
      <c r="D2025" s="510" t="s">
        <v>8655</v>
      </c>
      <c r="E2025" s="498">
        <f t="shared" si="134"/>
        <v>230</v>
      </c>
      <c r="F2025" s="498">
        <v>0</v>
      </c>
      <c r="G2025" s="498">
        <v>230</v>
      </c>
      <c r="H2025" s="498">
        <v>0</v>
      </c>
      <c r="I2025" s="655">
        <f t="shared" si="133"/>
        <v>226</v>
      </c>
      <c r="J2025" s="655">
        <v>0</v>
      </c>
      <c r="K2025" s="655">
        <v>226</v>
      </c>
      <c r="L2025" s="710">
        <v>0</v>
      </c>
      <c r="M2025" s="963">
        <v>0.9826086956521739</v>
      </c>
      <c r="N2025" s="653">
        <v>0</v>
      </c>
      <c r="O2025" s="669" t="s">
        <v>3592</v>
      </c>
      <c r="P2025" s="463" t="s">
        <v>3592</v>
      </c>
      <c r="Q2025" s="852">
        <v>0</v>
      </c>
      <c r="R2025" s="852">
        <v>0</v>
      </c>
      <c r="S2025" s="852">
        <v>0</v>
      </c>
      <c r="T2025" s="852">
        <v>0</v>
      </c>
      <c r="U2025" s="463" t="s">
        <v>8644</v>
      </c>
      <c r="V2025" s="520" t="s">
        <v>8656</v>
      </c>
      <c r="W2025" s="498">
        <v>919</v>
      </c>
      <c r="X2025" s="463" t="s">
        <v>2199</v>
      </c>
      <c r="Y2025" s="463" t="s">
        <v>8237</v>
      </c>
      <c r="Z2025" s="463" t="s">
        <v>8652</v>
      </c>
      <c r="AA2025" s="463" t="s">
        <v>1932</v>
      </c>
      <c r="AB2025" s="459" t="s">
        <v>1589</v>
      </c>
    </row>
    <row r="2026" spans="1:28" ht="24" customHeight="1">
      <c r="A2026" s="582" t="s">
        <v>1958</v>
      </c>
      <c r="B2026" s="460" t="s">
        <v>2201</v>
      </c>
      <c r="C2026" s="458" t="s">
        <v>2445</v>
      </c>
      <c r="D2026" s="510" t="s">
        <v>8657</v>
      </c>
      <c r="E2026" s="498">
        <f t="shared" si="134"/>
        <v>14000</v>
      </c>
      <c r="F2026" s="498">
        <v>0</v>
      </c>
      <c r="G2026" s="498">
        <v>14000</v>
      </c>
      <c r="H2026" s="498">
        <v>0</v>
      </c>
      <c r="I2026" s="655">
        <f t="shared" si="133"/>
        <v>21107</v>
      </c>
      <c r="J2026" s="655">
        <v>0</v>
      </c>
      <c r="K2026" s="655">
        <v>21107</v>
      </c>
      <c r="L2026" s="710">
        <v>0</v>
      </c>
      <c r="M2026" s="963">
        <v>0.9536340852130325</v>
      </c>
      <c r="N2026" s="653">
        <v>1606.2426999999998</v>
      </c>
      <c r="O2026" s="669" t="s">
        <v>3173</v>
      </c>
      <c r="P2026" s="463" t="s">
        <v>1588</v>
      </c>
      <c r="Q2026" s="852">
        <v>56</v>
      </c>
      <c r="R2026" s="852">
        <v>0</v>
      </c>
      <c r="S2026" s="852">
        <v>13</v>
      </c>
      <c r="T2026" s="852">
        <v>0</v>
      </c>
      <c r="U2026" s="463" t="s">
        <v>2365</v>
      </c>
      <c r="V2026" s="466" t="s">
        <v>8658</v>
      </c>
      <c r="W2026" s="498">
        <v>20951</v>
      </c>
      <c r="X2026" s="463" t="s">
        <v>3205</v>
      </c>
      <c r="Y2026" s="463" t="s">
        <v>3161</v>
      </c>
      <c r="Z2026" s="463" t="s">
        <v>1959</v>
      </c>
      <c r="AA2026" s="463" t="s">
        <v>1589</v>
      </c>
      <c r="AB2026" s="459" t="s">
        <v>2007</v>
      </c>
    </row>
    <row r="2027" spans="1:28" ht="24" customHeight="1">
      <c r="A2027" s="584"/>
      <c r="B2027" s="460" t="s">
        <v>2201</v>
      </c>
      <c r="C2027" s="458" t="s">
        <v>8659</v>
      </c>
      <c r="D2027" s="510" t="s">
        <v>2171</v>
      </c>
      <c r="E2027" s="498">
        <f t="shared" si="134"/>
        <v>5500</v>
      </c>
      <c r="F2027" s="498">
        <v>0</v>
      </c>
      <c r="G2027" s="498">
        <v>5500</v>
      </c>
      <c r="H2027" s="498">
        <v>0</v>
      </c>
      <c r="I2027" s="655">
        <f t="shared" si="133"/>
        <v>3507</v>
      </c>
      <c r="J2027" s="655">
        <v>0</v>
      </c>
      <c r="K2027" s="655">
        <v>3507</v>
      </c>
      <c r="L2027" s="710">
        <v>0</v>
      </c>
      <c r="M2027" s="963">
        <v>0.93889541715628666</v>
      </c>
      <c r="N2027" s="653">
        <v>280.20929999999993</v>
      </c>
      <c r="O2027" s="669" t="s">
        <v>8660</v>
      </c>
      <c r="P2027" s="463" t="s">
        <v>1588</v>
      </c>
      <c r="Q2027" s="852">
        <v>0</v>
      </c>
      <c r="R2027" s="852">
        <v>0</v>
      </c>
      <c r="S2027" s="852">
        <v>0</v>
      </c>
      <c r="T2027" s="852">
        <v>0</v>
      </c>
      <c r="U2027" s="463" t="s">
        <v>2365</v>
      </c>
      <c r="V2027" s="463" t="s">
        <v>2165</v>
      </c>
      <c r="W2027" s="498">
        <v>7951</v>
      </c>
      <c r="X2027" s="463" t="s">
        <v>3205</v>
      </c>
      <c r="Y2027" s="463" t="s">
        <v>3161</v>
      </c>
      <c r="Z2027" s="463" t="s">
        <v>1959</v>
      </c>
      <c r="AA2027" s="463" t="s">
        <v>1589</v>
      </c>
      <c r="AB2027" s="459" t="s">
        <v>2007</v>
      </c>
    </row>
    <row r="2028" spans="1:28" ht="24" customHeight="1">
      <c r="A2028" s="584"/>
      <c r="B2028" s="460" t="s">
        <v>675</v>
      </c>
      <c r="C2028" s="458" t="s">
        <v>8661</v>
      </c>
      <c r="D2028" s="510" t="s">
        <v>8662</v>
      </c>
      <c r="E2028" s="498">
        <f t="shared" si="134"/>
        <v>100</v>
      </c>
      <c r="F2028" s="498">
        <v>0</v>
      </c>
      <c r="G2028" s="498">
        <v>100</v>
      </c>
      <c r="H2028" s="498">
        <v>0</v>
      </c>
      <c r="I2028" s="655">
        <f t="shared" si="133"/>
        <v>40</v>
      </c>
      <c r="J2028" s="655">
        <v>0</v>
      </c>
      <c r="K2028" s="655">
        <v>40</v>
      </c>
      <c r="L2028" s="710">
        <v>0</v>
      </c>
      <c r="M2028" s="963">
        <v>0.4</v>
      </c>
      <c r="N2028" s="653">
        <v>3.3</v>
      </c>
      <c r="O2028" s="669" t="s">
        <v>8663</v>
      </c>
      <c r="P2028" s="463" t="s">
        <v>1588</v>
      </c>
      <c r="Q2028" s="852">
        <v>0</v>
      </c>
      <c r="R2028" s="852">
        <v>0</v>
      </c>
      <c r="S2028" s="852">
        <v>0</v>
      </c>
      <c r="T2028" s="852">
        <v>0</v>
      </c>
      <c r="U2028" s="463" t="s">
        <v>2365</v>
      </c>
      <c r="V2028" s="463" t="s">
        <v>8427</v>
      </c>
      <c r="W2028" s="498">
        <v>770</v>
      </c>
      <c r="X2028" s="463" t="s">
        <v>3205</v>
      </c>
      <c r="Y2028" s="463" t="s">
        <v>3232</v>
      </c>
      <c r="Z2028" s="463" t="s">
        <v>1959</v>
      </c>
      <c r="AA2028" s="463" t="s">
        <v>1589</v>
      </c>
      <c r="AB2028" s="459" t="s">
        <v>2007</v>
      </c>
    </row>
    <row r="2029" spans="1:28" ht="24" customHeight="1">
      <c r="A2029" s="584"/>
      <c r="B2029" s="460" t="s">
        <v>675</v>
      </c>
      <c r="C2029" s="458" t="s">
        <v>8664</v>
      </c>
      <c r="D2029" s="510" t="s">
        <v>8665</v>
      </c>
      <c r="E2029" s="498">
        <f t="shared" si="134"/>
        <v>60</v>
      </c>
      <c r="F2029" s="498">
        <v>0</v>
      </c>
      <c r="G2029" s="498">
        <v>60</v>
      </c>
      <c r="H2029" s="498">
        <v>0</v>
      </c>
      <c r="I2029" s="655">
        <f t="shared" ref="I2029:I2036" si="135">SUM(J2029:L2029)</f>
        <v>26</v>
      </c>
      <c r="J2029" s="655">
        <v>0</v>
      </c>
      <c r="K2029" s="655">
        <v>26</v>
      </c>
      <c r="L2029" s="710">
        <v>0</v>
      </c>
      <c r="M2029" s="963">
        <v>0.43333333333333335</v>
      </c>
      <c r="N2029" s="653">
        <v>2</v>
      </c>
      <c r="O2029" s="669" t="s">
        <v>8666</v>
      </c>
      <c r="P2029" s="463" t="s">
        <v>1588</v>
      </c>
      <c r="Q2029" s="852">
        <v>0</v>
      </c>
      <c r="R2029" s="852">
        <v>0</v>
      </c>
      <c r="S2029" s="852">
        <v>0</v>
      </c>
      <c r="T2029" s="852">
        <v>0</v>
      </c>
      <c r="U2029" s="463" t="s">
        <v>2365</v>
      </c>
      <c r="V2029" s="463" t="s">
        <v>8667</v>
      </c>
      <c r="W2029" s="498">
        <v>300</v>
      </c>
      <c r="X2029" s="463" t="s">
        <v>3205</v>
      </c>
      <c r="Y2029" s="463" t="s">
        <v>3232</v>
      </c>
      <c r="Z2029" s="463" t="s">
        <v>1959</v>
      </c>
      <c r="AA2029" s="463" t="s">
        <v>1589</v>
      </c>
      <c r="AB2029" s="459" t="s">
        <v>2007</v>
      </c>
    </row>
    <row r="2030" spans="1:28" ht="24" customHeight="1">
      <c r="A2030" s="584"/>
      <c r="B2030" s="460" t="s">
        <v>675</v>
      </c>
      <c r="C2030" s="458" t="s">
        <v>8668</v>
      </c>
      <c r="D2030" s="510" t="s">
        <v>8669</v>
      </c>
      <c r="E2030" s="498">
        <f t="shared" si="134"/>
        <v>50</v>
      </c>
      <c r="F2030" s="498">
        <v>0</v>
      </c>
      <c r="G2030" s="498">
        <v>50</v>
      </c>
      <c r="H2030" s="498">
        <v>0</v>
      </c>
      <c r="I2030" s="655">
        <f t="shared" si="135"/>
        <v>20</v>
      </c>
      <c r="J2030" s="655">
        <v>0</v>
      </c>
      <c r="K2030" s="655">
        <v>20</v>
      </c>
      <c r="L2030" s="710">
        <v>0</v>
      </c>
      <c r="M2030" s="963">
        <v>0.4</v>
      </c>
      <c r="N2030" s="653">
        <v>1</v>
      </c>
      <c r="O2030" s="669" t="s">
        <v>8670</v>
      </c>
      <c r="P2030" s="463" t="s">
        <v>1588</v>
      </c>
      <c r="Q2030" s="852">
        <v>0</v>
      </c>
      <c r="R2030" s="852">
        <v>0</v>
      </c>
      <c r="S2030" s="852">
        <v>0</v>
      </c>
      <c r="T2030" s="852">
        <v>0</v>
      </c>
      <c r="U2030" s="463" t="s">
        <v>2365</v>
      </c>
      <c r="V2030" s="463" t="s">
        <v>8671</v>
      </c>
      <c r="W2030" s="498">
        <v>325</v>
      </c>
      <c r="X2030" s="463" t="s">
        <v>3205</v>
      </c>
      <c r="Y2030" s="463" t="s">
        <v>3232</v>
      </c>
      <c r="Z2030" s="463" t="s">
        <v>1959</v>
      </c>
      <c r="AA2030" s="463" t="s">
        <v>1589</v>
      </c>
      <c r="AB2030" s="459" t="s">
        <v>2007</v>
      </c>
    </row>
    <row r="2031" spans="1:28" ht="24" customHeight="1">
      <c r="A2031" s="582" t="s">
        <v>1960</v>
      </c>
      <c r="B2031" s="460" t="s">
        <v>2201</v>
      </c>
      <c r="C2031" s="458" t="s">
        <v>2052</v>
      </c>
      <c r="D2031" s="510" t="s">
        <v>8672</v>
      </c>
      <c r="E2031" s="498">
        <f t="shared" si="134"/>
        <v>5000</v>
      </c>
      <c r="F2031" s="498">
        <v>0</v>
      </c>
      <c r="G2031" s="498">
        <v>0</v>
      </c>
      <c r="H2031" s="498">
        <v>5000</v>
      </c>
      <c r="I2031" s="655">
        <f t="shared" si="135"/>
        <v>5000</v>
      </c>
      <c r="J2031" s="655">
        <v>0</v>
      </c>
      <c r="K2031" s="655">
        <v>0</v>
      </c>
      <c r="L2031" s="710">
        <v>5000</v>
      </c>
      <c r="M2031" s="963">
        <v>0.90980392156862744</v>
      </c>
      <c r="N2031" s="653">
        <v>116</v>
      </c>
      <c r="O2031" s="669" t="s">
        <v>8673</v>
      </c>
      <c r="P2031" s="463" t="s">
        <v>8673</v>
      </c>
      <c r="Q2031" s="852">
        <v>0</v>
      </c>
      <c r="R2031" s="852">
        <v>0</v>
      </c>
      <c r="S2031" s="852">
        <v>0</v>
      </c>
      <c r="T2031" s="852">
        <v>0</v>
      </c>
      <c r="U2031" s="463" t="s">
        <v>5804</v>
      </c>
      <c r="V2031" s="463" t="s">
        <v>4242</v>
      </c>
      <c r="W2031" s="498">
        <v>22045</v>
      </c>
      <c r="X2031" s="463" t="s">
        <v>2276</v>
      </c>
      <c r="Y2031" s="463" t="s">
        <v>4034</v>
      </c>
      <c r="Z2031" s="463" t="s">
        <v>1959</v>
      </c>
      <c r="AA2031" s="463" t="s">
        <v>1589</v>
      </c>
      <c r="AB2031" s="459" t="s">
        <v>1589</v>
      </c>
    </row>
    <row r="2032" spans="1:28" ht="24" customHeight="1">
      <c r="A2032" s="584"/>
      <c r="B2032" s="460" t="s">
        <v>675</v>
      </c>
      <c r="C2032" s="458" t="s">
        <v>5805</v>
      </c>
      <c r="D2032" s="510" t="s">
        <v>5806</v>
      </c>
      <c r="E2032" s="498">
        <f t="shared" si="134"/>
        <v>68</v>
      </c>
      <c r="F2032" s="498">
        <v>0</v>
      </c>
      <c r="G2032" s="498">
        <v>68</v>
      </c>
      <c r="H2032" s="498">
        <v>0</v>
      </c>
      <c r="I2032" s="655">
        <f t="shared" si="135"/>
        <v>44</v>
      </c>
      <c r="J2032" s="655">
        <v>0</v>
      </c>
      <c r="K2032" s="655">
        <v>44</v>
      </c>
      <c r="L2032" s="710">
        <v>0</v>
      </c>
      <c r="M2032" s="963">
        <v>0.64705882352941169</v>
      </c>
      <c r="N2032" s="653">
        <v>5</v>
      </c>
      <c r="O2032" s="669" t="s">
        <v>1153</v>
      </c>
      <c r="P2032" s="463" t="s">
        <v>5301</v>
      </c>
      <c r="Q2032" s="852">
        <v>0</v>
      </c>
      <c r="R2032" s="852">
        <v>0</v>
      </c>
      <c r="S2032" s="852">
        <v>0</v>
      </c>
      <c r="T2032" s="852">
        <v>0</v>
      </c>
      <c r="U2032" s="463" t="s">
        <v>5804</v>
      </c>
      <c r="V2032" s="463" t="s">
        <v>5807</v>
      </c>
      <c r="W2032" s="498">
        <v>312</v>
      </c>
      <c r="X2032" s="463" t="s">
        <v>2276</v>
      </c>
      <c r="Y2032" s="463" t="s">
        <v>4034</v>
      </c>
      <c r="Z2032" s="463" t="s">
        <v>1588</v>
      </c>
      <c r="AA2032" s="463" t="s">
        <v>1589</v>
      </c>
      <c r="AB2032" s="459" t="s">
        <v>1589</v>
      </c>
    </row>
    <row r="2033" spans="1:28" ht="24" customHeight="1">
      <c r="A2033" s="584"/>
      <c r="B2033" s="460" t="s">
        <v>675</v>
      </c>
      <c r="C2033" s="458" t="s">
        <v>5808</v>
      </c>
      <c r="D2033" s="510" t="s">
        <v>5809</v>
      </c>
      <c r="E2033" s="498">
        <f t="shared" si="134"/>
        <v>30</v>
      </c>
      <c r="F2033" s="498">
        <v>0</v>
      </c>
      <c r="G2033" s="498">
        <v>30</v>
      </c>
      <c r="H2033" s="498">
        <v>0</v>
      </c>
      <c r="I2033" s="655">
        <f t="shared" si="135"/>
        <v>28</v>
      </c>
      <c r="J2033" s="655">
        <v>0</v>
      </c>
      <c r="K2033" s="655">
        <v>28</v>
      </c>
      <c r="L2033" s="710">
        <v>0</v>
      </c>
      <c r="M2033" s="963">
        <v>0.93333333333333324</v>
      </c>
      <c r="N2033" s="653">
        <v>1</v>
      </c>
      <c r="O2033" s="669" t="s">
        <v>1153</v>
      </c>
      <c r="P2033" s="463" t="s">
        <v>5301</v>
      </c>
      <c r="Q2033" s="852">
        <v>0</v>
      </c>
      <c r="R2033" s="852">
        <v>0</v>
      </c>
      <c r="S2033" s="852">
        <v>0</v>
      </c>
      <c r="T2033" s="852">
        <v>0</v>
      </c>
      <c r="U2033" s="463" t="s">
        <v>5810</v>
      </c>
      <c r="V2033" s="463" t="s">
        <v>4209</v>
      </c>
      <c r="W2033" s="498">
        <v>165</v>
      </c>
      <c r="X2033" s="463" t="s">
        <v>2276</v>
      </c>
      <c r="Y2033" s="463" t="s">
        <v>4034</v>
      </c>
      <c r="Z2033" s="463" t="s">
        <v>1588</v>
      </c>
      <c r="AA2033" s="463" t="s">
        <v>1589</v>
      </c>
      <c r="AB2033" s="459" t="s">
        <v>1589</v>
      </c>
    </row>
    <row r="2034" spans="1:28" ht="24" customHeight="1">
      <c r="A2034" s="584"/>
      <c r="B2034" s="460" t="s">
        <v>675</v>
      </c>
      <c r="C2034" s="458" t="s">
        <v>5811</v>
      </c>
      <c r="D2034" s="510" t="s">
        <v>5812</v>
      </c>
      <c r="E2034" s="498">
        <f t="shared" si="134"/>
        <v>70</v>
      </c>
      <c r="F2034" s="498">
        <v>0</v>
      </c>
      <c r="G2034" s="498">
        <v>70</v>
      </c>
      <c r="H2034" s="498">
        <v>0</v>
      </c>
      <c r="I2034" s="655">
        <f t="shared" si="135"/>
        <v>48</v>
      </c>
      <c r="J2034" s="655">
        <v>0</v>
      </c>
      <c r="K2034" s="655">
        <v>48</v>
      </c>
      <c r="L2034" s="710">
        <v>0</v>
      </c>
      <c r="M2034" s="963">
        <v>0.68571428571428572</v>
      </c>
      <c r="N2034" s="653">
        <v>3</v>
      </c>
      <c r="O2034" s="669" t="s">
        <v>5635</v>
      </c>
      <c r="P2034" s="463" t="s">
        <v>5813</v>
      </c>
      <c r="Q2034" s="852">
        <v>0</v>
      </c>
      <c r="R2034" s="852">
        <v>0</v>
      </c>
      <c r="S2034" s="852">
        <v>0</v>
      </c>
      <c r="T2034" s="852">
        <v>0</v>
      </c>
      <c r="U2034" s="463" t="s">
        <v>5810</v>
      </c>
      <c r="V2034" s="463" t="s">
        <v>5807</v>
      </c>
      <c r="W2034" s="498">
        <v>410</v>
      </c>
      <c r="X2034" s="463" t="s">
        <v>2276</v>
      </c>
      <c r="Y2034" s="463" t="s">
        <v>4034</v>
      </c>
      <c r="Z2034" s="463" t="s">
        <v>1588</v>
      </c>
      <c r="AA2034" s="463" t="s">
        <v>1589</v>
      </c>
      <c r="AB2034" s="459" t="s">
        <v>1589</v>
      </c>
    </row>
    <row r="2035" spans="1:28" ht="24" customHeight="1">
      <c r="A2035" s="584"/>
      <c r="B2035" s="460" t="s">
        <v>675</v>
      </c>
      <c r="C2035" s="458" t="s">
        <v>5814</v>
      </c>
      <c r="D2035" s="510" t="s">
        <v>5815</v>
      </c>
      <c r="E2035" s="498">
        <f t="shared" si="134"/>
        <v>50</v>
      </c>
      <c r="F2035" s="498">
        <v>0</v>
      </c>
      <c r="G2035" s="498">
        <v>50</v>
      </c>
      <c r="H2035" s="498">
        <v>0</v>
      </c>
      <c r="I2035" s="655">
        <f t="shared" si="135"/>
        <v>46</v>
      </c>
      <c r="J2035" s="655">
        <v>0</v>
      </c>
      <c r="K2035" s="655">
        <v>46</v>
      </c>
      <c r="L2035" s="710">
        <v>0</v>
      </c>
      <c r="M2035" s="963">
        <v>0.92</v>
      </c>
      <c r="N2035" s="653">
        <v>3</v>
      </c>
      <c r="O2035" s="669" t="s">
        <v>6980</v>
      </c>
      <c r="P2035" s="463" t="s">
        <v>6980</v>
      </c>
      <c r="Q2035" s="852">
        <v>0</v>
      </c>
      <c r="R2035" s="852">
        <v>0</v>
      </c>
      <c r="S2035" s="852">
        <v>0</v>
      </c>
      <c r="T2035" s="852">
        <v>0</v>
      </c>
      <c r="U2035" s="463" t="s">
        <v>5810</v>
      </c>
      <c r="V2035" s="463" t="s">
        <v>5816</v>
      </c>
      <c r="W2035" s="498">
        <v>137</v>
      </c>
      <c r="X2035" s="463" t="s">
        <v>2276</v>
      </c>
      <c r="Y2035" s="463" t="s">
        <v>4034</v>
      </c>
      <c r="Z2035" s="463" t="s">
        <v>1588</v>
      </c>
      <c r="AA2035" s="463" t="s">
        <v>1589</v>
      </c>
      <c r="AB2035" s="459" t="s">
        <v>1589</v>
      </c>
    </row>
    <row r="2036" spans="1:28" ht="24" customHeight="1">
      <c r="A2036" s="583"/>
      <c r="B2036" s="460" t="s">
        <v>675</v>
      </c>
      <c r="C2036" s="458" t="s">
        <v>5817</v>
      </c>
      <c r="D2036" s="510" t="s">
        <v>5818</v>
      </c>
      <c r="E2036" s="498">
        <f t="shared" si="134"/>
        <v>150</v>
      </c>
      <c r="F2036" s="498">
        <v>0</v>
      </c>
      <c r="G2036" s="498">
        <v>0</v>
      </c>
      <c r="H2036" s="498">
        <v>150</v>
      </c>
      <c r="I2036" s="655">
        <f t="shared" si="135"/>
        <v>105</v>
      </c>
      <c r="J2036" s="655">
        <v>0</v>
      </c>
      <c r="K2036" s="655">
        <v>0</v>
      </c>
      <c r="L2036" s="710">
        <v>105</v>
      </c>
      <c r="M2036" s="963">
        <v>0.7</v>
      </c>
      <c r="N2036" s="653">
        <v>16</v>
      </c>
      <c r="O2036" s="669" t="s">
        <v>1024</v>
      </c>
      <c r="P2036" s="463" t="s">
        <v>1214</v>
      </c>
      <c r="Q2036" s="852">
        <v>0</v>
      </c>
      <c r="R2036" s="852">
        <v>0</v>
      </c>
      <c r="S2036" s="852">
        <v>0</v>
      </c>
      <c r="T2036" s="852">
        <v>0</v>
      </c>
      <c r="U2036" s="463" t="s">
        <v>5810</v>
      </c>
      <c r="V2036" s="463" t="s">
        <v>8328</v>
      </c>
      <c r="W2036" s="498">
        <v>1141</v>
      </c>
      <c r="X2036" s="463" t="s">
        <v>2276</v>
      </c>
      <c r="Y2036" s="463" t="s">
        <v>1588</v>
      </c>
      <c r="Z2036" s="463" t="s">
        <v>1588</v>
      </c>
      <c r="AA2036" s="463" t="s">
        <v>1589</v>
      </c>
      <c r="AB2036" s="459" t="s">
        <v>1589</v>
      </c>
    </row>
    <row r="2037" spans="1:28" ht="24" customHeight="1">
      <c r="A2037" s="584" t="s">
        <v>1989</v>
      </c>
      <c r="B2037" s="579" t="s">
        <v>6051</v>
      </c>
      <c r="C2037" s="579"/>
      <c r="D2037" s="579"/>
      <c r="E2037" s="498" t="s">
        <v>6283</v>
      </c>
      <c r="F2037" s="498" t="s">
        <v>6284</v>
      </c>
      <c r="G2037" s="498" t="s">
        <v>6285</v>
      </c>
      <c r="H2037" s="498" t="s">
        <v>6286</v>
      </c>
      <c r="I2037" s="498" t="s">
        <v>6287</v>
      </c>
      <c r="J2037" s="498" t="s">
        <v>6288</v>
      </c>
      <c r="K2037" s="498" t="s">
        <v>6289</v>
      </c>
      <c r="L2037" s="668" t="s">
        <v>6290</v>
      </c>
      <c r="M2037" s="956"/>
      <c r="N2037" s="498" t="s">
        <v>6291</v>
      </c>
      <c r="O2037" s="669" t="s">
        <v>1588</v>
      </c>
      <c r="P2037" s="463" t="s">
        <v>1588</v>
      </c>
      <c r="Q2037" s="852">
        <f>SUM(Q2038:Q2074)</f>
        <v>117.5</v>
      </c>
      <c r="R2037" s="852">
        <f>SUM(R2038:R2074)</f>
        <v>0</v>
      </c>
      <c r="S2037" s="852">
        <f>SUM(S2038:S2074)</f>
        <v>631.70000000000005</v>
      </c>
      <c r="T2037" s="852">
        <f>SUM(T2038:T2074)</f>
        <v>559.1</v>
      </c>
      <c r="U2037" s="463" t="s">
        <v>7539</v>
      </c>
      <c r="V2037" s="463"/>
      <c r="W2037" s="498">
        <f>SUM(W2038:W2074)</f>
        <v>214128</v>
      </c>
      <c r="X2037" s="463"/>
      <c r="Y2037" s="463"/>
      <c r="Z2037" s="463"/>
      <c r="AA2037" s="463"/>
      <c r="AB2037" s="459"/>
    </row>
    <row r="2038" spans="1:28" ht="24" customHeight="1">
      <c r="A2038" s="582" t="s">
        <v>1992</v>
      </c>
      <c r="B2038" s="460" t="s">
        <v>2201</v>
      </c>
      <c r="C2038" s="458" t="s">
        <v>2366</v>
      </c>
      <c r="D2038" s="510" t="s">
        <v>5819</v>
      </c>
      <c r="E2038" s="498">
        <f>F2038+G2038+H2038</f>
        <v>130000</v>
      </c>
      <c r="F2038" s="498">
        <v>0</v>
      </c>
      <c r="G2038" s="498">
        <v>130000</v>
      </c>
      <c r="H2038" s="498">
        <v>0</v>
      </c>
      <c r="I2038" s="498">
        <f>J2038+K2038+L2038</f>
        <v>95838</v>
      </c>
      <c r="J2038" s="498">
        <v>0</v>
      </c>
      <c r="K2038" s="498">
        <v>95838</v>
      </c>
      <c r="L2038" s="668">
        <v>0</v>
      </c>
      <c r="M2038" s="963">
        <v>0.9719626168224299</v>
      </c>
      <c r="N2038" s="653">
        <v>8970.4368000000013</v>
      </c>
      <c r="O2038" s="669" t="s">
        <v>1535</v>
      </c>
      <c r="P2038" s="463" t="s">
        <v>1588</v>
      </c>
      <c r="Q2038" s="852">
        <v>0</v>
      </c>
      <c r="R2038" s="852">
        <v>0</v>
      </c>
      <c r="S2038" s="852">
        <v>551.70000000000005</v>
      </c>
      <c r="T2038" s="852">
        <v>559.1</v>
      </c>
      <c r="U2038" s="463" t="s">
        <v>5820</v>
      </c>
      <c r="V2038" s="466" t="s">
        <v>2175</v>
      </c>
      <c r="W2038" s="498">
        <v>64916</v>
      </c>
      <c r="X2038" s="463" t="s">
        <v>1532</v>
      </c>
      <c r="Y2038" s="463" t="s">
        <v>4034</v>
      </c>
      <c r="Z2038" s="463"/>
      <c r="AA2038" s="463"/>
      <c r="AB2038" s="459" t="s">
        <v>5821</v>
      </c>
    </row>
    <row r="2039" spans="1:28" ht="24" customHeight="1">
      <c r="A2039" s="584"/>
      <c r="B2039" s="460" t="s">
        <v>675</v>
      </c>
      <c r="C2039" s="458" t="s">
        <v>5822</v>
      </c>
      <c r="D2039" s="510" t="s">
        <v>5823</v>
      </c>
      <c r="E2039" s="498">
        <v>20</v>
      </c>
      <c r="F2039" s="498">
        <v>20</v>
      </c>
      <c r="G2039" s="498">
        <v>0</v>
      </c>
      <c r="H2039" s="498">
        <v>0</v>
      </c>
      <c r="I2039" s="498">
        <v>20</v>
      </c>
      <c r="J2039" s="498">
        <v>20</v>
      </c>
      <c r="K2039" s="498">
        <v>0</v>
      </c>
      <c r="L2039" s="668">
        <v>0</v>
      </c>
      <c r="M2039" s="963">
        <v>9.0000000000000011E-3</v>
      </c>
      <c r="N2039" s="653">
        <v>3</v>
      </c>
      <c r="O2039" s="669" t="s">
        <v>5824</v>
      </c>
      <c r="P2039" s="463" t="s">
        <v>1588</v>
      </c>
      <c r="Q2039" s="852">
        <v>0</v>
      </c>
      <c r="R2039" s="852">
        <v>0</v>
      </c>
      <c r="S2039" s="852">
        <v>0</v>
      </c>
      <c r="T2039" s="852">
        <v>0</v>
      </c>
      <c r="U2039" s="463" t="s">
        <v>7522</v>
      </c>
      <c r="V2039" s="466" t="s">
        <v>5825</v>
      </c>
      <c r="W2039" s="498">
        <v>110</v>
      </c>
      <c r="X2039" s="463" t="s">
        <v>2276</v>
      </c>
      <c r="Y2039" s="463" t="s">
        <v>605</v>
      </c>
      <c r="Z2039" s="463"/>
      <c r="AA2039" s="463"/>
      <c r="AB2039" s="459" t="s">
        <v>2318</v>
      </c>
    </row>
    <row r="2040" spans="1:28" ht="24" customHeight="1">
      <c r="A2040" s="584"/>
      <c r="B2040" s="460" t="s">
        <v>675</v>
      </c>
      <c r="C2040" s="458" t="s">
        <v>2190</v>
      </c>
      <c r="D2040" s="510" t="s">
        <v>5826</v>
      </c>
      <c r="E2040" s="498">
        <v>20</v>
      </c>
      <c r="F2040" s="498">
        <v>20</v>
      </c>
      <c r="G2040" s="498">
        <v>0</v>
      </c>
      <c r="H2040" s="498">
        <v>0</v>
      </c>
      <c r="I2040" s="498">
        <v>20</v>
      </c>
      <c r="J2040" s="498">
        <v>20</v>
      </c>
      <c r="K2040" s="498">
        <v>0</v>
      </c>
      <c r="L2040" s="668">
        <v>0</v>
      </c>
      <c r="M2040" s="963">
        <v>9.0000000000000011E-3</v>
      </c>
      <c r="N2040" s="653">
        <v>2</v>
      </c>
      <c r="O2040" s="669" t="s">
        <v>5824</v>
      </c>
      <c r="P2040" s="463" t="s">
        <v>1588</v>
      </c>
      <c r="Q2040" s="852">
        <v>0</v>
      </c>
      <c r="R2040" s="852">
        <v>0</v>
      </c>
      <c r="S2040" s="852">
        <v>0</v>
      </c>
      <c r="T2040" s="852">
        <v>0</v>
      </c>
      <c r="U2040" s="463" t="s">
        <v>7522</v>
      </c>
      <c r="V2040" s="466" t="s">
        <v>5825</v>
      </c>
      <c r="W2040" s="498">
        <v>106</v>
      </c>
      <c r="X2040" s="463" t="s">
        <v>2276</v>
      </c>
      <c r="Y2040" s="463" t="s">
        <v>605</v>
      </c>
      <c r="Z2040" s="463"/>
      <c r="AA2040" s="463"/>
      <c r="AB2040" s="459" t="s">
        <v>2318</v>
      </c>
    </row>
    <row r="2041" spans="1:28" ht="24" customHeight="1">
      <c r="A2041" s="584"/>
      <c r="B2041" s="460" t="s">
        <v>675</v>
      </c>
      <c r="C2041" s="458" t="s">
        <v>5827</v>
      </c>
      <c r="D2041" s="510" t="s">
        <v>5828</v>
      </c>
      <c r="E2041" s="498">
        <v>12</v>
      </c>
      <c r="F2041" s="498">
        <v>12</v>
      </c>
      <c r="G2041" s="498">
        <v>0</v>
      </c>
      <c r="H2041" s="498">
        <v>0</v>
      </c>
      <c r="I2041" s="498">
        <v>12</v>
      </c>
      <c r="J2041" s="498">
        <v>12</v>
      </c>
      <c r="K2041" s="498">
        <v>0</v>
      </c>
      <c r="L2041" s="668">
        <v>0</v>
      </c>
      <c r="M2041" s="963">
        <v>9.0000000000000011E-3</v>
      </c>
      <c r="N2041" s="653">
        <v>2</v>
      </c>
      <c r="O2041" s="669" t="s">
        <v>3579</v>
      </c>
      <c r="P2041" s="463" t="s">
        <v>1588</v>
      </c>
      <c r="Q2041" s="852">
        <v>0</v>
      </c>
      <c r="R2041" s="852">
        <v>0</v>
      </c>
      <c r="S2041" s="852">
        <v>0</v>
      </c>
      <c r="T2041" s="852">
        <v>0</v>
      </c>
      <c r="U2041" s="463" t="s">
        <v>7522</v>
      </c>
      <c r="V2041" s="466" t="s">
        <v>5829</v>
      </c>
      <c r="W2041" s="498">
        <v>70</v>
      </c>
      <c r="X2041" s="463" t="s">
        <v>2276</v>
      </c>
      <c r="Y2041" s="463" t="s">
        <v>605</v>
      </c>
      <c r="Z2041" s="463"/>
      <c r="AA2041" s="463"/>
      <c r="AB2041" s="459" t="s">
        <v>2318</v>
      </c>
    </row>
    <row r="2042" spans="1:28" ht="24" customHeight="1">
      <c r="A2042" s="584"/>
      <c r="B2042" s="460" t="s">
        <v>675</v>
      </c>
      <c r="C2042" s="458" t="s">
        <v>5830</v>
      </c>
      <c r="D2042" s="510" t="s">
        <v>5831</v>
      </c>
      <c r="E2042" s="498">
        <v>16</v>
      </c>
      <c r="F2042" s="498">
        <v>16</v>
      </c>
      <c r="G2042" s="498">
        <v>0</v>
      </c>
      <c r="H2042" s="498">
        <v>0</v>
      </c>
      <c r="I2042" s="498">
        <v>16</v>
      </c>
      <c r="J2042" s="498">
        <v>16</v>
      </c>
      <c r="K2042" s="498">
        <v>0</v>
      </c>
      <c r="L2042" s="668">
        <v>0</v>
      </c>
      <c r="M2042" s="963">
        <v>9.0000000000000011E-3</v>
      </c>
      <c r="N2042" s="653">
        <v>2</v>
      </c>
      <c r="O2042" s="669" t="s">
        <v>3579</v>
      </c>
      <c r="P2042" s="463" t="s">
        <v>1588</v>
      </c>
      <c r="Q2042" s="852">
        <v>0</v>
      </c>
      <c r="R2042" s="852">
        <v>0</v>
      </c>
      <c r="S2042" s="852">
        <v>0</v>
      </c>
      <c r="T2042" s="852">
        <v>0</v>
      </c>
      <c r="U2042" s="463" t="s">
        <v>7522</v>
      </c>
      <c r="V2042" s="466" t="s">
        <v>5832</v>
      </c>
      <c r="W2042" s="498">
        <v>83</v>
      </c>
      <c r="X2042" s="463" t="s">
        <v>2276</v>
      </c>
      <c r="Y2042" s="463" t="s">
        <v>605</v>
      </c>
      <c r="Z2042" s="463"/>
      <c r="AA2042" s="463"/>
      <c r="AB2042" s="459" t="s">
        <v>2318</v>
      </c>
    </row>
    <row r="2043" spans="1:28" ht="24" customHeight="1">
      <c r="A2043" s="584"/>
      <c r="B2043" s="460" t="s">
        <v>675</v>
      </c>
      <c r="C2043" s="458" t="s">
        <v>5833</v>
      </c>
      <c r="D2043" s="510" t="s">
        <v>5834</v>
      </c>
      <c r="E2043" s="498">
        <v>20</v>
      </c>
      <c r="F2043" s="498">
        <v>20</v>
      </c>
      <c r="G2043" s="498">
        <v>0</v>
      </c>
      <c r="H2043" s="498">
        <v>0</v>
      </c>
      <c r="I2043" s="498">
        <v>20</v>
      </c>
      <c r="J2043" s="498">
        <v>20</v>
      </c>
      <c r="K2043" s="498">
        <v>0</v>
      </c>
      <c r="L2043" s="668">
        <v>0</v>
      </c>
      <c r="M2043" s="963">
        <v>9.0000000000000011E-3</v>
      </c>
      <c r="N2043" s="653">
        <v>2</v>
      </c>
      <c r="O2043" s="669" t="s">
        <v>5824</v>
      </c>
      <c r="P2043" s="463" t="s">
        <v>1588</v>
      </c>
      <c r="Q2043" s="852">
        <v>0</v>
      </c>
      <c r="R2043" s="852">
        <v>0</v>
      </c>
      <c r="S2043" s="852">
        <v>0</v>
      </c>
      <c r="T2043" s="852">
        <v>0</v>
      </c>
      <c r="U2043" s="463" t="s">
        <v>7522</v>
      </c>
      <c r="V2043" s="466" t="s">
        <v>2174</v>
      </c>
      <c r="W2043" s="498">
        <v>84</v>
      </c>
      <c r="X2043" s="463" t="s">
        <v>2276</v>
      </c>
      <c r="Y2043" s="463" t="s">
        <v>605</v>
      </c>
      <c r="Z2043" s="463"/>
      <c r="AA2043" s="463"/>
      <c r="AB2043" s="459" t="s">
        <v>2318</v>
      </c>
    </row>
    <row r="2044" spans="1:28" ht="24" customHeight="1">
      <c r="A2044" s="584"/>
      <c r="B2044" s="460" t="s">
        <v>675</v>
      </c>
      <c r="C2044" s="458" t="s">
        <v>5835</v>
      </c>
      <c r="D2044" s="510" t="s">
        <v>5836</v>
      </c>
      <c r="E2044" s="498">
        <v>23</v>
      </c>
      <c r="F2044" s="498">
        <v>23</v>
      </c>
      <c r="G2044" s="498">
        <v>0</v>
      </c>
      <c r="H2044" s="498">
        <v>0</v>
      </c>
      <c r="I2044" s="498">
        <v>23</v>
      </c>
      <c r="J2044" s="498">
        <v>23</v>
      </c>
      <c r="K2044" s="498">
        <v>0</v>
      </c>
      <c r="L2044" s="668">
        <v>0</v>
      </c>
      <c r="M2044" s="963">
        <v>9.0000000000000011E-3</v>
      </c>
      <c r="N2044" s="653">
        <v>3</v>
      </c>
      <c r="O2044" s="669" t="s">
        <v>3579</v>
      </c>
      <c r="P2044" s="463" t="s">
        <v>1588</v>
      </c>
      <c r="Q2044" s="852">
        <v>0</v>
      </c>
      <c r="R2044" s="852">
        <v>0</v>
      </c>
      <c r="S2044" s="852">
        <v>0</v>
      </c>
      <c r="T2044" s="852">
        <v>0</v>
      </c>
      <c r="U2044" s="463" t="s">
        <v>7522</v>
      </c>
      <c r="V2044" s="466" t="s">
        <v>5837</v>
      </c>
      <c r="W2044" s="498">
        <v>76</v>
      </c>
      <c r="X2044" s="463" t="s">
        <v>2276</v>
      </c>
      <c r="Y2044" s="463" t="s">
        <v>605</v>
      </c>
      <c r="Z2044" s="463"/>
      <c r="AA2044" s="463"/>
      <c r="AB2044" s="459" t="s">
        <v>2318</v>
      </c>
    </row>
    <row r="2045" spans="1:28" ht="24" customHeight="1">
      <c r="A2045" s="584"/>
      <c r="B2045" s="460" t="s">
        <v>675</v>
      </c>
      <c r="C2045" s="458" t="s">
        <v>7165</v>
      </c>
      <c r="D2045" s="510" t="s">
        <v>5838</v>
      </c>
      <c r="E2045" s="498">
        <v>14</v>
      </c>
      <c r="F2045" s="498">
        <v>14</v>
      </c>
      <c r="G2045" s="498">
        <v>0</v>
      </c>
      <c r="H2045" s="498">
        <v>0</v>
      </c>
      <c r="I2045" s="498">
        <v>14</v>
      </c>
      <c r="J2045" s="498">
        <v>14</v>
      </c>
      <c r="K2045" s="498">
        <v>0</v>
      </c>
      <c r="L2045" s="668">
        <v>0</v>
      </c>
      <c r="M2045" s="963">
        <v>9.0000000000000011E-3</v>
      </c>
      <c r="N2045" s="653">
        <v>2</v>
      </c>
      <c r="O2045" s="669" t="s">
        <v>5824</v>
      </c>
      <c r="P2045" s="463" t="s">
        <v>1588</v>
      </c>
      <c r="Q2045" s="852">
        <v>0</v>
      </c>
      <c r="R2045" s="852">
        <v>0</v>
      </c>
      <c r="S2045" s="852">
        <v>0</v>
      </c>
      <c r="T2045" s="852">
        <v>0</v>
      </c>
      <c r="U2045" s="463" t="s">
        <v>7522</v>
      </c>
      <c r="V2045" s="466" t="s">
        <v>5839</v>
      </c>
      <c r="W2045" s="498">
        <v>83</v>
      </c>
      <c r="X2045" s="463" t="s">
        <v>2276</v>
      </c>
      <c r="Y2045" s="463" t="s">
        <v>605</v>
      </c>
      <c r="Z2045" s="463"/>
      <c r="AA2045" s="463"/>
      <c r="AB2045" s="459" t="s">
        <v>2318</v>
      </c>
    </row>
    <row r="2046" spans="1:28" ht="24" customHeight="1">
      <c r="A2046" s="584"/>
      <c r="B2046" s="460" t="s">
        <v>675</v>
      </c>
      <c r="C2046" s="458" t="s">
        <v>5840</v>
      </c>
      <c r="D2046" s="510" t="s">
        <v>5841</v>
      </c>
      <c r="E2046" s="498">
        <v>40</v>
      </c>
      <c r="F2046" s="498">
        <v>40</v>
      </c>
      <c r="G2046" s="498">
        <v>0</v>
      </c>
      <c r="H2046" s="498">
        <v>0</v>
      </c>
      <c r="I2046" s="498">
        <v>40</v>
      </c>
      <c r="J2046" s="498">
        <v>40</v>
      </c>
      <c r="K2046" s="498">
        <v>0</v>
      </c>
      <c r="L2046" s="668">
        <v>0</v>
      </c>
      <c r="M2046" s="963">
        <v>9.0000000000000011E-3</v>
      </c>
      <c r="N2046" s="653">
        <v>4</v>
      </c>
      <c r="O2046" s="669" t="s">
        <v>5824</v>
      </c>
      <c r="P2046" s="463" t="s">
        <v>1588</v>
      </c>
      <c r="Q2046" s="852">
        <v>0</v>
      </c>
      <c r="R2046" s="852">
        <v>0</v>
      </c>
      <c r="S2046" s="852">
        <v>0</v>
      </c>
      <c r="T2046" s="852">
        <v>0</v>
      </c>
      <c r="U2046" s="463" t="s">
        <v>7522</v>
      </c>
      <c r="V2046" s="466" t="s">
        <v>5839</v>
      </c>
      <c r="W2046" s="498">
        <v>96</v>
      </c>
      <c r="X2046" s="463" t="s">
        <v>2276</v>
      </c>
      <c r="Y2046" s="463" t="s">
        <v>605</v>
      </c>
      <c r="Z2046" s="463"/>
      <c r="AA2046" s="463"/>
      <c r="AB2046" s="459" t="s">
        <v>2318</v>
      </c>
    </row>
    <row r="2047" spans="1:28" ht="24" customHeight="1">
      <c r="A2047" s="584"/>
      <c r="B2047" s="460" t="s">
        <v>675</v>
      </c>
      <c r="C2047" s="458" t="s">
        <v>2185</v>
      </c>
      <c r="D2047" s="510" t="s">
        <v>5842</v>
      </c>
      <c r="E2047" s="498">
        <v>15</v>
      </c>
      <c r="F2047" s="498">
        <v>15</v>
      </c>
      <c r="G2047" s="498">
        <v>0</v>
      </c>
      <c r="H2047" s="498">
        <v>0</v>
      </c>
      <c r="I2047" s="498">
        <v>5</v>
      </c>
      <c r="J2047" s="498">
        <v>5</v>
      </c>
      <c r="K2047" s="498">
        <v>0</v>
      </c>
      <c r="L2047" s="668">
        <v>0</v>
      </c>
      <c r="M2047" s="963">
        <v>9.0000000000000011E-3</v>
      </c>
      <c r="N2047" s="653">
        <v>1</v>
      </c>
      <c r="O2047" s="669" t="s">
        <v>5824</v>
      </c>
      <c r="P2047" s="463" t="s">
        <v>1588</v>
      </c>
      <c r="Q2047" s="852">
        <v>0</v>
      </c>
      <c r="R2047" s="852">
        <v>0</v>
      </c>
      <c r="S2047" s="852">
        <v>0</v>
      </c>
      <c r="T2047" s="852">
        <v>0</v>
      </c>
      <c r="U2047" s="463" t="s">
        <v>7522</v>
      </c>
      <c r="V2047" s="466" t="s">
        <v>5843</v>
      </c>
      <c r="W2047" s="498">
        <v>101</v>
      </c>
      <c r="X2047" s="463" t="s">
        <v>2276</v>
      </c>
      <c r="Y2047" s="463" t="s">
        <v>605</v>
      </c>
      <c r="Z2047" s="463"/>
      <c r="AA2047" s="463"/>
      <c r="AB2047" s="459" t="s">
        <v>2318</v>
      </c>
    </row>
    <row r="2048" spans="1:28" ht="24" customHeight="1">
      <c r="A2048" s="584"/>
      <c r="B2048" s="460" t="s">
        <v>675</v>
      </c>
      <c r="C2048" s="458" t="s">
        <v>5844</v>
      </c>
      <c r="D2048" s="510" t="s">
        <v>5845</v>
      </c>
      <c r="E2048" s="498">
        <v>16</v>
      </c>
      <c r="F2048" s="498">
        <v>16</v>
      </c>
      <c r="G2048" s="498">
        <v>0</v>
      </c>
      <c r="H2048" s="498">
        <v>0</v>
      </c>
      <c r="I2048" s="498">
        <v>16</v>
      </c>
      <c r="J2048" s="498">
        <v>16</v>
      </c>
      <c r="K2048" s="498">
        <v>0</v>
      </c>
      <c r="L2048" s="668">
        <v>0</v>
      </c>
      <c r="M2048" s="963">
        <v>9.0000000000000011E-3</v>
      </c>
      <c r="N2048" s="653">
        <v>2</v>
      </c>
      <c r="O2048" s="669" t="s">
        <v>3579</v>
      </c>
      <c r="P2048" s="463" t="s">
        <v>1588</v>
      </c>
      <c r="Q2048" s="852">
        <v>0</v>
      </c>
      <c r="R2048" s="852">
        <v>0</v>
      </c>
      <c r="S2048" s="852">
        <v>0</v>
      </c>
      <c r="T2048" s="852">
        <v>0</v>
      </c>
      <c r="U2048" s="463" t="s">
        <v>7522</v>
      </c>
      <c r="V2048" s="466" t="s">
        <v>5846</v>
      </c>
      <c r="W2048" s="498">
        <v>100</v>
      </c>
      <c r="X2048" s="463" t="s">
        <v>2276</v>
      </c>
      <c r="Y2048" s="463" t="s">
        <v>605</v>
      </c>
      <c r="Z2048" s="463"/>
      <c r="AA2048" s="463"/>
      <c r="AB2048" s="459" t="s">
        <v>2318</v>
      </c>
    </row>
    <row r="2049" spans="1:28" ht="24" customHeight="1">
      <c r="A2049" s="584"/>
      <c r="B2049" s="460" t="s">
        <v>675</v>
      </c>
      <c r="C2049" s="458" t="s">
        <v>5847</v>
      </c>
      <c r="D2049" s="510" t="s">
        <v>5848</v>
      </c>
      <c r="E2049" s="498">
        <v>35</v>
      </c>
      <c r="F2049" s="498">
        <v>35</v>
      </c>
      <c r="G2049" s="498">
        <v>0</v>
      </c>
      <c r="H2049" s="498">
        <v>0</v>
      </c>
      <c r="I2049" s="498">
        <v>35</v>
      </c>
      <c r="J2049" s="498">
        <v>35</v>
      </c>
      <c r="K2049" s="498">
        <v>0</v>
      </c>
      <c r="L2049" s="668">
        <v>0</v>
      </c>
      <c r="M2049" s="963">
        <v>9.0000000000000011E-3</v>
      </c>
      <c r="N2049" s="653">
        <v>3</v>
      </c>
      <c r="O2049" s="669" t="s">
        <v>5824</v>
      </c>
      <c r="P2049" s="463" t="s">
        <v>1588</v>
      </c>
      <c r="Q2049" s="852">
        <v>0</v>
      </c>
      <c r="R2049" s="852">
        <v>0</v>
      </c>
      <c r="S2049" s="852">
        <v>0</v>
      </c>
      <c r="T2049" s="852">
        <v>0</v>
      </c>
      <c r="U2049" s="463" t="s">
        <v>7522</v>
      </c>
      <c r="V2049" s="466" t="s">
        <v>5849</v>
      </c>
      <c r="W2049" s="498">
        <v>60</v>
      </c>
      <c r="X2049" s="463" t="s">
        <v>2276</v>
      </c>
      <c r="Y2049" s="463" t="s">
        <v>605</v>
      </c>
      <c r="Z2049" s="463"/>
      <c r="AA2049" s="463"/>
      <c r="AB2049" s="459" t="s">
        <v>2318</v>
      </c>
    </row>
    <row r="2050" spans="1:28" ht="24" customHeight="1">
      <c r="A2050" s="584"/>
      <c r="B2050" s="460" t="s">
        <v>675</v>
      </c>
      <c r="C2050" s="458" t="s">
        <v>2140</v>
      </c>
      <c r="D2050" s="510" t="s">
        <v>5850</v>
      </c>
      <c r="E2050" s="498">
        <v>16</v>
      </c>
      <c r="F2050" s="498">
        <v>16</v>
      </c>
      <c r="G2050" s="498">
        <v>0</v>
      </c>
      <c r="H2050" s="498">
        <v>0</v>
      </c>
      <c r="I2050" s="498">
        <v>16</v>
      </c>
      <c r="J2050" s="498">
        <v>16</v>
      </c>
      <c r="K2050" s="498">
        <v>0</v>
      </c>
      <c r="L2050" s="668">
        <v>0</v>
      </c>
      <c r="M2050" s="963">
        <v>9.0000000000000011E-3</v>
      </c>
      <c r="N2050" s="653">
        <v>3</v>
      </c>
      <c r="O2050" s="669" t="s">
        <v>3579</v>
      </c>
      <c r="P2050" s="463" t="s">
        <v>1588</v>
      </c>
      <c r="Q2050" s="852">
        <v>0</v>
      </c>
      <c r="R2050" s="852">
        <v>0</v>
      </c>
      <c r="S2050" s="852">
        <v>0</v>
      </c>
      <c r="T2050" s="852">
        <v>0</v>
      </c>
      <c r="U2050" s="463" t="s">
        <v>7522</v>
      </c>
      <c r="V2050" s="466" t="s">
        <v>4299</v>
      </c>
      <c r="W2050" s="498">
        <v>110</v>
      </c>
      <c r="X2050" s="463" t="s">
        <v>2276</v>
      </c>
      <c r="Y2050" s="463" t="s">
        <v>605</v>
      </c>
      <c r="Z2050" s="463"/>
      <c r="AA2050" s="463"/>
      <c r="AB2050" s="459" t="s">
        <v>2318</v>
      </c>
    </row>
    <row r="2051" spans="1:28" ht="24" customHeight="1">
      <c r="A2051" s="584"/>
      <c r="B2051" s="460" t="s">
        <v>675</v>
      </c>
      <c r="C2051" s="458" t="s">
        <v>5851</v>
      </c>
      <c r="D2051" s="510" t="s">
        <v>5852</v>
      </c>
      <c r="E2051" s="498">
        <v>35</v>
      </c>
      <c r="F2051" s="498">
        <v>35</v>
      </c>
      <c r="G2051" s="498">
        <v>0</v>
      </c>
      <c r="H2051" s="498">
        <v>0</v>
      </c>
      <c r="I2051" s="498">
        <v>35</v>
      </c>
      <c r="J2051" s="498">
        <v>35</v>
      </c>
      <c r="K2051" s="498">
        <v>0</v>
      </c>
      <c r="L2051" s="668">
        <v>0</v>
      </c>
      <c r="M2051" s="963">
        <v>9.0000000000000011E-3</v>
      </c>
      <c r="N2051" s="653">
        <v>3</v>
      </c>
      <c r="O2051" s="669" t="s">
        <v>5824</v>
      </c>
      <c r="P2051" s="463" t="s">
        <v>1588</v>
      </c>
      <c r="Q2051" s="852">
        <v>0</v>
      </c>
      <c r="R2051" s="852">
        <v>0</v>
      </c>
      <c r="S2051" s="852">
        <v>0</v>
      </c>
      <c r="T2051" s="852">
        <v>0</v>
      </c>
      <c r="U2051" s="463" t="s">
        <v>7522</v>
      </c>
      <c r="V2051" s="466" t="s">
        <v>5853</v>
      </c>
      <c r="W2051" s="498">
        <v>112</v>
      </c>
      <c r="X2051" s="463" t="s">
        <v>2276</v>
      </c>
      <c r="Y2051" s="463" t="s">
        <v>605</v>
      </c>
      <c r="Z2051" s="463"/>
      <c r="AA2051" s="463"/>
      <c r="AB2051" s="459" t="s">
        <v>2318</v>
      </c>
    </row>
    <row r="2052" spans="1:28" ht="24" customHeight="1">
      <c r="A2052" s="584"/>
      <c r="B2052" s="460" t="s">
        <v>675</v>
      </c>
      <c r="C2052" s="458" t="s">
        <v>5854</v>
      </c>
      <c r="D2052" s="510" t="s">
        <v>5855</v>
      </c>
      <c r="E2052" s="498">
        <v>84</v>
      </c>
      <c r="F2052" s="498">
        <v>84</v>
      </c>
      <c r="G2052" s="498">
        <v>0</v>
      </c>
      <c r="H2052" s="498">
        <v>0</v>
      </c>
      <c r="I2052" s="498">
        <v>5</v>
      </c>
      <c r="J2052" s="498">
        <v>5</v>
      </c>
      <c r="K2052" s="498">
        <v>0</v>
      </c>
      <c r="L2052" s="668">
        <v>0</v>
      </c>
      <c r="M2052" s="963">
        <v>9.0000000000000011E-3</v>
      </c>
      <c r="N2052" s="653">
        <v>1</v>
      </c>
      <c r="O2052" s="669" t="s">
        <v>5856</v>
      </c>
      <c r="P2052" s="463" t="s">
        <v>1588</v>
      </c>
      <c r="Q2052" s="852">
        <v>0</v>
      </c>
      <c r="R2052" s="852">
        <v>0</v>
      </c>
      <c r="S2052" s="852">
        <v>0</v>
      </c>
      <c r="T2052" s="852">
        <v>0</v>
      </c>
      <c r="U2052" s="463" t="s">
        <v>7522</v>
      </c>
      <c r="V2052" s="466" t="s">
        <v>5857</v>
      </c>
      <c r="W2052" s="498">
        <v>400</v>
      </c>
      <c r="X2052" s="463" t="s">
        <v>2276</v>
      </c>
      <c r="Y2052" s="463" t="s">
        <v>605</v>
      </c>
      <c r="Z2052" s="463"/>
      <c r="AA2052" s="463"/>
      <c r="AB2052" s="459" t="s">
        <v>2318</v>
      </c>
    </row>
    <row r="2053" spans="1:28" ht="24" customHeight="1">
      <c r="A2053" s="584"/>
      <c r="B2053" s="460" t="s">
        <v>675</v>
      </c>
      <c r="C2053" s="458" t="s">
        <v>5858</v>
      </c>
      <c r="D2053" s="510" t="s">
        <v>5859</v>
      </c>
      <c r="E2053" s="498">
        <v>40</v>
      </c>
      <c r="F2053" s="498">
        <v>40</v>
      </c>
      <c r="G2053" s="498">
        <v>0</v>
      </c>
      <c r="H2053" s="498">
        <v>0</v>
      </c>
      <c r="I2053" s="498">
        <v>40</v>
      </c>
      <c r="J2053" s="498">
        <v>40</v>
      </c>
      <c r="K2053" s="498">
        <v>0</v>
      </c>
      <c r="L2053" s="668">
        <v>0</v>
      </c>
      <c r="M2053" s="963">
        <v>9.0000000000000011E-3</v>
      </c>
      <c r="N2053" s="653">
        <v>4</v>
      </c>
      <c r="O2053" s="669" t="s">
        <v>5824</v>
      </c>
      <c r="P2053" s="463" t="s">
        <v>1588</v>
      </c>
      <c r="Q2053" s="852">
        <v>0</v>
      </c>
      <c r="R2053" s="852">
        <v>0</v>
      </c>
      <c r="S2053" s="852">
        <v>0</v>
      </c>
      <c r="T2053" s="852">
        <v>0</v>
      </c>
      <c r="U2053" s="463" t="s">
        <v>7522</v>
      </c>
      <c r="V2053" s="466" t="s">
        <v>5860</v>
      </c>
      <c r="W2053" s="498">
        <v>112</v>
      </c>
      <c r="X2053" s="463" t="s">
        <v>2276</v>
      </c>
      <c r="Y2053" s="463" t="s">
        <v>605</v>
      </c>
      <c r="Z2053" s="463"/>
      <c r="AA2053" s="463"/>
      <c r="AB2053" s="459" t="s">
        <v>2318</v>
      </c>
    </row>
    <row r="2054" spans="1:28" ht="24" customHeight="1">
      <c r="A2054" s="584"/>
      <c r="B2054" s="460" t="s">
        <v>675</v>
      </c>
      <c r="C2054" s="458" t="s">
        <v>5861</v>
      </c>
      <c r="D2054" s="510" t="s">
        <v>5862</v>
      </c>
      <c r="E2054" s="498">
        <v>100</v>
      </c>
      <c r="F2054" s="498">
        <v>100</v>
      </c>
      <c r="G2054" s="498">
        <v>0</v>
      </c>
      <c r="H2054" s="498">
        <v>0</v>
      </c>
      <c r="I2054" s="498">
        <v>60</v>
      </c>
      <c r="J2054" s="498">
        <v>60</v>
      </c>
      <c r="K2054" s="498">
        <v>0</v>
      </c>
      <c r="L2054" s="668">
        <v>0</v>
      </c>
      <c r="M2054" s="963">
        <v>9.0000000000000011E-3</v>
      </c>
      <c r="N2054" s="653">
        <v>6</v>
      </c>
      <c r="O2054" s="669" t="s">
        <v>5863</v>
      </c>
      <c r="P2054" s="463" t="s">
        <v>1588</v>
      </c>
      <c r="Q2054" s="852">
        <v>0</v>
      </c>
      <c r="R2054" s="852">
        <v>0</v>
      </c>
      <c r="S2054" s="852">
        <v>0</v>
      </c>
      <c r="T2054" s="852">
        <v>0</v>
      </c>
      <c r="U2054" s="463" t="s">
        <v>7522</v>
      </c>
      <c r="V2054" s="466" t="s">
        <v>5864</v>
      </c>
      <c r="W2054" s="498">
        <v>669</v>
      </c>
      <c r="X2054" s="463" t="s">
        <v>2276</v>
      </c>
      <c r="Y2054" s="463" t="s">
        <v>605</v>
      </c>
      <c r="Z2054" s="463"/>
      <c r="AA2054" s="463"/>
      <c r="AB2054" s="459" t="s">
        <v>2318</v>
      </c>
    </row>
    <row r="2055" spans="1:28" ht="24" customHeight="1">
      <c r="A2055" s="586" t="s">
        <v>1990</v>
      </c>
      <c r="B2055" s="473" t="s">
        <v>2201</v>
      </c>
      <c r="C2055" s="500" t="s">
        <v>317</v>
      </c>
      <c r="D2055" s="705" t="s">
        <v>5865</v>
      </c>
      <c r="E2055" s="664">
        <v>20000</v>
      </c>
      <c r="F2055" s="664">
        <v>0</v>
      </c>
      <c r="G2055" s="664">
        <v>20000</v>
      </c>
      <c r="H2055" s="664">
        <v>0</v>
      </c>
      <c r="I2055" s="664">
        <v>12750</v>
      </c>
      <c r="J2055" s="664">
        <v>0</v>
      </c>
      <c r="K2055" s="664">
        <v>12750</v>
      </c>
      <c r="L2055" s="772">
        <v>0</v>
      </c>
      <c r="M2055" s="963">
        <v>0.94553621560920842</v>
      </c>
      <c r="N2055" s="653">
        <v>2147.1000000000004</v>
      </c>
      <c r="O2055" s="669" t="s">
        <v>1260</v>
      </c>
      <c r="P2055" s="463" t="s">
        <v>1588</v>
      </c>
      <c r="Q2055" s="856">
        <v>0</v>
      </c>
      <c r="R2055" s="856">
        <v>0</v>
      </c>
      <c r="S2055" s="856">
        <v>0</v>
      </c>
      <c r="T2055" s="856">
        <v>0</v>
      </c>
      <c r="U2055" s="132" t="s">
        <v>5866</v>
      </c>
      <c r="V2055" s="132" t="s">
        <v>5867</v>
      </c>
      <c r="W2055" s="664">
        <v>18317</v>
      </c>
      <c r="X2055" s="132" t="s">
        <v>2193</v>
      </c>
      <c r="Y2055" s="132" t="s">
        <v>3161</v>
      </c>
      <c r="Z2055" s="132"/>
      <c r="AA2055" s="132"/>
      <c r="AB2055" s="133" t="s">
        <v>1587</v>
      </c>
    </row>
    <row r="2056" spans="1:28" ht="24" customHeight="1">
      <c r="A2056" s="587"/>
      <c r="B2056" s="473" t="s">
        <v>2201</v>
      </c>
      <c r="C2056" s="500" t="s">
        <v>318</v>
      </c>
      <c r="D2056" s="510" t="s">
        <v>5868</v>
      </c>
      <c r="E2056" s="498">
        <v>15000</v>
      </c>
      <c r="F2056" s="498">
        <v>0</v>
      </c>
      <c r="G2056" s="498">
        <v>15000</v>
      </c>
      <c r="H2056" s="498">
        <v>0</v>
      </c>
      <c r="I2056" s="498">
        <v>6580</v>
      </c>
      <c r="J2056" s="498">
        <v>0</v>
      </c>
      <c r="K2056" s="498">
        <v>6580</v>
      </c>
      <c r="L2056" s="668">
        <v>0</v>
      </c>
      <c r="M2056" s="956">
        <v>0.92493297587131362</v>
      </c>
      <c r="N2056" s="653">
        <v>681.03</v>
      </c>
      <c r="O2056" s="669" t="s">
        <v>1260</v>
      </c>
      <c r="P2056" s="463" t="s">
        <v>1588</v>
      </c>
      <c r="Q2056" s="852">
        <v>90</v>
      </c>
      <c r="R2056" s="852">
        <v>0</v>
      </c>
      <c r="S2056" s="852">
        <v>80</v>
      </c>
      <c r="T2056" s="852">
        <v>0</v>
      </c>
      <c r="U2056" s="463" t="s">
        <v>7523</v>
      </c>
      <c r="V2056" s="466" t="s">
        <v>5869</v>
      </c>
      <c r="W2056" s="664">
        <v>25634</v>
      </c>
      <c r="X2056" s="463" t="s">
        <v>1532</v>
      </c>
      <c r="Y2056" s="463" t="s">
        <v>4034</v>
      </c>
      <c r="Z2056" s="463"/>
      <c r="AA2056" s="463"/>
      <c r="AB2056" s="459" t="s">
        <v>2012</v>
      </c>
    </row>
    <row r="2057" spans="1:28" ht="24" customHeight="1">
      <c r="A2057" s="584"/>
      <c r="B2057" s="460" t="s">
        <v>2201</v>
      </c>
      <c r="C2057" s="458" t="s">
        <v>2250</v>
      </c>
      <c r="D2057" s="510" t="s">
        <v>5870</v>
      </c>
      <c r="E2057" s="498">
        <v>8000</v>
      </c>
      <c r="F2057" s="498">
        <v>0</v>
      </c>
      <c r="G2057" s="498">
        <v>0</v>
      </c>
      <c r="H2057" s="498">
        <v>8000</v>
      </c>
      <c r="I2057" s="498">
        <v>2944</v>
      </c>
      <c r="J2057" s="498">
        <v>0</v>
      </c>
      <c r="K2057" s="498">
        <v>0</v>
      </c>
      <c r="L2057" s="668">
        <v>2944</v>
      </c>
      <c r="M2057" s="956">
        <v>0.87778855480116391</v>
      </c>
      <c r="N2057" s="653">
        <v>266.43199999999996</v>
      </c>
      <c r="O2057" s="669" t="s">
        <v>3347</v>
      </c>
      <c r="P2057" s="463" t="s">
        <v>1588</v>
      </c>
      <c r="Q2057" s="852">
        <v>7.5</v>
      </c>
      <c r="R2057" s="852">
        <v>0</v>
      </c>
      <c r="S2057" s="852">
        <v>0</v>
      </c>
      <c r="T2057" s="852">
        <v>0</v>
      </c>
      <c r="U2057" s="463" t="s">
        <v>5871</v>
      </c>
      <c r="V2057" s="463" t="s">
        <v>5872</v>
      </c>
      <c r="W2057" s="664">
        <v>46335</v>
      </c>
      <c r="X2057" s="463" t="s">
        <v>2193</v>
      </c>
      <c r="Y2057" s="463" t="s">
        <v>3399</v>
      </c>
      <c r="Z2057" s="463"/>
      <c r="AA2057" s="463"/>
      <c r="AB2057" s="459" t="s">
        <v>1783</v>
      </c>
    </row>
    <row r="2058" spans="1:28" ht="24" customHeight="1">
      <c r="A2058" s="584"/>
      <c r="B2058" s="460" t="s">
        <v>2201</v>
      </c>
      <c r="C2058" s="458" t="s">
        <v>319</v>
      </c>
      <c r="D2058" s="510" t="s">
        <v>5873</v>
      </c>
      <c r="E2058" s="498">
        <f>SUM(F2058:H2058)</f>
        <v>4000</v>
      </c>
      <c r="F2058" s="498">
        <v>0</v>
      </c>
      <c r="G2058" s="498">
        <v>0</v>
      </c>
      <c r="H2058" s="498">
        <v>4000</v>
      </c>
      <c r="I2058" s="498">
        <f>SUM(J2058:L2058)</f>
        <v>1280</v>
      </c>
      <c r="J2058" s="498">
        <v>0</v>
      </c>
      <c r="K2058" s="498">
        <v>0</v>
      </c>
      <c r="L2058" s="668">
        <v>1280</v>
      </c>
      <c r="M2058" s="956">
        <v>0.95232419547079861</v>
      </c>
      <c r="N2058" s="653">
        <v>102.27200000000001</v>
      </c>
      <c r="O2058" s="669" t="s">
        <v>3347</v>
      </c>
      <c r="P2058" s="463" t="s">
        <v>1588</v>
      </c>
      <c r="Q2058" s="852">
        <v>20</v>
      </c>
      <c r="R2058" s="852">
        <v>0</v>
      </c>
      <c r="S2058" s="852">
        <v>0</v>
      </c>
      <c r="T2058" s="852">
        <v>0</v>
      </c>
      <c r="U2058" s="463" t="s">
        <v>5874</v>
      </c>
      <c r="V2058" s="463" t="s">
        <v>5872</v>
      </c>
      <c r="W2058" s="664">
        <v>51318</v>
      </c>
      <c r="X2058" s="463" t="s">
        <v>2193</v>
      </c>
      <c r="Y2058" s="463" t="s">
        <v>3399</v>
      </c>
      <c r="Z2058" s="463"/>
      <c r="AA2058" s="463"/>
      <c r="AB2058" s="459" t="s">
        <v>1783</v>
      </c>
    </row>
    <row r="2059" spans="1:28" ht="24" customHeight="1">
      <c r="A2059" s="584"/>
      <c r="B2059" s="460" t="s">
        <v>675</v>
      </c>
      <c r="C2059" s="458" t="s">
        <v>5875</v>
      </c>
      <c r="D2059" s="510" t="s">
        <v>5876</v>
      </c>
      <c r="E2059" s="498">
        <f>F2059+G2059+H2059</f>
        <v>60</v>
      </c>
      <c r="F2059" s="498">
        <v>60</v>
      </c>
      <c r="G2059" s="498">
        <v>0</v>
      </c>
      <c r="H2059" s="498">
        <v>0</v>
      </c>
      <c r="I2059" s="498">
        <f>SUM(J2059:L2059)</f>
        <v>36</v>
      </c>
      <c r="J2059" s="498">
        <v>36</v>
      </c>
      <c r="K2059" s="498">
        <v>0</v>
      </c>
      <c r="L2059" s="668">
        <v>0</v>
      </c>
      <c r="M2059" s="963">
        <v>0.9</v>
      </c>
      <c r="N2059" s="653">
        <v>260.67239999999998</v>
      </c>
      <c r="O2059" s="669" t="s">
        <v>5338</v>
      </c>
      <c r="P2059" s="463" t="s">
        <v>1588</v>
      </c>
      <c r="Q2059" s="852">
        <v>0</v>
      </c>
      <c r="R2059" s="852">
        <v>0</v>
      </c>
      <c r="S2059" s="852">
        <v>0</v>
      </c>
      <c r="T2059" s="852">
        <v>0</v>
      </c>
      <c r="U2059" s="463" t="s">
        <v>5877</v>
      </c>
      <c r="V2059" s="463" t="s">
        <v>5878</v>
      </c>
      <c r="W2059" s="664">
        <v>159</v>
      </c>
      <c r="X2059" s="463" t="s">
        <v>3205</v>
      </c>
      <c r="Y2059" s="463" t="s">
        <v>1533</v>
      </c>
      <c r="Z2059" s="463"/>
      <c r="AA2059" s="463" t="s">
        <v>5879</v>
      </c>
      <c r="AB2059" s="459" t="s">
        <v>1783</v>
      </c>
    </row>
    <row r="2060" spans="1:28" ht="24" customHeight="1">
      <c r="A2060" s="584"/>
      <c r="B2060" s="460" t="s">
        <v>675</v>
      </c>
      <c r="C2060" s="458" t="s">
        <v>5880</v>
      </c>
      <c r="D2060" s="510" t="s">
        <v>5881</v>
      </c>
      <c r="E2060" s="498">
        <f>F2060+G2060+H2060</f>
        <v>30</v>
      </c>
      <c r="F2060" s="498">
        <v>30</v>
      </c>
      <c r="G2060" s="498">
        <v>0</v>
      </c>
      <c r="H2060" s="498">
        <v>0</v>
      </c>
      <c r="I2060" s="498">
        <f t="shared" ref="I2060:I2074" si="136">SUM(J2060:L2060)</f>
        <v>20</v>
      </c>
      <c r="J2060" s="498">
        <v>20</v>
      </c>
      <c r="K2060" s="498">
        <v>0</v>
      </c>
      <c r="L2060" s="668">
        <v>0</v>
      </c>
      <c r="M2060" s="963">
        <v>0.85</v>
      </c>
      <c r="N2060" s="653">
        <v>246.19060000000002</v>
      </c>
      <c r="O2060" s="669" t="s">
        <v>5882</v>
      </c>
      <c r="P2060" s="463" t="s">
        <v>1588</v>
      </c>
      <c r="Q2060" s="852">
        <v>0</v>
      </c>
      <c r="R2060" s="852">
        <v>0</v>
      </c>
      <c r="S2060" s="852">
        <v>0</v>
      </c>
      <c r="T2060" s="852">
        <v>0</v>
      </c>
      <c r="U2060" s="463" t="s">
        <v>5877</v>
      </c>
      <c r="V2060" s="463" t="s">
        <v>5883</v>
      </c>
      <c r="W2060" s="664">
        <v>106</v>
      </c>
      <c r="X2060" s="463" t="s">
        <v>3205</v>
      </c>
      <c r="Y2060" s="463" t="s">
        <v>1533</v>
      </c>
      <c r="Z2060" s="463"/>
      <c r="AA2060" s="463" t="s">
        <v>2366</v>
      </c>
      <c r="AB2060" s="459" t="s">
        <v>1783</v>
      </c>
    </row>
    <row r="2061" spans="1:28" ht="24" customHeight="1">
      <c r="A2061" s="584"/>
      <c r="B2061" s="460" t="s">
        <v>675</v>
      </c>
      <c r="C2061" s="458" t="s">
        <v>5884</v>
      </c>
      <c r="D2061" s="510" t="s">
        <v>5885</v>
      </c>
      <c r="E2061" s="498">
        <f t="shared" ref="E2061:E2074" si="137">F2061+G2061+H2061</f>
        <v>120</v>
      </c>
      <c r="F2061" s="498">
        <v>120</v>
      </c>
      <c r="G2061" s="498">
        <v>0</v>
      </c>
      <c r="H2061" s="498">
        <v>0</v>
      </c>
      <c r="I2061" s="498">
        <f t="shared" si="136"/>
        <v>98</v>
      </c>
      <c r="J2061" s="498">
        <v>98</v>
      </c>
      <c r="K2061" s="498">
        <v>0</v>
      </c>
      <c r="L2061" s="668">
        <v>0</v>
      </c>
      <c r="M2061" s="963">
        <v>0.96</v>
      </c>
      <c r="N2061" s="653">
        <v>278.05056000000002</v>
      </c>
      <c r="O2061" s="669" t="s">
        <v>5882</v>
      </c>
      <c r="P2061" s="463" t="s">
        <v>1588</v>
      </c>
      <c r="Q2061" s="852">
        <v>0</v>
      </c>
      <c r="R2061" s="852">
        <v>0</v>
      </c>
      <c r="S2061" s="852">
        <v>0</v>
      </c>
      <c r="T2061" s="852">
        <v>0</v>
      </c>
      <c r="U2061" s="463" t="s">
        <v>5886</v>
      </c>
      <c r="V2061" s="463" t="s">
        <v>5887</v>
      </c>
      <c r="W2061" s="664">
        <v>590</v>
      </c>
      <c r="X2061" s="463" t="s">
        <v>3205</v>
      </c>
      <c r="Y2061" s="463" t="s">
        <v>1533</v>
      </c>
      <c r="Z2061" s="463"/>
      <c r="AA2061" s="463" t="s">
        <v>2366</v>
      </c>
      <c r="AB2061" s="459" t="s">
        <v>1783</v>
      </c>
    </row>
    <row r="2062" spans="1:28" ht="24" customHeight="1">
      <c r="A2062" s="584"/>
      <c r="B2062" s="460" t="s">
        <v>675</v>
      </c>
      <c r="C2062" s="458" t="s">
        <v>5888</v>
      </c>
      <c r="D2062" s="510" t="s">
        <v>5889</v>
      </c>
      <c r="E2062" s="498">
        <f t="shared" si="137"/>
        <v>80</v>
      </c>
      <c r="F2062" s="498">
        <v>80</v>
      </c>
      <c r="G2062" s="498">
        <v>0</v>
      </c>
      <c r="H2062" s="498">
        <v>0</v>
      </c>
      <c r="I2062" s="498">
        <f t="shared" si="136"/>
        <v>47</v>
      </c>
      <c r="J2062" s="498">
        <v>47</v>
      </c>
      <c r="K2062" s="498">
        <v>0</v>
      </c>
      <c r="L2062" s="668">
        <v>0</v>
      </c>
      <c r="M2062" s="963">
        <v>0.88</v>
      </c>
      <c r="N2062" s="653">
        <v>254.87968000000001</v>
      </c>
      <c r="O2062" s="669" t="s">
        <v>5882</v>
      </c>
      <c r="P2062" s="463" t="s">
        <v>1588</v>
      </c>
      <c r="Q2062" s="852">
        <v>0</v>
      </c>
      <c r="R2062" s="852">
        <v>0</v>
      </c>
      <c r="S2062" s="852">
        <v>0</v>
      </c>
      <c r="T2062" s="852">
        <v>0</v>
      </c>
      <c r="U2062" s="463" t="s">
        <v>5886</v>
      </c>
      <c r="V2062" s="463" t="s">
        <v>5890</v>
      </c>
      <c r="W2062" s="664">
        <v>512</v>
      </c>
      <c r="X2062" s="463" t="s">
        <v>3205</v>
      </c>
      <c r="Y2062" s="463" t="s">
        <v>1533</v>
      </c>
      <c r="Z2062" s="463"/>
      <c r="AA2062" s="463" t="s">
        <v>2366</v>
      </c>
      <c r="AB2062" s="459" t="s">
        <v>1783</v>
      </c>
    </row>
    <row r="2063" spans="1:28" ht="24" customHeight="1">
      <c r="A2063" s="584"/>
      <c r="B2063" s="460" t="s">
        <v>675</v>
      </c>
      <c r="C2063" s="458" t="s">
        <v>5891</v>
      </c>
      <c r="D2063" s="510" t="s">
        <v>5892</v>
      </c>
      <c r="E2063" s="498">
        <v>90</v>
      </c>
      <c r="F2063" s="498">
        <v>90</v>
      </c>
      <c r="G2063" s="498">
        <v>0</v>
      </c>
      <c r="H2063" s="498">
        <v>0</v>
      </c>
      <c r="I2063" s="498">
        <f>SUM(J2063:L2063)</f>
        <v>77</v>
      </c>
      <c r="J2063" s="498">
        <v>77</v>
      </c>
      <c r="K2063" s="498">
        <v>0</v>
      </c>
      <c r="L2063" s="668">
        <v>0</v>
      </c>
      <c r="M2063" s="963">
        <v>0.93</v>
      </c>
      <c r="N2063" s="653">
        <v>269.36148000000003</v>
      </c>
      <c r="O2063" s="669" t="s">
        <v>5893</v>
      </c>
      <c r="P2063" s="463" t="s">
        <v>1588</v>
      </c>
      <c r="Q2063" s="852">
        <v>0</v>
      </c>
      <c r="R2063" s="852">
        <v>0</v>
      </c>
      <c r="S2063" s="852">
        <v>0</v>
      </c>
      <c r="T2063" s="852">
        <v>0</v>
      </c>
      <c r="U2063" s="463" t="s">
        <v>5886</v>
      </c>
      <c r="V2063" s="463" t="s">
        <v>5890</v>
      </c>
      <c r="W2063" s="664">
        <v>426</v>
      </c>
      <c r="X2063" s="463" t="s">
        <v>3205</v>
      </c>
      <c r="Y2063" s="463" t="s">
        <v>1533</v>
      </c>
      <c r="Z2063" s="463"/>
      <c r="AA2063" s="463" t="s">
        <v>2366</v>
      </c>
      <c r="AB2063" s="459" t="s">
        <v>1783</v>
      </c>
    </row>
    <row r="2064" spans="1:28" ht="24" customHeight="1">
      <c r="A2064" s="584"/>
      <c r="B2064" s="460" t="s">
        <v>675</v>
      </c>
      <c r="C2064" s="458" t="s">
        <v>5894</v>
      </c>
      <c r="D2064" s="510" t="s">
        <v>5895</v>
      </c>
      <c r="E2064" s="498">
        <f>F2064+G2064+H2064</f>
        <v>45</v>
      </c>
      <c r="F2064" s="498">
        <v>45</v>
      </c>
      <c r="G2064" s="498">
        <v>0</v>
      </c>
      <c r="H2064" s="498">
        <v>0</v>
      </c>
      <c r="I2064" s="498">
        <f>SUM(J2064:L2064)</f>
        <v>30</v>
      </c>
      <c r="J2064" s="498">
        <v>30</v>
      </c>
      <c r="K2064" s="498">
        <v>0</v>
      </c>
      <c r="L2064" s="668">
        <v>0</v>
      </c>
      <c r="M2064" s="963">
        <v>0.97</v>
      </c>
      <c r="N2064" s="653">
        <v>280.94691999999998</v>
      </c>
      <c r="O2064" s="669" t="s">
        <v>5896</v>
      </c>
      <c r="P2064" s="463" t="s">
        <v>1588</v>
      </c>
      <c r="Q2064" s="852">
        <v>0</v>
      </c>
      <c r="R2064" s="852">
        <v>0</v>
      </c>
      <c r="S2064" s="852">
        <v>0</v>
      </c>
      <c r="T2064" s="852">
        <v>0</v>
      </c>
      <c r="U2064" s="463" t="s">
        <v>5886</v>
      </c>
      <c r="V2064" s="463" t="s">
        <v>5897</v>
      </c>
      <c r="W2064" s="664">
        <v>300</v>
      </c>
      <c r="X2064" s="463" t="s">
        <v>3205</v>
      </c>
      <c r="Y2064" s="463" t="s">
        <v>1533</v>
      </c>
      <c r="Z2064" s="463"/>
      <c r="AA2064" s="463" t="s">
        <v>1604</v>
      </c>
      <c r="AB2064" s="459" t="s">
        <v>1783</v>
      </c>
    </row>
    <row r="2065" spans="1:28" ht="24" customHeight="1">
      <c r="A2065" s="584"/>
      <c r="B2065" s="460" t="s">
        <v>675</v>
      </c>
      <c r="C2065" s="458" t="s">
        <v>5898</v>
      </c>
      <c r="D2065" s="510" t="s">
        <v>5899</v>
      </c>
      <c r="E2065" s="498">
        <f>F2065+G2065+H2065</f>
        <v>25</v>
      </c>
      <c r="F2065" s="498">
        <v>25</v>
      </c>
      <c r="G2065" s="498">
        <v>0</v>
      </c>
      <c r="H2065" s="498">
        <v>0</v>
      </c>
      <c r="I2065" s="498">
        <f>SUM(J2065:L2065)</f>
        <v>15</v>
      </c>
      <c r="J2065" s="498">
        <v>15</v>
      </c>
      <c r="K2065" s="498">
        <v>0</v>
      </c>
      <c r="L2065" s="668">
        <v>0</v>
      </c>
      <c r="M2065" s="963">
        <v>0.86</v>
      </c>
      <c r="N2065" s="653">
        <v>249.08696</v>
      </c>
      <c r="O2065" s="669" t="s">
        <v>5896</v>
      </c>
      <c r="P2065" s="463" t="s">
        <v>1588</v>
      </c>
      <c r="Q2065" s="852">
        <v>0</v>
      </c>
      <c r="R2065" s="852">
        <v>0</v>
      </c>
      <c r="S2065" s="852">
        <v>0</v>
      </c>
      <c r="T2065" s="852">
        <v>0</v>
      </c>
      <c r="U2065" s="463" t="s">
        <v>5886</v>
      </c>
      <c r="V2065" s="463" t="s">
        <v>5900</v>
      </c>
      <c r="W2065" s="664">
        <v>168</v>
      </c>
      <c r="X2065" s="463" t="s">
        <v>3205</v>
      </c>
      <c r="Y2065" s="463" t="s">
        <v>1533</v>
      </c>
      <c r="Z2065" s="463"/>
      <c r="AA2065" s="463" t="s">
        <v>2366</v>
      </c>
      <c r="AB2065" s="459" t="s">
        <v>1783</v>
      </c>
    </row>
    <row r="2066" spans="1:28" ht="24" customHeight="1">
      <c r="A2066" s="584"/>
      <c r="B2066" s="460" t="s">
        <v>675</v>
      </c>
      <c r="C2066" s="458" t="s">
        <v>5901</v>
      </c>
      <c r="D2066" s="510" t="s">
        <v>5902</v>
      </c>
      <c r="E2066" s="498">
        <f t="shared" si="137"/>
        <v>60</v>
      </c>
      <c r="F2066" s="498">
        <v>60</v>
      </c>
      <c r="G2066" s="498">
        <v>0</v>
      </c>
      <c r="H2066" s="498">
        <v>0</v>
      </c>
      <c r="I2066" s="498">
        <f t="shared" si="136"/>
        <v>53</v>
      </c>
      <c r="J2066" s="498">
        <v>53</v>
      </c>
      <c r="K2066" s="498">
        <v>0</v>
      </c>
      <c r="L2066" s="668">
        <v>0</v>
      </c>
      <c r="M2066" s="963">
        <v>0.87</v>
      </c>
      <c r="N2066" s="653">
        <v>251.98332000000002</v>
      </c>
      <c r="O2066" s="669" t="s">
        <v>5882</v>
      </c>
      <c r="P2066" s="463" t="s">
        <v>1588</v>
      </c>
      <c r="Q2066" s="852">
        <v>0</v>
      </c>
      <c r="R2066" s="852">
        <v>0</v>
      </c>
      <c r="S2066" s="852">
        <v>0</v>
      </c>
      <c r="T2066" s="852">
        <v>0</v>
      </c>
      <c r="U2066" s="463" t="s">
        <v>5886</v>
      </c>
      <c r="V2066" s="463" t="s">
        <v>5903</v>
      </c>
      <c r="W2066" s="664">
        <v>596</v>
      </c>
      <c r="X2066" s="463" t="s">
        <v>3205</v>
      </c>
      <c r="Y2066" s="463" t="s">
        <v>1533</v>
      </c>
      <c r="Z2066" s="463"/>
      <c r="AA2066" s="463" t="s">
        <v>5904</v>
      </c>
      <c r="AB2066" s="459" t="s">
        <v>1783</v>
      </c>
    </row>
    <row r="2067" spans="1:28" ht="24" customHeight="1">
      <c r="A2067" s="584"/>
      <c r="B2067" s="460" t="s">
        <v>675</v>
      </c>
      <c r="C2067" s="458" t="s">
        <v>5905</v>
      </c>
      <c r="D2067" s="510" t="s">
        <v>5906</v>
      </c>
      <c r="E2067" s="498">
        <f>F2067+G2067+H2067</f>
        <v>70</v>
      </c>
      <c r="F2067" s="498">
        <v>70</v>
      </c>
      <c r="G2067" s="498">
        <v>0</v>
      </c>
      <c r="H2067" s="498">
        <v>0</v>
      </c>
      <c r="I2067" s="498">
        <f>SUM(J2067:L2067)</f>
        <v>55</v>
      </c>
      <c r="J2067" s="498">
        <v>55</v>
      </c>
      <c r="K2067" s="498">
        <v>0</v>
      </c>
      <c r="L2067" s="668">
        <v>0</v>
      </c>
      <c r="M2067" s="963">
        <v>0.96</v>
      </c>
      <c r="N2067" s="653">
        <v>278.05056000000002</v>
      </c>
      <c r="O2067" s="669" t="s">
        <v>5338</v>
      </c>
      <c r="P2067" s="463" t="s">
        <v>1588</v>
      </c>
      <c r="Q2067" s="852">
        <v>0</v>
      </c>
      <c r="R2067" s="852">
        <v>0</v>
      </c>
      <c r="S2067" s="852">
        <v>0</v>
      </c>
      <c r="T2067" s="852">
        <v>0</v>
      </c>
      <c r="U2067" s="463" t="s">
        <v>5886</v>
      </c>
      <c r="V2067" s="463" t="s">
        <v>5907</v>
      </c>
      <c r="W2067" s="664">
        <v>305</v>
      </c>
      <c r="X2067" s="463" t="s">
        <v>3205</v>
      </c>
      <c r="Y2067" s="463" t="s">
        <v>1533</v>
      </c>
      <c r="Z2067" s="463"/>
      <c r="AA2067" s="463" t="s">
        <v>5908</v>
      </c>
      <c r="AB2067" s="459" t="s">
        <v>1783</v>
      </c>
    </row>
    <row r="2068" spans="1:28" ht="24" customHeight="1">
      <c r="A2068" s="584"/>
      <c r="B2068" s="460" t="s">
        <v>675</v>
      </c>
      <c r="C2068" s="458" t="s">
        <v>5909</v>
      </c>
      <c r="D2068" s="510" t="s">
        <v>5910</v>
      </c>
      <c r="E2068" s="498">
        <f t="shared" si="137"/>
        <v>115</v>
      </c>
      <c r="F2068" s="498">
        <v>115</v>
      </c>
      <c r="G2068" s="498">
        <v>0</v>
      </c>
      <c r="H2068" s="498">
        <v>0</v>
      </c>
      <c r="I2068" s="498">
        <f t="shared" si="136"/>
        <v>85</v>
      </c>
      <c r="J2068" s="498">
        <v>85</v>
      </c>
      <c r="K2068" s="498">
        <v>0</v>
      </c>
      <c r="L2068" s="668">
        <v>0</v>
      </c>
      <c r="M2068" s="963">
        <v>0.96</v>
      </c>
      <c r="N2068" s="653">
        <v>278.05056000000002</v>
      </c>
      <c r="O2068" s="669" t="s">
        <v>5338</v>
      </c>
      <c r="P2068" s="463" t="s">
        <v>1588</v>
      </c>
      <c r="Q2068" s="852">
        <v>0</v>
      </c>
      <c r="R2068" s="852">
        <v>0</v>
      </c>
      <c r="S2068" s="852">
        <v>0</v>
      </c>
      <c r="T2068" s="852">
        <v>0</v>
      </c>
      <c r="U2068" s="463" t="s">
        <v>5886</v>
      </c>
      <c r="V2068" s="463" t="s">
        <v>5911</v>
      </c>
      <c r="W2068" s="664">
        <v>320</v>
      </c>
      <c r="X2068" s="463" t="s">
        <v>3205</v>
      </c>
      <c r="Y2068" s="463" t="s">
        <v>1533</v>
      </c>
      <c r="Z2068" s="463"/>
      <c r="AA2068" s="463" t="s">
        <v>5912</v>
      </c>
      <c r="AB2068" s="459" t="s">
        <v>1783</v>
      </c>
    </row>
    <row r="2069" spans="1:28" ht="24" customHeight="1">
      <c r="A2069" s="584"/>
      <c r="B2069" s="460" t="s">
        <v>675</v>
      </c>
      <c r="C2069" s="458" t="s">
        <v>5913</v>
      </c>
      <c r="D2069" s="510" t="s">
        <v>5914</v>
      </c>
      <c r="E2069" s="498">
        <f>F2069+G2069+H2069</f>
        <v>30</v>
      </c>
      <c r="F2069" s="498">
        <v>30</v>
      </c>
      <c r="G2069" s="498">
        <v>0</v>
      </c>
      <c r="H2069" s="498">
        <v>0</v>
      </c>
      <c r="I2069" s="498">
        <f>SUM(J2069:L2069)</f>
        <v>25</v>
      </c>
      <c r="J2069" s="498">
        <v>25</v>
      </c>
      <c r="K2069" s="498">
        <v>0</v>
      </c>
      <c r="L2069" s="668">
        <v>0</v>
      </c>
      <c r="M2069" s="963">
        <v>0.88</v>
      </c>
      <c r="N2069" s="653">
        <v>254.87968000000001</v>
      </c>
      <c r="O2069" s="669" t="s">
        <v>5338</v>
      </c>
      <c r="P2069" s="463" t="s">
        <v>1588</v>
      </c>
      <c r="Q2069" s="852">
        <v>0</v>
      </c>
      <c r="R2069" s="852">
        <v>0</v>
      </c>
      <c r="S2069" s="852">
        <v>0</v>
      </c>
      <c r="T2069" s="852">
        <v>0</v>
      </c>
      <c r="U2069" s="463" t="s">
        <v>5886</v>
      </c>
      <c r="V2069" s="463" t="s">
        <v>5596</v>
      </c>
      <c r="W2069" s="664">
        <v>358</v>
      </c>
      <c r="X2069" s="463" t="s">
        <v>3205</v>
      </c>
      <c r="Y2069" s="463" t="s">
        <v>1533</v>
      </c>
      <c r="Z2069" s="463"/>
      <c r="AA2069" s="463" t="s">
        <v>2366</v>
      </c>
      <c r="AB2069" s="459" t="s">
        <v>1783</v>
      </c>
    </row>
    <row r="2070" spans="1:28" ht="24" customHeight="1">
      <c r="A2070" s="584"/>
      <c r="B2070" s="460" t="s">
        <v>675</v>
      </c>
      <c r="C2070" s="458" t="s">
        <v>5915</v>
      </c>
      <c r="D2070" s="510" t="s">
        <v>5916</v>
      </c>
      <c r="E2070" s="498">
        <f t="shared" si="137"/>
        <v>25</v>
      </c>
      <c r="F2070" s="498">
        <v>25</v>
      </c>
      <c r="G2070" s="498">
        <v>0</v>
      </c>
      <c r="H2070" s="498">
        <v>0</v>
      </c>
      <c r="I2070" s="498">
        <f t="shared" si="136"/>
        <v>15</v>
      </c>
      <c r="J2070" s="498">
        <v>15</v>
      </c>
      <c r="K2070" s="498">
        <v>0</v>
      </c>
      <c r="L2070" s="668">
        <v>0</v>
      </c>
      <c r="M2070" s="963">
        <v>0.82</v>
      </c>
      <c r="N2070" s="653">
        <v>237.50152</v>
      </c>
      <c r="O2070" s="669" t="s">
        <v>5896</v>
      </c>
      <c r="P2070" s="463" t="s">
        <v>1588</v>
      </c>
      <c r="Q2070" s="852">
        <v>0</v>
      </c>
      <c r="R2070" s="852">
        <v>0</v>
      </c>
      <c r="S2070" s="852">
        <v>0</v>
      </c>
      <c r="T2070" s="852">
        <v>0</v>
      </c>
      <c r="U2070" s="463" t="s">
        <v>5886</v>
      </c>
      <c r="V2070" s="463" t="s">
        <v>5917</v>
      </c>
      <c r="W2070" s="664">
        <v>245</v>
      </c>
      <c r="X2070" s="463" t="s">
        <v>3205</v>
      </c>
      <c r="Y2070" s="463" t="s">
        <v>1533</v>
      </c>
      <c r="Z2070" s="463"/>
      <c r="AA2070" s="463" t="s">
        <v>2366</v>
      </c>
      <c r="AB2070" s="459" t="s">
        <v>1783</v>
      </c>
    </row>
    <row r="2071" spans="1:28" ht="24" customHeight="1">
      <c r="A2071" s="584"/>
      <c r="B2071" s="460" t="s">
        <v>675</v>
      </c>
      <c r="C2071" s="458" t="s">
        <v>5918</v>
      </c>
      <c r="D2071" s="510" t="s">
        <v>5919</v>
      </c>
      <c r="E2071" s="498">
        <f>F2071+G2071+H2071</f>
        <v>60</v>
      </c>
      <c r="F2071" s="498">
        <v>60</v>
      </c>
      <c r="G2071" s="498">
        <v>0</v>
      </c>
      <c r="H2071" s="498">
        <v>0</v>
      </c>
      <c r="I2071" s="653">
        <f>SUM(J2071:L2071)</f>
        <v>0</v>
      </c>
      <c r="J2071" s="653">
        <v>0</v>
      </c>
      <c r="K2071" s="498">
        <v>0</v>
      </c>
      <c r="L2071" s="698">
        <v>0</v>
      </c>
      <c r="M2071" s="963">
        <v>0</v>
      </c>
      <c r="N2071" s="653">
        <v>0</v>
      </c>
      <c r="O2071" s="669" t="s">
        <v>5882</v>
      </c>
      <c r="P2071" s="463" t="s">
        <v>1588</v>
      </c>
      <c r="Q2071" s="852">
        <v>0</v>
      </c>
      <c r="R2071" s="852">
        <v>0</v>
      </c>
      <c r="S2071" s="852">
        <v>0</v>
      </c>
      <c r="T2071" s="852">
        <v>0</v>
      </c>
      <c r="U2071" s="463" t="s">
        <v>5886</v>
      </c>
      <c r="V2071" s="463" t="s">
        <v>5878</v>
      </c>
      <c r="W2071" s="664">
        <v>125</v>
      </c>
      <c r="X2071" s="463"/>
      <c r="Y2071" s="463"/>
      <c r="Z2071" s="463"/>
      <c r="AA2071" s="463"/>
      <c r="AB2071" s="459"/>
    </row>
    <row r="2072" spans="1:28" ht="24" customHeight="1">
      <c r="A2072" s="584"/>
      <c r="B2072" s="460" t="s">
        <v>675</v>
      </c>
      <c r="C2072" s="458" t="s">
        <v>5920</v>
      </c>
      <c r="D2072" s="510" t="s">
        <v>5921</v>
      </c>
      <c r="E2072" s="498">
        <f t="shared" si="137"/>
        <v>23</v>
      </c>
      <c r="F2072" s="498">
        <v>23</v>
      </c>
      <c r="G2072" s="498">
        <v>0</v>
      </c>
      <c r="H2072" s="498">
        <v>0</v>
      </c>
      <c r="I2072" s="498">
        <f t="shared" si="136"/>
        <v>15</v>
      </c>
      <c r="J2072" s="498">
        <v>15</v>
      </c>
      <c r="K2072" s="498">
        <v>0</v>
      </c>
      <c r="L2072" s="668">
        <v>0</v>
      </c>
      <c r="M2072" s="963">
        <v>0.96</v>
      </c>
      <c r="N2072" s="653">
        <v>278.05056000000002</v>
      </c>
      <c r="O2072" s="669" t="s">
        <v>5338</v>
      </c>
      <c r="P2072" s="463" t="s">
        <v>1588</v>
      </c>
      <c r="Q2072" s="852">
        <v>0</v>
      </c>
      <c r="R2072" s="852">
        <v>0</v>
      </c>
      <c r="S2072" s="852">
        <v>0</v>
      </c>
      <c r="T2072" s="852">
        <v>0</v>
      </c>
      <c r="U2072" s="463" t="s">
        <v>5886</v>
      </c>
      <c r="V2072" s="463" t="s">
        <v>5878</v>
      </c>
      <c r="W2072" s="664">
        <v>157</v>
      </c>
      <c r="X2072" s="463" t="s">
        <v>3205</v>
      </c>
      <c r="Y2072" s="463" t="s">
        <v>1533</v>
      </c>
      <c r="Z2072" s="463"/>
      <c r="AA2072" s="463" t="s">
        <v>5922</v>
      </c>
      <c r="AB2072" s="459" t="s">
        <v>1783</v>
      </c>
    </row>
    <row r="2073" spans="1:28" ht="24" customHeight="1">
      <c r="A2073" s="584"/>
      <c r="B2073" s="460" t="s">
        <v>675</v>
      </c>
      <c r="C2073" s="458" t="s">
        <v>5923</v>
      </c>
      <c r="D2073" s="510" t="s">
        <v>5924</v>
      </c>
      <c r="E2073" s="498">
        <f t="shared" si="137"/>
        <v>120</v>
      </c>
      <c r="F2073" s="498">
        <v>120</v>
      </c>
      <c r="G2073" s="498">
        <v>0</v>
      </c>
      <c r="H2073" s="498">
        <v>0</v>
      </c>
      <c r="I2073" s="498">
        <f t="shared" si="136"/>
        <v>80</v>
      </c>
      <c r="J2073" s="498">
        <v>80</v>
      </c>
      <c r="K2073" s="498">
        <v>0</v>
      </c>
      <c r="L2073" s="668">
        <v>0</v>
      </c>
      <c r="M2073" s="963">
        <v>0.89</v>
      </c>
      <c r="N2073" s="653">
        <v>257.77604000000002</v>
      </c>
      <c r="O2073" s="669" t="s">
        <v>5896</v>
      </c>
      <c r="P2073" s="463" t="s">
        <v>1588</v>
      </c>
      <c r="Q2073" s="852">
        <v>0</v>
      </c>
      <c r="R2073" s="852">
        <v>0</v>
      </c>
      <c r="S2073" s="852">
        <v>0</v>
      </c>
      <c r="T2073" s="852">
        <v>0</v>
      </c>
      <c r="U2073" s="463" t="s">
        <v>5886</v>
      </c>
      <c r="V2073" s="463" t="s">
        <v>4693</v>
      </c>
      <c r="W2073" s="664">
        <v>519</v>
      </c>
      <c r="X2073" s="463" t="s">
        <v>3205</v>
      </c>
      <c r="Y2073" s="463" t="s">
        <v>1533</v>
      </c>
      <c r="Z2073" s="463"/>
      <c r="AA2073" s="463" t="s">
        <v>5925</v>
      </c>
      <c r="AB2073" s="459" t="s">
        <v>1587</v>
      </c>
    </row>
    <row r="2074" spans="1:28" ht="24" customHeight="1" thickBot="1">
      <c r="A2074" s="609"/>
      <c r="B2074" s="580" t="s">
        <v>675</v>
      </c>
      <c r="C2074" s="773" t="s">
        <v>5926</v>
      </c>
      <c r="D2074" s="774" t="s">
        <v>5927</v>
      </c>
      <c r="E2074" s="693">
        <f t="shared" si="137"/>
        <v>80</v>
      </c>
      <c r="F2074" s="693">
        <v>80</v>
      </c>
      <c r="G2074" s="693">
        <v>0</v>
      </c>
      <c r="H2074" s="693">
        <v>0</v>
      </c>
      <c r="I2074" s="693">
        <f t="shared" si="136"/>
        <v>45</v>
      </c>
      <c r="J2074" s="693">
        <v>45</v>
      </c>
      <c r="K2074" s="693">
        <v>0</v>
      </c>
      <c r="L2074" s="775">
        <v>0</v>
      </c>
      <c r="M2074" s="971">
        <v>0.93</v>
      </c>
      <c r="N2074" s="950">
        <v>269.36148000000003</v>
      </c>
      <c r="O2074" s="776" t="s">
        <v>5893</v>
      </c>
      <c r="P2074" s="452" t="s">
        <v>1588</v>
      </c>
      <c r="Q2074" s="866">
        <v>0</v>
      </c>
      <c r="R2074" s="866">
        <v>0</v>
      </c>
      <c r="S2074" s="866">
        <v>0</v>
      </c>
      <c r="T2074" s="866">
        <v>0</v>
      </c>
      <c r="U2074" s="452" t="s">
        <v>5886</v>
      </c>
      <c r="V2074" s="452" t="s">
        <v>5928</v>
      </c>
      <c r="W2074" s="665">
        <v>350</v>
      </c>
      <c r="X2074" s="452" t="s">
        <v>3205</v>
      </c>
      <c r="Y2074" s="452" t="s">
        <v>1533</v>
      </c>
      <c r="Z2074" s="452"/>
      <c r="AA2074" s="452" t="s">
        <v>5922</v>
      </c>
      <c r="AB2074" s="581" t="s">
        <v>1587</v>
      </c>
    </row>
    <row r="2075" spans="1:28">
      <c r="W2075" s="45"/>
    </row>
    <row r="2076" spans="1:28">
      <c r="W2076" s="45"/>
    </row>
    <row r="2077" spans="1:28">
      <c r="W2077" s="45"/>
    </row>
    <row r="2078" spans="1:28">
      <c r="W2078" s="45"/>
    </row>
    <row r="2079" spans="1:28">
      <c r="W2079" s="45"/>
    </row>
    <row r="2080" spans="1:28">
      <c r="W2080" s="45"/>
    </row>
    <row r="2081" spans="23:23">
      <c r="W2081" s="45"/>
    </row>
    <row r="2082" spans="23:23">
      <c r="W2082" s="45"/>
    </row>
  </sheetData>
  <mergeCells count="47">
    <mergeCell ref="AB260:AB261"/>
    <mergeCell ref="Y260:Y261"/>
    <mergeCell ref="AA1838:AA1839"/>
    <mergeCell ref="AB1838:AB1839"/>
    <mergeCell ref="W684:W685"/>
    <mergeCell ref="W695:W696"/>
    <mergeCell ref="W1838:W1839"/>
    <mergeCell ref="X1838:X1839"/>
    <mergeCell ref="Y1838:Y1839"/>
    <mergeCell ref="U1838:U1839"/>
    <mergeCell ref="V1838:V1839"/>
    <mergeCell ref="P446:R446"/>
    <mergeCell ref="Z260:Z261"/>
    <mergeCell ref="Z1838:Z1839"/>
    <mergeCell ref="R109:R110"/>
    <mergeCell ref="S109:S110"/>
    <mergeCell ref="T109:T110"/>
    <mergeCell ref="S1838:S1839"/>
    <mergeCell ref="T1838:T1839"/>
    <mergeCell ref="P5:P6"/>
    <mergeCell ref="AA260:AA261"/>
    <mergeCell ref="U260:U261"/>
    <mergeCell ref="M260:M261"/>
    <mergeCell ref="Q260:Q261"/>
    <mergeCell ref="R260:R261"/>
    <mergeCell ref="S260:S261"/>
    <mergeCell ref="T260:T261"/>
    <mergeCell ref="Q5:T5"/>
    <mergeCell ref="Y5:Y6"/>
    <mergeCell ref="U5:U6"/>
    <mergeCell ref="V5:V6"/>
    <mergeCell ref="W5:W6"/>
    <mergeCell ref="X5:X6"/>
    <mergeCell ref="Z5:AB5"/>
    <mergeCell ref="Q109:Q110"/>
    <mergeCell ref="I5:I6"/>
    <mergeCell ref="J5:K5"/>
    <mergeCell ref="M5:M6"/>
    <mergeCell ref="N5:N6"/>
    <mergeCell ref="O5:O6"/>
    <mergeCell ref="A2:E2"/>
    <mergeCell ref="A3:E3"/>
    <mergeCell ref="A5:A6"/>
    <mergeCell ref="B5:B6"/>
    <mergeCell ref="C5:C6"/>
    <mergeCell ref="D5:D6"/>
    <mergeCell ref="E5:E6"/>
  </mergeCells>
  <phoneticPr fontId="3" type="noConversion"/>
  <conditionalFormatting sqref="A7:L2074 M7:M260 M262:M1401 M1403:M1428 M1430:M1502 M1504:M1521 M1523:M1573 M1575:M1591 M1659:M1669 M1593:M1635 M1637:M1650 M1652:M1657 M1671:M1738 M1740:M1750 M1752:M1941 M1943:M1953 M1955:M2074 N7:AB2074">
    <cfRule type="expression" dxfId="330" priority="29" stopIfTrue="1">
      <formula>OR($A7="시부",$A7="군부")</formula>
    </cfRule>
    <cfRule type="expression" dxfId="329" priority="30" stopIfTrue="1">
      <formula>OR(RIGHT($A7,3)="특별시",RIGHT($A7,3)="광역시",RIGHT($A7,1)="도",$A7="전국")</formula>
    </cfRule>
  </conditionalFormatting>
  <conditionalFormatting sqref="M1429">
    <cfRule type="expression" dxfId="328" priority="27" stopIfTrue="1">
      <formula>OR($A1402="시부",$A1402="군부")</formula>
    </cfRule>
    <cfRule type="expression" dxfId="327" priority="28" stopIfTrue="1">
      <formula>OR(RIGHT($A1402,3)="특별시",RIGHT($A1402,3)="광역시",RIGHT($A1402,1)="도",$A1402="전국")</formula>
    </cfRule>
  </conditionalFormatting>
  <conditionalFormatting sqref="M1522">
    <cfRule type="expression" dxfId="326" priority="25" stopIfTrue="1">
      <formula>OR($A1503="시부",$A1503="군부")</formula>
    </cfRule>
    <cfRule type="expression" dxfId="325" priority="26" stopIfTrue="1">
      <formula>OR(RIGHT($A1503,3)="특별시",RIGHT($A1503,3)="광역시",RIGHT($A1503,1)="도",$A1503="전국")</formula>
    </cfRule>
  </conditionalFormatting>
  <conditionalFormatting sqref="M1592">
    <cfRule type="expression" dxfId="324" priority="23" stopIfTrue="1">
      <formula>OR($A1574="시부",$A1574="군부")</formula>
    </cfRule>
    <cfRule type="expression" dxfId="323" priority="24" stopIfTrue="1">
      <formula>OR(RIGHT($A1574,3)="특별시",RIGHT($A1574,3)="광역시",RIGHT($A1574,1)="도",$A1574="전국")</formula>
    </cfRule>
  </conditionalFormatting>
  <conditionalFormatting sqref="M1651">
    <cfRule type="expression" dxfId="322" priority="21" stopIfTrue="1">
      <formula>OR($A1636="시부",$A1636="군부")</formula>
    </cfRule>
    <cfRule type="expression" dxfId="321" priority="22" stopIfTrue="1">
      <formula>OR(RIGHT($A1636,3)="특별시",RIGHT($A1636,3)="광역시",RIGHT($A1636,1)="도",$A1636="전국")</formula>
    </cfRule>
  </conditionalFormatting>
  <conditionalFormatting sqref="M1670 M1751 M1954">
    <cfRule type="expression" dxfId="320" priority="19" stopIfTrue="1">
      <formula>OR($A1658="시부",$A1658="군부")</formula>
    </cfRule>
    <cfRule type="expression" dxfId="319" priority="20" stopIfTrue="1">
      <formula>OR(RIGHT($A1658,3)="특별시",RIGHT($A1658,3)="광역시",RIGHT($A1658,1)="도",$A1658="전국")</formula>
    </cfRule>
  </conditionalFormatting>
  <conditionalFormatting sqref="M1636">
    <cfRule type="expression" dxfId="318" priority="17" stopIfTrue="1">
      <formula>OR($A1636="시부",$A1636="군부")</formula>
    </cfRule>
    <cfRule type="expression" dxfId="317" priority="18" stopIfTrue="1">
      <formula>OR(RIGHT($A1636,3)="특별시",RIGHT($A1636,3)="광역시",RIGHT($A1636,1)="도",$A1636="전국")</formula>
    </cfRule>
  </conditionalFormatting>
  <conditionalFormatting sqref="M1670">
    <cfRule type="expression" dxfId="316" priority="15" stopIfTrue="1">
      <formula>OR($A1670="시부",$A1670="군부")</formula>
    </cfRule>
    <cfRule type="expression" dxfId="315" priority="16" stopIfTrue="1">
      <formula>OR(RIGHT($A1670,3)="특별시",RIGHT($A1670,3)="광역시",RIGHT($A1670,1)="도",$A1670="전국")</formula>
    </cfRule>
  </conditionalFormatting>
  <conditionalFormatting sqref="M1751">
    <cfRule type="expression" dxfId="314" priority="13" stopIfTrue="1">
      <formula>OR($A1751="시부",$A1751="군부")</formula>
    </cfRule>
    <cfRule type="expression" dxfId="313" priority="14" stopIfTrue="1">
      <formula>OR(RIGHT($A1751,3)="특별시",RIGHT($A1751,3)="광역시",RIGHT($A1751,1)="도",$A1751="전국")</formula>
    </cfRule>
  </conditionalFormatting>
  <conditionalFormatting sqref="N63">
    <cfRule type="expression" dxfId="312" priority="11" stopIfTrue="1">
      <formula>OR($A63="시부",$A63="군부")</formula>
    </cfRule>
    <cfRule type="expression" dxfId="311" priority="12" stopIfTrue="1">
      <formula>OR(RIGHT($A63,3)="특별시",RIGHT($A63,3)="광역시",RIGHT($A63,1)="도",$A63="전국")</formula>
    </cfRule>
  </conditionalFormatting>
  <conditionalFormatting sqref="N65">
    <cfRule type="expression" dxfId="310" priority="9" stopIfTrue="1">
      <formula>OR($A65="시부",$A65="군부")</formula>
    </cfRule>
    <cfRule type="expression" dxfId="309" priority="10" stopIfTrue="1">
      <formula>OR(RIGHT($A65,3)="특별시",RIGHT($A65,3)="광역시",RIGHT($A65,1)="도",$A65="전국")</formula>
    </cfRule>
  </conditionalFormatting>
  <conditionalFormatting sqref="N121">
    <cfRule type="expression" dxfId="308" priority="7" stopIfTrue="1">
      <formula>OR($A121="시부",$A121="군부")</formula>
    </cfRule>
    <cfRule type="expression" dxfId="307" priority="8" stopIfTrue="1">
      <formula>OR(RIGHT($A121,3)="특별시",RIGHT($A121,3)="광역시",RIGHT($A121,1)="도",$A121="전국")</formula>
    </cfRule>
  </conditionalFormatting>
  <conditionalFormatting sqref="N140">
    <cfRule type="expression" dxfId="306" priority="5" stopIfTrue="1">
      <formula>OR($A140="시부",$A140="군부")</formula>
    </cfRule>
    <cfRule type="expression" dxfId="305" priority="6" stopIfTrue="1">
      <formula>OR(RIGHT($A140,3)="특별시",RIGHT($A140,3)="광역시",RIGHT($A140,1)="도",$A140="전국")</formula>
    </cfRule>
  </conditionalFormatting>
  <conditionalFormatting sqref="N141">
    <cfRule type="expression" dxfId="304" priority="3" stopIfTrue="1">
      <formula>OR($A141="시부",$A141="군부")</formula>
    </cfRule>
    <cfRule type="expression" dxfId="303" priority="4" stopIfTrue="1">
      <formula>OR(RIGHT($A141,3)="특별시",RIGHT($A141,3)="광역시",RIGHT($A141,1)="도",$A141="전국")</formula>
    </cfRule>
  </conditionalFormatting>
  <conditionalFormatting sqref="N143">
    <cfRule type="expression" dxfId="302" priority="1" stopIfTrue="1">
      <formula>OR($A143="시부",$A143="군부")</formula>
    </cfRule>
    <cfRule type="expression" dxfId="301" priority="2" stopIfTrue="1">
      <formula>OR(RIGHT($A143,3)="특별시",RIGHT($A143,3)="광역시",RIGHT($A143,1)="도",$A143="전국")</formula>
    </cfRule>
  </conditionalFormatting>
  <pageMargins left="0.35" right="0.2" top="1" bottom="1" header="0.5" footer="0.5"/>
  <pageSetup paperSize="9" scale="73" orientation="landscape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01"/>
  <sheetViews>
    <sheetView zoomScale="85" zoomScaleNormal="85" workbookViewId="0">
      <selection activeCell="D125" sqref="D125"/>
    </sheetView>
  </sheetViews>
  <sheetFormatPr defaultRowHeight="13.5"/>
  <cols>
    <col min="1" max="2" width="8.88671875" style="642"/>
    <col min="4" max="13" width="11.44140625" customWidth="1"/>
    <col min="14" max="19" width="11.44140625" hidden="1" customWidth="1"/>
  </cols>
  <sheetData>
    <row r="1" spans="1:19" ht="16.5">
      <c r="A1" s="1822" t="s">
        <v>6069</v>
      </c>
      <c r="B1" s="1823"/>
      <c r="C1" s="1837" t="s">
        <v>1446</v>
      </c>
      <c r="D1" s="641" t="s">
        <v>6066</v>
      </c>
      <c r="E1" s="1833" t="s">
        <v>6062</v>
      </c>
      <c r="F1" s="1833"/>
      <c r="G1" s="1833"/>
      <c r="H1" s="641" t="s">
        <v>6067</v>
      </c>
      <c r="I1" s="1833" t="s">
        <v>586</v>
      </c>
      <c r="J1" s="1833"/>
      <c r="K1" s="1833"/>
      <c r="L1" s="1833" t="s">
        <v>6064</v>
      </c>
      <c r="M1" s="1833" t="s">
        <v>6068</v>
      </c>
      <c r="N1" s="1833" t="s">
        <v>6064</v>
      </c>
      <c r="O1" s="1833"/>
      <c r="P1" s="1833" t="s">
        <v>6063</v>
      </c>
      <c r="Q1" s="1833"/>
      <c r="R1" s="1833"/>
      <c r="S1" s="1834"/>
    </row>
    <row r="2" spans="1:19" ht="17.25" thickBot="1">
      <c r="A2" s="1835"/>
      <c r="B2" s="1829"/>
      <c r="C2" s="1838"/>
      <c r="D2" s="649" t="s">
        <v>6064</v>
      </c>
      <c r="E2" s="649" t="s">
        <v>2192</v>
      </c>
      <c r="F2" s="649" t="s">
        <v>2284</v>
      </c>
      <c r="G2" s="649" t="s">
        <v>5484</v>
      </c>
      <c r="H2" s="649" t="s">
        <v>6064</v>
      </c>
      <c r="I2" s="649" t="s">
        <v>2192</v>
      </c>
      <c r="J2" s="649" t="s">
        <v>2284</v>
      </c>
      <c r="K2" s="649" t="s">
        <v>5484</v>
      </c>
      <c r="L2" s="1836"/>
      <c r="M2" s="1836"/>
      <c r="N2" s="1836"/>
      <c r="O2" s="1836"/>
      <c r="P2" s="649" t="s">
        <v>1981</v>
      </c>
      <c r="Q2" s="649" t="s">
        <v>600</v>
      </c>
      <c r="R2" s="649" t="s">
        <v>601</v>
      </c>
      <c r="S2" s="650" t="s">
        <v>1404</v>
      </c>
    </row>
    <row r="3" spans="1:19" ht="16.5">
      <c r="A3" s="1822">
        <v>2006</v>
      </c>
      <c r="B3" s="1823"/>
      <c r="C3" s="647" t="s">
        <v>1488</v>
      </c>
      <c r="D3" s="648">
        <f t="shared" ref="D3:S3" si="0">SUM(D4:D5)</f>
        <v>22213354.800000001</v>
      </c>
      <c r="E3" s="648">
        <f t="shared" si="0"/>
        <v>1582.2</v>
      </c>
      <c r="F3" s="648">
        <f t="shared" si="0"/>
        <v>14546285.800000001</v>
      </c>
      <c r="G3" s="648">
        <f t="shared" si="0"/>
        <v>7665486.7999999998</v>
      </c>
      <c r="H3" s="648" t="e">
        <f t="shared" si="0"/>
        <v>#REF!</v>
      </c>
      <c r="I3" s="648">
        <f t="shared" si="0"/>
        <v>51958.3</v>
      </c>
      <c r="J3" s="648" t="e">
        <f t="shared" si="0"/>
        <v>#REF!</v>
      </c>
      <c r="K3" s="648">
        <f t="shared" si="0"/>
        <v>5440967.3140768716</v>
      </c>
      <c r="L3" s="847" t="e">
        <f t="shared" si="0"/>
        <v>#VALUE!</v>
      </c>
      <c r="M3" s="648">
        <f t="shared" si="0"/>
        <v>2364952.3708163043</v>
      </c>
      <c r="N3" s="847">
        <f t="shared" si="0"/>
        <v>0</v>
      </c>
      <c r="O3" s="847">
        <f t="shared" si="0"/>
        <v>0</v>
      </c>
      <c r="P3" s="847">
        <f t="shared" si="0"/>
        <v>25199.218043236295</v>
      </c>
      <c r="Q3" s="847">
        <f t="shared" si="0"/>
        <v>5993.62</v>
      </c>
      <c r="R3" s="847">
        <f t="shared" si="0"/>
        <v>11276.792356164384</v>
      </c>
      <c r="S3" s="873">
        <f t="shared" si="0"/>
        <v>18910.829999999998</v>
      </c>
    </row>
    <row r="4" spans="1:19" ht="16.5">
      <c r="A4" s="1824"/>
      <c r="B4" s="1825"/>
      <c r="C4" s="645" t="s">
        <v>2201</v>
      </c>
      <c r="D4" s="643">
        <f t="shared" ref="D4:S4" si="1">SUM(D7,D10,D13,D16,D19,D22,D25,D28,D37,D46,D55,D64,D73,D82,D91,D100)</f>
        <v>22100695</v>
      </c>
      <c r="E4" s="643">
        <f t="shared" si="1"/>
        <v>0</v>
      </c>
      <c r="F4" s="643">
        <f t="shared" si="1"/>
        <v>14469130</v>
      </c>
      <c r="G4" s="643">
        <f t="shared" si="1"/>
        <v>7631565</v>
      </c>
      <c r="H4" s="643">
        <f t="shared" si="1"/>
        <v>17376385.39771679</v>
      </c>
      <c r="I4" s="643">
        <f t="shared" si="1"/>
        <v>50800</v>
      </c>
      <c r="J4" s="643">
        <f t="shared" si="1"/>
        <v>11912438.08363992</v>
      </c>
      <c r="K4" s="643">
        <f t="shared" si="1"/>
        <v>5413687.3140768716</v>
      </c>
      <c r="L4" s="848">
        <f t="shared" si="1"/>
        <v>326.09540790440133</v>
      </c>
      <c r="M4" s="643">
        <f t="shared" si="1"/>
        <v>2095749.4781786166</v>
      </c>
      <c r="N4" s="848">
        <f t="shared" si="1"/>
        <v>0</v>
      </c>
      <c r="O4" s="848">
        <f t="shared" si="1"/>
        <v>0</v>
      </c>
      <c r="P4" s="848">
        <f t="shared" si="1"/>
        <v>25199.218043236295</v>
      </c>
      <c r="Q4" s="848">
        <f t="shared" si="1"/>
        <v>5993.62</v>
      </c>
      <c r="R4" s="848">
        <f t="shared" si="1"/>
        <v>11276.792356164384</v>
      </c>
      <c r="S4" s="874">
        <f t="shared" si="1"/>
        <v>18910.829999999998</v>
      </c>
    </row>
    <row r="5" spans="1:19" ht="17.25" thickBot="1">
      <c r="A5" s="1835"/>
      <c r="B5" s="1829"/>
      <c r="C5" s="652" t="s">
        <v>675</v>
      </c>
      <c r="D5" s="651">
        <f t="shared" ref="D5:S5" si="2">SUM(D8,D11,D14,D17,D20,D23,D26,D29,D38,D47,D56,D65,D74,D83,D92,D101)</f>
        <v>112659.8</v>
      </c>
      <c r="E5" s="651">
        <f t="shared" si="2"/>
        <v>1582.2</v>
      </c>
      <c r="F5" s="651">
        <f t="shared" si="2"/>
        <v>77155.8</v>
      </c>
      <c r="G5" s="651">
        <f t="shared" si="2"/>
        <v>33921.800000000003</v>
      </c>
      <c r="H5" s="651" t="e">
        <f t="shared" si="2"/>
        <v>#REF!</v>
      </c>
      <c r="I5" s="651">
        <f t="shared" si="2"/>
        <v>1158.3</v>
      </c>
      <c r="J5" s="651" t="e">
        <f t="shared" si="2"/>
        <v>#REF!</v>
      </c>
      <c r="K5" s="651">
        <f t="shared" si="2"/>
        <v>27280.000000000004</v>
      </c>
      <c r="L5" s="849" t="e">
        <f t="shared" si="2"/>
        <v>#VALUE!</v>
      </c>
      <c r="M5" s="651">
        <f>SUM(M8,M11,M14,M17,M20,M23,M26,M29,M38,M47,M56,M65,M74,M83,M92,M101)</f>
        <v>269202.89263768797</v>
      </c>
      <c r="N5" s="849">
        <f t="shared" si="2"/>
        <v>0</v>
      </c>
      <c r="O5" s="849">
        <f t="shared" si="2"/>
        <v>0</v>
      </c>
      <c r="P5" s="849">
        <f t="shared" si="2"/>
        <v>0</v>
      </c>
      <c r="Q5" s="849">
        <f t="shared" si="2"/>
        <v>0</v>
      </c>
      <c r="R5" s="849">
        <f t="shared" si="2"/>
        <v>0</v>
      </c>
      <c r="S5" s="875">
        <f t="shared" si="2"/>
        <v>0</v>
      </c>
    </row>
    <row r="6" spans="1:19" ht="16.5">
      <c r="A6" s="1822" t="s">
        <v>1586</v>
      </c>
      <c r="B6" s="1823"/>
      <c r="C6" s="647" t="s">
        <v>1488</v>
      </c>
      <c r="D6" s="648">
        <f t="shared" ref="D6:S6" si="3">SUM(D7:D8)</f>
        <v>4810000</v>
      </c>
      <c r="E6" s="648">
        <f t="shared" si="3"/>
        <v>0</v>
      </c>
      <c r="F6" s="648">
        <f t="shared" si="3"/>
        <v>4810000</v>
      </c>
      <c r="G6" s="648">
        <f t="shared" si="3"/>
        <v>0</v>
      </c>
      <c r="H6" s="648">
        <f t="shared" si="3"/>
        <v>4009306</v>
      </c>
      <c r="I6" s="648">
        <f t="shared" si="3"/>
        <v>0</v>
      </c>
      <c r="J6" s="648">
        <f t="shared" si="3"/>
        <v>4009306</v>
      </c>
      <c r="K6" s="648">
        <f t="shared" si="3"/>
        <v>0</v>
      </c>
      <c r="L6" s="847">
        <f t="shared" si="3"/>
        <v>2.6890779715307827</v>
      </c>
      <c r="M6" s="648">
        <f>SUM(M7:M8)</f>
        <v>544827.00650000002</v>
      </c>
      <c r="N6" s="847">
        <f t="shared" si="3"/>
        <v>0</v>
      </c>
      <c r="O6" s="847">
        <f t="shared" si="3"/>
        <v>0</v>
      </c>
      <c r="P6" s="847">
        <f t="shared" si="3"/>
        <v>2756.27</v>
      </c>
      <c r="Q6" s="847">
        <f t="shared" si="3"/>
        <v>0</v>
      </c>
      <c r="R6" s="847">
        <f t="shared" si="3"/>
        <v>15.49</v>
      </c>
      <c r="S6" s="873">
        <f t="shared" si="3"/>
        <v>3332.1</v>
      </c>
    </row>
    <row r="7" spans="1:19" ht="16.5">
      <c r="A7" s="1824"/>
      <c r="B7" s="1825"/>
      <c r="C7" s="645" t="s">
        <v>2201</v>
      </c>
      <c r="D7" s="643">
        <f>SUMIF(하수!$B$8:$B$11,하수처리장참고!$C7,하수!E$8:E$11)</f>
        <v>4810000</v>
      </c>
      <c r="E7" s="643">
        <f>SUMIF(하수!$B$8:$B$11,하수처리장참고!$C7,하수!F$8:F$11)</f>
        <v>0</v>
      </c>
      <c r="F7" s="643">
        <f>SUMIF(하수!$B$8:$B$11,하수처리장참고!$C7,하수!G$8:G$11)</f>
        <v>4810000</v>
      </c>
      <c r="G7" s="643">
        <f>SUMIF(하수!$B$8:$B$11,하수처리장참고!$C7,하수!H$8:H$11)</f>
        <v>0</v>
      </c>
      <c r="H7" s="643">
        <f>SUMIF(하수!$B$8:$B$11,하수처리장참고!$C7,하수!I$8:I$11)</f>
        <v>4009306</v>
      </c>
      <c r="I7" s="643">
        <f>SUMIF(하수!$B$8:$B$11,하수처리장참고!$C7,하수!J$8:J$11)</f>
        <v>0</v>
      </c>
      <c r="J7" s="643">
        <f>SUMIF(하수!$B$8:$B$11,하수처리장참고!$C7,하수!K$8:K$11)</f>
        <v>4009306</v>
      </c>
      <c r="K7" s="643">
        <f>SUMIF(하수!$B$8:$B$11,하수처리장참고!$C7,하수!L$8:L$11)</f>
        <v>0</v>
      </c>
      <c r="L7" s="848">
        <f>SUMIF(하수!$B$8:$B$11,하수처리장참고!$C7,하수!M$8:M$11)</f>
        <v>2.6890779715307827</v>
      </c>
      <c r="M7" s="643">
        <f>SUMIF(하수!$B$9:$B$12,하수처리장참고!$C7,하수!N$9:N$12)</f>
        <v>544827.00650000002</v>
      </c>
      <c r="N7" s="848">
        <f>SUMIF(하수!$B$8:$B$11,하수처리장참고!$C7,하수!O$8:O$11)</f>
        <v>0</v>
      </c>
      <c r="O7" s="848">
        <f>SUMIF(하수!$B$8:$B$11,하수처리장참고!$C7,하수!P$8:P$11)</f>
        <v>0</v>
      </c>
      <c r="P7" s="848">
        <f>SUMIF(하수!$B$8:$B$11,하수처리장참고!$C7,하수!Q$8:Q$11)</f>
        <v>2756.27</v>
      </c>
      <c r="Q7" s="848">
        <f>SUMIF(하수!$B$8:$B$11,하수처리장참고!$C7,하수!R$8:R$11)</f>
        <v>0</v>
      </c>
      <c r="R7" s="848">
        <f>SUMIF(하수!$B$8:$B$11,하수처리장참고!$C7,하수!S$8:S$11)</f>
        <v>15.49</v>
      </c>
      <c r="S7" s="874">
        <f>SUMIF(하수!$B$8:$B$11,하수처리장참고!$C7,하수!T$8:T$11)</f>
        <v>3332.1</v>
      </c>
    </row>
    <row r="8" spans="1:19" ht="17.25" thickBot="1">
      <c r="A8" s="1835"/>
      <c r="B8" s="1829"/>
      <c r="C8" s="652" t="s">
        <v>675</v>
      </c>
      <c r="D8" s="651">
        <f>SUMIF(하수!$B$8:$B$11,하수처리장참고!$C8,하수!E$8:E$11)</f>
        <v>0</v>
      </c>
      <c r="E8" s="651">
        <f>SUMIF(하수!$B$8:$B$11,하수처리장참고!$C8,하수!F$8:F$11)</f>
        <v>0</v>
      </c>
      <c r="F8" s="651">
        <f>SUMIF(하수!$B$8:$B$11,하수처리장참고!$C8,하수!G$8:G$11)</f>
        <v>0</v>
      </c>
      <c r="G8" s="651">
        <f>SUMIF(하수!$B$8:$B$11,하수처리장참고!$C8,하수!H$8:H$11)</f>
        <v>0</v>
      </c>
      <c r="H8" s="651">
        <f>SUMIF(하수!$B$8:$B$11,하수처리장참고!$C8,하수!I$8:I$11)</f>
        <v>0</v>
      </c>
      <c r="I8" s="651">
        <f>SUMIF(하수!$B$8:$B$11,하수처리장참고!$C8,하수!J$8:J$11)</f>
        <v>0</v>
      </c>
      <c r="J8" s="651">
        <f>SUMIF(하수!$B$8:$B$11,하수처리장참고!$C8,하수!K$8:K$11)</f>
        <v>0</v>
      </c>
      <c r="K8" s="651">
        <f>SUMIF(하수!$B$8:$B$11,하수처리장참고!$C8,하수!L$8:L$11)</f>
        <v>0</v>
      </c>
      <c r="L8" s="849">
        <f>SUMIF(하수!$B$8:$B$11,하수처리장참고!$C8,하수!M$8:M$11)</f>
        <v>0</v>
      </c>
      <c r="M8" s="651">
        <f>SUMIF(하수!$B$9:$B$12,하수처리장참고!$C8,하수!N$9:N$12)</f>
        <v>0</v>
      </c>
      <c r="N8" s="849">
        <f>SUMIF(하수!$B$8:$B$11,하수처리장참고!$C8,하수!O$8:O$11)</f>
        <v>0</v>
      </c>
      <c r="O8" s="849">
        <f>SUMIF(하수!$B$8:$B$11,하수처리장참고!$C8,하수!P$8:P$11)</f>
        <v>0</v>
      </c>
      <c r="P8" s="849">
        <f>SUMIF(하수!$B$8:$B$11,하수처리장참고!$C8,하수!Q$8:Q$11)</f>
        <v>0</v>
      </c>
      <c r="Q8" s="849">
        <f>SUMIF(하수!$B$8:$B$11,하수처리장참고!$C8,하수!R$8:R$11)</f>
        <v>0</v>
      </c>
      <c r="R8" s="849">
        <f>SUMIF(하수!$B$8:$B$11,하수처리장참고!$C8,하수!S$8:S$11)</f>
        <v>0</v>
      </c>
      <c r="S8" s="875">
        <f>SUMIF(하수!$B$8:$B$11,하수처리장참고!$C8,하수!T$8:T$11)</f>
        <v>0</v>
      </c>
    </row>
    <row r="9" spans="1:19" ht="16.5">
      <c r="A9" s="1822" t="s">
        <v>1785</v>
      </c>
      <c r="B9" s="1823"/>
      <c r="C9" s="647" t="s">
        <v>1488</v>
      </c>
      <c r="D9" s="648">
        <f t="shared" ref="D9:S9" si="4">SUM(D10:D11)</f>
        <v>1986030</v>
      </c>
      <c r="E9" s="648">
        <f t="shared" si="4"/>
        <v>13.2</v>
      </c>
      <c r="F9" s="648">
        <f t="shared" si="4"/>
        <v>1286618</v>
      </c>
      <c r="G9" s="648">
        <f t="shared" si="4"/>
        <v>699398.8</v>
      </c>
      <c r="H9" s="648">
        <f t="shared" si="4"/>
        <v>1342622</v>
      </c>
      <c r="I9" s="648">
        <f t="shared" si="4"/>
        <v>14</v>
      </c>
      <c r="J9" s="648">
        <f t="shared" si="4"/>
        <v>1083284</v>
      </c>
      <c r="K9" s="648">
        <f t="shared" si="4"/>
        <v>259324</v>
      </c>
      <c r="L9" s="847">
        <f t="shared" si="4"/>
        <v>14.961739888060084</v>
      </c>
      <c r="M9" s="648">
        <f t="shared" si="4"/>
        <v>151494.64719999998</v>
      </c>
      <c r="N9" s="847">
        <f t="shared" si="4"/>
        <v>0</v>
      </c>
      <c r="O9" s="847">
        <f t="shared" si="4"/>
        <v>0</v>
      </c>
      <c r="P9" s="847">
        <f t="shared" si="4"/>
        <v>3276</v>
      </c>
      <c r="Q9" s="847">
        <f t="shared" si="4"/>
        <v>0</v>
      </c>
      <c r="R9" s="847">
        <f t="shared" si="4"/>
        <v>1726.9</v>
      </c>
      <c r="S9" s="873">
        <f t="shared" si="4"/>
        <v>0</v>
      </c>
    </row>
    <row r="10" spans="1:19" ht="16.5">
      <c r="A10" s="1824"/>
      <c r="B10" s="1825"/>
      <c r="C10" s="645" t="s">
        <v>2201</v>
      </c>
      <c r="D10" s="643">
        <f>SUMIF(하수!$B$13:$B$36,하수처리장참고!$C10,하수!E$13:E$36)</f>
        <v>1984000</v>
      </c>
      <c r="E10" s="643">
        <f>SUMIF(하수!$B$13:$B$36,하수처리장참고!$C10,하수!F$13:F$36)</f>
        <v>0</v>
      </c>
      <c r="F10" s="643">
        <f>SUMIF(하수!$B$13:$B$36,하수처리장참고!$C10,하수!G$13:G$36)</f>
        <v>1285000</v>
      </c>
      <c r="G10" s="643">
        <f>SUMIF(하수!$B$13:$B$36,하수처리장참고!$C10,하수!H$13:H$36)</f>
        <v>699000</v>
      </c>
      <c r="H10" s="643">
        <f>SUMIF(하수!$B$13:$B$36,하수처리장참고!$C10,하수!I$13:I$36)</f>
        <v>1341222</v>
      </c>
      <c r="I10" s="643">
        <f>SUMIF(하수!$B$13:$B$36,하수처리장참고!$C10,하수!J$13:J$36)</f>
        <v>0</v>
      </c>
      <c r="J10" s="643">
        <f>SUMIF(하수!$B$13:$B$36,하수처리장참고!$C10,하수!K$13:K$36)</f>
        <v>1082132</v>
      </c>
      <c r="K10" s="643">
        <f>SUMIF(하수!$B$13:$B$36,하수처리장참고!$C10,하수!L$13:L$36)</f>
        <v>259090</v>
      </c>
      <c r="L10" s="848">
        <f>SUMIF(하수!$B$13:$B$36,하수처리장참고!$C10,하수!M$13:M$36)</f>
        <v>10.511739888060083</v>
      </c>
      <c r="M10" s="643">
        <f>SUMIF(하수!$B$14:$B$37,하수처리장참고!$C10,하수!N$14:N$37)</f>
        <v>151460.35819999999</v>
      </c>
      <c r="N10" s="848">
        <f>SUMIF(하수!$B$13:$B$36,하수처리장참고!$C10,하수!O$13:O$36)</f>
        <v>0</v>
      </c>
      <c r="O10" s="848">
        <f>SUMIF(하수!$B$13:$B$36,하수처리장참고!$C10,하수!P$13:P$36)</f>
        <v>0</v>
      </c>
      <c r="P10" s="848">
        <f>SUMIF(하수!$B$13:$B$36,하수처리장참고!$C10,하수!Q$13:Q$36)</f>
        <v>3276</v>
      </c>
      <c r="Q10" s="848">
        <f>SUMIF(하수!$B$13:$B$36,하수처리장참고!$C10,하수!R$13:R$36)</f>
        <v>0</v>
      </c>
      <c r="R10" s="848">
        <f>SUMIF(하수!$B$13:$B$36,하수처리장참고!$C10,하수!S$13:S$36)</f>
        <v>1726.9</v>
      </c>
      <c r="S10" s="874">
        <f>SUMIF(하수!$B$13:$B$36,하수처리장참고!$C10,하수!T$13:T$36)</f>
        <v>0</v>
      </c>
    </row>
    <row r="11" spans="1:19" ht="17.25" thickBot="1">
      <c r="A11" s="1835"/>
      <c r="B11" s="1829"/>
      <c r="C11" s="652" t="s">
        <v>675</v>
      </c>
      <c r="D11" s="651">
        <f>SUMIF(하수!$B$13:$B$36,하수처리장참고!$C11,하수!E$13:E$36)</f>
        <v>2030</v>
      </c>
      <c r="E11" s="651">
        <f>SUMIF(하수!$B$13:$B$36,하수처리장참고!$C11,하수!F$13:F$36)</f>
        <v>13.2</v>
      </c>
      <c r="F11" s="651">
        <f>SUMIF(하수!$B$13:$B$36,하수처리장참고!$C11,하수!G$13:G$36)</f>
        <v>1618</v>
      </c>
      <c r="G11" s="651">
        <f>SUMIF(하수!$B$13:$B$36,하수처리장참고!$C11,하수!H$13:H$36)</f>
        <v>398.8</v>
      </c>
      <c r="H11" s="651">
        <f>SUMIF(하수!$B$13:$B$36,하수처리장참고!$C11,하수!I$13:I$36)</f>
        <v>1400</v>
      </c>
      <c r="I11" s="651">
        <f>SUMIF(하수!$B$13:$B$36,하수처리장참고!$C11,하수!J$13:J$36)</f>
        <v>14</v>
      </c>
      <c r="J11" s="651">
        <f>SUMIF(하수!$B$13:$B$36,하수처리장참고!$C11,하수!K$13:K$36)</f>
        <v>1152</v>
      </c>
      <c r="K11" s="651">
        <f>SUMIF(하수!$B$13:$B$36,하수처리장참고!$C11,하수!L$13:L$36)</f>
        <v>234</v>
      </c>
      <c r="L11" s="849">
        <f>SUMIF(하수!$B$13:$B$36,하수처리장참고!$C11,하수!M$13:M$36)</f>
        <v>4.45</v>
      </c>
      <c r="M11" s="651">
        <f>SUMIF(하수!$B$14:$B$37,하수처리장참고!$C11,하수!N$14:N$37)</f>
        <v>34.288999999999994</v>
      </c>
      <c r="N11" s="849">
        <f>SUMIF(하수!$B$13:$B$36,하수처리장참고!$C11,하수!O$13:O$36)</f>
        <v>0</v>
      </c>
      <c r="O11" s="849">
        <f>SUMIF(하수!$B$13:$B$36,하수처리장참고!$C11,하수!P$13:P$36)</f>
        <v>0</v>
      </c>
      <c r="P11" s="849">
        <f>SUMIF(하수!$B$13:$B$36,하수처리장참고!$C11,하수!Q$13:Q$36)</f>
        <v>0</v>
      </c>
      <c r="Q11" s="849">
        <f>SUMIF(하수!$B$13:$B$36,하수처리장참고!$C11,하수!R$13:R$36)</f>
        <v>0</v>
      </c>
      <c r="R11" s="849">
        <f>SUMIF(하수!$B$13:$B$36,하수처리장참고!$C11,하수!S$13:S$36)</f>
        <v>0</v>
      </c>
      <c r="S11" s="875">
        <f>SUMIF(하수!$B$13:$B$36,하수처리장참고!$C11,하수!T$13:T$36)</f>
        <v>0</v>
      </c>
    </row>
    <row r="12" spans="1:19" ht="16.5">
      <c r="A12" s="1822" t="s">
        <v>1971</v>
      </c>
      <c r="B12" s="1823"/>
      <c r="C12" s="647" t="s">
        <v>1488</v>
      </c>
      <c r="D12" s="648">
        <f t="shared" ref="D12:S12" si="5">SUM(D13:D14)</f>
        <v>1862400</v>
      </c>
      <c r="E12" s="648">
        <f t="shared" si="5"/>
        <v>0</v>
      </c>
      <c r="F12" s="648">
        <f t="shared" si="5"/>
        <v>0</v>
      </c>
      <c r="G12" s="648">
        <f t="shared" si="5"/>
        <v>1862400</v>
      </c>
      <c r="H12" s="648">
        <f t="shared" si="5"/>
        <v>1242995.3</v>
      </c>
      <c r="I12" s="648">
        <f t="shared" si="5"/>
        <v>0</v>
      </c>
      <c r="J12" s="648">
        <f t="shared" si="5"/>
        <v>0</v>
      </c>
      <c r="K12" s="648">
        <f t="shared" si="5"/>
        <v>1242995.3</v>
      </c>
      <c r="L12" s="847">
        <f t="shared" si="5"/>
        <v>11.643055061267567</v>
      </c>
      <c r="M12" s="648">
        <f t="shared" si="5"/>
        <v>301150.36427368002</v>
      </c>
      <c r="N12" s="847">
        <f t="shared" si="5"/>
        <v>0</v>
      </c>
      <c r="O12" s="847">
        <f t="shared" si="5"/>
        <v>0</v>
      </c>
      <c r="P12" s="847">
        <f t="shared" si="5"/>
        <v>1930</v>
      </c>
      <c r="Q12" s="847">
        <f t="shared" si="5"/>
        <v>0</v>
      </c>
      <c r="R12" s="847">
        <f t="shared" si="5"/>
        <v>571</v>
      </c>
      <c r="S12" s="873">
        <f t="shared" si="5"/>
        <v>292</v>
      </c>
    </row>
    <row r="13" spans="1:19" ht="16.5">
      <c r="A13" s="1824"/>
      <c r="B13" s="1825"/>
      <c r="C13" s="645" t="s">
        <v>2201</v>
      </c>
      <c r="D13" s="643">
        <f>SUMIF(하수!$B$38:$B$50,하수처리장참고!$C13,하수!E$38:E$50)</f>
        <v>1862000</v>
      </c>
      <c r="E13" s="643">
        <f>SUMIF(하수!$B$38:$B$50,하수처리장참고!$C13,하수!F$38:F$50)</f>
        <v>0</v>
      </c>
      <c r="F13" s="643">
        <f>SUMIF(하수!$B$38:$B$50,하수처리장참고!$C13,하수!G$38:G$50)</f>
        <v>0</v>
      </c>
      <c r="G13" s="643">
        <f>SUMIF(하수!$B$38:$B$50,하수처리장참고!$C13,하수!H$38:H$50)</f>
        <v>1862000</v>
      </c>
      <c r="H13" s="643">
        <f>SUMIF(하수!$B$38:$B$50,하수처리장참고!$C13,하수!I$38:I$50)</f>
        <v>1242909</v>
      </c>
      <c r="I13" s="643">
        <f>SUMIF(하수!$B$38:$B$50,하수처리장참고!$C13,하수!J$38:J$50)</f>
        <v>0</v>
      </c>
      <c r="J13" s="643">
        <f>SUMIF(하수!$B$38:$B$50,하수처리장참고!$C13,하수!K$38:K$50)</f>
        <v>0</v>
      </c>
      <c r="K13" s="643">
        <f>SUMIF(하수!$B$38:$B$50,하수처리장참고!$C13,하수!L$38:L$50)</f>
        <v>1242909</v>
      </c>
      <c r="L13" s="848">
        <f>SUMIF(하수!$B$38:$B$50,하수처리장참고!$C13,하수!M$38:M$50)</f>
        <v>5.9160550612675671</v>
      </c>
      <c r="M13" s="643">
        <f>SUMIF(하수!$B$39:$B$51,하수처리장참고!$C13,하수!N$39:N$51)</f>
        <v>301149.88860000001</v>
      </c>
      <c r="N13" s="848">
        <f>SUMIF(하수!$B$38:$B$50,하수처리장참고!$C13,하수!O$38:O$50)</f>
        <v>0</v>
      </c>
      <c r="O13" s="848">
        <f>SUMIF(하수!$B$38:$B$50,하수처리장참고!$C13,하수!P$38:P$50)</f>
        <v>0</v>
      </c>
      <c r="P13" s="848">
        <f>SUMIF(하수!$B$38:$B$50,하수처리장참고!$C13,하수!Q$38:Q$50)</f>
        <v>1930</v>
      </c>
      <c r="Q13" s="848">
        <f>SUMIF(하수!$B$38:$B$50,하수처리장참고!$C13,하수!R$38:R$50)</f>
        <v>0</v>
      </c>
      <c r="R13" s="848">
        <f>SUMIF(하수!$B$38:$B$50,하수처리장참고!$C13,하수!S$38:S$50)</f>
        <v>571</v>
      </c>
      <c r="S13" s="874">
        <f>SUMIF(하수!$B$38:$B$50,하수처리장참고!$C13,하수!T$38:T$50)</f>
        <v>292</v>
      </c>
    </row>
    <row r="14" spans="1:19" ht="17.25" thickBot="1">
      <c r="A14" s="1835"/>
      <c r="B14" s="1829"/>
      <c r="C14" s="652" t="s">
        <v>675</v>
      </c>
      <c r="D14" s="651">
        <f>SUMIF(하수!$B$38:$B$50,하수처리장참고!$C14,하수!E$38:E$50)</f>
        <v>400</v>
      </c>
      <c r="E14" s="651">
        <f>SUMIF(하수!$B$38:$B$50,하수처리장참고!$C14,하수!F$38:F$50)</f>
        <v>0</v>
      </c>
      <c r="F14" s="651">
        <f>SUMIF(하수!$B$38:$B$50,하수처리장참고!$C14,하수!G$38:G$50)</f>
        <v>0</v>
      </c>
      <c r="G14" s="651">
        <f>SUMIF(하수!$B$38:$B$50,하수처리장참고!$C14,하수!H$38:H$50)</f>
        <v>400</v>
      </c>
      <c r="H14" s="651">
        <f>SUMIF(하수!$B$38:$B$50,하수처리장참고!$C14,하수!I$38:I$50)</f>
        <v>86.3</v>
      </c>
      <c r="I14" s="651">
        <f>SUMIF(하수!$B$38:$B$50,하수처리장참고!$C14,하수!J$38:J$50)</f>
        <v>0</v>
      </c>
      <c r="J14" s="651">
        <f>SUMIF(하수!$B$38:$B$50,하수처리장참고!$C14,하수!K$38:K$50)</f>
        <v>0</v>
      </c>
      <c r="K14" s="651">
        <f>SUMIF(하수!$B$38:$B$50,하수처리장참고!$C14,하수!L$38:L$50)</f>
        <v>86.3</v>
      </c>
      <c r="L14" s="849">
        <f>SUMIF(하수!$B$38:$B$50,하수처리장참고!$C14,하수!M$38:M$50)</f>
        <v>5.7270000000000003</v>
      </c>
      <c r="M14" s="651">
        <f>SUMIF(하수!$B$39:$B$51,하수처리장참고!$C14,하수!N$39:N$51)</f>
        <v>0.47567367999999999</v>
      </c>
      <c r="N14" s="849">
        <f>SUMIF(하수!$B$38:$B$50,하수처리장참고!$C14,하수!O$38:O$50)</f>
        <v>0</v>
      </c>
      <c r="O14" s="849">
        <f>SUMIF(하수!$B$38:$B$50,하수처리장참고!$C14,하수!P$38:P$50)</f>
        <v>0</v>
      </c>
      <c r="P14" s="849">
        <f>SUMIF(하수!$B$38:$B$50,하수처리장참고!$C14,하수!Q$38:Q$50)</f>
        <v>0</v>
      </c>
      <c r="Q14" s="849">
        <f>SUMIF(하수!$B$38:$B$50,하수처리장참고!$C14,하수!R$38:R$50)</f>
        <v>0</v>
      </c>
      <c r="R14" s="849">
        <f>SUMIF(하수!$B$38:$B$50,하수처리장참고!$C14,하수!S$38:S$50)</f>
        <v>0</v>
      </c>
      <c r="S14" s="875">
        <f>SUMIF(하수!$B$38:$B$50,하수처리장참고!$C14,하수!T$38:T$50)</f>
        <v>0</v>
      </c>
    </row>
    <row r="15" spans="1:19" ht="16.5">
      <c r="A15" s="1822" t="s">
        <v>1791</v>
      </c>
      <c r="B15" s="1823"/>
      <c r="C15" s="647" t="s">
        <v>1488</v>
      </c>
      <c r="D15" s="648">
        <f t="shared" ref="D15:S15" si="6">SUM(D16:D17)</f>
        <v>737050</v>
      </c>
      <c r="E15" s="648">
        <f t="shared" si="6"/>
        <v>0</v>
      </c>
      <c r="F15" s="648">
        <f t="shared" si="6"/>
        <v>535000</v>
      </c>
      <c r="G15" s="648">
        <f t="shared" si="6"/>
        <v>202050</v>
      </c>
      <c r="H15" s="648">
        <f t="shared" si="6"/>
        <v>697647</v>
      </c>
      <c r="I15" s="648">
        <f t="shared" si="6"/>
        <v>47742</v>
      </c>
      <c r="J15" s="648">
        <f t="shared" si="6"/>
        <v>513383</v>
      </c>
      <c r="K15" s="648">
        <f t="shared" si="6"/>
        <v>136522</v>
      </c>
      <c r="L15" s="847">
        <f t="shared" si="6"/>
        <v>7.5571389597487073</v>
      </c>
      <c r="M15" s="648">
        <f t="shared" si="6"/>
        <v>78558.4663</v>
      </c>
      <c r="N15" s="847">
        <f t="shared" si="6"/>
        <v>0</v>
      </c>
      <c r="O15" s="847">
        <f t="shared" si="6"/>
        <v>0</v>
      </c>
      <c r="P15" s="847">
        <f t="shared" si="6"/>
        <v>465</v>
      </c>
      <c r="Q15" s="847">
        <f t="shared" si="6"/>
        <v>0</v>
      </c>
      <c r="R15" s="847">
        <f t="shared" si="6"/>
        <v>162.54400000000001</v>
      </c>
      <c r="S15" s="873">
        <f t="shared" si="6"/>
        <v>0</v>
      </c>
    </row>
    <row r="16" spans="1:19" ht="16.5">
      <c r="A16" s="1824"/>
      <c r="B16" s="1825"/>
      <c r="C16" s="645" t="s">
        <v>2201</v>
      </c>
      <c r="D16" s="643">
        <f>SUMIF(하수!$B$52:$B$60,하수처리장참고!$C16,하수!E$52:E$60)</f>
        <v>737000</v>
      </c>
      <c r="E16" s="643">
        <f>SUMIF(하수!$B$52:$B$60,하수처리장참고!$C16,하수!F$52:F$60)</f>
        <v>0</v>
      </c>
      <c r="F16" s="643">
        <f>SUMIF(하수!$B$52:$B$60,하수처리장참고!$C16,하수!G$52:G$60)</f>
        <v>535000</v>
      </c>
      <c r="G16" s="643">
        <f>SUMIF(하수!$B$52:$B$60,하수처리장참고!$C16,하수!H$52:H$60)</f>
        <v>202000</v>
      </c>
      <c r="H16" s="643">
        <f>SUMIF(하수!$B$52:$B$60,하수처리장참고!$C16,하수!I$52:I$60)</f>
        <v>697630</v>
      </c>
      <c r="I16" s="643">
        <f>SUMIF(하수!$B$52:$B$60,하수처리장참고!$C16,하수!J$52:J$60)</f>
        <v>47742</v>
      </c>
      <c r="J16" s="643">
        <f>SUMIF(하수!$B$52:$B$60,하수처리장참고!$C16,하수!K$52:K$60)</f>
        <v>513383</v>
      </c>
      <c r="K16" s="643">
        <f>SUMIF(하수!$B$52:$B$60,하수처리장참고!$C16,하수!L$52:L$60)</f>
        <v>136505</v>
      </c>
      <c r="L16" s="848">
        <f>SUMIF(하수!$B$52:$B$60,하수처리장참고!$C16,하수!M$52:M$60)</f>
        <v>6.5936389597487075</v>
      </c>
      <c r="M16" s="643">
        <f>SUMIF(하수!$B$53:$B$61,하수처리장참고!$C16,하수!N$53:N$61)</f>
        <v>78182.606299999999</v>
      </c>
      <c r="N16" s="848">
        <f>SUMIF(하수!$B$52:$B$60,하수처리장참고!$C16,하수!O$52:O$60)</f>
        <v>0</v>
      </c>
      <c r="O16" s="848">
        <f>SUMIF(하수!$B$52:$B$60,하수처리장참고!$C16,하수!P$52:P$60)</f>
        <v>0</v>
      </c>
      <c r="P16" s="848">
        <f>SUMIF(하수!$B$52:$B$60,하수처리장참고!$C16,하수!Q$52:Q$60)</f>
        <v>465</v>
      </c>
      <c r="Q16" s="848">
        <f>SUMIF(하수!$B$52:$B$60,하수처리장참고!$C16,하수!R$52:R$60)</f>
        <v>0</v>
      </c>
      <c r="R16" s="848">
        <f>SUMIF(하수!$B$52:$B$60,하수처리장참고!$C16,하수!S$52:S$60)</f>
        <v>162.54400000000001</v>
      </c>
      <c r="S16" s="874">
        <f>SUMIF(하수!$B$52:$B$60,하수처리장참고!$C16,하수!T$52:T$60)</f>
        <v>0</v>
      </c>
    </row>
    <row r="17" spans="1:19" ht="17.25" thickBot="1">
      <c r="A17" s="1835"/>
      <c r="B17" s="1829"/>
      <c r="C17" s="652" t="s">
        <v>675</v>
      </c>
      <c r="D17" s="651">
        <f>SUMIF(하수!$B$52:$B$60,하수처리장참고!$C17,하수!E$52:E$60)</f>
        <v>50</v>
      </c>
      <c r="E17" s="651">
        <f>SUMIF(하수!$B$52:$B$60,하수처리장참고!$C17,하수!F$52:F$60)</f>
        <v>0</v>
      </c>
      <c r="F17" s="651">
        <f>SUMIF(하수!$B$52:$B$60,하수처리장참고!$C17,하수!G$52:G$60)</f>
        <v>0</v>
      </c>
      <c r="G17" s="651">
        <f>SUMIF(하수!$B$52:$B$60,하수처리장참고!$C17,하수!H$52:H$60)</f>
        <v>50</v>
      </c>
      <c r="H17" s="651">
        <f>SUMIF(하수!$B$52:$B$60,하수처리장참고!$C17,하수!I$52:I$60)</f>
        <v>17</v>
      </c>
      <c r="I17" s="651">
        <f>SUMIF(하수!$B$52:$B$60,하수처리장참고!$C17,하수!J$52:J$60)</f>
        <v>0</v>
      </c>
      <c r="J17" s="651">
        <f>SUMIF(하수!$B$52:$B$60,하수처리장참고!$C17,하수!K$52:K$60)</f>
        <v>0</v>
      </c>
      <c r="K17" s="651">
        <f>SUMIF(하수!$B$52:$B$60,하수처리장참고!$C17,하수!L$52:L$60)</f>
        <v>17</v>
      </c>
      <c r="L17" s="849">
        <f>SUMIF(하수!$B$52:$B$60,하수처리장참고!$C17,하수!M$52:M$60)</f>
        <v>0.96349999999999991</v>
      </c>
      <c r="M17" s="651">
        <f>SUMIF(하수!$B$53:$B$61,하수처리장참고!$C17,하수!N$53:N$61)</f>
        <v>375.86</v>
      </c>
      <c r="N17" s="849">
        <f>SUMIF(하수!$B$52:$B$60,하수처리장참고!$C17,하수!O$52:O$60)</f>
        <v>0</v>
      </c>
      <c r="O17" s="849">
        <f>SUMIF(하수!$B$52:$B$60,하수처리장참고!$C17,하수!P$52:P$60)</f>
        <v>0</v>
      </c>
      <c r="P17" s="849">
        <f>SUMIF(하수!$B$52:$B$60,하수처리장참고!$C17,하수!Q$52:Q$60)</f>
        <v>0</v>
      </c>
      <c r="Q17" s="849">
        <f>SUMIF(하수!$B$52:$B$60,하수처리장참고!$C17,하수!R$52:R$60)</f>
        <v>0</v>
      </c>
      <c r="R17" s="849">
        <f>SUMIF(하수!$B$52:$B$60,하수처리장참고!$C17,하수!S$52:S$60)</f>
        <v>0</v>
      </c>
      <c r="S17" s="875">
        <f>SUMIF(하수!$B$52:$B$60,하수처리장참고!$C17,하수!T$52:T$60)</f>
        <v>0</v>
      </c>
    </row>
    <row r="18" spans="1:19" ht="16.5">
      <c r="A18" s="1822" t="s">
        <v>1798</v>
      </c>
      <c r="B18" s="1823"/>
      <c r="C18" s="647" t="s">
        <v>1488</v>
      </c>
      <c r="D18" s="648">
        <f t="shared" ref="D18:S18" si="7">SUM(D19:D20)</f>
        <v>720130</v>
      </c>
      <c r="E18" s="648">
        <f t="shared" si="7"/>
        <v>0</v>
      </c>
      <c r="F18" s="648">
        <f t="shared" si="7"/>
        <v>660050</v>
      </c>
      <c r="G18" s="648">
        <f t="shared" si="7"/>
        <v>60080</v>
      </c>
      <c r="H18" s="648">
        <f t="shared" si="7"/>
        <v>666083</v>
      </c>
      <c r="I18" s="648">
        <f t="shared" si="7"/>
        <v>0</v>
      </c>
      <c r="J18" s="648">
        <f t="shared" si="7"/>
        <v>608138</v>
      </c>
      <c r="K18" s="648">
        <f t="shared" si="7"/>
        <v>57945</v>
      </c>
      <c r="L18" s="847">
        <f t="shared" si="7"/>
        <v>3.7044839918594472</v>
      </c>
      <c r="M18" s="648">
        <f t="shared" si="7"/>
        <v>12262.570324417266</v>
      </c>
      <c r="N18" s="847">
        <f t="shared" si="7"/>
        <v>0</v>
      </c>
      <c r="O18" s="847">
        <f t="shared" si="7"/>
        <v>0</v>
      </c>
      <c r="P18" s="847">
        <f t="shared" si="7"/>
        <v>2881</v>
      </c>
      <c r="Q18" s="847">
        <f t="shared" si="7"/>
        <v>0</v>
      </c>
      <c r="R18" s="847">
        <f t="shared" si="7"/>
        <v>676</v>
      </c>
      <c r="S18" s="873">
        <f t="shared" si="7"/>
        <v>257</v>
      </c>
    </row>
    <row r="19" spans="1:19" ht="16.5">
      <c r="A19" s="1824"/>
      <c r="B19" s="1825"/>
      <c r="C19" s="645" t="s">
        <v>2201</v>
      </c>
      <c r="D19" s="643">
        <f>SUMIF(하수!$B$62:$B$66,하수처리장참고!$C19,하수!E$62:E$66)</f>
        <v>720000</v>
      </c>
      <c r="E19" s="643">
        <f>SUMIF(하수!$B$62:$B$66,하수처리장참고!$C19,하수!F$62:F$66)</f>
        <v>0</v>
      </c>
      <c r="F19" s="643">
        <f>SUMIF(하수!$B$62:$B$66,하수처리장참고!$C19,하수!G$62:G$66)</f>
        <v>660000</v>
      </c>
      <c r="G19" s="643">
        <f>SUMIF(하수!$B$62:$B$66,하수처리장참고!$C19,하수!H$62:H$66)</f>
        <v>60000</v>
      </c>
      <c r="H19" s="643">
        <f>SUMIF(하수!$B$62:$B$66,하수처리장참고!$C19,하수!I$62:I$66)</f>
        <v>666008</v>
      </c>
      <c r="I19" s="643">
        <f>SUMIF(하수!$B$62:$B$66,하수처리장참고!$C19,하수!J$62:J$66)</f>
        <v>0</v>
      </c>
      <c r="J19" s="643">
        <f>SUMIF(하수!$B$62:$B$66,하수처리장참고!$C19,하수!K$62:K$66)</f>
        <v>608108</v>
      </c>
      <c r="K19" s="643">
        <f>SUMIF(하수!$B$62:$B$66,하수처리장참고!$C19,하수!L$62:L$66)</f>
        <v>57900</v>
      </c>
      <c r="L19" s="848">
        <f>SUMIF(하수!$B$62:$B$66,하수처리장참고!$C19,하수!M$62:M$66)</f>
        <v>1.8944839918594472</v>
      </c>
      <c r="M19" s="643">
        <f>SUMIF(하수!$B$63:$B$67,하수처리장참고!$C19,하수!N$63:N$67)</f>
        <v>12262.447714996266</v>
      </c>
      <c r="N19" s="848">
        <f>SUMIF(하수!$B$62:$B$66,하수처리장참고!$C19,하수!O$62:O$66)</f>
        <v>0</v>
      </c>
      <c r="O19" s="848">
        <f>SUMIF(하수!$B$62:$B$66,하수처리장참고!$C19,하수!P$62:P$66)</f>
        <v>0</v>
      </c>
      <c r="P19" s="848">
        <f>SUMIF(하수!$B$62:$B$66,하수처리장참고!$C19,하수!Q$62:Q$66)</f>
        <v>2881</v>
      </c>
      <c r="Q19" s="848">
        <f>SUMIF(하수!$B$62:$B$66,하수처리장참고!$C19,하수!R$62:R$66)</f>
        <v>0</v>
      </c>
      <c r="R19" s="848">
        <f>SUMIF(하수!$B$62:$B$66,하수처리장참고!$C19,하수!S$62:S$66)</f>
        <v>676</v>
      </c>
      <c r="S19" s="874">
        <f>SUMIF(하수!$B$62:$B$66,하수처리장참고!$C19,하수!T$62:T$66)</f>
        <v>257</v>
      </c>
    </row>
    <row r="20" spans="1:19" ht="17.25" thickBot="1">
      <c r="A20" s="1835"/>
      <c r="B20" s="1829"/>
      <c r="C20" s="652" t="s">
        <v>675</v>
      </c>
      <c r="D20" s="651">
        <f>SUMIF(하수!$B$62:$B$66,하수처리장참고!$C20,하수!E$62:E$66)</f>
        <v>130</v>
      </c>
      <c r="E20" s="651">
        <f>SUMIF(하수!$B$62:$B$66,하수처리장참고!$C20,하수!F$62:F$66)</f>
        <v>0</v>
      </c>
      <c r="F20" s="651">
        <f>SUMIF(하수!$B$62:$B$66,하수처리장참고!$C20,하수!G$62:G$66)</f>
        <v>50</v>
      </c>
      <c r="G20" s="651">
        <f>SUMIF(하수!$B$62:$B$66,하수처리장참고!$C20,하수!H$62:H$66)</f>
        <v>80</v>
      </c>
      <c r="H20" s="651">
        <f>SUMIF(하수!$B$62:$B$66,하수처리장참고!$C20,하수!I$62:I$66)</f>
        <v>75</v>
      </c>
      <c r="I20" s="651">
        <f>SUMIF(하수!$B$62:$B$66,하수처리장참고!$C20,하수!J$62:J$66)</f>
        <v>0</v>
      </c>
      <c r="J20" s="651">
        <f>SUMIF(하수!$B$62:$B$66,하수처리장참고!$C20,하수!K$62:K$66)</f>
        <v>30</v>
      </c>
      <c r="K20" s="651">
        <f>SUMIF(하수!$B$62:$B$66,하수처리장참고!$C20,하수!L$62:L$66)</f>
        <v>45</v>
      </c>
      <c r="L20" s="849">
        <f>SUMIF(하수!$B$62:$B$66,하수처리장참고!$C20,하수!M$62:M$66)</f>
        <v>1.81</v>
      </c>
      <c r="M20" s="651">
        <f>SUMIF(하수!$B$63:$B$67,하수처리장참고!$C20,하수!N$63:N$67)</f>
        <v>0.122609421</v>
      </c>
      <c r="N20" s="849">
        <f>SUMIF(하수!$B$62:$B$66,하수처리장참고!$C20,하수!O$62:O$66)</f>
        <v>0</v>
      </c>
      <c r="O20" s="849">
        <f>SUMIF(하수!$B$62:$B$66,하수처리장참고!$C20,하수!P$62:P$66)</f>
        <v>0</v>
      </c>
      <c r="P20" s="849">
        <f>SUMIF(하수!$B$62:$B$66,하수처리장참고!$C20,하수!Q$62:Q$66)</f>
        <v>0</v>
      </c>
      <c r="Q20" s="849">
        <f>SUMIF(하수!$B$62:$B$66,하수처리장참고!$C20,하수!R$62:R$66)</f>
        <v>0</v>
      </c>
      <c r="R20" s="849">
        <f>SUMIF(하수!$B$62:$B$66,하수처리장참고!$C20,하수!S$62:S$66)</f>
        <v>0</v>
      </c>
      <c r="S20" s="875">
        <f>SUMIF(하수!$B$62:$B$66,하수처리장참고!$C20,하수!T$62:T$66)</f>
        <v>0</v>
      </c>
    </row>
    <row r="21" spans="1:19" ht="16.5">
      <c r="A21" s="1822" t="s">
        <v>1972</v>
      </c>
      <c r="B21" s="1823"/>
      <c r="C21" s="647" t="s">
        <v>1488</v>
      </c>
      <c r="D21" s="648">
        <f t="shared" ref="D21:S21" si="8">SUM(D22:D23)</f>
        <v>900000</v>
      </c>
      <c r="E21" s="648">
        <f t="shared" si="8"/>
        <v>0</v>
      </c>
      <c r="F21" s="648">
        <f t="shared" si="8"/>
        <v>900000</v>
      </c>
      <c r="G21" s="648">
        <f t="shared" si="8"/>
        <v>0</v>
      </c>
      <c r="H21" s="648">
        <f t="shared" si="8"/>
        <v>621953</v>
      </c>
      <c r="I21" s="648">
        <f t="shared" si="8"/>
        <v>0</v>
      </c>
      <c r="J21" s="648">
        <f t="shared" si="8"/>
        <v>621953</v>
      </c>
      <c r="K21" s="648">
        <f t="shared" si="8"/>
        <v>0</v>
      </c>
      <c r="L21" s="847">
        <f t="shared" si="8"/>
        <v>0.89030883919062831</v>
      </c>
      <c r="M21" s="648">
        <f t="shared" si="8"/>
        <v>52001.795800000007</v>
      </c>
      <c r="N21" s="847">
        <f t="shared" si="8"/>
        <v>0</v>
      </c>
      <c r="O21" s="847">
        <f t="shared" si="8"/>
        <v>0</v>
      </c>
      <c r="P21" s="847">
        <f t="shared" si="8"/>
        <v>917</v>
      </c>
      <c r="Q21" s="847">
        <f t="shared" si="8"/>
        <v>0</v>
      </c>
      <c r="R21" s="847">
        <f t="shared" si="8"/>
        <v>565</v>
      </c>
      <c r="S21" s="873">
        <f t="shared" si="8"/>
        <v>0</v>
      </c>
    </row>
    <row r="22" spans="1:19" ht="16.5">
      <c r="A22" s="1824"/>
      <c r="B22" s="1825"/>
      <c r="C22" s="645" t="s">
        <v>2201</v>
      </c>
      <c r="D22" s="643">
        <f>SUMIF(하수!$B$68:$B$69,하수처리장참고!$C22,하수!E$68:E$69)</f>
        <v>900000</v>
      </c>
      <c r="E22" s="643">
        <f>SUMIF(하수!$B$68:$B$69,하수처리장참고!$C22,하수!F$68:F$69)</f>
        <v>0</v>
      </c>
      <c r="F22" s="643">
        <f>SUMIF(하수!$B$68:$B$69,하수처리장참고!$C22,하수!G$68:G$69)</f>
        <v>900000</v>
      </c>
      <c r="G22" s="643">
        <f>SUMIF(하수!$B$68:$B$69,하수처리장참고!$C22,하수!H$68:H$69)</f>
        <v>0</v>
      </c>
      <c r="H22" s="643">
        <f>SUMIF(하수!$B$68:$B$69,하수처리장참고!$C22,하수!I$68:I$69)</f>
        <v>621953</v>
      </c>
      <c r="I22" s="643">
        <f>SUMIF(하수!$B$68:$B$69,하수처리장참고!$C22,하수!J$68:J$69)</f>
        <v>0</v>
      </c>
      <c r="J22" s="643">
        <f>SUMIF(하수!$B$68:$B$69,하수처리장참고!$C22,하수!K$68:K$69)</f>
        <v>621953</v>
      </c>
      <c r="K22" s="643">
        <f>SUMIF(하수!$B$68:$B$69,하수처리장참고!$C22,하수!L$68:L$69)</f>
        <v>0</v>
      </c>
      <c r="L22" s="848">
        <f>SUMIF(하수!$B$68:$B$69,하수처리장참고!$C22,하수!M$68:M$69)</f>
        <v>0.89030883919062831</v>
      </c>
      <c r="M22" s="643">
        <f>SUMIF(하수!$B$69:$B$70,하수처리장참고!$C22,하수!N$69:N$70)</f>
        <v>52001.795800000007</v>
      </c>
      <c r="N22" s="848">
        <f>SUMIF(하수!$B$68:$B$69,하수처리장참고!$C22,하수!O$68:O$69)</f>
        <v>0</v>
      </c>
      <c r="O22" s="848">
        <f>SUMIF(하수!$B$68:$B$69,하수처리장참고!$C22,하수!P$68:P$69)</f>
        <v>0</v>
      </c>
      <c r="P22" s="848">
        <f>SUMIF(하수!$B$68:$B$69,하수처리장참고!$C22,하수!Q$68:Q$69)</f>
        <v>917</v>
      </c>
      <c r="Q22" s="848">
        <f>SUMIF(하수!$B$68:$B$69,하수처리장참고!$C22,하수!R$68:R$69)</f>
        <v>0</v>
      </c>
      <c r="R22" s="848">
        <f>SUMIF(하수!$B$68:$B$69,하수처리장참고!$C22,하수!S$68:S$69)</f>
        <v>565</v>
      </c>
      <c r="S22" s="874">
        <f>SUMIF(하수!$B$68:$B$69,하수처리장참고!$C22,하수!T$68:T$69)</f>
        <v>0</v>
      </c>
    </row>
    <row r="23" spans="1:19" ht="17.25" thickBot="1">
      <c r="A23" s="1835"/>
      <c r="B23" s="1829"/>
      <c r="C23" s="652" t="s">
        <v>675</v>
      </c>
      <c r="D23" s="651">
        <f>SUMIF(하수!$B$68:$B$69,하수처리장참고!$C23,하수!E$68:E$69)</f>
        <v>0</v>
      </c>
      <c r="E23" s="651">
        <f>SUMIF(하수!$B$68:$B$69,하수처리장참고!$C23,하수!F$68:F$69)</f>
        <v>0</v>
      </c>
      <c r="F23" s="651">
        <f>SUMIF(하수!$B$68:$B$69,하수처리장참고!$C23,하수!G$68:G$69)</f>
        <v>0</v>
      </c>
      <c r="G23" s="651">
        <f>SUMIF(하수!$B$68:$B$69,하수처리장참고!$C23,하수!H$68:H$69)</f>
        <v>0</v>
      </c>
      <c r="H23" s="651">
        <f>SUMIF(하수!$B$68:$B$69,하수처리장참고!$C23,하수!I$68:I$69)</f>
        <v>0</v>
      </c>
      <c r="I23" s="651">
        <f>SUMIF(하수!$B$68:$B$69,하수처리장참고!$C23,하수!J$68:J$69)</f>
        <v>0</v>
      </c>
      <c r="J23" s="651">
        <f>SUMIF(하수!$B$68:$B$69,하수처리장참고!$C23,하수!K$68:K$69)</f>
        <v>0</v>
      </c>
      <c r="K23" s="651">
        <f>SUMIF(하수!$B$68:$B$69,하수처리장참고!$C23,하수!L$68:L$69)</f>
        <v>0</v>
      </c>
      <c r="L23" s="849">
        <f>SUMIF(하수!$B$68:$B$69,하수처리장참고!$C23,하수!M$68:M$69)</f>
        <v>0</v>
      </c>
      <c r="M23" s="651">
        <f>SUMIF(하수!$B$69:$B$70,하수처리장참고!$C23,하수!N$69:N$70)</f>
        <v>0</v>
      </c>
      <c r="N23" s="849">
        <f>SUMIF(하수!$B$68:$B$69,하수처리장참고!$C23,하수!O$68:O$69)</f>
        <v>0</v>
      </c>
      <c r="O23" s="849">
        <f>SUMIF(하수!$B$68:$B$69,하수처리장참고!$C23,하수!P$68:P$69)</f>
        <v>0</v>
      </c>
      <c r="P23" s="849">
        <f>SUMIF(하수!$B$68:$B$69,하수처리장참고!$C23,하수!Q$68:Q$69)</f>
        <v>0</v>
      </c>
      <c r="Q23" s="849">
        <f>SUMIF(하수!$B$68:$B$69,하수처리장참고!$C23,하수!R$68:R$69)</f>
        <v>0</v>
      </c>
      <c r="R23" s="849">
        <f>SUMIF(하수!$B$68:$B$69,하수처리장참고!$C23,하수!S$68:S$69)</f>
        <v>0</v>
      </c>
      <c r="S23" s="875">
        <f>SUMIF(하수!$B$68:$B$69,하수처리장참고!$C23,하수!T$68:T$69)</f>
        <v>0</v>
      </c>
    </row>
    <row r="24" spans="1:19" ht="16.5">
      <c r="A24" s="1822" t="s">
        <v>1973</v>
      </c>
      <c r="B24" s="1823"/>
      <c r="C24" s="647" t="s">
        <v>1488</v>
      </c>
      <c r="D24" s="648">
        <f t="shared" ref="D24:S24" si="9">SUM(D25:D26)</f>
        <v>597580</v>
      </c>
      <c r="E24" s="648">
        <f t="shared" si="9"/>
        <v>0</v>
      </c>
      <c r="F24" s="648">
        <f t="shared" si="9"/>
        <v>437580</v>
      </c>
      <c r="G24" s="648">
        <f t="shared" si="9"/>
        <v>160000</v>
      </c>
      <c r="H24" s="648">
        <f t="shared" si="9"/>
        <v>409922</v>
      </c>
      <c r="I24" s="648">
        <f t="shared" si="9"/>
        <v>0</v>
      </c>
      <c r="J24" s="648">
        <f t="shared" si="9"/>
        <v>338460</v>
      </c>
      <c r="K24" s="648">
        <f t="shared" si="9"/>
        <v>71462</v>
      </c>
      <c r="L24" s="847">
        <f t="shared" si="9"/>
        <v>9.2194055910326416</v>
      </c>
      <c r="M24" s="648">
        <f t="shared" si="9"/>
        <v>39925.337300000007</v>
      </c>
      <c r="N24" s="847">
        <f t="shared" si="9"/>
        <v>0</v>
      </c>
      <c r="O24" s="847">
        <f t="shared" si="9"/>
        <v>0</v>
      </c>
      <c r="P24" s="847">
        <f t="shared" si="9"/>
        <v>123</v>
      </c>
      <c r="Q24" s="847">
        <f t="shared" si="9"/>
        <v>0</v>
      </c>
      <c r="R24" s="847">
        <f t="shared" si="9"/>
        <v>593</v>
      </c>
      <c r="S24" s="873">
        <f t="shared" si="9"/>
        <v>17.96</v>
      </c>
    </row>
    <row r="25" spans="1:19" ht="16.5">
      <c r="A25" s="1824"/>
      <c r="B25" s="1825"/>
      <c r="C25" s="645" t="s">
        <v>2201</v>
      </c>
      <c r="D25" s="643">
        <f>SUMIF(하수!$B$71:$B$81,하수처리장참고!$C25,하수!E$71:E$81)</f>
        <v>596600</v>
      </c>
      <c r="E25" s="643">
        <f>SUMIF(하수!$B$71:$B$81,하수처리장참고!$C25,하수!F$71:F$81)</f>
        <v>0</v>
      </c>
      <c r="F25" s="643">
        <f>SUMIF(하수!$B$71:$B$81,하수처리장참고!$C25,하수!G$71:G$81)</f>
        <v>436600</v>
      </c>
      <c r="G25" s="643">
        <f>SUMIF(하수!$B$71:$B$81,하수처리장참고!$C25,하수!H$71:H$81)</f>
        <v>160000</v>
      </c>
      <c r="H25" s="643">
        <f>SUMIF(하수!$B$71:$B$81,하수처리장참고!$C25,하수!I$71:I$81)</f>
        <v>409548</v>
      </c>
      <c r="I25" s="643">
        <f>SUMIF(하수!$B$71:$B$81,하수처리장참고!$C25,하수!J$71:J$81)</f>
        <v>0</v>
      </c>
      <c r="J25" s="643">
        <f>SUMIF(하수!$B$71:$B$81,하수처리장참고!$C25,하수!K$71:K$81)</f>
        <v>338086</v>
      </c>
      <c r="K25" s="643">
        <f>SUMIF(하수!$B$71:$B$81,하수처리장참고!$C25,하수!L$71:L$81)</f>
        <v>71462</v>
      </c>
      <c r="L25" s="848">
        <f>SUMIF(하수!$B$71:$B$81,하수처리장참고!$C25,하수!M$71:M$81)</f>
        <v>5.7094055910326418</v>
      </c>
      <c r="M25" s="643">
        <f>SUMIF(하수!$B$72:$B$82,하수처리장참고!$C25,하수!N$72:N$82)</f>
        <v>39920.937300000005</v>
      </c>
      <c r="N25" s="848">
        <f>SUMIF(하수!$B$71:$B$81,하수처리장참고!$C25,하수!O$71:O$81)</f>
        <v>0</v>
      </c>
      <c r="O25" s="848">
        <f>SUMIF(하수!$B$71:$B$81,하수처리장참고!$C25,하수!P$71:P$81)</f>
        <v>0</v>
      </c>
      <c r="P25" s="848">
        <f>SUMIF(하수!$B$71:$B$81,하수처리장참고!$C25,하수!Q$71:Q$81)</f>
        <v>123</v>
      </c>
      <c r="Q25" s="848">
        <f>SUMIF(하수!$B$71:$B$81,하수처리장참고!$C25,하수!R$71:R$81)</f>
        <v>0</v>
      </c>
      <c r="R25" s="848">
        <f>SUMIF(하수!$B$71:$B$81,하수처리장참고!$C25,하수!S$71:S$81)</f>
        <v>593</v>
      </c>
      <c r="S25" s="874">
        <f>SUMIF(하수!$B$71:$B$81,하수처리장참고!$C25,하수!T$71:T$81)</f>
        <v>17.96</v>
      </c>
    </row>
    <row r="26" spans="1:19" ht="17.25" thickBot="1">
      <c r="A26" s="1835"/>
      <c r="B26" s="1829"/>
      <c r="C26" s="652" t="s">
        <v>675</v>
      </c>
      <c r="D26" s="651">
        <f>SUMIF(하수!$B$71:$B$81,하수처리장참고!$C26,하수!E$71:E$81)</f>
        <v>980</v>
      </c>
      <c r="E26" s="651">
        <f>SUMIF(하수!$B$71:$B$81,하수처리장참고!$C26,하수!F$71:F$81)</f>
        <v>0</v>
      </c>
      <c r="F26" s="651">
        <f>SUMIF(하수!$B$71:$B$81,하수처리장참고!$C26,하수!G$71:G$81)</f>
        <v>980</v>
      </c>
      <c r="G26" s="651">
        <f>SUMIF(하수!$B$71:$B$81,하수처리장참고!$C26,하수!H$71:H$81)</f>
        <v>0</v>
      </c>
      <c r="H26" s="651">
        <f>SUMIF(하수!$B$71:$B$81,하수처리장참고!$C26,하수!I$71:I$81)</f>
        <v>374</v>
      </c>
      <c r="I26" s="651">
        <f>SUMIF(하수!$B$71:$B$81,하수처리장참고!$C26,하수!J$71:J$81)</f>
        <v>0</v>
      </c>
      <c r="J26" s="651">
        <f>SUMIF(하수!$B$71:$B$81,하수처리장참고!$C26,하수!K$71:K$81)</f>
        <v>374</v>
      </c>
      <c r="K26" s="651">
        <f>SUMIF(하수!$B$71:$B$81,하수처리장참고!$C26,하수!L$71:L$81)</f>
        <v>0</v>
      </c>
      <c r="L26" s="849">
        <f>SUMIF(하수!$B$71:$B$81,하수처리장참고!$C26,하수!M$71:M$81)</f>
        <v>3.51</v>
      </c>
      <c r="M26" s="651">
        <f>SUMIF(하수!$B$72:$B$82,하수처리장참고!$C26,하수!N$72:N$82)</f>
        <v>4.4000000000000004</v>
      </c>
      <c r="N26" s="849">
        <f>SUMIF(하수!$B$71:$B$81,하수처리장참고!$C26,하수!O$71:O$81)</f>
        <v>0</v>
      </c>
      <c r="O26" s="849">
        <f>SUMIF(하수!$B$71:$B$81,하수처리장참고!$C26,하수!P$71:P$81)</f>
        <v>0</v>
      </c>
      <c r="P26" s="849">
        <f>SUMIF(하수!$B$71:$B$81,하수처리장참고!$C26,하수!Q$71:Q$81)</f>
        <v>0</v>
      </c>
      <c r="Q26" s="849">
        <f>SUMIF(하수!$B$71:$B$81,하수처리장참고!$C26,하수!R$71:R$81)</f>
        <v>0</v>
      </c>
      <c r="R26" s="849">
        <f>SUMIF(하수!$B$71:$B$81,하수처리장참고!$C26,하수!S$71:S$81)</f>
        <v>0</v>
      </c>
      <c r="S26" s="875">
        <f>SUMIF(하수!$B$71:$B$81,하수처리장참고!$C26,하수!T$71:T$81)</f>
        <v>0</v>
      </c>
    </row>
    <row r="27" spans="1:19" ht="16.5">
      <c r="A27" s="1822" t="s">
        <v>1808</v>
      </c>
      <c r="B27" s="1823" t="s">
        <v>6295</v>
      </c>
      <c r="C27" s="647" t="s">
        <v>66</v>
      </c>
      <c r="D27" s="648">
        <f t="shared" ref="D27:S27" si="10">SUM(D28:D29)</f>
        <v>4974524.8</v>
      </c>
      <c r="E27" s="648">
        <f t="shared" si="10"/>
        <v>0</v>
      </c>
      <c r="F27" s="648">
        <f t="shared" si="10"/>
        <v>2877095.8</v>
      </c>
      <c r="G27" s="648">
        <f t="shared" si="10"/>
        <v>2097429</v>
      </c>
      <c r="H27" s="648">
        <f t="shared" si="10"/>
        <v>3949469.4377755015</v>
      </c>
      <c r="I27" s="648">
        <f t="shared" si="10"/>
        <v>376</v>
      </c>
      <c r="J27" s="648">
        <f t="shared" si="10"/>
        <v>2319213.3236986301</v>
      </c>
      <c r="K27" s="648">
        <f t="shared" si="10"/>
        <v>1630420.1140768714</v>
      </c>
      <c r="L27" s="847">
        <f t="shared" si="10"/>
        <v>144.31171945505145</v>
      </c>
      <c r="M27" s="648">
        <f t="shared" si="10"/>
        <v>556247.88808834378</v>
      </c>
      <c r="N27" s="847">
        <f t="shared" si="10"/>
        <v>0</v>
      </c>
      <c r="O27" s="847">
        <f t="shared" si="10"/>
        <v>0</v>
      </c>
      <c r="P27" s="847">
        <f t="shared" si="10"/>
        <v>3862.3539062500004</v>
      </c>
      <c r="Q27" s="847">
        <f t="shared" si="10"/>
        <v>2621.1</v>
      </c>
      <c r="R27" s="847">
        <f t="shared" si="10"/>
        <v>1474</v>
      </c>
      <c r="S27" s="873">
        <f t="shared" si="10"/>
        <v>12</v>
      </c>
    </row>
    <row r="28" spans="1:19" ht="16.5">
      <c r="A28" s="1824"/>
      <c r="B28" s="1825"/>
      <c r="C28" s="645" t="s">
        <v>2201</v>
      </c>
      <c r="D28" s="643">
        <f t="shared" ref="D28:S28" si="11">D31+D34</f>
        <v>4967600</v>
      </c>
      <c r="E28" s="643">
        <f t="shared" si="11"/>
        <v>0</v>
      </c>
      <c r="F28" s="643">
        <f t="shared" si="11"/>
        <v>2873500</v>
      </c>
      <c r="G28" s="643">
        <f t="shared" si="11"/>
        <v>2094100</v>
      </c>
      <c r="H28" s="643">
        <f t="shared" si="11"/>
        <v>3945011.8277755016</v>
      </c>
      <c r="I28" s="643">
        <f t="shared" si="11"/>
        <v>376</v>
      </c>
      <c r="J28" s="643">
        <f t="shared" si="11"/>
        <v>2317296.6136986301</v>
      </c>
      <c r="K28" s="643">
        <f t="shared" si="11"/>
        <v>1627879.2140768715</v>
      </c>
      <c r="L28" s="848">
        <f t="shared" si="11"/>
        <v>80.567454603522037</v>
      </c>
      <c r="M28" s="643">
        <f t="shared" si="11"/>
        <v>538424.714240956</v>
      </c>
      <c r="N28" s="848">
        <f t="shared" si="11"/>
        <v>0</v>
      </c>
      <c r="O28" s="848">
        <f t="shared" si="11"/>
        <v>0</v>
      </c>
      <c r="P28" s="848">
        <f t="shared" si="11"/>
        <v>3862.3539062500004</v>
      </c>
      <c r="Q28" s="848">
        <f t="shared" si="11"/>
        <v>2621.1</v>
      </c>
      <c r="R28" s="848">
        <f t="shared" si="11"/>
        <v>1474</v>
      </c>
      <c r="S28" s="874">
        <f t="shared" si="11"/>
        <v>12</v>
      </c>
    </row>
    <row r="29" spans="1:19" ht="16.5">
      <c r="A29" s="1824"/>
      <c r="B29" s="1825"/>
      <c r="C29" s="645" t="s">
        <v>675</v>
      </c>
      <c r="D29" s="643">
        <f t="shared" ref="D29:S29" si="12">D32+D35</f>
        <v>6924.8</v>
      </c>
      <c r="E29" s="643">
        <f t="shared" si="12"/>
        <v>0</v>
      </c>
      <c r="F29" s="643">
        <f t="shared" si="12"/>
        <v>3595.8</v>
      </c>
      <c r="G29" s="643">
        <f t="shared" si="12"/>
        <v>3329</v>
      </c>
      <c r="H29" s="643">
        <f t="shared" si="12"/>
        <v>4457.6100000000006</v>
      </c>
      <c r="I29" s="643">
        <f t="shared" si="12"/>
        <v>0</v>
      </c>
      <c r="J29" s="643">
        <f t="shared" si="12"/>
        <v>1916.71</v>
      </c>
      <c r="K29" s="643">
        <f t="shared" si="12"/>
        <v>2540.9</v>
      </c>
      <c r="L29" s="848">
        <f t="shared" si="12"/>
        <v>63.744264851529394</v>
      </c>
      <c r="M29" s="643">
        <f t="shared" si="12"/>
        <v>17823.173847387796</v>
      </c>
      <c r="N29" s="848">
        <f t="shared" si="12"/>
        <v>0</v>
      </c>
      <c r="O29" s="848">
        <f t="shared" si="12"/>
        <v>0</v>
      </c>
      <c r="P29" s="848">
        <f t="shared" si="12"/>
        <v>0</v>
      </c>
      <c r="Q29" s="848">
        <f t="shared" si="12"/>
        <v>0</v>
      </c>
      <c r="R29" s="848">
        <f t="shared" si="12"/>
        <v>0</v>
      </c>
      <c r="S29" s="874">
        <f t="shared" si="12"/>
        <v>0</v>
      </c>
    </row>
    <row r="30" spans="1:19" ht="16.5">
      <c r="A30" s="1824"/>
      <c r="B30" s="1825" t="s">
        <v>1674</v>
      </c>
      <c r="C30" s="645" t="s">
        <v>66</v>
      </c>
      <c r="D30" s="643">
        <f t="shared" ref="D30:S30" si="13">SUM(D31:D32)</f>
        <v>4892689.8</v>
      </c>
      <c r="E30" s="643">
        <f t="shared" si="13"/>
        <v>0</v>
      </c>
      <c r="F30" s="643">
        <f t="shared" si="13"/>
        <v>2858872.8</v>
      </c>
      <c r="G30" s="643">
        <f t="shared" si="13"/>
        <v>2033817</v>
      </c>
      <c r="H30" s="643">
        <f t="shared" si="13"/>
        <v>3876204.4377755015</v>
      </c>
      <c r="I30" s="643">
        <f t="shared" si="13"/>
        <v>376</v>
      </c>
      <c r="J30" s="643">
        <f t="shared" si="13"/>
        <v>2298214.3236986301</v>
      </c>
      <c r="K30" s="643">
        <f t="shared" si="13"/>
        <v>1578154.1140768714</v>
      </c>
      <c r="L30" s="848">
        <f t="shared" si="13"/>
        <v>91.526536763472066</v>
      </c>
      <c r="M30" s="643">
        <f t="shared" si="13"/>
        <v>540907.44338260533</v>
      </c>
      <c r="N30" s="848">
        <f t="shared" si="13"/>
        <v>0</v>
      </c>
      <c r="O30" s="848">
        <f t="shared" si="13"/>
        <v>0</v>
      </c>
      <c r="P30" s="848">
        <f t="shared" si="13"/>
        <v>3739.3539062500004</v>
      </c>
      <c r="Q30" s="848">
        <f t="shared" si="13"/>
        <v>2214.1</v>
      </c>
      <c r="R30" s="848">
        <f t="shared" si="13"/>
        <v>1387</v>
      </c>
      <c r="S30" s="874">
        <f t="shared" si="13"/>
        <v>5</v>
      </c>
    </row>
    <row r="31" spans="1:19" ht="16.5">
      <c r="A31" s="1824"/>
      <c r="B31" s="1825"/>
      <c r="C31" s="645" t="s">
        <v>2201</v>
      </c>
      <c r="D31" s="643">
        <f>SUMIF(하수!$B$84:$B$193,하수처리장참고!$C31,하수!E$84:E$193)</f>
        <v>4889350</v>
      </c>
      <c r="E31" s="643">
        <f>SUMIF(하수!$B$84:$B$193,하수처리장참고!$C31,하수!F$84:F$193)</f>
        <v>0</v>
      </c>
      <c r="F31" s="643">
        <f>SUMIF(하수!$B$84:$B$193,하수처리장참고!$C31,하수!G$84:G$193)</f>
        <v>2856600</v>
      </c>
      <c r="G31" s="643">
        <f>SUMIF(하수!$B$84:$B$193,하수처리장참고!$C31,하수!H$84:H$193)</f>
        <v>2032750</v>
      </c>
      <c r="H31" s="643">
        <f>SUMIF(하수!$B$84:$B$193,하수처리장참고!$C31,하수!I$84:I$193)</f>
        <v>3873884.8277755016</v>
      </c>
      <c r="I31" s="643">
        <f>SUMIF(하수!$B$84:$B$193,하수처리장참고!$C31,하수!J$84:J$193)</f>
        <v>376</v>
      </c>
      <c r="J31" s="643">
        <f>SUMIF(하수!$B$84:$B$193,하수처리장참고!$C31,하수!K$84:K$193)</f>
        <v>2296855.6136986301</v>
      </c>
      <c r="K31" s="643">
        <f>SUMIF(하수!$B$84:$B$193,하수처리장참고!$C31,하수!L$84:L$193)</f>
        <v>1577193.2140768715</v>
      </c>
      <c r="L31" s="848">
        <f>SUMIF(하수!$B$84:$B$193,하수처리장참고!$C31,하수!M$84:M$193)</f>
        <v>61.429323493329903</v>
      </c>
      <c r="M31" s="643">
        <f>SUMIF(하수!$B$85:$B$194,하수처리장참고!$C31,하수!N$85:N$194)</f>
        <v>529320.01474095602</v>
      </c>
      <c r="N31" s="848">
        <f>SUMIF(하수!$B$84:$B$193,하수처리장참고!$C31,하수!O$84:O$193)</f>
        <v>0</v>
      </c>
      <c r="O31" s="848">
        <f>SUMIF(하수!$B$84:$B$193,하수처리장참고!$C31,하수!P$84:P$193)</f>
        <v>0</v>
      </c>
      <c r="P31" s="848">
        <f>SUMIF(하수!$B$84:$B$193,하수처리장참고!$C31,하수!Q$84:Q$193)</f>
        <v>3739.3539062500004</v>
      </c>
      <c r="Q31" s="848">
        <f>SUMIF(하수!$B$84:$B$193,하수처리장참고!$C31,하수!R$84:R$193)</f>
        <v>2214.1</v>
      </c>
      <c r="R31" s="848">
        <f>SUMIF(하수!$B$84:$B$193,하수처리장참고!$C31,하수!S$84:S$193)</f>
        <v>1387</v>
      </c>
      <c r="S31" s="874">
        <f>SUMIF(하수!$B$84:$B$193,하수처리장참고!$C31,하수!T$84:T$193)</f>
        <v>5</v>
      </c>
    </row>
    <row r="32" spans="1:19" ht="16.5">
      <c r="A32" s="1824"/>
      <c r="B32" s="1825"/>
      <c r="C32" s="645" t="s">
        <v>675</v>
      </c>
      <c r="D32" s="643">
        <f>SUMIF(하수!$B$84:$B$193,하수처리장참고!$C32,하수!E$84:E$193)</f>
        <v>3339.8</v>
      </c>
      <c r="E32" s="643">
        <f>SUMIF(하수!$B$84:$B$193,하수처리장참고!$C32,하수!F$84:F$193)</f>
        <v>0</v>
      </c>
      <c r="F32" s="643">
        <f>SUMIF(하수!$B$84:$B$193,하수처리장참고!$C32,하수!G$84:G$193)</f>
        <v>2272.8000000000002</v>
      </c>
      <c r="G32" s="643">
        <f>SUMIF(하수!$B$84:$B$193,하수처리장참고!$C32,하수!H$84:H$193)</f>
        <v>1067</v>
      </c>
      <c r="H32" s="643">
        <f>SUMIF(하수!$B$84:$B$193,하수처리장참고!$C32,하수!I$84:I$193)</f>
        <v>2319.6100000000006</v>
      </c>
      <c r="I32" s="643">
        <f>SUMIF(하수!$B$84:$B$193,하수처리장참고!$C32,하수!J$84:J$193)</f>
        <v>0</v>
      </c>
      <c r="J32" s="643">
        <f>SUMIF(하수!$B$84:$B$193,하수처리장참고!$C32,하수!K$84:K$193)</f>
        <v>1358.71</v>
      </c>
      <c r="K32" s="643">
        <f>SUMIF(하수!$B$84:$B$193,하수처리장참고!$C32,하수!L$84:L$193)</f>
        <v>960.9</v>
      </c>
      <c r="L32" s="848">
        <f>SUMIF(하수!$B$84:$B$193,하수처리장참고!$C32,하수!M$84:M$193)</f>
        <v>30.097213270142163</v>
      </c>
      <c r="M32" s="643">
        <f>SUMIF(하수!$B$85:$B$194,하수처리장참고!$C32,하수!N$85:N$194)</f>
        <v>11587.428641649289</v>
      </c>
      <c r="N32" s="848">
        <f>SUMIF(하수!$B$84:$B$193,하수처리장참고!$C32,하수!O$84:O$193)</f>
        <v>0</v>
      </c>
      <c r="O32" s="848">
        <f>SUMIF(하수!$B$84:$B$193,하수처리장참고!$C32,하수!P$84:P$193)</f>
        <v>0</v>
      </c>
      <c r="P32" s="848">
        <f>SUMIF(하수!$B$84:$B$193,하수처리장참고!$C32,하수!Q$84:Q$193)</f>
        <v>0</v>
      </c>
      <c r="Q32" s="848">
        <f>SUMIF(하수!$B$84:$B$193,하수처리장참고!$C32,하수!R$84:R$193)</f>
        <v>0</v>
      </c>
      <c r="R32" s="848">
        <f>SUMIF(하수!$B$84:$B$193,하수처리장참고!$C32,하수!S$84:S$193)</f>
        <v>0</v>
      </c>
      <c r="S32" s="874">
        <f>SUMIF(하수!$B$84:$B$193,하수처리장참고!$C32,하수!T$84:T$193)</f>
        <v>0</v>
      </c>
    </row>
    <row r="33" spans="1:19" ht="16.5">
      <c r="A33" s="1824"/>
      <c r="B33" s="1825" t="s">
        <v>1616</v>
      </c>
      <c r="C33" s="645" t="s">
        <v>6065</v>
      </c>
      <c r="D33" s="643">
        <f t="shared" ref="D33:S33" si="14">SUM(D34:D35)</f>
        <v>81835</v>
      </c>
      <c r="E33" s="643">
        <f t="shared" si="14"/>
        <v>0</v>
      </c>
      <c r="F33" s="643">
        <f t="shared" si="14"/>
        <v>18223</v>
      </c>
      <c r="G33" s="643">
        <f t="shared" si="14"/>
        <v>63612</v>
      </c>
      <c r="H33" s="643">
        <f t="shared" si="14"/>
        <v>73265</v>
      </c>
      <c r="I33" s="643">
        <f t="shared" si="14"/>
        <v>0</v>
      </c>
      <c r="J33" s="643">
        <f t="shared" si="14"/>
        <v>20999</v>
      </c>
      <c r="K33" s="643">
        <f t="shared" si="14"/>
        <v>52266</v>
      </c>
      <c r="L33" s="848">
        <f t="shared" si="14"/>
        <v>52.785182691579358</v>
      </c>
      <c r="M33" s="643">
        <f t="shared" si="14"/>
        <v>15340.444705738508</v>
      </c>
      <c r="N33" s="848">
        <f t="shared" si="14"/>
        <v>0</v>
      </c>
      <c r="O33" s="848">
        <f t="shared" si="14"/>
        <v>0</v>
      </c>
      <c r="P33" s="848">
        <f t="shared" si="14"/>
        <v>123</v>
      </c>
      <c r="Q33" s="848">
        <f t="shared" si="14"/>
        <v>407</v>
      </c>
      <c r="R33" s="848">
        <f t="shared" si="14"/>
        <v>87</v>
      </c>
      <c r="S33" s="874">
        <f t="shared" si="14"/>
        <v>7</v>
      </c>
    </row>
    <row r="34" spans="1:19" ht="16.5">
      <c r="A34" s="1824"/>
      <c r="B34" s="1825"/>
      <c r="C34" s="645" t="s">
        <v>2201</v>
      </c>
      <c r="D34" s="643">
        <f>SUMIF(하수!$B$195:$B$256,하수처리장참고!$C34,하수!E$195:E$256)</f>
        <v>78250</v>
      </c>
      <c r="E34" s="643">
        <f>SUMIF(하수!$B$195:$B$256,하수처리장참고!$C34,하수!F$195:F$256)</f>
        <v>0</v>
      </c>
      <c r="F34" s="643">
        <f>SUMIF(하수!$B$195:$B$256,하수처리장참고!$C34,하수!G$195:G$256)</f>
        <v>16900</v>
      </c>
      <c r="G34" s="643">
        <f>SUMIF(하수!$B$195:$B$256,하수처리장참고!$C34,하수!H$195:H$256)</f>
        <v>61350</v>
      </c>
      <c r="H34" s="643">
        <f>SUMIF(하수!$B$195:$B$256,하수처리장참고!$C34,하수!I$195:I$256)</f>
        <v>71127</v>
      </c>
      <c r="I34" s="643">
        <f>SUMIF(하수!$B$195:$B$256,하수처리장참고!$C34,하수!J$195:J$256)</f>
        <v>0</v>
      </c>
      <c r="J34" s="643">
        <f>SUMIF(하수!$B$195:$B$256,하수처리장참고!$C34,하수!K$195:K$256)</f>
        <v>20441</v>
      </c>
      <c r="K34" s="643">
        <f>SUMIF(하수!$B$195:$B$256,하수처리장참고!$C34,하수!L$195:L$256)</f>
        <v>50686</v>
      </c>
      <c r="L34" s="848">
        <f>SUMIF(하수!$B$195:$B$256,하수처리장참고!$C34,하수!M$195:M$256)</f>
        <v>19.138131110192127</v>
      </c>
      <c r="M34" s="643">
        <f>SUMIF(하수!$B$196:$B$257,하수처리장참고!$C34,하수!N$196:N$257)</f>
        <v>9104.6995000000006</v>
      </c>
      <c r="N34" s="848">
        <f>SUMIF(하수!$B$195:$B$256,하수처리장참고!$C34,하수!O$195:O$256)</f>
        <v>0</v>
      </c>
      <c r="O34" s="848">
        <f>SUMIF(하수!$B$195:$B$256,하수처리장참고!$C34,하수!P$195:P$256)</f>
        <v>0</v>
      </c>
      <c r="P34" s="848">
        <f>SUMIF(하수!$B$195:$B$256,하수처리장참고!$C34,하수!Q$195:Q$256)</f>
        <v>123</v>
      </c>
      <c r="Q34" s="848">
        <f>SUMIF(하수!$B$195:$B$256,하수처리장참고!$C34,하수!R$195:R$256)</f>
        <v>407</v>
      </c>
      <c r="R34" s="848">
        <f>SUMIF(하수!$B$195:$B$256,하수처리장참고!$C34,하수!S$195:S$256)</f>
        <v>87</v>
      </c>
      <c r="S34" s="874">
        <f>SUMIF(하수!$B$195:$B$256,하수처리장참고!$C34,하수!T$195:T$256)</f>
        <v>7</v>
      </c>
    </row>
    <row r="35" spans="1:19" ht="17.25" thickBot="1">
      <c r="A35" s="1826"/>
      <c r="B35" s="1827"/>
      <c r="C35" s="646" t="s">
        <v>675</v>
      </c>
      <c r="D35" s="644">
        <f>SUMIF(하수!$B$195:$B$256,하수처리장참고!$C35,하수!E$195:E$256)</f>
        <v>3585</v>
      </c>
      <c r="E35" s="644">
        <f>SUMIF(하수!$B$195:$B$256,하수처리장참고!$C35,하수!F$195:F$256)</f>
        <v>0</v>
      </c>
      <c r="F35" s="644">
        <f>SUMIF(하수!$B$195:$B$256,하수처리장참고!$C35,하수!G$195:G$256)</f>
        <v>1323</v>
      </c>
      <c r="G35" s="644">
        <f>SUMIF(하수!$B$195:$B$256,하수처리장참고!$C35,하수!H$195:H$256)</f>
        <v>2262</v>
      </c>
      <c r="H35" s="644">
        <f>SUMIF(하수!$B$195:$B$256,하수처리장참고!$C35,하수!I$195:I$256)</f>
        <v>2138</v>
      </c>
      <c r="I35" s="644">
        <f>SUMIF(하수!$B$195:$B$256,하수처리장참고!$C35,하수!J$195:J$256)</f>
        <v>0</v>
      </c>
      <c r="J35" s="644">
        <f>SUMIF(하수!$B$195:$B$256,하수처리장참고!$C35,하수!K$195:K$256)</f>
        <v>558</v>
      </c>
      <c r="K35" s="644">
        <f>SUMIF(하수!$B$195:$B$256,하수처리장참고!$C35,하수!L$195:L$256)</f>
        <v>1580</v>
      </c>
      <c r="L35" s="850">
        <f>SUMIF(하수!$B$195:$B$256,하수처리장참고!$C35,하수!M$195:M$256)</f>
        <v>33.647051581387231</v>
      </c>
      <c r="M35" s="644">
        <f>SUMIF(하수!$B$196:$B$257,하수처리장참고!$C35,하수!N$196:N$257)</f>
        <v>6235.745205738508</v>
      </c>
      <c r="N35" s="850">
        <f>SUMIF(하수!$B$195:$B$256,하수처리장참고!$C35,하수!O$195:O$256)</f>
        <v>0</v>
      </c>
      <c r="O35" s="850">
        <f>SUMIF(하수!$B$195:$B$256,하수처리장참고!$C35,하수!P$195:P$256)</f>
        <v>0</v>
      </c>
      <c r="P35" s="850">
        <f>SUMIF(하수!$B$195:$B$256,하수처리장참고!$C35,하수!Q$195:Q$256)</f>
        <v>0</v>
      </c>
      <c r="Q35" s="850">
        <f>SUMIF(하수!$B$195:$B$256,하수처리장참고!$C35,하수!R$195:R$256)</f>
        <v>0</v>
      </c>
      <c r="R35" s="850">
        <f>SUMIF(하수!$B$195:$B$256,하수처리장참고!$C35,하수!S$195:S$256)</f>
        <v>0</v>
      </c>
      <c r="S35" s="876">
        <f>SUMIF(하수!$B$195:$B$256,하수처리장참고!$C35,하수!T$195:T$256)</f>
        <v>0</v>
      </c>
    </row>
    <row r="36" spans="1:19" ht="16.5">
      <c r="A36" s="1830" t="s">
        <v>1849</v>
      </c>
      <c r="B36" s="1823" t="s">
        <v>6295</v>
      </c>
      <c r="C36" s="647" t="s">
        <v>66</v>
      </c>
      <c r="D36" s="648">
        <f t="shared" ref="D36:S36" si="15">SUM(D37:D38)</f>
        <v>555614</v>
      </c>
      <c r="E36" s="648">
        <f t="shared" si="15"/>
        <v>0</v>
      </c>
      <c r="F36" s="648">
        <f t="shared" si="15"/>
        <v>444351</v>
      </c>
      <c r="G36" s="648">
        <f t="shared" si="15"/>
        <v>111263</v>
      </c>
      <c r="H36" s="648">
        <f t="shared" si="15"/>
        <v>477953.23</v>
      </c>
      <c r="I36" s="648">
        <f t="shared" si="15"/>
        <v>0</v>
      </c>
      <c r="J36" s="648">
        <f t="shared" si="15"/>
        <v>398859.43</v>
      </c>
      <c r="K36" s="648">
        <f t="shared" si="15"/>
        <v>79093.8</v>
      </c>
      <c r="L36" s="847">
        <f t="shared" si="15"/>
        <v>191.28145709722332</v>
      </c>
      <c r="M36" s="648">
        <f t="shared" si="15"/>
        <v>70350.06152326084</v>
      </c>
      <c r="N36" s="847">
        <f t="shared" si="15"/>
        <v>0</v>
      </c>
      <c r="O36" s="847">
        <f t="shared" si="15"/>
        <v>0</v>
      </c>
      <c r="P36" s="847">
        <f t="shared" si="15"/>
        <v>1042.7</v>
      </c>
      <c r="Q36" s="847">
        <f t="shared" si="15"/>
        <v>293.51</v>
      </c>
      <c r="R36" s="847">
        <f t="shared" si="15"/>
        <v>903.69999999999993</v>
      </c>
      <c r="S36" s="873">
        <f t="shared" si="15"/>
        <v>2531.87</v>
      </c>
    </row>
    <row r="37" spans="1:19" ht="16.5">
      <c r="A37" s="1831"/>
      <c r="B37" s="1825"/>
      <c r="C37" s="645" t="s">
        <v>2201</v>
      </c>
      <c r="D37" s="643">
        <f>D40+D43</f>
        <v>535000</v>
      </c>
      <c r="E37" s="643">
        <f t="shared" ref="E37:S37" si="16">E40+E43</f>
        <v>0</v>
      </c>
      <c r="F37" s="643">
        <f t="shared" si="16"/>
        <v>426200</v>
      </c>
      <c r="G37" s="643">
        <f t="shared" si="16"/>
        <v>108800</v>
      </c>
      <c r="H37" s="643">
        <f t="shared" si="16"/>
        <v>461523</v>
      </c>
      <c r="I37" s="643">
        <f t="shared" si="16"/>
        <v>0</v>
      </c>
      <c r="J37" s="643">
        <f t="shared" si="16"/>
        <v>384173</v>
      </c>
      <c r="K37" s="643">
        <f t="shared" si="16"/>
        <v>77350</v>
      </c>
      <c r="L37" s="848">
        <f t="shared" si="16"/>
        <v>21.398950399358178</v>
      </c>
      <c r="M37" s="643">
        <f t="shared" si="16"/>
        <v>34166.020417023625</v>
      </c>
      <c r="N37" s="848">
        <f t="shared" si="16"/>
        <v>0</v>
      </c>
      <c r="O37" s="848">
        <f t="shared" si="16"/>
        <v>0</v>
      </c>
      <c r="P37" s="848">
        <f t="shared" si="16"/>
        <v>1042.7</v>
      </c>
      <c r="Q37" s="848">
        <f t="shared" si="16"/>
        <v>293.51</v>
      </c>
      <c r="R37" s="848">
        <f t="shared" si="16"/>
        <v>903.69999999999993</v>
      </c>
      <c r="S37" s="874">
        <f t="shared" si="16"/>
        <v>2531.87</v>
      </c>
    </row>
    <row r="38" spans="1:19" ht="16.5">
      <c r="A38" s="1831"/>
      <c r="B38" s="1825"/>
      <c r="C38" s="645" t="s">
        <v>675</v>
      </c>
      <c r="D38" s="643">
        <f t="shared" ref="D38:S38" si="17">D41+D44</f>
        <v>20614</v>
      </c>
      <c r="E38" s="643">
        <f t="shared" si="17"/>
        <v>0</v>
      </c>
      <c r="F38" s="643">
        <f t="shared" si="17"/>
        <v>18151</v>
      </c>
      <c r="G38" s="643">
        <f t="shared" si="17"/>
        <v>2463</v>
      </c>
      <c r="H38" s="643">
        <f t="shared" si="17"/>
        <v>16430.230000000003</v>
      </c>
      <c r="I38" s="643">
        <f t="shared" si="17"/>
        <v>0</v>
      </c>
      <c r="J38" s="643">
        <f t="shared" si="17"/>
        <v>14686.43</v>
      </c>
      <c r="K38" s="643">
        <f t="shared" si="17"/>
        <v>1743.8</v>
      </c>
      <c r="L38" s="848">
        <f t="shared" si="17"/>
        <v>169.88250669786515</v>
      </c>
      <c r="M38" s="643">
        <f t="shared" si="17"/>
        <v>36184.041106237222</v>
      </c>
      <c r="N38" s="848">
        <f t="shared" si="17"/>
        <v>0</v>
      </c>
      <c r="O38" s="848">
        <f t="shared" si="17"/>
        <v>0</v>
      </c>
      <c r="P38" s="848">
        <f t="shared" si="17"/>
        <v>0</v>
      </c>
      <c r="Q38" s="848">
        <f t="shared" si="17"/>
        <v>0</v>
      </c>
      <c r="R38" s="848">
        <f t="shared" si="17"/>
        <v>0</v>
      </c>
      <c r="S38" s="874">
        <f t="shared" si="17"/>
        <v>0</v>
      </c>
    </row>
    <row r="39" spans="1:19" ht="16.5">
      <c r="A39" s="1831"/>
      <c r="B39" s="1828" t="s">
        <v>1674</v>
      </c>
      <c r="C39" s="777" t="s">
        <v>66</v>
      </c>
      <c r="D39" s="778">
        <f t="shared" ref="D39:S39" si="18">SUM(D40:D41)</f>
        <v>486436</v>
      </c>
      <c r="E39" s="778">
        <f t="shared" si="18"/>
        <v>0</v>
      </c>
      <c r="F39" s="778">
        <f t="shared" si="18"/>
        <v>423473</v>
      </c>
      <c r="G39" s="778">
        <f t="shared" si="18"/>
        <v>62963</v>
      </c>
      <c r="H39" s="778">
        <f t="shared" si="18"/>
        <v>429045.1</v>
      </c>
      <c r="I39" s="778">
        <f t="shared" si="18"/>
        <v>0</v>
      </c>
      <c r="J39" s="778">
        <f t="shared" si="18"/>
        <v>382801.1</v>
      </c>
      <c r="K39" s="778">
        <f t="shared" si="18"/>
        <v>46244</v>
      </c>
      <c r="L39" s="851">
        <f t="shared" si="18"/>
        <v>63.719144316783392</v>
      </c>
      <c r="M39" s="778">
        <f t="shared" si="18"/>
        <v>55596.520941277216</v>
      </c>
      <c r="N39" s="851">
        <f t="shared" si="18"/>
        <v>0</v>
      </c>
      <c r="O39" s="851">
        <f t="shared" si="18"/>
        <v>0</v>
      </c>
      <c r="P39" s="851">
        <f t="shared" si="18"/>
        <v>847.03000000000009</v>
      </c>
      <c r="Q39" s="851">
        <f t="shared" si="18"/>
        <v>265.18</v>
      </c>
      <c r="R39" s="851">
        <f t="shared" si="18"/>
        <v>859.69999999999993</v>
      </c>
      <c r="S39" s="877">
        <f t="shared" si="18"/>
        <v>2353.87</v>
      </c>
    </row>
    <row r="40" spans="1:19" ht="16.5">
      <c r="A40" s="1831"/>
      <c r="B40" s="1825"/>
      <c r="C40" s="645" t="s">
        <v>2201</v>
      </c>
      <c r="D40" s="643">
        <f>SUMIF(하수!$B$259:$B$330,하수처리장참고!$C40,하수!E$259:E$330)</f>
        <v>480200</v>
      </c>
      <c r="E40" s="643">
        <f>SUMIF(하수!$B$259:$B$330,하수처리장참고!$C40,하수!F$259:F$330)</f>
        <v>0</v>
      </c>
      <c r="F40" s="643">
        <f>SUMIF(하수!$B$259:$B$330,하수처리장참고!$C40,하수!G$259:G$330)</f>
        <v>418000</v>
      </c>
      <c r="G40" s="643">
        <f>SUMIF(하수!$B$259:$B$330,하수처리장참고!$C40,하수!H$259:H$330)</f>
        <v>62200</v>
      </c>
      <c r="H40" s="643">
        <f>SUMIF(하수!$B$259:$B$330,하수처리장참고!$C40,하수!I$259:I$330)</f>
        <v>424247</v>
      </c>
      <c r="I40" s="643">
        <f>SUMIF(하수!$B$259:$B$330,하수처리장참고!$C40,하수!J$259:J$330)</f>
        <v>0</v>
      </c>
      <c r="J40" s="643">
        <f>SUMIF(하수!$B$259:$B$330,하수처리장참고!$C40,하수!K$259:K$330)</f>
        <v>378536</v>
      </c>
      <c r="K40" s="643">
        <f>SUMIF(하수!$B$259:$B$330,하수처리장참고!$C40,하수!L$259:L$330)</f>
        <v>45711</v>
      </c>
      <c r="L40" s="848">
        <f>SUMIF(하수!$B$259:$B$330,하수처리장참고!$C40,하수!M$259:M$330)</f>
        <v>9.3660108938586504</v>
      </c>
      <c r="M40" s="643">
        <f>SUMIF(하수!$B$260:$B$331,하수처리장참고!$C40,하수!N$260:N$331)</f>
        <v>31940.837799999998</v>
      </c>
      <c r="N40" s="848">
        <f>SUMIF(하수!$B$259:$B$330,하수처리장참고!$C40,하수!O$259:O$330)</f>
        <v>0</v>
      </c>
      <c r="O40" s="848">
        <f>SUMIF(하수!$B$259:$B$330,하수처리장참고!$C40,하수!P$259:P$330)</f>
        <v>0</v>
      </c>
      <c r="P40" s="848">
        <f>SUMIF(하수!$B$259:$B$330,하수처리장참고!$C40,하수!Q$259:Q$330)</f>
        <v>847.03000000000009</v>
      </c>
      <c r="Q40" s="848">
        <f>SUMIF(하수!$B$259:$B$330,하수처리장참고!$C40,하수!R$259:R$330)</f>
        <v>265.18</v>
      </c>
      <c r="R40" s="848">
        <f>SUMIF(하수!$B$259:$B$330,하수처리장참고!$C40,하수!S$259:S$330)</f>
        <v>859.69999999999993</v>
      </c>
      <c r="S40" s="874">
        <f>SUMIF(하수!$B$259:$B$330,하수처리장참고!$C40,하수!T$259:T$330)</f>
        <v>2353.87</v>
      </c>
    </row>
    <row r="41" spans="1:19" ht="16.5">
      <c r="A41" s="1831"/>
      <c r="B41" s="1825"/>
      <c r="C41" s="645" t="s">
        <v>675</v>
      </c>
      <c r="D41" s="643">
        <f>SUMIF(하수!$B$259:$B$330,하수처리장참고!$C41,하수!E$259:E$330)</f>
        <v>6236</v>
      </c>
      <c r="E41" s="643">
        <f>SUMIF(하수!$B$259:$B$330,하수처리장참고!$C41,하수!F$259:F$330)</f>
        <v>0</v>
      </c>
      <c r="F41" s="643">
        <f>SUMIF(하수!$B$259:$B$330,하수처리장참고!$C41,하수!G$259:G$330)</f>
        <v>5473</v>
      </c>
      <c r="G41" s="643">
        <f>SUMIF(하수!$B$259:$B$330,하수처리장참고!$C41,하수!H$259:H$330)</f>
        <v>763</v>
      </c>
      <c r="H41" s="643">
        <f>SUMIF(하수!$B$259:$B$330,하수처리장참고!$C41,하수!I$259:I$330)</f>
        <v>4798.1000000000004</v>
      </c>
      <c r="I41" s="643">
        <f>SUMIF(하수!$B$259:$B$330,하수처리장참고!$C41,하수!J$259:J$330)</f>
        <v>0</v>
      </c>
      <c r="J41" s="643">
        <f>SUMIF(하수!$B$259:$B$330,하수처리장참고!$C41,하수!K$259:K$330)</f>
        <v>4265.1000000000004</v>
      </c>
      <c r="K41" s="643">
        <f>SUMIF(하수!$B$259:$B$330,하수처리장참고!$C41,하수!L$259:L$330)</f>
        <v>533</v>
      </c>
      <c r="L41" s="848">
        <f>SUMIF(하수!$B$259:$B$330,하수처리장참고!$C41,하수!M$259:M$330)</f>
        <v>54.353133422924742</v>
      </c>
      <c r="M41" s="643">
        <f>SUMIF(하수!$B$260:$B$331,하수처리장참고!$C41,하수!N$260:N$331)</f>
        <v>23655.683141277219</v>
      </c>
      <c r="N41" s="848">
        <f>SUMIF(하수!$B$259:$B$330,하수처리장참고!$C41,하수!O$259:O$330)</f>
        <v>0</v>
      </c>
      <c r="O41" s="848">
        <f>SUMIF(하수!$B$259:$B$330,하수처리장참고!$C41,하수!P$259:P$330)</f>
        <v>0</v>
      </c>
      <c r="P41" s="848">
        <f>SUMIF(하수!$B$259:$B$330,하수처리장참고!$C41,하수!Q$259:Q$330)</f>
        <v>0</v>
      </c>
      <c r="Q41" s="848">
        <f>SUMIF(하수!$B$259:$B$330,하수처리장참고!$C41,하수!R$259:R$330)</f>
        <v>0</v>
      </c>
      <c r="R41" s="848">
        <f>SUMIF(하수!$B$259:$B$330,하수처리장참고!$C41,하수!S$259:S$330)</f>
        <v>0</v>
      </c>
      <c r="S41" s="874">
        <f>SUMIF(하수!$B$259:$B$330,하수처리장참고!$C41,하수!T$259:T$330)</f>
        <v>0</v>
      </c>
    </row>
    <row r="42" spans="1:19" ht="16.5">
      <c r="A42" s="1831"/>
      <c r="B42" s="1825" t="s">
        <v>1616</v>
      </c>
      <c r="C42" s="645" t="s">
        <v>6065</v>
      </c>
      <c r="D42" s="643">
        <f t="shared" ref="D42:S42" si="19">SUM(D43:D44)</f>
        <v>69178</v>
      </c>
      <c r="E42" s="643">
        <f t="shared" si="19"/>
        <v>0</v>
      </c>
      <c r="F42" s="643">
        <f t="shared" si="19"/>
        <v>20878</v>
      </c>
      <c r="G42" s="643">
        <f t="shared" si="19"/>
        <v>48300</v>
      </c>
      <c r="H42" s="643">
        <f t="shared" si="19"/>
        <v>48908.130000000005</v>
      </c>
      <c r="I42" s="643">
        <f t="shared" si="19"/>
        <v>0</v>
      </c>
      <c r="J42" s="643">
        <f t="shared" si="19"/>
        <v>16058.33</v>
      </c>
      <c r="K42" s="643">
        <f t="shared" si="19"/>
        <v>32849.800000000003</v>
      </c>
      <c r="L42" s="848">
        <f t="shared" si="19"/>
        <v>127.56231278043992</v>
      </c>
      <c r="M42" s="643">
        <f t="shared" si="19"/>
        <v>14753.540581983627</v>
      </c>
      <c r="N42" s="848">
        <f t="shared" si="19"/>
        <v>0</v>
      </c>
      <c r="O42" s="848">
        <f t="shared" si="19"/>
        <v>0</v>
      </c>
      <c r="P42" s="848">
        <f t="shared" si="19"/>
        <v>195.67000000000002</v>
      </c>
      <c r="Q42" s="848">
        <f t="shared" si="19"/>
        <v>28.33</v>
      </c>
      <c r="R42" s="848">
        <f t="shared" si="19"/>
        <v>44</v>
      </c>
      <c r="S42" s="874">
        <f t="shared" si="19"/>
        <v>178</v>
      </c>
    </row>
    <row r="43" spans="1:19" ht="16.5">
      <c r="A43" s="1831"/>
      <c r="B43" s="1825"/>
      <c r="C43" s="645" t="s">
        <v>2201</v>
      </c>
      <c r="D43" s="643">
        <f>SUMIF(하수!$B$332:$B$481,하수처리장참고!$C43,하수!E$332:E$481)</f>
        <v>54800</v>
      </c>
      <c r="E43" s="643">
        <f>SUMIF(하수!$B$332:$B$481,하수처리장참고!$C43,하수!F$332:F$481)</f>
        <v>0</v>
      </c>
      <c r="F43" s="643">
        <f>SUMIF(하수!$B$332:$B$481,하수처리장참고!$C43,하수!G$332:G$481)</f>
        <v>8200</v>
      </c>
      <c r="G43" s="643">
        <f>SUMIF(하수!$B$332:$B$481,하수처리장참고!$C43,하수!H$332:H$481)</f>
        <v>46600</v>
      </c>
      <c r="H43" s="643">
        <f>SUMIF(하수!$B$332:$B$481,하수처리장참고!$C43,하수!I$332:I$481)</f>
        <v>37276</v>
      </c>
      <c r="I43" s="643">
        <f>SUMIF(하수!$B$332:$B$481,하수처리장참고!$C43,하수!J$332:J$481)</f>
        <v>0</v>
      </c>
      <c r="J43" s="643">
        <f>SUMIF(하수!$B$332:$B$481,하수처리장참고!$C43,하수!K$332:K$481)</f>
        <v>5637</v>
      </c>
      <c r="K43" s="643">
        <f>SUMIF(하수!$B$332:$B$481,하수처리장참고!$C43,하수!L$332:L$481)</f>
        <v>31639</v>
      </c>
      <c r="L43" s="848">
        <f>SUMIF(하수!$B$332:$B$481,하수처리장참고!$C43,하수!M$332:M$481)</f>
        <v>12.032939505499526</v>
      </c>
      <c r="M43" s="643">
        <f>SUMIF(하수!$B$333:$B$482,하수처리장참고!$C43,하수!N$333:N$482)</f>
        <v>2225.182617023625</v>
      </c>
      <c r="N43" s="848">
        <f>SUMIF(하수!$B$332:$B$481,하수처리장참고!$C43,하수!O$332:O$481)</f>
        <v>0</v>
      </c>
      <c r="O43" s="848">
        <f>SUMIF(하수!$B$332:$B$481,하수처리장참고!$C43,하수!P$332:P$481)</f>
        <v>0</v>
      </c>
      <c r="P43" s="848">
        <f>SUMIF(하수!$B$332:$B$481,하수처리장참고!$C43,하수!Q$332:Q$481)</f>
        <v>195.67000000000002</v>
      </c>
      <c r="Q43" s="848">
        <f>SUMIF(하수!$B$332:$B$481,하수처리장참고!$C43,하수!R$332:R$481)</f>
        <v>28.33</v>
      </c>
      <c r="R43" s="848">
        <f>SUMIF(하수!$B$332:$B$481,하수처리장참고!$C43,하수!S$332:S$481)</f>
        <v>44</v>
      </c>
      <c r="S43" s="874">
        <f>SUMIF(하수!$B$332:$B$481,하수처리장참고!$C43,하수!T$332:T$481)</f>
        <v>178</v>
      </c>
    </row>
    <row r="44" spans="1:19" ht="17.25" thickBot="1">
      <c r="A44" s="1831"/>
      <c r="B44" s="1829"/>
      <c r="C44" s="652" t="s">
        <v>675</v>
      </c>
      <c r="D44" s="651">
        <f>SUMIF(하수!$B$332:$B$481,하수처리장참고!$C44,하수!E$332:E$481)</f>
        <v>14378</v>
      </c>
      <c r="E44" s="651">
        <f>SUMIF(하수!$B$332:$B$481,하수처리장참고!$C44,하수!F$332:F$481)</f>
        <v>0</v>
      </c>
      <c r="F44" s="651">
        <f>SUMIF(하수!$B$332:$B$481,하수처리장참고!$C44,하수!G$332:G$481)</f>
        <v>12678</v>
      </c>
      <c r="G44" s="651">
        <f>SUMIF(하수!$B$332:$B$481,하수처리장참고!$C44,하수!H$332:H$481)</f>
        <v>1700</v>
      </c>
      <c r="H44" s="651">
        <f>SUMIF(하수!$B$332:$B$481,하수처리장참고!$C44,하수!I$332:I$481)</f>
        <v>11632.130000000001</v>
      </c>
      <c r="I44" s="651">
        <f>SUMIF(하수!$B$332:$B$481,하수처리장참고!$C44,하수!J$332:J$481)</f>
        <v>0</v>
      </c>
      <c r="J44" s="651">
        <f>SUMIF(하수!$B$332:$B$481,하수처리장참고!$C44,하수!K$332:K$481)</f>
        <v>10421.33</v>
      </c>
      <c r="K44" s="651">
        <f>SUMIF(하수!$B$332:$B$481,하수처리장참고!$C44,하수!L$332:L$481)</f>
        <v>1210.8</v>
      </c>
      <c r="L44" s="849">
        <f>SUMIF(하수!$B$332:$B$481,하수처리장참고!$C44,하수!M$332:M$481)</f>
        <v>115.5293732749404</v>
      </c>
      <c r="M44" s="651">
        <f>SUMIF(하수!$B$333:$B$482,하수처리장참고!$C44,하수!N$333:N$482)</f>
        <v>12528.357964960001</v>
      </c>
      <c r="N44" s="849">
        <f>SUMIF(하수!$B$332:$B$481,하수처리장참고!$C44,하수!O$332:O$481)</f>
        <v>0</v>
      </c>
      <c r="O44" s="849">
        <f>SUMIF(하수!$B$332:$B$481,하수처리장참고!$C44,하수!P$332:P$481)</f>
        <v>0</v>
      </c>
      <c r="P44" s="849">
        <f>SUMIF(하수!$B$332:$B$481,하수처리장참고!$C44,하수!Q$332:Q$481)</f>
        <v>0</v>
      </c>
      <c r="Q44" s="849">
        <f>SUMIF(하수!$B$332:$B$481,하수처리장참고!$C44,하수!R$332:R$481)</f>
        <v>0</v>
      </c>
      <c r="R44" s="849">
        <f>SUMIF(하수!$B$332:$B$481,하수처리장참고!$C44,하수!S$332:S$481)</f>
        <v>0</v>
      </c>
      <c r="S44" s="875">
        <f>SUMIF(하수!$B$332:$B$481,하수처리장참고!$C44,하수!T$332:T$481)</f>
        <v>0</v>
      </c>
    </row>
    <row r="45" spans="1:19" ht="16.5">
      <c r="A45" s="1822" t="s">
        <v>1977</v>
      </c>
      <c r="B45" s="1823" t="s">
        <v>6295</v>
      </c>
      <c r="C45" s="647" t="s">
        <v>66</v>
      </c>
      <c r="D45" s="648">
        <f t="shared" ref="D45:S45" si="20">SUM(D46:D47)</f>
        <v>559946</v>
      </c>
      <c r="E45" s="648">
        <f t="shared" si="20"/>
        <v>0</v>
      </c>
      <c r="F45" s="648">
        <f t="shared" si="20"/>
        <v>400838</v>
      </c>
      <c r="G45" s="648">
        <f t="shared" si="20"/>
        <v>159108</v>
      </c>
      <c r="H45" s="648" t="e">
        <f t="shared" si="20"/>
        <v>#REF!</v>
      </c>
      <c r="I45" s="648">
        <f t="shared" si="20"/>
        <v>2500.3000000000002</v>
      </c>
      <c r="J45" s="648" t="e">
        <f t="shared" si="20"/>
        <v>#REF!</v>
      </c>
      <c r="K45" s="648">
        <f t="shared" si="20"/>
        <v>123820.1</v>
      </c>
      <c r="L45" s="847">
        <f t="shared" si="20"/>
        <v>122.11047040580655</v>
      </c>
      <c r="M45" s="648">
        <f t="shared" si="20"/>
        <v>76560.967303987913</v>
      </c>
      <c r="N45" s="847">
        <f t="shared" si="20"/>
        <v>0</v>
      </c>
      <c r="O45" s="847">
        <f t="shared" si="20"/>
        <v>0</v>
      </c>
      <c r="P45" s="847">
        <f t="shared" si="20"/>
        <v>1343.3000000000002</v>
      </c>
      <c r="Q45" s="847">
        <f t="shared" si="20"/>
        <v>124.3</v>
      </c>
      <c r="R45" s="847">
        <f t="shared" si="20"/>
        <v>519.79999999999995</v>
      </c>
      <c r="S45" s="873">
        <f t="shared" si="20"/>
        <v>399</v>
      </c>
    </row>
    <row r="46" spans="1:19" ht="16.5">
      <c r="A46" s="1824"/>
      <c r="B46" s="1825"/>
      <c r="C46" s="645" t="s">
        <v>2201</v>
      </c>
      <c r="D46" s="643">
        <f>D49+D52</f>
        <v>550630</v>
      </c>
      <c r="E46" s="643">
        <f t="shared" ref="E46:S46" si="21">E49+E52</f>
        <v>0</v>
      </c>
      <c r="F46" s="643">
        <f t="shared" si="21"/>
        <v>396030</v>
      </c>
      <c r="G46" s="643">
        <f t="shared" si="21"/>
        <v>154600</v>
      </c>
      <c r="H46" s="643">
        <f t="shared" si="21"/>
        <v>485196.7</v>
      </c>
      <c r="I46" s="643">
        <f t="shared" si="21"/>
        <v>2481</v>
      </c>
      <c r="J46" s="643">
        <f t="shared" si="21"/>
        <v>362630.7</v>
      </c>
      <c r="K46" s="643">
        <f t="shared" si="21"/>
        <v>120085</v>
      </c>
      <c r="L46" s="848">
        <f t="shared" si="21"/>
        <v>31.129643452803101</v>
      </c>
      <c r="M46" s="643">
        <f t="shared" si="21"/>
        <v>40016.580157921919</v>
      </c>
      <c r="N46" s="848">
        <f t="shared" si="21"/>
        <v>0</v>
      </c>
      <c r="O46" s="848">
        <f t="shared" si="21"/>
        <v>0</v>
      </c>
      <c r="P46" s="848">
        <f t="shared" si="21"/>
        <v>1343.3000000000002</v>
      </c>
      <c r="Q46" s="848">
        <f t="shared" si="21"/>
        <v>124.3</v>
      </c>
      <c r="R46" s="848">
        <f t="shared" si="21"/>
        <v>519.79999999999995</v>
      </c>
      <c r="S46" s="874">
        <f t="shared" si="21"/>
        <v>399</v>
      </c>
    </row>
    <row r="47" spans="1:19" ht="16.5">
      <c r="A47" s="1824"/>
      <c r="B47" s="1825"/>
      <c r="C47" s="645" t="s">
        <v>675</v>
      </c>
      <c r="D47" s="643">
        <f t="shared" ref="D47:S47" si="22">D50+D53</f>
        <v>9316</v>
      </c>
      <c r="E47" s="643">
        <f t="shared" si="22"/>
        <v>0</v>
      </c>
      <c r="F47" s="643">
        <f t="shared" si="22"/>
        <v>4808</v>
      </c>
      <c r="G47" s="643">
        <f t="shared" si="22"/>
        <v>4508</v>
      </c>
      <c r="H47" s="643" t="e">
        <f t="shared" si="22"/>
        <v>#REF!</v>
      </c>
      <c r="I47" s="643">
        <f t="shared" si="22"/>
        <v>19.3</v>
      </c>
      <c r="J47" s="643" t="e">
        <f t="shared" si="22"/>
        <v>#REF!</v>
      </c>
      <c r="K47" s="643">
        <f t="shared" si="22"/>
        <v>3735.1</v>
      </c>
      <c r="L47" s="848">
        <f t="shared" si="22"/>
        <v>90.980826953003458</v>
      </c>
      <c r="M47" s="643">
        <f>M50+M53</f>
        <v>36544.387146065987</v>
      </c>
      <c r="N47" s="848">
        <f t="shared" si="22"/>
        <v>0</v>
      </c>
      <c r="O47" s="848">
        <f t="shared" si="22"/>
        <v>0</v>
      </c>
      <c r="P47" s="848">
        <f t="shared" si="22"/>
        <v>0</v>
      </c>
      <c r="Q47" s="848">
        <f t="shared" si="22"/>
        <v>0</v>
      </c>
      <c r="R47" s="848">
        <f t="shared" si="22"/>
        <v>0</v>
      </c>
      <c r="S47" s="874">
        <f t="shared" si="22"/>
        <v>0</v>
      </c>
    </row>
    <row r="48" spans="1:19" ht="16.5">
      <c r="A48" s="1824"/>
      <c r="B48" s="1825" t="s">
        <v>1674</v>
      </c>
      <c r="C48" s="645" t="s">
        <v>66</v>
      </c>
      <c r="D48" s="643">
        <f t="shared" ref="D48:S48" si="23">SUM(D49:D50)</f>
        <v>450225</v>
      </c>
      <c r="E48" s="643">
        <f t="shared" si="23"/>
        <v>0</v>
      </c>
      <c r="F48" s="643">
        <f t="shared" si="23"/>
        <v>365395</v>
      </c>
      <c r="G48" s="643">
        <f t="shared" si="23"/>
        <v>84830</v>
      </c>
      <c r="H48" s="643">
        <f t="shared" si="23"/>
        <v>394666.4</v>
      </c>
      <c r="I48" s="643">
        <f t="shared" si="23"/>
        <v>19.3</v>
      </c>
      <c r="J48" s="643">
        <f t="shared" si="23"/>
        <v>336396</v>
      </c>
      <c r="K48" s="643">
        <f t="shared" si="23"/>
        <v>58251.1</v>
      </c>
      <c r="L48" s="848">
        <f t="shared" si="23"/>
        <v>46.376834326322843</v>
      </c>
      <c r="M48" s="643">
        <f t="shared" si="23"/>
        <v>58150.996904</v>
      </c>
      <c r="N48" s="848">
        <f t="shared" si="23"/>
        <v>0</v>
      </c>
      <c r="O48" s="848">
        <f t="shared" si="23"/>
        <v>0</v>
      </c>
      <c r="P48" s="848">
        <f t="shared" si="23"/>
        <v>947.80000000000007</v>
      </c>
      <c r="Q48" s="848">
        <f t="shared" si="23"/>
        <v>0</v>
      </c>
      <c r="R48" s="848">
        <f t="shared" si="23"/>
        <v>257.7</v>
      </c>
      <c r="S48" s="874">
        <f t="shared" si="23"/>
        <v>18.3</v>
      </c>
    </row>
    <row r="49" spans="1:19" ht="16.5">
      <c r="A49" s="1824"/>
      <c r="B49" s="1825"/>
      <c r="C49" s="645" t="s">
        <v>2201</v>
      </c>
      <c r="D49" s="643">
        <f>SUMIF(하수!$B$484:$B$533,하수처리장참고!$C49,하수!E$484:E$533)</f>
        <v>446900</v>
      </c>
      <c r="E49" s="643">
        <f>SUMIF(하수!$B$484:$B$533,하수처리장참고!$C49,하수!F$484:F$533)</f>
        <v>0</v>
      </c>
      <c r="F49" s="643">
        <f>SUMIF(하수!$B$484:$B$533,하수처리장참고!$C49,하수!G$484:G$533)</f>
        <v>365200</v>
      </c>
      <c r="G49" s="643">
        <f>SUMIF(하수!$B$484:$B$533,하수처리장참고!$C49,하수!H$484:H$533)</f>
        <v>81700</v>
      </c>
      <c r="H49" s="643">
        <f>SUMIF(하수!$B$484:$B$533,하수처리장참고!$C49,하수!I$484:I$533)</f>
        <v>392665</v>
      </c>
      <c r="I49" s="643">
        <f>SUMIF(하수!$B$484:$B$533,하수처리장참고!$C49,하수!J$484:J$533)</f>
        <v>0</v>
      </c>
      <c r="J49" s="643">
        <f>SUMIF(하수!$B$484:$B$533,하수처리장참고!$C49,하수!K$484:K$533)</f>
        <v>336277</v>
      </c>
      <c r="K49" s="643">
        <f>SUMIF(하수!$B$484:$B$533,하수처리장참고!$C49,하수!L$484:L$533)</f>
        <v>56388</v>
      </c>
      <c r="L49" s="848">
        <f>SUMIF(하수!$B$484:$B$533,하수처리장참고!$C49,하수!M$484:M$533)</f>
        <v>7.4568343263228254</v>
      </c>
      <c r="M49" s="643">
        <f>SUMIF(하수!$B$485:$B$534,하수처리장참고!$C49,하수!N$485:N$534)</f>
        <v>31985.636904000003</v>
      </c>
      <c r="N49" s="848">
        <f>SUMIF(하수!$B$484:$B$533,하수처리장참고!$C49,하수!O$484:O$533)</f>
        <v>0</v>
      </c>
      <c r="O49" s="848">
        <f>SUMIF(하수!$B$484:$B$533,하수처리장참고!$C49,하수!P$484:P$533)</f>
        <v>0</v>
      </c>
      <c r="P49" s="848">
        <f>SUMIF(하수!$B$484:$B$533,하수처리장참고!$C49,하수!Q$484:Q$533)</f>
        <v>947.80000000000007</v>
      </c>
      <c r="Q49" s="848">
        <f>SUMIF(하수!$B$484:$B$533,하수처리장참고!$C49,하수!R$484:R$533)</f>
        <v>0</v>
      </c>
      <c r="R49" s="848">
        <f>SUMIF(하수!$B$484:$B$533,하수처리장참고!$C49,하수!S$484:S$533)</f>
        <v>257.7</v>
      </c>
      <c r="S49" s="874">
        <f>SUMIF(하수!$B$484:$B$533,하수처리장참고!$C49,하수!T$484:T$533)</f>
        <v>18.3</v>
      </c>
    </row>
    <row r="50" spans="1:19" ht="16.5">
      <c r="A50" s="1824"/>
      <c r="B50" s="1825"/>
      <c r="C50" s="645" t="s">
        <v>675</v>
      </c>
      <c r="D50" s="643">
        <f>SUMIF(하수!$B$484:$B$533,하수처리장참고!$C50,하수!E$484:E$533)</f>
        <v>3325</v>
      </c>
      <c r="E50" s="643">
        <f>SUMIF(하수!$B$484:$B$533,하수처리장참고!$C50,하수!F$484:F$533)</f>
        <v>0</v>
      </c>
      <c r="F50" s="643">
        <f>SUMIF(하수!$B$484:$B$533,하수처리장참고!$C50,하수!G$484:G$533)</f>
        <v>195</v>
      </c>
      <c r="G50" s="643">
        <f>SUMIF(하수!$B$484:$B$533,하수처리장참고!$C50,하수!H$484:H$533)</f>
        <v>3130</v>
      </c>
      <c r="H50" s="643">
        <f>SUMIF(하수!$B$484:$B$533,하수처리장참고!$C50,하수!I$484:I$533)</f>
        <v>2001.4</v>
      </c>
      <c r="I50" s="643">
        <f>SUMIF(하수!$B$484:$B$533,하수처리장참고!$C50,하수!J$484:J$533)</f>
        <v>19.3</v>
      </c>
      <c r="J50" s="643">
        <f>SUMIF(하수!$B$484:$B$533,하수처리장참고!$C50,하수!K$484:K$533)</f>
        <v>119</v>
      </c>
      <c r="K50" s="643">
        <f>SUMIF(하수!$B$484:$B$533,하수처리장참고!$C50,하수!L$484:L$533)</f>
        <v>1863.1000000000001</v>
      </c>
      <c r="L50" s="848">
        <f>SUMIF(하수!$B$484:$B$533,하수처리장참고!$C50,하수!M$484:M$533)</f>
        <v>38.920000000000016</v>
      </c>
      <c r="M50" s="643">
        <f>SUMIF(하수!$B$485:$B$534,하수처리장참고!$C50,하수!N$485:N$534)</f>
        <v>26165.360000000001</v>
      </c>
      <c r="N50" s="848">
        <f>SUMIF(하수!$B$484:$B$533,하수처리장참고!$C50,하수!O$484:O$533)</f>
        <v>0</v>
      </c>
      <c r="O50" s="848">
        <f>SUMIF(하수!$B$484:$B$533,하수처리장참고!$C50,하수!P$484:P$533)</f>
        <v>0</v>
      </c>
      <c r="P50" s="848">
        <f>SUMIF(하수!$B$484:$B$533,하수처리장참고!$C50,하수!Q$484:Q$533)</f>
        <v>0</v>
      </c>
      <c r="Q50" s="848">
        <f>SUMIF(하수!$B$484:$B$533,하수처리장참고!$C50,하수!R$484:R$533)</f>
        <v>0</v>
      </c>
      <c r="R50" s="848">
        <f>SUMIF(하수!$B$484:$B$533,하수처리장참고!$C50,하수!S$484:S$533)</f>
        <v>0</v>
      </c>
      <c r="S50" s="874">
        <f>SUMIF(하수!$B$484:$B$533,하수처리장참고!$C50,하수!T$484:T$533)</f>
        <v>0</v>
      </c>
    </row>
    <row r="51" spans="1:19" ht="16.5">
      <c r="A51" s="1824"/>
      <c r="B51" s="1825" t="s">
        <v>1616</v>
      </c>
      <c r="C51" s="645" t="s">
        <v>6065</v>
      </c>
      <c r="D51" s="643">
        <f t="shared" ref="D51:S51" si="24">SUM(D52:D53)</f>
        <v>109721</v>
      </c>
      <c r="E51" s="643">
        <f t="shared" si="24"/>
        <v>0</v>
      </c>
      <c r="F51" s="643">
        <f t="shared" si="24"/>
        <v>35443</v>
      </c>
      <c r="G51" s="643">
        <f t="shared" si="24"/>
        <v>74278</v>
      </c>
      <c r="H51" s="643" t="e">
        <f t="shared" si="24"/>
        <v>#REF!</v>
      </c>
      <c r="I51" s="643">
        <f t="shared" si="24"/>
        <v>2481</v>
      </c>
      <c r="J51" s="643" t="e">
        <f t="shared" si="24"/>
        <v>#REF!</v>
      </c>
      <c r="K51" s="643">
        <f t="shared" si="24"/>
        <v>65569</v>
      </c>
      <c r="L51" s="848">
        <f t="shared" si="24"/>
        <v>75.733636079483716</v>
      </c>
      <c r="M51" s="643">
        <f t="shared" si="24"/>
        <v>18409.970399987898</v>
      </c>
      <c r="N51" s="848">
        <f t="shared" si="24"/>
        <v>0</v>
      </c>
      <c r="O51" s="848">
        <f t="shared" si="24"/>
        <v>0</v>
      </c>
      <c r="P51" s="848">
        <f t="shared" si="24"/>
        <v>395.5</v>
      </c>
      <c r="Q51" s="848">
        <f t="shared" si="24"/>
        <v>124.3</v>
      </c>
      <c r="R51" s="848">
        <f t="shared" si="24"/>
        <v>262.09999999999997</v>
      </c>
      <c r="S51" s="874">
        <f t="shared" si="24"/>
        <v>380.7</v>
      </c>
    </row>
    <row r="52" spans="1:19" ht="16.5">
      <c r="A52" s="1824"/>
      <c r="B52" s="1825"/>
      <c r="C52" s="645" t="s">
        <v>2201</v>
      </c>
      <c r="D52" s="643">
        <f>SUMIF(하수!$B$535:$B$633,하수처리장참고!$C52,하수!E$535:E$633)</f>
        <v>103730</v>
      </c>
      <c r="E52" s="643">
        <f>SUMIF(하수!$B$535:$B$633,하수처리장참고!$C52,하수!F$535:F$633)</f>
        <v>0</v>
      </c>
      <c r="F52" s="643">
        <f>SUMIF(하수!$B$535:$B$633,하수처리장참고!$C52,하수!G$535:G$633)</f>
        <v>30830</v>
      </c>
      <c r="G52" s="643">
        <f>SUMIF(하수!$B$535:$B$633,하수처리장참고!$C52,하수!H$535:H$633)</f>
        <v>72900</v>
      </c>
      <c r="H52" s="643">
        <f>SUMIF(하수!$B$535:$B$633,하수처리장참고!$C52,하수!I$535:I$633)</f>
        <v>92531.7</v>
      </c>
      <c r="I52" s="643">
        <f>SUMIF(하수!$B$535:$B$633,하수처리장참고!$C52,하수!J$535:J$633)</f>
        <v>2481</v>
      </c>
      <c r="J52" s="643">
        <f>SUMIF(하수!$B$535:$B$633,하수처리장참고!$C52,하수!K$535:K$633)</f>
        <v>26353.7</v>
      </c>
      <c r="K52" s="643">
        <f>SUMIF(하수!$B$535:$B$633,하수처리장참고!$C52,하수!L$535:L$633)</f>
        <v>63697</v>
      </c>
      <c r="L52" s="848">
        <f>SUMIF(하수!$B$535:$B$633,하수처리장참고!$C52,하수!M$535:M$633)</f>
        <v>23.672809126480274</v>
      </c>
      <c r="M52" s="643">
        <f>SUMIF(하수!$B$536:$B$634,하수처리장참고!$C52,하수!N$536:N$634)</f>
        <v>8030.9432539219133</v>
      </c>
      <c r="N52" s="848">
        <f>SUMIF(하수!$B$535:$B$633,하수처리장참고!$C52,하수!O$535:O$633)</f>
        <v>0</v>
      </c>
      <c r="O52" s="848">
        <f>SUMIF(하수!$B$535:$B$633,하수처리장참고!$C52,하수!P$535:P$633)</f>
        <v>0</v>
      </c>
      <c r="P52" s="848">
        <f>SUMIF(하수!$B$535:$B$633,하수처리장참고!$C52,하수!Q$535:Q$633)</f>
        <v>395.5</v>
      </c>
      <c r="Q52" s="848">
        <f>SUMIF(하수!$B$535:$B$633,하수처리장참고!$C52,하수!R$535:R$633)</f>
        <v>124.3</v>
      </c>
      <c r="R52" s="848">
        <f>SUMIF(하수!$B$535:$B$633,하수처리장참고!$C52,하수!S$535:S$633)</f>
        <v>262.09999999999997</v>
      </c>
      <c r="S52" s="874">
        <f>SUMIF(하수!$B$535:$B$633,하수처리장참고!$C52,하수!T$535:T$633)</f>
        <v>380.7</v>
      </c>
    </row>
    <row r="53" spans="1:19" ht="17.25" thickBot="1">
      <c r="A53" s="1826"/>
      <c r="B53" s="1827"/>
      <c r="C53" s="646" t="s">
        <v>675</v>
      </c>
      <c r="D53" s="644">
        <f>SUMIF(하수!$B$535:$B$633,하수처리장참고!$C53,하수!E$535:E$633)</f>
        <v>5991</v>
      </c>
      <c r="E53" s="644">
        <f>SUMIF(하수!$B$535:$B$633,하수처리장참고!$C53,하수!F$535:F$633)</f>
        <v>0</v>
      </c>
      <c r="F53" s="644">
        <f>SUMIF(하수!$B$535:$B$633,하수처리장참고!$C53,하수!G$535:G$633)</f>
        <v>4613</v>
      </c>
      <c r="G53" s="644">
        <f>SUMIF(하수!$B$535:$B$633,하수처리장참고!$C53,하수!H$535:H$633)</f>
        <v>1378</v>
      </c>
      <c r="H53" s="644" t="e">
        <f>SUMIF(하수!$B$535:$B$633,하수처리장참고!$C53,하수!I$535:I$633)</f>
        <v>#REF!</v>
      </c>
      <c r="I53" s="644">
        <f>SUMIF(하수!$B$535:$B$633,하수처리장참고!$C53,하수!J$535:J$633)</f>
        <v>0</v>
      </c>
      <c r="J53" s="644" t="e">
        <f>SUMIF(하수!$B$535:$B$633,하수처리장참고!$C53,하수!K$535:K$633)</f>
        <v>#REF!</v>
      </c>
      <c r="K53" s="644">
        <f>SUMIF(하수!$B$535:$B$633,하수처리장참고!$C53,하수!L$535:L$633)</f>
        <v>1871.9999999999998</v>
      </c>
      <c r="L53" s="850">
        <f>SUMIF(하수!$B$535:$B$633,하수처리장참고!$C53,하수!M$535:M$633)</f>
        <v>52.060826953003435</v>
      </c>
      <c r="M53" s="644">
        <f>SUMIF(하수!$B$536:$B$634,하수처리장참고!$C53,하수!N$536:N$634)</f>
        <v>10379.027146065984</v>
      </c>
      <c r="N53" s="850">
        <f>SUMIF(하수!$B$535:$B$633,하수처리장참고!$C53,하수!O$535:O$633)</f>
        <v>0</v>
      </c>
      <c r="O53" s="850">
        <f>SUMIF(하수!$B$535:$B$633,하수처리장참고!$C53,하수!P$535:P$633)</f>
        <v>0</v>
      </c>
      <c r="P53" s="850">
        <f>SUMIF(하수!$B$535:$B$633,하수처리장참고!$C53,하수!Q$535:Q$633)</f>
        <v>0</v>
      </c>
      <c r="Q53" s="850">
        <f>SUMIF(하수!$B$535:$B$633,하수처리장참고!$C53,하수!R$535:R$633)</f>
        <v>0</v>
      </c>
      <c r="R53" s="850">
        <f>SUMIF(하수!$B$535:$B$633,하수처리장참고!$C53,하수!S$535:S$633)</f>
        <v>0</v>
      </c>
      <c r="S53" s="876">
        <f>SUMIF(하수!$B$535:$B$633,하수처리장참고!$C53,하수!T$535:T$633)</f>
        <v>0</v>
      </c>
    </row>
    <row r="54" spans="1:19" ht="16.5">
      <c r="A54" s="1830" t="s">
        <v>1637</v>
      </c>
      <c r="B54" s="1823" t="s">
        <v>6295</v>
      </c>
      <c r="C54" s="647" t="s">
        <v>66</v>
      </c>
      <c r="D54" s="648">
        <f t="shared" ref="D54:S54" si="25">SUM(D55:D56)</f>
        <v>504674</v>
      </c>
      <c r="E54" s="648">
        <f t="shared" si="25"/>
        <v>0</v>
      </c>
      <c r="F54" s="648">
        <f t="shared" si="25"/>
        <v>223450</v>
      </c>
      <c r="G54" s="648">
        <f t="shared" si="25"/>
        <v>281224</v>
      </c>
      <c r="H54" s="648">
        <f t="shared" si="25"/>
        <v>441020.31</v>
      </c>
      <c r="I54" s="648">
        <f t="shared" si="25"/>
        <v>0</v>
      </c>
      <c r="J54" s="648">
        <f t="shared" si="25"/>
        <v>180270.41</v>
      </c>
      <c r="K54" s="648">
        <f t="shared" si="25"/>
        <v>260749.9</v>
      </c>
      <c r="L54" s="847">
        <f t="shared" si="25"/>
        <v>117.18219694443206</v>
      </c>
      <c r="M54" s="648">
        <f t="shared" si="25"/>
        <v>46671.28949433221</v>
      </c>
      <c r="N54" s="847">
        <f t="shared" si="25"/>
        <v>0</v>
      </c>
      <c r="O54" s="847">
        <f t="shared" si="25"/>
        <v>0</v>
      </c>
      <c r="P54" s="847">
        <f t="shared" si="25"/>
        <v>1288.46</v>
      </c>
      <c r="Q54" s="847">
        <f t="shared" si="25"/>
        <v>301</v>
      </c>
      <c r="R54" s="847">
        <f t="shared" si="25"/>
        <v>730.6</v>
      </c>
      <c r="S54" s="873">
        <f t="shared" si="25"/>
        <v>68.599999999999994</v>
      </c>
    </row>
    <row r="55" spans="1:19" ht="16.5">
      <c r="A55" s="1831"/>
      <c r="B55" s="1825"/>
      <c r="C55" s="645" t="s">
        <v>2201</v>
      </c>
      <c r="D55" s="643">
        <f>D58+D61</f>
        <v>495100</v>
      </c>
      <c r="E55" s="643">
        <f t="shared" ref="E55:S55" si="26">E58+E61</f>
        <v>0</v>
      </c>
      <c r="F55" s="643">
        <f t="shared" si="26"/>
        <v>216300</v>
      </c>
      <c r="G55" s="643">
        <f t="shared" si="26"/>
        <v>278800</v>
      </c>
      <c r="H55" s="643">
        <f t="shared" si="26"/>
        <v>434018.3</v>
      </c>
      <c r="I55" s="643">
        <f t="shared" si="26"/>
        <v>0</v>
      </c>
      <c r="J55" s="643">
        <f t="shared" si="26"/>
        <v>175085</v>
      </c>
      <c r="K55" s="643">
        <f t="shared" si="26"/>
        <v>258933.3</v>
      </c>
      <c r="L55" s="848">
        <f t="shared" si="26"/>
        <v>27.91115167718155</v>
      </c>
      <c r="M55" s="643">
        <f t="shared" si="26"/>
        <v>42444.409461332209</v>
      </c>
      <c r="N55" s="848">
        <f t="shared" si="26"/>
        <v>0</v>
      </c>
      <c r="O55" s="848">
        <f t="shared" si="26"/>
        <v>0</v>
      </c>
      <c r="P55" s="848">
        <f t="shared" si="26"/>
        <v>1288.46</v>
      </c>
      <c r="Q55" s="848">
        <f t="shared" si="26"/>
        <v>301</v>
      </c>
      <c r="R55" s="848">
        <f t="shared" si="26"/>
        <v>730.6</v>
      </c>
      <c r="S55" s="874">
        <f t="shared" si="26"/>
        <v>68.599999999999994</v>
      </c>
    </row>
    <row r="56" spans="1:19" ht="16.5">
      <c r="A56" s="1831"/>
      <c r="B56" s="1825"/>
      <c r="C56" s="645" t="s">
        <v>675</v>
      </c>
      <c r="D56" s="643">
        <f t="shared" ref="D56:S56" si="27">D59+D62</f>
        <v>9574</v>
      </c>
      <c r="E56" s="643">
        <f t="shared" si="27"/>
        <v>0</v>
      </c>
      <c r="F56" s="643">
        <f t="shared" si="27"/>
        <v>7150</v>
      </c>
      <c r="G56" s="643">
        <f t="shared" si="27"/>
        <v>2424</v>
      </c>
      <c r="H56" s="643">
        <f t="shared" si="27"/>
        <v>7002.01</v>
      </c>
      <c r="I56" s="643">
        <f t="shared" si="27"/>
        <v>0</v>
      </c>
      <c r="J56" s="643">
        <f t="shared" si="27"/>
        <v>5185.41</v>
      </c>
      <c r="K56" s="643">
        <f t="shared" si="27"/>
        <v>1816.6000000000001</v>
      </c>
      <c r="L56" s="848">
        <f t="shared" si="27"/>
        <v>89.271045267250514</v>
      </c>
      <c r="M56" s="643">
        <f t="shared" si="27"/>
        <v>4226.8800329999995</v>
      </c>
      <c r="N56" s="848">
        <f t="shared" si="27"/>
        <v>0</v>
      </c>
      <c r="O56" s="848">
        <f t="shared" si="27"/>
        <v>0</v>
      </c>
      <c r="P56" s="848">
        <f t="shared" si="27"/>
        <v>0</v>
      </c>
      <c r="Q56" s="848">
        <f t="shared" si="27"/>
        <v>0</v>
      </c>
      <c r="R56" s="848">
        <f t="shared" si="27"/>
        <v>0</v>
      </c>
      <c r="S56" s="874">
        <f t="shared" si="27"/>
        <v>0</v>
      </c>
    </row>
    <row r="57" spans="1:19" ht="16.5">
      <c r="A57" s="1831"/>
      <c r="B57" s="1828" t="s">
        <v>1674</v>
      </c>
      <c r="C57" s="777" t="s">
        <v>66</v>
      </c>
      <c r="D57" s="778">
        <f t="shared" ref="D57:S57" si="28">SUM(D58:D59)</f>
        <v>352219</v>
      </c>
      <c r="E57" s="778">
        <f t="shared" si="28"/>
        <v>0</v>
      </c>
      <c r="F57" s="778">
        <f t="shared" si="28"/>
        <v>134534</v>
      </c>
      <c r="G57" s="778">
        <f t="shared" si="28"/>
        <v>217685</v>
      </c>
      <c r="H57" s="778">
        <f t="shared" si="28"/>
        <v>310484.75</v>
      </c>
      <c r="I57" s="778">
        <f t="shared" si="28"/>
        <v>0</v>
      </c>
      <c r="J57" s="778">
        <f t="shared" si="28"/>
        <v>116659.25</v>
      </c>
      <c r="K57" s="778">
        <f t="shared" si="28"/>
        <v>193825.5</v>
      </c>
      <c r="L57" s="851">
        <f t="shared" si="28"/>
        <v>49.349438529337604</v>
      </c>
      <c r="M57" s="778">
        <f t="shared" si="28"/>
        <v>30765.831062999994</v>
      </c>
      <c r="N57" s="851">
        <f t="shared" si="28"/>
        <v>0</v>
      </c>
      <c r="O57" s="851">
        <f t="shared" si="28"/>
        <v>0</v>
      </c>
      <c r="P57" s="851">
        <f t="shared" si="28"/>
        <v>956.95999999999992</v>
      </c>
      <c r="Q57" s="851">
        <f t="shared" si="28"/>
        <v>156</v>
      </c>
      <c r="R57" s="851">
        <f t="shared" si="28"/>
        <v>480.20000000000005</v>
      </c>
      <c r="S57" s="877">
        <f t="shared" si="28"/>
        <v>68.599999999999994</v>
      </c>
    </row>
    <row r="58" spans="1:19" ht="16.5">
      <c r="A58" s="1831"/>
      <c r="B58" s="1825"/>
      <c r="C58" s="645" t="s">
        <v>2201</v>
      </c>
      <c r="D58" s="643">
        <f>SUMIF(하수!$B$636:$B$696,하수처리장참고!$C58,하수!E$636:E$696)</f>
        <v>348400</v>
      </c>
      <c r="E58" s="643">
        <f>SUMIF(하수!$B$636:$B$696,하수처리장참고!$C58,하수!F$636:F$696)</f>
        <v>0</v>
      </c>
      <c r="F58" s="643">
        <f>SUMIF(하수!$B$636:$B$696,하수처리장참고!$C58,하수!G$636:G$696)</f>
        <v>131000</v>
      </c>
      <c r="G58" s="643">
        <f>SUMIF(하수!$B$636:$B$696,하수처리장참고!$C58,하수!H$636:H$696)</f>
        <v>217400</v>
      </c>
      <c r="H58" s="643">
        <f>SUMIF(하수!$B$636:$B$696,하수처리장참고!$C58,하수!I$636:I$696)</f>
        <v>307345.3</v>
      </c>
      <c r="I58" s="643">
        <f>SUMIF(하수!$B$636:$B$696,하수처리장참고!$C58,하수!J$636:J$696)</f>
        <v>0</v>
      </c>
      <c r="J58" s="643">
        <f>SUMIF(하수!$B$636:$B$696,하수처리장참고!$C58,하수!K$636:K$696)</f>
        <v>114101</v>
      </c>
      <c r="K58" s="643">
        <f>SUMIF(하수!$B$636:$B$696,하수처리장참고!$C58,하수!L$636:L$696)</f>
        <v>193244.3</v>
      </c>
      <c r="L58" s="848">
        <f>SUMIF(하수!$B$636:$B$696,하수처리장참고!$C58,하수!M$636:M$696)</f>
        <v>11.868188529337607</v>
      </c>
      <c r="M58" s="643">
        <f>SUMIF(하수!$B$637:$B$697,하수처리장참고!$C58,하수!N$637:N$697)</f>
        <v>30492.261029999994</v>
      </c>
      <c r="N58" s="848">
        <f>SUMIF(하수!$B$636:$B$696,하수처리장참고!$C58,하수!O$636:O$696)</f>
        <v>0</v>
      </c>
      <c r="O58" s="848">
        <f>SUMIF(하수!$B$636:$B$696,하수처리장참고!$C58,하수!P$636:P$696)</f>
        <v>0</v>
      </c>
      <c r="P58" s="848">
        <f>SUMIF(하수!$B$636:$B$696,하수처리장참고!$C58,하수!Q$636:Q$696)</f>
        <v>956.95999999999992</v>
      </c>
      <c r="Q58" s="848">
        <f>SUMIF(하수!$B$636:$B$696,하수처리장참고!$C58,하수!R$636:R$696)</f>
        <v>156</v>
      </c>
      <c r="R58" s="848">
        <f>SUMIF(하수!$B$636:$B$696,하수처리장참고!$C58,하수!S$636:S$696)</f>
        <v>480.20000000000005</v>
      </c>
      <c r="S58" s="874">
        <f>SUMIF(하수!$B$636:$B$696,하수처리장참고!$C58,하수!T$636:T$696)</f>
        <v>68.599999999999994</v>
      </c>
    </row>
    <row r="59" spans="1:19" ht="16.5">
      <c r="A59" s="1831"/>
      <c r="B59" s="1825"/>
      <c r="C59" s="645" t="s">
        <v>675</v>
      </c>
      <c r="D59" s="643">
        <f>SUMIF(하수!$B$636:$B$696,하수처리장참고!$C59,하수!E$636:E$696)</f>
        <v>3819</v>
      </c>
      <c r="E59" s="643">
        <f>SUMIF(하수!$B$636:$B$696,하수처리장참고!$C59,하수!F$636:F$696)</f>
        <v>0</v>
      </c>
      <c r="F59" s="643">
        <f>SUMIF(하수!$B$636:$B$696,하수처리장참고!$C59,하수!G$636:G$696)</f>
        <v>3534</v>
      </c>
      <c r="G59" s="643">
        <f>SUMIF(하수!$B$636:$B$696,하수처리장참고!$C59,하수!H$636:H$696)</f>
        <v>285</v>
      </c>
      <c r="H59" s="643">
        <f>SUMIF(하수!$B$636:$B$696,하수처리장참고!$C59,하수!I$636:I$696)</f>
        <v>3139.4500000000003</v>
      </c>
      <c r="I59" s="643">
        <f>SUMIF(하수!$B$636:$B$696,하수처리장참고!$C59,하수!J$636:J$696)</f>
        <v>0</v>
      </c>
      <c r="J59" s="643">
        <f>SUMIF(하수!$B$636:$B$696,하수처리장참고!$C59,하수!K$636:K$696)</f>
        <v>2558.25</v>
      </c>
      <c r="K59" s="643">
        <f>SUMIF(하수!$B$636:$B$696,하수처리장참고!$C59,하수!L$636:L$696)</f>
        <v>581.20000000000005</v>
      </c>
      <c r="L59" s="848">
        <f>SUMIF(하수!$B$636:$B$696,하수처리장참고!$C59,하수!M$636:M$696)</f>
        <v>37.481249999999996</v>
      </c>
      <c r="M59" s="643">
        <f>SUMIF(하수!$B$637:$B$697,하수처리장참고!$C59,하수!N$637:N$697)</f>
        <v>273.57003300000008</v>
      </c>
      <c r="N59" s="848">
        <f>SUMIF(하수!$B$636:$B$696,하수처리장참고!$C59,하수!O$636:O$696)</f>
        <v>0</v>
      </c>
      <c r="O59" s="848">
        <f>SUMIF(하수!$B$636:$B$696,하수처리장참고!$C59,하수!P$636:P$696)</f>
        <v>0</v>
      </c>
      <c r="P59" s="848">
        <f>SUMIF(하수!$B$636:$B$696,하수처리장참고!$C59,하수!Q$636:Q$696)</f>
        <v>0</v>
      </c>
      <c r="Q59" s="848">
        <f>SUMIF(하수!$B$636:$B$696,하수처리장참고!$C59,하수!R$636:R$696)</f>
        <v>0</v>
      </c>
      <c r="R59" s="848">
        <f>SUMIF(하수!$B$636:$B$696,하수처리장참고!$C59,하수!S$636:S$696)</f>
        <v>0</v>
      </c>
      <c r="S59" s="874">
        <f>SUMIF(하수!$B$636:$B$696,하수처리장참고!$C59,하수!T$636:T$696)</f>
        <v>0</v>
      </c>
    </row>
    <row r="60" spans="1:19" ht="16.5">
      <c r="A60" s="1831"/>
      <c r="B60" s="1825" t="s">
        <v>1616</v>
      </c>
      <c r="C60" s="645" t="s">
        <v>6065</v>
      </c>
      <c r="D60" s="643">
        <f t="shared" ref="D60:S60" si="29">SUM(D61:D62)</f>
        <v>152455</v>
      </c>
      <c r="E60" s="643">
        <f t="shared" si="29"/>
        <v>0</v>
      </c>
      <c r="F60" s="643">
        <f t="shared" si="29"/>
        <v>88916</v>
      </c>
      <c r="G60" s="643">
        <f t="shared" si="29"/>
        <v>63539</v>
      </c>
      <c r="H60" s="643">
        <f t="shared" si="29"/>
        <v>130535.56</v>
      </c>
      <c r="I60" s="643">
        <f t="shared" si="29"/>
        <v>0</v>
      </c>
      <c r="J60" s="643">
        <f t="shared" si="29"/>
        <v>63611.16</v>
      </c>
      <c r="K60" s="643">
        <f t="shared" si="29"/>
        <v>66924.399999999994</v>
      </c>
      <c r="L60" s="848">
        <f t="shared" si="29"/>
        <v>67.83275841509446</v>
      </c>
      <c r="M60" s="643">
        <f t="shared" si="29"/>
        <v>15905.45843133221</v>
      </c>
      <c r="N60" s="848">
        <f t="shared" si="29"/>
        <v>0</v>
      </c>
      <c r="O60" s="848">
        <f t="shared" si="29"/>
        <v>0</v>
      </c>
      <c r="P60" s="848">
        <f t="shared" si="29"/>
        <v>331.5</v>
      </c>
      <c r="Q60" s="848">
        <f t="shared" si="29"/>
        <v>145</v>
      </c>
      <c r="R60" s="848">
        <f t="shared" si="29"/>
        <v>250.4</v>
      </c>
      <c r="S60" s="874">
        <f t="shared" si="29"/>
        <v>0</v>
      </c>
    </row>
    <row r="61" spans="1:19" ht="16.5">
      <c r="A61" s="1831"/>
      <c r="B61" s="1825"/>
      <c r="C61" s="645" t="s">
        <v>2201</v>
      </c>
      <c r="D61" s="643">
        <f>SUMIF(하수!$B$698:$B$786,하수처리장참고!$C61,하수!E$698:E$786)</f>
        <v>146700</v>
      </c>
      <c r="E61" s="643">
        <f>SUMIF(하수!$B$698:$B$786,하수처리장참고!$C61,하수!F$698:F$786)</f>
        <v>0</v>
      </c>
      <c r="F61" s="643">
        <f>SUMIF(하수!$B$698:$B$786,하수처리장참고!$C61,하수!G$698:G$786)</f>
        <v>85300</v>
      </c>
      <c r="G61" s="643">
        <f>SUMIF(하수!$B$698:$B$786,하수처리장참고!$C61,하수!H$698:H$786)</f>
        <v>61400</v>
      </c>
      <c r="H61" s="643">
        <f>SUMIF(하수!$B$698:$B$786,하수처리장참고!$C61,하수!I$698:I$786)</f>
        <v>126673</v>
      </c>
      <c r="I61" s="643">
        <f>SUMIF(하수!$B$698:$B$786,하수처리장참고!$C61,하수!J$698:J$786)</f>
        <v>0</v>
      </c>
      <c r="J61" s="643">
        <f>SUMIF(하수!$B$698:$B$786,하수처리장참고!$C61,하수!K$698:K$786)</f>
        <v>60984</v>
      </c>
      <c r="K61" s="643">
        <f>SUMIF(하수!$B$698:$B$786,하수처리장참고!$C61,하수!L$698:L$786)</f>
        <v>65689</v>
      </c>
      <c r="L61" s="848">
        <f>SUMIF(하수!$B$698:$B$786,하수처리장참고!$C61,하수!M$698:M$786)</f>
        <v>16.042963147843942</v>
      </c>
      <c r="M61" s="643">
        <f>SUMIF(하수!$B$699:$B$787,하수처리장참고!$C61,하수!N$699:N$787)</f>
        <v>11952.148431332211</v>
      </c>
      <c r="N61" s="848">
        <f>SUMIF(하수!$B$698:$B$786,하수처리장참고!$C61,하수!O$698:O$786)</f>
        <v>0</v>
      </c>
      <c r="O61" s="848">
        <f>SUMIF(하수!$B$698:$B$786,하수처리장참고!$C61,하수!P$698:P$786)</f>
        <v>0</v>
      </c>
      <c r="P61" s="848">
        <f>SUMIF(하수!$B$698:$B$786,하수처리장참고!$C61,하수!Q$698:Q$786)</f>
        <v>331.5</v>
      </c>
      <c r="Q61" s="848">
        <f>SUMIF(하수!$B$698:$B$786,하수처리장참고!$C61,하수!R$698:R$786)</f>
        <v>145</v>
      </c>
      <c r="R61" s="848">
        <f>SUMIF(하수!$B$698:$B$786,하수처리장참고!$C61,하수!S$698:S$786)</f>
        <v>250.4</v>
      </c>
      <c r="S61" s="874">
        <f>SUMIF(하수!$B$698:$B$786,하수처리장참고!$C61,하수!T$698:T$786)</f>
        <v>0</v>
      </c>
    </row>
    <row r="62" spans="1:19" ht="17.25" thickBot="1">
      <c r="A62" s="1831"/>
      <c r="B62" s="1829"/>
      <c r="C62" s="652" t="s">
        <v>675</v>
      </c>
      <c r="D62" s="651">
        <f>SUMIF(하수!$B$698:$B$786,하수처리장참고!$C62,하수!E$698:E$786)</f>
        <v>5755</v>
      </c>
      <c r="E62" s="651">
        <f>SUMIF(하수!$B$698:$B$786,하수처리장참고!$C62,하수!F$698:F$786)</f>
        <v>0</v>
      </c>
      <c r="F62" s="651">
        <f>SUMIF(하수!$B$698:$B$786,하수처리장참고!$C62,하수!G$698:G$786)</f>
        <v>3616</v>
      </c>
      <c r="G62" s="651">
        <f>SUMIF(하수!$B$698:$B$786,하수처리장참고!$C62,하수!H$698:H$786)</f>
        <v>2139</v>
      </c>
      <c r="H62" s="651">
        <f>SUMIF(하수!$B$698:$B$786,하수처리장참고!$C62,하수!I$698:I$786)</f>
        <v>3862.56</v>
      </c>
      <c r="I62" s="651">
        <f>SUMIF(하수!$B$698:$B$786,하수처리장참고!$C62,하수!J$698:J$786)</f>
        <v>0</v>
      </c>
      <c r="J62" s="651">
        <f>SUMIF(하수!$B$698:$B$786,하수처리장참고!$C62,하수!K$698:K$786)</f>
        <v>2627.16</v>
      </c>
      <c r="K62" s="651">
        <f>SUMIF(하수!$B$698:$B$786,하수처리장참고!$C62,하수!L$698:L$786)</f>
        <v>1235.4000000000001</v>
      </c>
      <c r="L62" s="849">
        <f>SUMIF(하수!$B$698:$B$786,하수처리장참고!$C62,하수!M$698:M$786)</f>
        <v>51.789795267250518</v>
      </c>
      <c r="M62" s="651">
        <f>SUMIF(하수!$B$699:$B$787,하수처리장참고!$C62,하수!N$699:N$787)</f>
        <v>3953.309999999999</v>
      </c>
      <c r="N62" s="849">
        <f>SUMIF(하수!$B$698:$B$786,하수처리장참고!$C62,하수!O$698:O$786)</f>
        <v>0</v>
      </c>
      <c r="O62" s="849">
        <f>SUMIF(하수!$B$698:$B$786,하수처리장참고!$C62,하수!P$698:P$786)</f>
        <v>0</v>
      </c>
      <c r="P62" s="849">
        <f>SUMIF(하수!$B$698:$B$786,하수처리장참고!$C62,하수!Q$698:Q$786)</f>
        <v>0</v>
      </c>
      <c r="Q62" s="849">
        <f>SUMIF(하수!$B$698:$B$786,하수처리장참고!$C62,하수!R$698:R$786)</f>
        <v>0</v>
      </c>
      <c r="R62" s="849">
        <f>SUMIF(하수!$B$698:$B$786,하수처리장참고!$C62,하수!S$698:S$786)</f>
        <v>0</v>
      </c>
      <c r="S62" s="875">
        <f>SUMIF(하수!$B$698:$B$786,하수처리장참고!$C62,하수!T$698:T$786)</f>
        <v>0</v>
      </c>
    </row>
    <row r="63" spans="1:19" ht="16.5">
      <c r="A63" s="1822" t="s">
        <v>1673</v>
      </c>
      <c r="B63" s="1823" t="s">
        <v>6295</v>
      </c>
      <c r="C63" s="647" t="s">
        <v>66</v>
      </c>
      <c r="D63" s="648">
        <f t="shared" ref="D63:S63" si="30">SUM(D64:D65)</f>
        <v>929863</v>
      </c>
      <c r="E63" s="648">
        <f t="shared" si="30"/>
        <v>0</v>
      </c>
      <c r="F63" s="648">
        <f t="shared" si="30"/>
        <v>503803</v>
      </c>
      <c r="G63" s="648">
        <f t="shared" si="30"/>
        <v>426060</v>
      </c>
      <c r="H63" s="648">
        <f t="shared" si="30"/>
        <v>747170.04</v>
      </c>
      <c r="I63" s="648">
        <f t="shared" si="30"/>
        <v>201</v>
      </c>
      <c r="J63" s="648">
        <f t="shared" si="30"/>
        <v>412347.84</v>
      </c>
      <c r="K63" s="648">
        <f t="shared" si="30"/>
        <v>334621.2</v>
      </c>
      <c r="L63" s="847">
        <f t="shared" si="30"/>
        <v>265.4923198797477</v>
      </c>
      <c r="M63" s="648">
        <f t="shared" si="30"/>
        <v>94343.105779020087</v>
      </c>
      <c r="N63" s="847">
        <f t="shared" si="30"/>
        <v>0</v>
      </c>
      <c r="O63" s="847">
        <f t="shared" si="30"/>
        <v>0</v>
      </c>
      <c r="P63" s="847">
        <f t="shared" si="30"/>
        <v>1339.5</v>
      </c>
      <c r="Q63" s="847">
        <f t="shared" si="30"/>
        <v>198.1</v>
      </c>
      <c r="R63" s="847">
        <f t="shared" si="30"/>
        <v>703.1</v>
      </c>
      <c r="S63" s="873">
        <f t="shared" si="30"/>
        <v>8369</v>
      </c>
    </row>
    <row r="64" spans="1:19" ht="16.5">
      <c r="A64" s="1824"/>
      <c r="B64" s="1825"/>
      <c r="C64" s="645" t="s">
        <v>2201</v>
      </c>
      <c r="D64" s="643">
        <f>D67+D70</f>
        <v>913600</v>
      </c>
      <c r="E64" s="643">
        <f t="shared" ref="E64:S64" si="31">E67+E70</f>
        <v>0</v>
      </c>
      <c r="F64" s="643">
        <f t="shared" si="31"/>
        <v>491400</v>
      </c>
      <c r="G64" s="643">
        <f t="shared" si="31"/>
        <v>422200</v>
      </c>
      <c r="H64" s="643">
        <f t="shared" si="31"/>
        <v>735394</v>
      </c>
      <c r="I64" s="643">
        <f t="shared" si="31"/>
        <v>201</v>
      </c>
      <c r="J64" s="643">
        <f t="shared" si="31"/>
        <v>403920</v>
      </c>
      <c r="K64" s="643">
        <f t="shared" si="31"/>
        <v>331273</v>
      </c>
      <c r="L64" s="848">
        <f t="shared" si="31"/>
        <v>18.861097480078314</v>
      </c>
      <c r="M64" s="643">
        <f t="shared" si="31"/>
        <v>69890.532225707211</v>
      </c>
      <c r="N64" s="848">
        <f t="shared" si="31"/>
        <v>0</v>
      </c>
      <c r="O64" s="848">
        <f t="shared" si="31"/>
        <v>0</v>
      </c>
      <c r="P64" s="848">
        <f t="shared" si="31"/>
        <v>1339.5</v>
      </c>
      <c r="Q64" s="848">
        <f t="shared" si="31"/>
        <v>198.1</v>
      </c>
      <c r="R64" s="848">
        <f t="shared" si="31"/>
        <v>703.1</v>
      </c>
      <c r="S64" s="874">
        <f t="shared" si="31"/>
        <v>8369</v>
      </c>
    </row>
    <row r="65" spans="1:19" ht="16.5">
      <c r="A65" s="1824"/>
      <c r="B65" s="1825"/>
      <c r="C65" s="645" t="s">
        <v>675</v>
      </c>
      <c r="D65" s="643">
        <f t="shared" ref="D65:S65" si="32">D68+D71</f>
        <v>16263</v>
      </c>
      <c r="E65" s="643">
        <f t="shared" si="32"/>
        <v>0</v>
      </c>
      <c r="F65" s="643">
        <f t="shared" si="32"/>
        <v>12403</v>
      </c>
      <c r="G65" s="643">
        <f t="shared" si="32"/>
        <v>3860</v>
      </c>
      <c r="H65" s="643">
        <f t="shared" si="32"/>
        <v>11776.04</v>
      </c>
      <c r="I65" s="643">
        <f t="shared" si="32"/>
        <v>0</v>
      </c>
      <c r="J65" s="643">
        <f t="shared" si="32"/>
        <v>8427.84</v>
      </c>
      <c r="K65" s="643">
        <f t="shared" si="32"/>
        <v>3348.2</v>
      </c>
      <c r="L65" s="848">
        <f t="shared" si="32"/>
        <v>246.63122239966941</v>
      </c>
      <c r="M65" s="643">
        <f t="shared" si="32"/>
        <v>24452.573553312868</v>
      </c>
      <c r="N65" s="848">
        <f t="shared" si="32"/>
        <v>0</v>
      </c>
      <c r="O65" s="848">
        <f t="shared" si="32"/>
        <v>0</v>
      </c>
      <c r="P65" s="848">
        <f t="shared" si="32"/>
        <v>0</v>
      </c>
      <c r="Q65" s="848">
        <f t="shared" si="32"/>
        <v>0</v>
      </c>
      <c r="R65" s="848">
        <f t="shared" si="32"/>
        <v>0</v>
      </c>
      <c r="S65" s="874">
        <f t="shared" si="32"/>
        <v>0</v>
      </c>
    </row>
    <row r="66" spans="1:19" ht="16.5">
      <c r="A66" s="1824"/>
      <c r="B66" s="1825" t="s">
        <v>1674</v>
      </c>
      <c r="C66" s="645" t="s">
        <v>66</v>
      </c>
      <c r="D66" s="643">
        <f t="shared" ref="D66:S66" si="33">SUM(D67:D68)</f>
        <v>847970</v>
      </c>
      <c r="E66" s="643">
        <f t="shared" si="33"/>
        <v>0</v>
      </c>
      <c r="F66" s="643">
        <f t="shared" si="33"/>
        <v>438058</v>
      </c>
      <c r="G66" s="643">
        <f t="shared" si="33"/>
        <v>409912</v>
      </c>
      <c r="H66" s="643">
        <f t="shared" si="33"/>
        <v>691152.1</v>
      </c>
      <c r="I66" s="643">
        <f t="shared" si="33"/>
        <v>201</v>
      </c>
      <c r="J66" s="643">
        <f t="shared" si="33"/>
        <v>367805.1</v>
      </c>
      <c r="K66" s="643">
        <f t="shared" si="33"/>
        <v>323146</v>
      </c>
      <c r="L66" s="848">
        <f t="shared" si="33"/>
        <v>130.79945907832374</v>
      </c>
      <c r="M66" s="643">
        <f t="shared" si="33"/>
        <v>77786.562904850347</v>
      </c>
      <c r="N66" s="848">
        <f t="shared" si="33"/>
        <v>0</v>
      </c>
      <c r="O66" s="848">
        <f t="shared" si="33"/>
        <v>0</v>
      </c>
      <c r="P66" s="848">
        <f t="shared" si="33"/>
        <v>1143</v>
      </c>
      <c r="Q66" s="848">
        <f t="shared" si="33"/>
        <v>0</v>
      </c>
      <c r="R66" s="848">
        <f t="shared" si="33"/>
        <v>680.6</v>
      </c>
      <c r="S66" s="874">
        <f t="shared" si="33"/>
        <v>8369</v>
      </c>
    </row>
    <row r="67" spans="1:19" ht="16.5">
      <c r="A67" s="1824"/>
      <c r="B67" s="1825"/>
      <c r="C67" s="645" t="s">
        <v>2201</v>
      </c>
      <c r="D67" s="643">
        <f>SUMIF(하수!$B$789:$B$950,하수처리장참고!$C67,하수!E$789:E$950)</f>
        <v>839400</v>
      </c>
      <c r="E67" s="643">
        <f>SUMIF(하수!$B$789:$B$950,하수처리장참고!$C67,하수!F$789:F$950)</f>
        <v>0</v>
      </c>
      <c r="F67" s="643">
        <f>SUMIF(하수!$B$789:$B$950,하수처리장참고!$C67,하수!G$789:G$950)</f>
        <v>430400</v>
      </c>
      <c r="G67" s="643">
        <f>SUMIF(하수!$B$789:$B$950,하수처리장참고!$C67,하수!H$789:H$950)</f>
        <v>409000</v>
      </c>
      <c r="H67" s="643">
        <f>SUMIF(하수!$B$789:$B$950,하수처리장참고!$C67,하수!I$789:I$950)</f>
        <v>685874</v>
      </c>
      <c r="I67" s="643">
        <f>SUMIF(하수!$B$789:$B$950,하수처리장참고!$C67,하수!J$789:J$950)</f>
        <v>201</v>
      </c>
      <c r="J67" s="643">
        <f>SUMIF(하수!$B$789:$B$950,하수처리장참고!$C67,하수!K$789:K$950)</f>
        <v>363323</v>
      </c>
      <c r="K67" s="643">
        <f>SUMIF(하수!$B$789:$B$950,하수처리장참고!$C67,하수!L$789:L$950)</f>
        <v>322350</v>
      </c>
      <c r="L67" s="848">
        <f>SUMIF(하수!$B$789:$B$950,하수처리장참고!$C67,하수!M$789:M$950)</f>
        <v>8.3586439971513684</v>
      </c>
      <c r="M67" s="643">
        <f>SUMIF(하수!$B$790:$B$951,하수처리장참고!$C67,하수!N$790:N$951)</f>
        <v>65550.567600000009</v>
      </c>
      <c r="N67" s="848">
        <f>SUMIF(하수!$B$789:$B$950,하수처리장참고!$C67,하수!O$789:O$950)</f>
        <v>0</v>
      </c>
      <c r="O67" s="848">
        <f>SUMIF(하수!$B$789:$B$950,하수처리장참고!$C67,하수!P$789:P$950)</f>
        <v>0</v>
      </c>
      <c r="P67" s="848">
        <f>SUMIF(하수!$B$789:$B$950,하수처리장참고!$C67,하수!Q$789:Q$950)</f>
        <v>1143</v>
      </c>
      <c r="Q67" s="848">
        <f>SUMIF(하수!$B$789:$B$950,하수처리장참고!$C67,하수!R$789:R$950)</f>
        <v>0</v>
      </c>
      <c r="R67" s="848">
        <f>SUMIF(하수!$B$789:$B$950,하수처리장참고!$C67,하수!S$789:S$950)</f>
        <v>680.6</v>
      </c>
      <c r="S67" s="874">
        <f>SUMIF(하수!$B$789:$B$950,하수처리장참고!$C67,하수!T$789:T$950)</f>
        <v>8369</v>
      </c>
    </row>
    <row r="68" spans="1:19" ht="16.5">
      <c r="A68" s="1824"/>
      <c r="B68" s="1825"/>
      <c r="C68" s="645" t="s">
        <v>675</v>
      </c>
      <c r="D68" s="643">
        <f>SUMIF(하수!$B$789:$B$950,하수처리장참고!$C68,하수!E$789:E$950)</f>
        <v>8570</v>
      </c>
      <c r="E68" s="643">
        <f>SUMIF(하수!$B$789:$B$950,하수처리장참고!$C68,하수!F$789:F$950)</f>
        <v>0</v>
      </c>
      <c r="F68" s="643">
        <f>SUMIF(하수!$B$789:$B$950,하수처리장참고!$C68,하수!G$789:G$950)</f>
        <v>7658</v>
      </c>
      <c r="G68" s="643">
        <f>SUMIF(하수!$B$789:$B$950,하수처리장참고!$C68,하수!H$789:H$950)</f>
        <v>912</v>
      </c>
      <c r="H68" s="643">
        <f>SUMIF(하수!$B$789:$B$950,하수처리장참고!$C68,하수!I$789:I$950)</f>
        <v>5278.0999999999995</v>
      </c>
      <c r="I68" s="643">
        <f>SUMIF(하수!$B$789:$B$950,하수처리장참고!$C68,하수!J$789:J$950)</f>
        <v>0</v>
      </c>
      <c r="J68" s="643">
        <f>SUMIF(하수!$B$789:$B$950,하수처리장참고!$C68,하수!K$789:K$950)</f>
        <v>4482.0999999999995</v>
      </c>
      <c r="K68" s="643">
        <f>SUMIF(하수!$B$789:$B$950,하수처리장참고!$C68,하수!L$789:L$950)</f>
        <v>796</v>
      </c>
      <c r="L68" s="848">
        <f>SUMIF(하수!$B$789:$B$950,하수처리장참고!$C68,하수!M$789:M$950)</f>
        <v>122.44081508117237</v>
      </c>
      <c r="M68" s="643">
        <f>SUMIF(하수!$B$790:$B$951,하수처리장참고!$C68,하수!N$790:N$951)</f>
        <v>12235.995304850338</v>
      </c>
      <c r="N68" s="848">
        <f>SUMIF(하수!$B$789:$B$950,하수처리장참고!$C68,하수!O$789:O$950)</f>
        <v>0</v>
      </c>
      <c r="O68" s="848">
        <f>SUMIF(하수!$B$789:$B$950,하수처리장참고!$C68,하수!P$789:P$950)</f>
        <v>0</v>
      </c>
      <c r="P68" s="848">
        <f>SUMIF(하수!$B$789:$B$950,하수처리장참고!$C68,하수!Q$789:Q$950)</f>
        <v>0</v>
      </c>
      <c r="Q68" s="848">
        <f>SUMIF(하수!$B$789:$B$950,하수처리장참고!$C68,하수!R$789:R$950)</f>
        <v>0</v>
      </c>
      <c r="R68" s="848">
        <f>SUMIF(하수!$B$789:$B$950,하수처리장참고!$C68,하수!S$789:S$950)</f>
        <v>0</v>
      </c>
      <c r="S68" s="874">
        <f>SUMIF(하수!$B$789:$B$950,하수처리장참고!$C68,하수!T$789:T$950)</f>
        <v>0</v>
      </c>
    </row>
    <row r="69" spans="1:19" ht="16.5">
      <c r="A69" s="1824"/>
      <c r="B69" s="1825" t="s">
        <v>1616</v>
      </c>
      <c r="C69" s="645" t="s">
        <v>6065</v>
      </c>
      <c r="D69" s="643">
        <f t="shared" ref="D69:S69" si="34">SUM(D70:D71)</f>
        <v>81893</v>
      </c>
      <c r="E69" s="643">
        <f t="shared" si="34"/>
        <v>0</v>
      </c>
      <c r="F69" s="643">
        <f t="shared" si="34"/>
        <v>65745</v>
      </c>
      <c r="G69" s="643">
        <f t="shared" si="34"/>
        <v>16148</v>
      </c>
      <c r="H69" s="643">
        <f t="shared" si="34"/>
        <v>56017.94</v>
      </c>
      <c r="I69" s="643">
        <f t="shared" si="34"/>
        <v>0</v>
      </c>
      <c r="J69" s="643">
        <f t="shared" si="34"/>
        <v>44542.74</v>
      </c>
      <c r="K69" s="643">
        <f t="shared" si="34"/>
        <v>11475.2</v>
      </c>
      <c r="L69" s="848">
        <f t="shared" si="34"/>
        <v>134.69286080142399</v>
      </c>
      <c r="M69" s="643">
        <f t="shared" si="34"/>
        <v>16556.542874169729</v>
      </c>
      <c r="N69" s="848">
        <f t="shared" si="34"/>
        <v>0</v>
      </c>
      <c r="O69" s="848">
        <f t="shared" si="34"/>
        <v>0</v>
      </c>
      <c r="P69" s="848">
        <f t="shared" si="34"/>
        <v>196.5</v>
      </c>
      <c r="Q69" s="848">
        <f t="shared" si="34"/>
        <v>198.1</v>
      </c>
      <c r="R69" s="848">
        <f t="shared" si="34"/>
        <v>22.5</v>
      </c>
      <c r="S69" s="874">
        <f t="shared" si="34"/>
        <v>0</v>
      </c>
    </row>
    <row r="70" spans="1:19" ht="16.5">
      <c r="A70" s="1824"/>
      <c r="B70" s="1825"/>
      <c r="C70" s="645" t="s">
        <v>2201</v>
      </c>
      <c r="D70" s="643">
        <f>SUMIF(하수!$B$952:$B$1108,하수처리장참고!$C70,하수!E$952:E$1108)</f>
        <v>74200</v>
      </c>
      <c r="E70" s="643">
        <f>SUMIF(하수!$B$952:$B$1108,하수처리장참고!$C70,하수!F$952:F$1108)</f>
        <v>0</v>
      </c>
      <c r="F70" s="643">
        <f>SUMIF(하수!$B$952:$B$1108,하수처리장참고!$C70,하수!G$952:G$1108)</f>
        <v>61000</v>
      </c>
      <c r="G70" s="643">
        <f>SUMIF(하수!$B$952:$B$1108,하수처리장참고!$C70,하수!H$952:H$1108)</f>
        <v>13200</v>
      </c>
      <c r="H70" s="643">
        <f>SUMIF(하수!$B$952:$B$1108,하수처리장참고!$C70,하수!I$952:I$1108)</f>
        <v>49520</v>
      </c>
      <c r="I70" s="643">
        <f>SUMIF(하수!$B$952:$B$1108,하수처리장참고!$C70,하수!J$952:J$1108)</f>
        <v>0</v>
      </c>
      <c r="J70" s="643">
        <f>SUMIF(하수!$B$952:$B$1108,하수처리장참고!$C70,하수!K$952:K$1108)</f>
        <v>40597</v>
      </c>
      <c r="K70" s="643">
        <f>SUMIF(하수!$B$952:$B$1108,하수처리장참고!$C70,하수!L$952:L$1108)</f>
        <v>8923</v>
      </c>
      <c r="L70" s="848">
        <f>SUMIF(하수!$B$952:$B$1108,하수처리장참고!$C70,하수!M$952:M$1108)</f>
        <v>10.502453482926947</v>
      </c>
      <c r="M70" s="643">
        <f>SUMIF(하수!$B$953:$B$1109,하수처리장참고!$C70,하수!N$953:N$1109)</f>
        <v>4339.9646257071954</v>
      </c>
      <c r="N70" s="848">
        <f>SUMIF(하수!$B$952:$B$1108,하수처리장참고!$C70,하수!O$952:O$1108)</f>
        <v>0</v>
      </c>
      <c r="O70" s="848">
        <f>SUMIF(하수!$B$952:$B$1108,하수처리장참고!$C70,하수!P$952:P$1108)</f>
        <v>0</v>
      </c>
      <c r="P70" s="848">
        <f>SUMIF(하수!$B$952:$B$1108,하수처리장참고!$C70,하수!Q$952:Q$1108)</f>
        <v>196.5</v>
      </c>
      <c r="Q70" s="848">
        <f>SUMIF(하수!$B$952:$B$1108,하수처리장참고!$C70,하수!R$952:R$1108)</f>
        <v>198.1</v>
      </c>
      <c r="R70" s="848">
        <f>SUMIF(하수!$B$952:$B$1108,하수처리장참고!$C70,하수!S$952:S$1108)</f>
        <v>22.5</v>
      </c>
      <c r="S70" s="874">
        <f>SUMIF(하수!$B$952:$B$1108,하수처리장참고!$C70,하수!T$952:T$1108)</f>
        <v>0</v>
      </c>
    </row>
    <row r="71" spans="1:19" ht="17.25" thickBot="1">
      <c r="A71" s="1826"/>
      <c r="B71" s="1827"/>
      <c r="C71" s="646" t="s">
        <v>675</v>
      </c>
      <c r="D71" s="644">
        <f>SUMIF(하수!$B$952:$B$1108,하수처리장참고!$C71,하수!E$952:E$1108)</f>
        <v>7693</v>
      </c>
      <c r="E71" s="644">
        <f>SUMIF(하수!$B$952:$B$1108,하수처리장참고!$C71,하수!F$952:F$1108)</f>
        <v>0</v>
      </c>
      <c r="F71" s="644">
        <f>SUMIF(하수!$B$952:$B$1108,하수처리장참고!$C71,하수!G$952:G$1108)</f>
        <v>4745</v>
      </c>
      <c r="G71" s="644">
        <f>SUMIF(하수!$B$952:$B$1108,하수처리장참고!$C71,하수!H$952:H$1108)</f>
        <v>2948</v>
      </c>
      <c r="H71" s="644">
        <f>SUMIF(하수!$B$952:$B$1108,하수처리장참고!$C71,하수!I$952:I$1108)</f>
        <v>6497.9400000000014</v>
      </c>
      <c r="I71" s="644">
        <f>SUMIF(하수!$B$952:$B$1108,하수처리장참고!$C71,하수!J$952:J$1108)</f>
        <v>0</v>
      </c>
      <c r="J71" s="644">
        <f>SUMIF(하수!$B$952:$B$1108,하수처리장참고!$C71,하수!K$952:K$1108)</f>
        <v>3945.74</v>
      </c>
      <c r="K71" s="644">
        <f>SUMIF(하수!$B$952:$B$1108,하수처리장참고!$C71,하수!L$952:L$1108)</f>
        <v>2552.1999999999998</v>
      </c>
      <c r="L71" s="850">
        <f>SUMIF(하수!$B$952:$B$1108,하수처리장참고!$C71,하수!M$952:M$1108)</f>
        <v>124.19040731849705</v>
      </c>
      <c r="M71" s="644">
        <f>SUMIF(하수!$B$953:$B$1109,하수처리장참고!$C71,하수!N$953:N$1109)</f>
        <v>12216.578248462532</v>
      </c>
      <c r="N71" s="850">
        <f>SUMIF(하수!$B$952:$B$1108,하수처리장참고!$C71,하수!O$952:O$1108)</f>
        <v>0</v>
      </c>
      <c r="O71" s="850">
        <f>SUMIF(하수!$B$952:$B$1108,하수처리장참고!$C71,하수!P$952:P$1108)</f>
        <v>0</v>
      </c>
      <c r="P71" s="850">
        <f>SUMIF(하수!$B$952:$B$1108,하수처리장참고!$C71,하수!Q$952:Q$1108)</f>
        <v>0</v>
      </c>
      <c r="Q71" s="850">
        <f>SUMIF(하수!$B$952:$B$1108,하수처리장참고!$C71,하수!R$952:R$1108)</f>
        <v>0</v>
      </c>
      <c r="R71" s="850">
        <f>SUMIF(하수!$B$952:$B$1108,하수처리장참고!$C71,하수!S$952:S$1108)</f>
        <v>0</v>
      </c>
      <c r="S71" s="876">
        <f>SUMIF(하수!$B$952:$B$1108,하수처리장참고!$C71,하수!T$952:T$1108)</f>
        <v>0</v>
      </c>
    </row>
    <row r="72" spans="1:19" ht="16.5">
      <c r="A72" s="1830" t="s">
        <v>1872</v>
      </c>
      <c r="B72" s="1823" t="s">
        <v>6295</v>
      </c>
      <c r="C72" s="647" t="s">
        <v>66</v>
      </c>
      <c r="D72" s="648">
        <f t="shared" ref="D72:S72" si="35">SUM(D73:D74)</f>
        <v>658239</v>
      </c>
      <c r="E72" s="648">
        <f t="shared" si="35"/>
        <v>110</v>
      </c>
      <c r="F72" s="648">
        <f t="shared" si="35"/>
        <v>397334</v>
      </c>
      <c r="G72" s="648">
        <f t="shared" si="35"/>
        <v>260795</v>
      </c>
      <c r="H72" s="648">
        <f t="shared" si="35"/>
        <v>440244.11</v>
      </c>
      <c r="I72" s="648">
        <f t="shared" si="35"/>
        <v>97</v>
      </c>
      <c r="J72" s="648">
        <f t="shared" si="35"/>
        <v>277268.71000000002</v>
      </c>
      <c r="K72" s="648">
        <f t="shared" si="35"/>
        <v>162878.39999999999</v>
      </c>
      <c r="L72" s="847">
        <f t="shared" si="35"/>
        <v>348.583647225199</v>
      </c>
      <c r="M72" s="648">
        <f t="shared" si="35"/>
        <v>67377.705965281435</v>
      </c>
      <c r="N72" s="847">
        <f t="shared" si="35"/>
        <v>0</v>
      </c>
      <c r="O72" s="847">
        <f t="shared" si="35"/>
        <v>0</v>
      </c>
      <c r="P72" s="847">
        <f t="shared" si="35"/>
        <v>1019.5999999999999</v>
      </c>
      <c r="Q72" s="847">
        <f t="shared" si="35"/>
        <v>583.79999999999995</v>
      </c>
      <c r="R72" s="847">
        <f t="shared" si="35"/>
        <v>267.8</v>
      </c>
      <c r="S72" s="873">
        <f t="shared" si="35"/>
        <v>0</v>
      </c>
    </row>
    <row r="73" spans="1:19" ht="16.5">
      <c r="A73" s="1831"/>
      <c r="B73" s="1825"/>
      <c r="C73" s="645" t="s">
        <v>2201</v>
      </c>
      <c r="D73" s="643">
        <f>D76+D79</f>
        <v>635015</v>
      </c>
      <c r="E73" s="643">
        <f t="shared" ref="E73:S73" si="36">E76+E79</f>
        <v>0</v>
      </c>
      <c r="F73" s="643">
        <f t="shared" si="36"/>
        <v>381800</v>
      </c>
      <c r="G73" s="643">
        <f t="shared" si="36"/>
        <v>253215</v>
      </c>
      <c r="H73" s="643">
        <f t="shared" si="36"/>
        <v>420502</v>
      </c>
      <c r="I73" s="643">
        <f t="shared" si="36"/>
        <v>0</v>
      </c>
      <c r="J73" s="643">
        <f t="shared" si="36"/>
        <v>265806</v>
      </c>
      <c r="K73" s="643">
        <f t="shared" si="36"/>
        <v>154696</v>
      </c>
      <c r="L73" s="848">
        <f t="shared" si="36"/>
        <v>38.745073230000024</v>
      </c>
      <c r="M73" s="643">
        <f t="shared" si="36"/>
        <v>37439.031296000001</v>
      </c>
      <c r="N73" s="848">
        <f t="shared" si="36"/>
        <v>0</v>
      </c>
      <c r="O73" s="848">
        <f t="shared" si="36"/>
        <v>0</v>
      </c>
      <c r="P73" s="848">
        <f t="shared" si="36"/>
        <v>1019.5999999999999</v>
      </c>
      <c r="Q73" s="848">
        <f t="shared" si="36"/>
        <v>583.79999999999995</v>
      </c>
      <c r="R73" s="848">
        <f t="shared" si="36"/>
        <v>267.8</v>
      </c>
      <c r="S73" s="874">
        <f t="shared" si="36"/>
        <v>0</v>
      </c>
    </row>
    <row r="74" spans="1:19" ht="16.5">
      <c r="A74" s="1831"/>
      <c r="B74" s="1825"/>
      <c r="C74" s="645" t="s">
        <v>675</v>
      </c>
      <c r="D74" s="643">
        <f t="shared" ref="D74:S74" si="37">D77+D80</f>
        <v>23224</v>
      </c>
      <c r="E74" s="643">
        <f t="shared" si="37"/>
        <v>110</v>
      </c>
      <c r="F74" s="643">
        <f t="shared" si="37"/>
        <v>15534</v>
      </c>
      <c r="G74" s="643">
        <f t="shared" si="37"/>
        <v>7580</v>
      </c>
      <c r="H74" s="643">
        <f t="shared" si="37"/>
        <v>19742.109999999997</v>
      </c>
      <c r="I74" s="643">
        <f t="shared" si="37"/>
        <v>97</v>
      </c>
      <c r="J74" s="643">
        <f t="shared" si="37"/>
        <v>11462.71</v>
      </c>
      <c r="K74" s="643">
        <f t="shared" si="37"/>
        <v>8182.4</v>
      </c>
      <c r="L74" s="848">
        <f t="shared" si="37"/>
        <v>309.838573995199</v>
      </c>
      <c r="M74" s="643">
        <f t="shared" si="37"/>
        <v>29938.674669281427</v>
      </c>
      <c r="N74" s="848">
        <f t="shared" si="37"/>
        <v>0</v>
      </c>
      <c r="O74" s="848">
        <f t="shared" si="37"/>
        <v>0</v>
      </c>
      <c r="P74" s="848">
        <f t="shared" si="37"/>
        <v>0</v>
      </c>
      <c r="Q74" s="848">
        <f t="shared" si="37"/>
        <v>0</v>
      </c>
      <c r="R74" s="848">
        <f t="shared" si="37"/>
        <v>0</v>
      </c>
      <c r="S74" s="874">
        <f t="shared" si="37"/>
        <v>0</v>
      </c>
    </row>
    <row r="75" spans="1:19" ht="16.5">
      <c r="A75" s="1831"/>
      <c r="B75" s="1828" t="s">
        <v>1674</v>
      </c>
      <c r="C75" s="777" t="s">
        <v>66</v>
      </c>
      <c r="D75" s="778">
        <f t="shared" ref="D75:S75" si="38">SUM(D76:D77)</f>
        <v>466263</v>
      </c>
      <c r="E75" s="778">
        <f t="shared" si="38"/>
        <v>110</v>
      </c>
      <c r="F75" s="778">
        <f t="shared" si="38"/>
        <v>265961</v>
      </c>
      <c r="G75" s="778">
        <f t="shared" si="38"/>
        <v>200192</v>
      </c>
      <c r="H75" s="778">
        <f t="shared" si="38"/>
        <v>307899</v>
      </c>
      <c r="I75" s="778">
        <f t="shared" si="38"/>
        <v>97</v>
      </c>
      <c r="J75" s="778">
        <f t="shared" si="38"/>
        <v>194780</v>
      </c>
      <c r="K75" s="778">
        <f t="shared" si="38"/>
        <v>113022</v>
      </c>
      <c r="L75" s="851">
        <f t="shared" si="38"/>
        <v>86.305002405835651</v>
      </c>
      <c r="M75" s="778">
        <f t="shared" si="38"/>
        <v>36684.801272825316</v>
      </c>
      <c r="N75" s="851">
        <f t="shared" si="38"/>
        <v>0</v>
      </c>
      <c r="O75" s="851">
        <f t="shared" si="38"/>
        <v>0</v>
      </c>
      <c r="P75" s="851">
        <f t="shared" si="38"/>
        <v>570.79999999999995</v>
      </c>
      <c r="Q75" s="851">
        <f t="shared" si="38"/>
        <v>276.10000000000002</v>
      </c>
      <c r="R75" s="851">
        <f t="shared" si="38"/>
        <v>192.8</v>
      </c>
      <c r="S75" s="877">
        <f t="shared" si="38"/>
        <v>0</v>
      </c>
    </row>
    <row r="76" spans="1:19" ht="16.5">
      <c r="A76" s="1831"/>
      <c r="B76" s="1825"/>
      <c r="C76" s="645" t="s">
        <v>2201</v>
      </c>
      <c r="D76" s="643">
        <f>SUMIF(하수!$B$1111:$B$1225,하수처리장참고!$C76,하수!E$1111:E$1225)</f>
        <v>461300</v>
      </c>
      <c r="E76" s="643">
        <f>SUMIF(하수!$B$1111:$B$1225,하수처리장참고!$C76,하수!F$1111:F$1225)</f>
        <v>0</v>
      </c>
      <c r="F76" s="643">
        <f>SUMIF(하수!$B$1111:$B$1225,하수처리장참고!$C76,하수!G$1111:G$1225)</f>
        <v>264000</v>
      </c>
      <c r="G76" s="643">
        <f>SUMIF(하수!$B$1111:$B$1225,하수처리장참고!$C76,하수!H$1111:H$1225)</f>
        <v>197300</v>
      </c>
      <c r="H76" s="643">
        <f>SUMIF(하수!$B$1111:$B$1225,하수처리장참고!$C76,하수!I$1111:I$1225)</f>
        <v>303598</v>
      </c>
      <c r="I76" s="643">
        <f>SUMIF(하수!$B$1111:$B$1225,하수처리장참고!$C76,하수!J$1111:J$1225)</f>
        <v>0</v>
      </c>
      <c r="J76" s="643">
        <f>SUMIF(하수!$B$1111:$B$1225,하수처리장참고!$C76,하수!K$1111:K$1225)</f>
        <v>193525</v>
      </c>
      <c r="K76" s="643">
        <f>SUMIF(하수!$B$1111:$B$1225,하수처리장참고!$C76,하수!L$1111:L$1225)</f>
        <v>110073</v>
      </c>
      <c r="L76" s="848">
        <f>SUMIF(하수!$B$1111:$B$1225,하수처리장참고!$C76,하수!M$1111:M$1225)</f>
        <v>13.448161533816219</v>
      </c>
      <c r="M76" s="643">
        <f>SUMIF(하수!$B$1112:$B$1226,하수처리장참고!$C76,하수!N$1112:N$1226)</f>
        <v>29557.582309999998</v>
      </c>
      <c r="N76" s="848">
        <f>SUMIF(하수!$B$1111:$B$1225,하수처리장참고!$C76,하수!O$1111:O$1225)</f>
        <v>0</v>
      </c>
      <c r="O76" s="848">
        <f>SUMIF(하수!$B$1111:$B$1225,하수처리장참고!$C76,하수!P$1111:P$1225)</f>
        <v>0</v>
      </c>
      <c r="P76" s="848">
        <f>SUMIF(하수!$B$1111:$B$1225,하수처리장참고!$C76,하수!Q$1111:Q$1225)</f>
        <v>570.79999999999995</v>
      </c>
      <c r="Q76" s="848">
        <f>SUMIF(하수!$B$1111:$B$1225,하수처리장참고!$C76,하수!R$1111:R$1225)</f>
        <v>276.10000000000002</v>
      </c>
      <c r="R76" s="848">
        <f>SUMIF(하수!$B$1111:$B$1225,하수처리장참고!$C76,하수!S$1111:S$1225)</f>
        <v>192.8</v>
      </c>
      <c r="S76" s="874">
        <f>SUMIF(하수!$B$1111:$B$1225,하수처리장참고!$C76,하수!T$1111:T$1225)</f>
        <v>0</v>
      </c>
    </row>
    <row r="77" spans="1:19" ht="16.5">
      <c r="A77" s="1831"/>
      <c r="B77" s="1825"/>
      <c r="C77" s="645" t="s">
        <v>675</v>
      </c>
      <c r="D77" s="643">
        <f>SUMIF(하수!$B$1111:$B$1225,하수처리장참고!$C77,하수!E$1111:E$1225)</f>
        <v>4963</v>
      </c>
      <c r="E77" s="643">
        <f>SUMIF(하수!$B$1111:$B$1225,하수처리장참고!$C77,하수!F$1111:F$1225)</f>
        <v>110</v>
      </c>
      <c r="F77" s="643">
        <f>SUMIF(하수!$B$1111:$B$1225,하수처리장참고!$C77,하수!G$1111:G$1225)</f>
        <v>1961</v>
      </c>
      <c r="G77" s="643">
        <f>SUMIF(하수!$B$1111:$B$1225,하수처리장참고!$C77,하수!H$1111:H$1225)</f>
        <v>2892</v>
      </c>
      <c r="H77" s="643">
        <f>SUMIF(하수!$B$1111:$B$1225,하수처리장참고!$C77,하수!I$1111:I$1225)</f>
        <v>4301</v>
      </c>
      <c r="I77" s="643">
        <f>SUMIF(하수!$B$1111:$B$1225,하수처리장참고!$C77,하수!J$1111:J$1225)</f>
        <v>97</v>
      </c>
      <c r="J77" s="643">
        <f>SUMIF(하수!$B$1111:$B$1225,하수처리장참고!$C77,하수!K$1111:K$1225)</f>
        <v>1255</v>
      </c>
      <c r="K77" s="643">
        <f>SUMIF(하수!$B$1111:$B$1225,하수처리장참고!$C77,하수!L$1111:L$1225)</f>
        <v>2949</v>
      </c>
      <c r="L77" s="848">
        <f>SUMIF(하수!$B$1111:$B$1225,하수처리장참고!$C77,하수!M$1111:M$1225)</f>
        <v>72.856840872019433</v>
      </c>
      <c r="M77" s="643">
        <f>SUMIF(하수!$B$1112:$B$1226,하수처리장참고!$C77,하수!N$1112:N$1226)</f>
        <v>7127.21896282532</v>
      </c>
      <c r="N77" s="848">
        <f>SUMIF(하수!$B$1111:$B$1225,하수처리장참고!$C77,하수!O$1111:O$1225)</f>
        <v>0</v>
      </c>
      <c r="O77" s="848">
        <f>SUMIF(하수!$B$1111:$B$1225,하수처리장참고!$C77,하수!P$1111:P$1225)</f>
        <v>0</v>
      </c>
      <c r="P77" s="848">
        <f>SUMIF(하수!$B$1111:$B$1225,하수처리장참고!$C77,하수!Q$1111:Q$1225)</f>
        <v>0</v>
      </c>
      <c r="Q77" s="848">
        <f>SUMIF(하수!$B$1111:$B$1225,하수처리장참고!$C77,하수!R$1111:R$1225)</f>
        <v>0</v>
      </c>
      <c r="R77" s="848">
        <f>SUMIF(하수!$B$1111:$B$1225,하수처리장참고!$C77,하수!S$1111:S$1225)</f>
        <v>0</v>
      </c>
      <c r="S77" s="874">
        <f>SUMIF(하수!$B$1111:$B$1225,하수처리장참고!$C77,하수!T$1111:T$1225)</f>
        <v>0</v>
      </c>
    </row>
    <row r="78" spans="1:19" ht="16.5">
      <c r="A78" s="1831"/>
      <c r="B78" s="1825" t="s">
        <v>1616</v>
      </c>
      <c r="C78" s="645" t="s">
        <v>6065</v>
      </c>
      <c r="D78" s="643">
        <f t="shared" ref="D78:S78" si="39">SUM(D79:D80)</f>
        <v>191976</v>
      </c>
      <c r="E78" s="643">
        <f t="shared" si="39"/>
        <v>0</v>
      </c>
      <c r="F78" s="643">
        <f t="shared" si="39"/>
        <v>131373</v>
      </c>
      <c r="G78" s="643">
        <f t="shared" si="39"/>
        <v>60603</v>
      </c>
      <c r="H78" s="643">
        <f t="shared" si="39"/>
        <v>132345.10999999999</v>
      </c>
      <c r="I78" s="643">
        <f t="shared" si="39"/>
        <v>0</v>
      </c>
      <c r="J78" s="643">
        <f t="shared" si="39"/>
        <v>82488.709999999992</v>
      </c>
      <c r="K78" s="643">
        <f t="shared" si="39"/>
        <v>49856.4</v>
      </c>
      <c r="L78" s="848">
        <f t="shared" si="39"/>
        <v>262.27864481936336</v>
      </c>
      <c r="M78" s="643">
        <f t="shared" si="39"/>
        <v>30692.904692456104</v>
      </c>
      <c r="N78" s="848">
        <f t="shared" si="39"/>
        <v>0</v>
      </c>
      <c r="O78" s="848">
        <f t="shared" si="39"/>
        <v>0</v>
      </c>
      <c r="P78" s="848">
        <f t="shared" si="39"/>
        <v>448.79999999999995</v>
      </c>
      <c r="Q78" s="848">
        <f t="shared" si="39"/>
        <v>307.7</v>
      </c>
      <c r="R78" s="848">
        <f t="shared" si="39"/>
        <v>75</v>
      </c>
      <c r="S78" s="874">
        <f t="shared" si="39"/>
        <v>0</v>
      </c>
    </row>
    <row r="79" spans="1:19" ht="16.5">
      <c r="A79" s="1831"/>
      <c r="B79" s="1825"/>
      <c r="C79" s="645" t="s">
        <v>2201</v>
      </c>
      <c r="D79" s="643">
        <f>SUMIF(하수!$B$1227:$B$1618,하수처리장참고!$C79,하수!E$1227:E$1618)</f>
        <v>173715</v>
      </c>
      <c r="E79" s="643">
        <f>SUMIF(하수!$B$1227:$B$1618,하수처리장참고!$C79,하수!F$1227:F$1618)</f>
        <v>0</v>
      </c>
      <c r="F79" s="643">
        <f>SUMIF(하수!$B$1227:$B$1618,하수처리장참고!$C79,하수!G$1227:G$1618)</f>
        <v>117800</v>
      </c>
      <c r="G79" s="643">
        <f>SUMIF(하수!$B$1227:$B$1618,하수처리장참고!$C79,하수!H$1227:H$1618)</f>
        <v>55915</v>
      </c>
      <c r="H79" s="643">
        <f>SUMIF(하수!$B$1227:$B$1618,하수처리장참고!$C79,하수!I$1227:I$1618)</f>
        <v>116904</v>
      </c>
      <c r="I79" s="643">
        <f>SUMIF(하수!$B$1227:$B$1618,하수처리장참고!$C79,하수!J$1227:J$1618)</f>
        <v>0</v>
      </c>
      <c r="J79" s="643">
        <f>SUMIF(하수!$B$1227:$B$1618,하수처리장참고!$C79,하수!K$1227:K$1618)</f>
        <v>72281</v>
      </c>
      <c r="K79" s="643">
        <f>SUMIF(하수!$B$1227:$B$1618,하수처리장참고!$C79,하수!L$1227:L$1618)</f>
        <v>44623</v>
      </c>
      <c r="L79" s="848">
        <f>SUMIF(하수!$B$1227:$B$1618,하수처리장참고!$C79,하수!M$1227:M$1618)</f>
        <v>25.296911696183805</v>
      </c>
      <c r="M79" s="643">
        <f>SUMIF(하수!$B$1228:$B$1619,하수처리장참고!$C79,하수!N$1228:N$1619)</f>
        <v>7881.4489860000003</v>
      </c>
      <c r="N79" s="848">
        <f>SUMIF(하수!$B$1227:$B$1618,하수처리장참고!$C79,하수!O$1227:O$1618)</f>
        <v>0</v>
      </c>
      <c r="O79" s="848">
        <f>SUMIF(하수!$B$1227:$B$1618,하수처리장참고!$C79,하수!P$1227:P$1618)</f>
        <v>0</v>
      </c>
      <c r="P79" s="848">
        <f>SUMIF(하수!$B$1227:$B$1618,하수처리장참고!$C79,하수!Q$1227:Q$1618)</f>
        <v>448.79999999999995</v>
      </c>
      <c r="Q79" s="848">
        <f>SUMIF(하수!$B$1227:$B$1618,하수처리장참고!$C79,하수!R$1227:R$1618)</f>
        <v>307.7</v>
      </c>
      <c r="R79" s="848">
        <f>SUMIF(하수!$B$1227:$B$1618,하수처리장참고!$C79,하수!S$1227:S$1618)</f>
        <v>75</v>
      </c>
      <c r="S79" s="874">
        <f>SUMIF(하수!$B$1227:$B$1618,하수처리장참고!$C79,하수!T$1227:T$1618)</f>
        <v>0</v>
      </c>
    </row>
    <row r="80" spans="1:19" ht="17.25" thickBot="1">
      <c r="A80" s="1831"/>
      <c r="B80" s="1829"/>
      <c r="C80" s="652" t="s">
        <v>675</v>
      </c>
      <c r="D80" s="651">
        <f>SUMIF(하수!$B$1227:$B$1618,하수처리장참고!$C80,하수!E$1227:E$1618)</f>
        <v>18261</v>
      </c>
      <c r="E80" s="651">
        <f>SUMIF(하수!$B$1227:$B$1618,하수처리장참고!$C80,하수!F$1227:F$1618)</f>
        <v>0</v>
      </c>
      <c r="F80" s="651">
        <f>SUMIF(하수!$B$1227:$B$1618,하수처리장참고!$C80,하수!G$1227:G$1618)</f>
        <v>13573</v>
      </c>
      <c r="G80" s="651">
        <f>SUMIF(하수!$B$1227:$B$1618,하수처리장참고!$C80,하수!H$1227:H$1618)</f>
        <v>4688</v>
      </c>
      <c r="H80" s="651">
        <f>SUMIF(하수!$B$1227:$B$1618,하수처리장참고!$C80,하수!I$1227:I$1618)</f>
        <v>15441.109999999997</v>
      </c>
      <c r="I80" s="651">
        <f>SUMIF(하수!$B$1227:$B$1618,하수처리장참고!$C80,하수!J$1227:J$1618)</f>
        <v>0</v>
      </c>
      <c r="J80" s="651">
        <f>SUMIF(하수!$B$1227:$B$1618,하수처리장참고!$C80,하수!K$1227:K$1618)</f>
        <v>10207.709999999999</v>
      </c>
      <c r="K80" s="651">
        <f>SUMIF(하수!$B$1227:$B$1618,하수처리장참고!$C80,하수!L$1227:L$1618)</f>
        <v>5233.3999999999996</v>
      </c>
      <c r="L80" s="849">
        <f>SUMIF(하수!$B$1227:$B$1618,하수처리장참고!$C80,하수!M$1227:M$1618)</f>
        <v>236.98173312317957</v>
      </c>
      <c r="M80" s="651">
        <f>SUMIF(하수!$B$1228:$B$1619,하수처리장참고!$C80,하수!N$1228:N$1619)</f>
        <v>22811.455706456105</v>
      </c>
      <c r="N80" s="849">
        <f>SUMIF(하수!$B$1227:$B$1618,하수처리장참고!$C80,하수!O$1227:O$1618)</f>
        <v>0</v>
      </c>
      <c r="O80" s="849">
        <f>SUMIF(하수!$B$1227:$B$1618,하수처리장참고!$C80,하수!P$1227:P$1618)</f>
        <v>0</v>
      </c>
      <c r="P80" s="849">
        <f>SUMIF(하수!$B$1227:$B$1618,하수처리장참고!$C80,하수!Q$1227:Q$1618)</f>
        <v>0</v>
      </c>
      <c r="Q80" s="849">
        <f>SUMIF(하수!$B$1227:$B$1618,하수처리장참고!$C80,하수!R$1227:R$1618)</f>
        <v>0</v>
      </c>
      <c r="R80" s="849">
        <f>SUMIF(하수!$B$1227:$B$1618,하수처리장참고!$C80,하수!S$1227:S$1618)</f>
        <v>0</v>
      </c>
      <c r="S80" s="875">
        <f>SUMIF(하수!$B$1227:$B$1618,하수처리장참고!$C80,하수!T$1227:T$1618)</f>
        <v>0</v>
      </c>
    </row>
    <row r="81" spans="1:19" ht="16.5">
      <c r="A81" s="1822" t="s">
        <v>1743</v>
      </c>
      <c r="B81" s="1823" t="s">
        <v>6295</v>
      </c>
      <c r="C81" s="647" t="s">
        <v>66</v>
      </c>
      <c r="D81" s="648">
        <f t="shared" ref="D81:S81" si="40">SUM(D82:D83)</f>
        <v>1092895</v>
      </c>
      <c r="E81" s="648">
        <f t="shared" si="40"/>
        <v>0</v>
      </c>
      <c r="F81" s="648">
        <f t="shared" si="40"/>
        <v>394521</v>
      </c>
      <c r="G81" s="648">
        <f t="shared" si="40"/>
        <v>698374</v>
      </c>
      <c r="H81" s="648">
        <f t="shared" si="40"/>
        <v>942626.26994129154</v>
      </c>
      <c r="I81" s="648">
        <f t="shared" si="40"/>
        <v>0</v>
      </c>
      <c r="J81" s="648">
        <f t="shared" si="40"/>
        <v>344548.2699412916</v>
      </c>
      <c r="K81" s="648">
        <f t="shared" si="40"/>
        <v>598078</v>
      </c>
      <c r="L81" s="847" t="e">
        <f t="shared" si="40"/>
        <v>#VALUE!</v>
      </c>
      <c r="M81" s="648">
        <f t="shared" si="40"/>
        <v>191435.97742398054</v>
      </c>
      <c r="N81" s="847">
        <f t="shared" si="40"/>
        <v>0</v>
      </c>
      <c r="O81" s="847">
        <f t="shared" si="40"/>
        <v>0</v>
      </c>
      <c r="P81" s="847">
        <f t="shared" si="40"/>
        <v>1767.4341369863012</v>
      </c>
      <c r="Q81" s="847">
        <f t="shared" si="40"/>
        <v>1614.6</v>
      </c>
      <c r="R81" s="847">
        <f t="shared" si="40"/>
        <v>380.03835616438357</v>
      </c>
      <c r="S81" s="873">
        <f t="shared" si="40"/>
        <v>9</v>
      </c>
    </row>
    <row r="82" spans="1:19" ht="16.5">
      <c r="A82" s="1824"/>
      <c r="B82" s="1825"/>
      <c r="C82" s="645" t="s">
        <v>2201</v>
      </c>
      <c r="D82" s="643">
        <f>D85+D88</f>
        <v>1085000</v>
      </c>
      <c r="E82" s="643">
        <f t="shared" ref="E82:S82" si="41">E85+E88</f>
        <v>0</v>
      </c>
      <c r="F82" s="643">
        <f t="shared" si="41"/>
        <v>388800</v>
      </c>
      <c r="G82" s="643">
        <f t="shared" si="41"/>
        <v>696200</v>
      </c>
      <c r="H82" s="643">
        <f t="shared" si="41"/>
        <v>937539.76994129154</v>
      </c>
      <c r="I82" s="643">
        <f t="shared" si="41"/>
        <v>0</v>
      </c>
      <c r="J82" s="643">
        <f t="shared" si="41"/>
        <v>340607.7699412916</v>
      </c>
      <c r="K82" s="643">
        <f t="shared" si="41"/>
        <v>596932</v>
      </c>
      <c r="L82" s="848">
        <f t="shared" si="41"/>
        <v>35.27431539716315</v>
      </c>
      <c r="M82" s="643">
        <f t="shared" si="41"/>
        <v>78917.710744678887</v>
      </c>
      <c r="N82" s="848">
        <f t="shared" si="41"/>
        <v>0</v>
      </c>
      <c r="O82" s="848">
        <f t="shared" si="41"/>
        <v>0</v>
      </c>
      <c r="P82" s="848">
        <f t="shared" si="41"/>
        <v>1767.4341369863012</v>
      </c>
      <c r="Q82" s="848">
        <f t="shared" si="41"/>
        <v>1614.6</v>
      </c>
      <c r="R82" s="848">
        <f t="shared" si="41"/>
        <v>380.03835616438357</v>
      </c>
      <c r="S82" s="874">
        <f t="shared" si="41"/>
        <v>9</v>
      </c>
    </row>
    <row r="83" spans="1:19" ht="16.5">
      <c r="A83" s="1824"/>
      <c r="B83" s="1825"/>
      <c r="C83" s="645" t="s">
        <v>675</v>
      </c>
      <c r="D83" s="643">
        <f t="shared" ref="D83:S83" si="42">D86+D89</f>
        <v>7895</v>
      </c>
      <c r="E83" s="643">
        <f t="shared" si="42"/>
        <v>0</v>
      </c>
      <c r="F83" s="643">
        <f t="shared" si="42"/>
        <v>5721</v>
      </c>
      <c r="G83" s="643">
        <f t="shared" si="42"/>
        <v>2174</v>
      </c>
      <c r="H83" s="643">
        <f t="shared" si="42"/>
        <v>5086.5</v>
      </c>
      <c r="I83" s="643">
        <f t="shared" si="42"/>
        <v>0</v>
      </c>
      <c r="J83" s="643">
        <f t="shared" si="42"/>
        <v>3940.5</v>
      </c>
      <c r="K83" s="643">
        <f t="shared" si="42"/>
        <v>1146</v>
      </c>
      <c r="L83" s="848" t="e">
        <f t="shared" si="42"/>
        <v>#VALUE!</v>
      </c>
      <c r="M83" s="643">
        <f t="shared" si="42"/>
        <v>112518.26667930167</v>
      </c>
      <c r="N83" s="848">
        <f t="shared" si="42"/>
        <v>0</v>
      </c>
      <c r="O83" s="848">
        <f t="shared" si="42"/>
        <v>0</v>
      </c>
      <c r="P83" s="848">
        <f t="shared" si="42"/>
        <v>0</v>
      </c>
      <c r="Q83" s="848">
        <f t="shared" si="42"/>
        <v>0</v>
      </c>
      <c r="R83" s="848">
        <f t="shared" si="42"/>
        <v>0</v>
      </c>
      <c r="S83" s="874">
        <f t="shared" si="42"/>
        <v>0</v>
      </c>
    </row>
    <row r="84" spans="1:19" ht="16.5">
      <c r="A84" s="1824"/>
      <c r="B84" s="1825" t="s">
        <v>1674</v>
      </c>
      <c r="C84" s="645" t="s">
        <v>66</v>
      </c>
      <c r="D84" s="643">
        <f t="shared" ref="D84:S84" si="43">SUM(D85:D86)</f>
        <v>960065</v>
      </c>
      <c r="E84" s="643">
        <f t="shared" si="43"/>
        <v>0</v>
      </c>
      <c r="F84" s="643">
        <f t="shared" si="43"/>
        <v>319000</v>
      </c>
      <c r="G84" s="643">
        <f t="shared" si="43"/>
        <v>641065</v>
      </c>
      <c r="H84" s="643">
        <f t="shared" si="43"/>
        <v>843957.26994129154</v>
      </c>
      <c r="I84" s="643">
        <f t="shared" si="43"/>
        <v>0</v>
      </c>
      <c r="J84" s="643">
        <f t="shared" si="43"/>
        <v>303194.2699412916</v>
      </c>
      <c r="K84" s="643">
        <f t="shared" si="43"/>
        <v>540763</v>
      </c>
      <c r="L84" s="848" t="e">
        <f t="shared" si="43"/>
        <v>#VALUE!</v>
      </c>
      <c r="M84" s="643">
        <f t="shared" si="43"/>
        <v>180150.58221603534</v>
      </c>
      <c r="N84" s="848">
        <f t="shared" si="43"/>
        <v>0</v>
      </c>
      <c r="O84" s="848">
        <f t="shared" si="43"/>
        <v>0</v>
      </c>
      <c r="P84" s="848">
        <f t="shared" si="43"/>
        <v>1513.9341369863012</v>
      </c>
      <c r="Q84" s="848">
        <f t="shared" si="43"/>
        <v>1614.6</v>
      </c>
      <c r="R84" s="848">
        <f t="shared" si="43"/>
        <v>370.03835616438357</v>
      </c>
      <c r="S84" s="874">
        <f t="shared" si="43"/>
        <v>0</v>
      </c>
    </row>
    <row r="85" spans="1:19" ht="16.5">
      <c r="A85" s="1824"/>
      <c r="B85" s="1825"/>
      <c r="C85" s="645" t="s">
        <v>2201</v>
      </c>
      <c r="D85" s="643">
        <f>SUMIF(하수!$B$1621:$B$1732,하수처리장참고!$C85,하수!E$1621:E$1732)</f>
        <v>955400</v>
      </c>
      <c r="E85" s="643">
        <f>SUMIF(하수!$B$1621:$B$1732,하수처리장참고!$C85,하수!F$1621:F$1732)</f>
        <v>0</v>
      </c>
      <c r="F85" s="643">
        <f>SUMIF(하수!$B$1621:$B$1732,하수처리장참고!$C85,하수!G$1621:G$1732)</f>
        <v>315000</v>
      </c>
      <c r="G85" s="643">
        <f>SUMIF(하수!$B$1621:$B$1732,하수처리장참고!$C85,하수!H$1621:H$1732)</f>
        <v>640400</v>
      </c>
      <c r="H85" s="643">
        <f>SUMIF(하수!$B$1621:$B$1732,하수처리장참고!$C85,하수!I$1621:I$1732)</f>
        <v>840916.76994129154</v>
      </c>
      <c r="I85" s="643">
        <f>SUMIF(하수!$B$1621:$B$1732,하수처리장참고!$C85,하수!J$1621:J$1732)</f>
        <v>0</v>
      </c>
      <c r="J85" s="643">
        <f>SUMIF(하수!$B$1621:$B$1732,하수처리장참고!$C85,하수!K$1621:K$1732)</f>
        <v>300483.7699412916</v>
      </c>
      <c r="K85" s="643">
        <f>SUMIF(하수!$B$1621:$B$1732,하수처리장참고!$C85,하수!L$1621:L$1732)</f>
        <v>540433</v>
      </c>
      <c r="L85" s="848">
        <f>SUMIF(하수!$B$1621:$B$1732,하수처리장참고!$C85,하수!M$1621:M$1732)</f>
        <v>21.798466309140906</v>
      </c>
      <c r="M85" s="643">
        <f>SUMIF(하수!$B$1622:$B$1733,하수처리장참고!$C85,하수!N$1622:N$1733)</f>
        <v>70600.401498833657</v>
      </c>
      <c r="N85" s="848">
        <f>SUMIF(하수!$B$1621:$B$1732,하수처리장참고!$C85,하수!O$1621:O$1732)</f>
        <v>0</v>
      </c>
      <c r="O85" s="848">
        <f>SUMIF(하수!$B$1621:$B$1732,하수처리장참고!$C85,하수!P$1621:P$1732)</f>
        <v>0</v>
      </c>
      <c r="P85" s="848">
        <f>SUMIF(하수!$B$1621:$B$1732,하수처리장참고!$C85,하수!Q$1621:Q$1732)</f>
        <v>1513.9341369863012</v>
      </c>
      <c r="Q85" s="848">
        <f>SUMIF(하수!$B$1621:$B$1732,하수처리장참고!$C85,하수!R$1621:R$1732)</f>
        <v>1614.6</v>
      </c>
      <c r="R85" s="848">
        <f>SUMIF(하수!$B$1621:$B$1732,하수처리장참고!$C85,하수!S$1621:S$1732)</f>
        <v>370.03835616438357</v>
      </c>
      <c r="S85" s="874">
        <f>SUMIF(하수!$B$1621:$B$1732,하수처리장참고!$C85,하수!T$1621:T$1732)</f>
        <v>0</v>
      </c>
    </row>
    <row r="86" spans="1:19" ht="16.5">
      <c r="A86" s="1824"/>
      <c r="B86" s="1825"/>
      <c r="C86" s="645" t="s">
        <v>675</v>
      </c>
      <c r="D86" s="643">
        <f>SUMIF(하수!$B$1621:$B$1732,하수처리장참고!$C86,하수!E$1621:E$1732)</f>
        <v>4665</v>
      </c>
      <c r="E86" s="643">
        <f>SUMIF(하수!$B$1621:$B$1732,하수처리장참고!$C86,하수!F$1621:F$1732)</f>
        <v>0</v>
      </c>
      <c r="F86" s="643">
        <f>SUMIF(하수!$B$1621:$B$1732,하수처리장참고!$C86,하수!G$1621:G$1732)</f>
        <v>4000</v>
      </c>
      <c r="G86" s="643">
        <f>SUMIF(하수!$B$1621:$B$1732,하수처리장참고!$C86,하수!H$1621:H$1732)</f>
        <v>665</v>
      </c>
      <c r="H86" s="643">
        <f>SUMIF(하수!$B$1621:$B$1732,하수처리장참고!$C86,하수!I$1621:I$1732)</f>
        <v>3040.5</v>
      </c>
      <c r="I86" s="643">
        <f>SUMIF(하수!$B$1621:$B$1732,하수처리장참고!$C86,하수!J$1621:J$1732)</f>
        <v>0</v>
      </c>
      <c r="J86" s="643">
        <f>SUMIF(하수!$B$1621:$B$1732,하수처리장참고!$C86,하수!K$1621:K$1732)</f>
        <v>2710.5</v>
      </c>
      <c r="K86" s="643">
        <f>SUMIF(하수!$B$1621:$B$1732,하수처리장참고!$C86,하수!L$1621:L$1732)</f>
        <v>330</v>
      </c>
      <c r="L86" s="848" t="e">
        <f>SUMIF(하수!$B$1621:$B$1732,하수처리장참고!$C86,하수!M$1621:M$1732)</f>
        <v>#VALUE!</v>
      </c>
      <c r="M86" s="643">
        <f>SUMIF(하수!$B$1622:$B$1733,하수처리장참고!$C86,하수!N$1622:N$1733)</f>
        <v>109550.18071720167</v>
      </c>
      <c r="N86" s="848">
        <f>SUMIF(하수!$B$1621:$B$1732,하수처리장참고!$C86,하수!O$1621:O$1732)</f>
        <v>0</v>
      </c>
      <c r="O86" s="848">
        <f>SUMIF(하수!$B$1621:$B$1732,하수처리장참고!$C86,하수!P$1621:P$1732)</f>
        <v>0</v>
      </c>
      <c r="P86" s="848">
        <f>SUMIF(하수!$B$1621:$B$1732,하수처리장참고!$C86,하수!Q$1621:Q$1732)</f>
        <v>0</v>
      </c>
      <c r="Q86" s="848">
        <f>SUMIF(하수!$B$1621:$B$1732,하수처리장참고!$C86,하수!R$1621:R$1732)</f>
        <v>0</v>
      </c>
      <c r="R86" s="848">
        <f>SUMIF(하수!$B$1621:$B$1732,하수처리장참고!$C86,하수!S$1621:S$1732)</f>
        <v>0</v>
      </c>
      <c r="S86" s="874">
        <f>SUMIF(하수!$B$1621:$B$1732,하수처리장참고!$C86,하수!T$1621:T$1732)</f>
        <v>0</v>
      </c>
    </row>
    <row r="87" spans="1:19" ht="16.5">
      <c r="A87" s="1824"/>
      <c r="B87" s="1825" t="s">
        <v>1616</v>
      </c>
      <c r="C87" s="645" t="s">
        <v>6065</v>
      </c>
      <c r="D87" s="643">
        <f t="shared" ref="D87:S87" si="44">SUM(D88:D89)</f>
        <v>132830</v>
      </c>
      <c r="E87" s="643">
        <f t="shared" si="44"/>
        <v>0</v>
      </c>
      <c r="F87" s="643">
        <f t="shared" si="44"/>
        <v>75521</v>
      </c>
      <c r="G87" s="643">
        <f t="shared" si="44"/>
        <v>57309</v>
      </c>
      <c r="H87" s="643">
        <f t="shared" si="44"/>
        <v>98669</v>
      </c>
      <c r="I87" s="643">
        <f t="shared" si="44"/>
        <v>0</v>
      </c>
      <c r="J87" s="643">
        <f t="shared" si="44"/>
        <v>41354</v>
      </c>
      <c r="K87" s="643">
        <f t="shared" si="44"/>
        <v>57315</v>
      </c>
      <c r="L87" s="848">
        <f t="shared" si="44"/>
        <v>75.118249088022239</v>
      </c>
      <c r="M87" s="643">
        <f t="shared" si="44"/>
        <v>11285.395207945227</v>
      </c>
      <c r="N87" s="848">
        <f t="shared" si="44"/>
        <v>0</v>
      </c>
      <c r="O87" s="848">
        <f t="shared" si="44"/>
        <v>0</v>
      </c>
      <c r="P87" s="848">
        <f t="shared" si="44"/>
        <v>253.50000000000003</v>
      </c>
      <c r="Q87" s="848">
        <f t="shared" si="44"/>
        <v>0</v>
      </c>
      <c r="R87" s="848">
        <f t="shared" si="44"/>
        <v>10</v>
      </c>
      <c r="S87" s="874">
        <f t="shared" si="44"/>
        <v>9</v>
      </c>
    </row>
    <row r="88" spans="1:19" ht="16.5">
      <c r="A88" s="1824"/>
      <c r="B88" s="1825"/>
      <c r="C88" s="645" t="s">
        <v>2201</v>
      </c>
      <c r="D88" s="643">
        <f>SUMIF(하수!$B$1734:$B$1808,하수처리장참고!$C88,하수!E$1734:E$1808)</f>
        <v>129600</v>
      </c>
      <c r="E88" s="643">
        <f>SUMIF(하수!$B$1734:$B$1808,하수처리장참고!$C88,하수!F$1734:F$1808)</f>
        <v>0</v>
      </c>
      <c r="F88" s="643">
        <f>SUMIF(하수!$B$1734:$B$1808,하수처리장참고!$C88,하수!G$1734:G$1808)</f>
        <v>73800</v>
      </c>
      <c r="G88" s="643">
        <f>SUMIF(하수!$B$1734:$B$1808,하수처리장참고!$C88,하수!H$1734:H$1808)</f>
        <v>55800</v>
      </c>
      <c r="H88" s="643">
        <f>SUMIF(하수!$B$1734:$B$1808,하수처리장참고!$C88,하수!I$1734:I$1808)</f>
        <v>96623</v>
      </c>
      <c r="I88" s="643">
        <f>SUMIF(하수!$B$1734:$B$1808,하수처리장참고!$C88,하수!J$1734:J$1808)</f>
        <v>0</v>
      </c>
      <c r="J88" s="643">
        <f>SUMIF(하수!$B$1734:$B$1808,하수처리장참고!$C88,하수!K$1734:K$1808)</f>
        <v>40124</v>
      </c>
      <c r="K88" s="643">
        <f>SUMIF(하수!$B$1734:$B$1808,하수처리장참고!$C88,하수!L$1734:L$1808)</f>
        <v>56499</v>
      </c>
      <c r="L88" s="848">
        <f>SUMIF(하수!$B$1734:$B$1808,하수처리장참고!$C88,하수!M$1734:M$1808)</f>
        <v>13.475849088022247</v>
      </c>
      <c r="M88" s="643">
        <f>SUMIF(하수!$B$1735:$B$1809,하수처리장참고!$C88,하수!N$1735:N$1809)</f>
        <v>8317.3092458452265</v>
      </c>
      <c r="N88" s="848">
        <f>SUMIF(하수!$B$1734:$B$1808,하수처리장참고!$C88,하수!O$1734:O$1808)</f>
        <v>0</v>
      </c>
      <c r="O88" s="848">
        <f>SUMIF(하수!$B$1734:$B$1808,하수처리장참고!$C88,하수!P$1734:P$1808)</f>
        <v>0</v>
      </c>
      <c r="P88" s="848">
        <f>SUMIF(하수!$B$1734:$B$1808,하수처리장참고!$C88,하수!Q$1734:Q$1808)</f>
        <v>253.50000000000003</v>
      </c>
      <c r="Q88" s="848">
        <f>SUMIF(하수!$B$1734:$B$1808,하수처리장참고!$C88,하수!R$1734:R$1808)</f>
        <v>0</v>
      </c>
      <c r="R88" s="848">
        <f>SUMIF(하수!$B$1734:$B$1808,하수처리장참고!$C88,하수!S$1734:S$1808)</f>
        <v>10</v>
      </c>
      <c r="S88" s="874">
        <f>SUMIF(하수!$B$1734:$B$1808,하수처리장참고!$C88,하수!T$1734:T$1808)</f>
        <v>9</v>
      </c>
    </row>
    <row r="89" spans="1:19" ht="17.25" thickBot="1">
      <c r="A89" s="1826"/>
      <c r="B89" s="1827"/>
      <c r="C89" s="646" t="s">
        <v>675</v>
      </c>
      <c r="D89" s="644">
        <f>SUMIF(하수!$B$1734:$B$1808,하수처리장참고!$C89,하수!E$1734:E$1808)</f>
        <v>3230</v>
      </c>
      <c r="E89" s="644">
        <f>SUMIF(하수!$B$1734:$B$1808,하수처리장참고!$C89,하수!F$1734:F$1808)</f>
        <v>0</v>
      </c>
      <c r="F89" s="644">
        <f>SUMIF(하수!$B$1734:$B$1808,하수처리장참고!$C89,하수!G$1734:G$1808)</f>
        <v>1721</v>
      </c>
      <c r="G89" s="644">
        <f>SUMIF(하수!$B$1734:$B$1808,하수처리장참고!$C89,하수!H$1734:H$1808)</f>
        <v>1509</v>
      </c>
      <c r="H89" s="644">
        <f>SUMIF(하수!$B$1734:$B$1808,하수처리장참고!$C89,하수!I$1734:I$1808)</f>
        <v>2046</v>
      </c>
      <c r="I89" s="644">
        <f>SUMIF(하수!$B$1734:$B$1808,하수처리장참고!$C89,하수!J$1734:J$1808)</f>
        <v>0</v>
      </c>
      <c r="J89" s="644">
        <f>SUMIF(하수!$B$1734:$B$1808,하수처리장참고!$C89,하수!K$1734:K$1808)</f>
        <v>1230</v>
      </c>
      <c r="K89" s="644">
        <f>SUMIF(하수!$B$1734:$B$1808,하수처리장참고!$C89,하수!L$1734:L$1808)</f>
        <v>816</v>
      </c>
      <c r="L89" s="850">
        <f>SUMIF(하수!$B$1734:$B$1808,하수처리장참고!$C89,하수!M$1734:M$1808)</f>
        <v>61.642399999999988</v>
      </c>
      <c r="M89" s="644">
        <f>SUMIF(하수!$B$1735:$B$1809,하수처리장참고!$C89,하수!N$1735:N$1809)</f>
        <v>2968.0859621000004</v>
      </c>
      <c r="N89" s="850">
        <f>SUMIF(하수!$B$1734:$B$1808,하수처리장참고!$C89,하수!O$1734:O$1808)</f>
        <v>0</v>
      </c>
      <c r="O89" s="850">
        <f>SUMIF(하수!$B$1734:$B$1808,하수처리장참고!$C89,하수!P$1734:P$1808)</f>
        <v>0</v>
      </c>
      <c r="P89" s="850">
        <f>SUMIF(하수!$B$1734:$B$1808,하수처리장참고!$C89,하수!Q$1734:Q$1808)</f>
        <v>0</v>
      </c>
      <c r="Q89" s="850">
        <f>SUMIF(하수!$B$1734:$B$1808,하수처리장참고!$C89,하수!R$1734:R$1808)</f>
        <v>0</v>
      </c>
      <c r="R89" s="850">
        <f>SUMIF(하수!$B$1734:$B$1808,하수처리장참고!$C89,하수!S$1734:S$1808)</f>
        <v>0</v>
      </c>
      <c r="S89" s="876">
        <f>SUMIF(하수!$B$1734:$B$1808,하수처리장참고!$C89,하수!T$1734:T$1808)</f>
        <v>0</v>
      </c>
    </row>
    <row r="90" spans="1:19" ht="16.5">
      <c r="A90" s="1830" t="s">
        <v>1978</v>
      </c>
      <c r="B90" s="1823" t="s">
        <v>6295</v>
      </c>
      <c r="C90" s="647" t="s">
        <v>66</v>
      </c>
      <c r="D90" s="648">
        <f t="shared" ref="D90:S90" si="45">SUM(D91:D92)</f>
        <v>1145950</v>
      </c>
      <c r="E90" s="648">
        <f t="shared" si="45"/>
        <v>0</v>
      </c>
      <c r="F90" s="648">
        <f t="shared" si="45"/>
        <v>510645</v>
      </c>
      <c r="G90" s="648">
        <f t="shared" si="45"/>
        <v>635305</v>
      </c>
      <c r="H90" s="648">
        <f t="shared" si="45"/>
        <v>860603.02</v>
      </c>
      <c r="I90" s="648">
        <f t="shared" si="45"/>
        <v>0</v>
      </c>
      <c r="J90" s="648">
        <f t="shared" si="45"/>
        <v>381769.52</v>
      </c>
      <c r="K90" s="648">
        <f t="shared" si="45"/>
        <v>478833.50000000006</v>
      </c>
      <c r="L90" s="847">
        <f t="shared" si="45"/>
        <v>188.99992374050314</v>
      </c>
      <c r="M90" s="648">
        <f t="shared" si="45"/>
        <v>65590.07441999999</v>
      </c>
      <c r="N90" s="847">
        <f t="shared" si="45"/>
        <v>0</v>
      </c>
      <c r="O90" s="847">
        <f t="shared" si="45"/>
        <v>0</v>
      </c>
      <c r="P90" s="847">
        <f t="shared" si="45"/>
        <v>1070.0999999999999</v>
      </c>
      <c r="Q90" s="847">
        <f t="shared" si="45"/>
        <v>257.21000000000004</v>
      </c>
      <c r="R90" s="847">
        <f t="shared" si="45"/>
        <v>1356.12</v>
      </c>
      <c r="S90" s="873">
        <f t="shared" si="45"/>
        <v>3063.2</v>
      </c>
    </row>
    <row r="91" spans="1:19" ht="16.5">
      <c r="A91" s="1831"/>
      <c r="B91" s="1825"/>
      <c r="C91" s="645" t="s">
        <v>2201</v>
      </c>
      <c r="D91" s="643">
        <f>D94+D97</f>
        <v>1132150</v>
      </c>
      <c r="E91" s="643">
        <f t="shared" ref="E91:S91" si="46">E94+E97</f>
        <v>0</v>
      </c>
      <c r="F91" s="643">
        <f t="shared" si="46"/>
        <v>503500</v>
      </c>
      <c r="G91" s="643">
        <f t="shared" si="46"/>
        <v>628650</v>
      </c>
      <c r="H91" s="643">
        <f t="shared" si="46"/>
        <v>849231.8</v>
      </c>
      <c r="I91" s="643">
        <f t="shared" si="46"/>
        <v>0</v>
      </c>
      <c r="J91" s="643">
        <f t="shared" si="46"/>
        <v>374783</v>
      </c>
      <c r="K91" s="643">
        <f t="shared" si="46"/>
        <v>474448.80000000005</v>
      </c>
      <c r="L91" s="848">
        <f t="shared" si="46"/>
        <v>33.330466803030141</v>
      </c>
      <c r="M91" s="643">
        <f t="shared" si="46"/>
        <v>62478.168419999995</v>
      </c>
      <c r="N91" s="848">
        <f t="shared" si="46"/>
        <v>0</v>
      </c>
      <c r="O91" s="848">
        <f t="shared" si="46"/>
        <v>0</v>
      </c>
      <c r="P91" s="848">
        <f t="shared" si="46"/>
        <v>1070.0999999999999</v>
      </c>
      <c r="Q91" s="848">
        <f t="shared" si="46"/>
        <v>257.21000000000004</v>
      </c>
      <c r="R91" s="848">
        <f t="shared" si="46"/>
        <v>1356.12</v>
      </c>
      <c r="S91" s="874">
        <f t="shared" si="46"/>
        <v>3063.2</v>
      </c>
    </row>
    <row r="92" spans="1:19" ht="16.5">
      <c r="A92" s="1831"/>
      <c r="B92" s="1825"/>
      <c r="C92" s="645" t="s">
        <v>675</v>
      </c>
      <c r="D92" s="643">
        <f t="shared" ref="D92:S92" si="47">D95+D98</f>
        <v>13800</v>
      </c>
      <c r="E92" s="643">
        <f t="shared" si="47"/>
        <v>0</v>
      </c>
      <c r="F92" s="643">
        <f t="shared" si="47"/>
        <v>7145</v>
      </c>
      <c r="G92" s="643">
        <f t="shared" si="47"/>
        <v>6655</v>
      </c>
      <c r="H92" s="643">
        <f t="shared" si="47"/>
        <v>11371.220000000001</v>
      </c>
      <c r="I92" s="643">
        <f t="shared" si="47"/>
        <v>0</v>
      </c>
      <c r="J92" s="643">
        <f t="shared" si="47"/>
        <v>6986.52</v>
      </c>
      <c r="K92" s="643">
        <f t="shared" si="47"/>
        <v>4384.7</v>
      </c>
      <c r="L92" s="848">
        <f t="shared" si="47"/>
        <v>155.669456937473</v>
      </c>
      <c r="M92" s="643">
        <f t="shared" si="47"/>
        <v>3111.9059999999995</v>
      </c>
      <c r="N92" s="848">
        <f t="shared" si="47"/>
        <v>0</v>
      </c>
      <c r="O92" s="848">
        <f t="shared" si="47"/>
        <v>0</v>
      </c>
      <c r="P92" s="848">
        <f t="shared" si="47"/>
        <v>0</v>
      </c>
      <c r="Q92" s="848">
        <f t="shared" si="47"/>
        <v>0</v>
      </c>
      <c r="R92" s="848">
        <f t="shared" si="47"/>
        <v>0</v>
      </c>
      <c r="S92" s="874">
        <f t="shared" si="47"/>
        <v>0</v>
      </c>
    </row>
    <row r="93" spans="1:19" ht="16.5">
      <c r="A93" s="1831"/>
      <c r="B93" s="1828" t="s">
        <v>1674</v>
      </c>
      <c r="C93" s="777" t="s">
        <v>66</v>
      </c>
      <c r="D93" s="778">
        <f t="shared" ref="D93:S93" si="48">SUM(D94:D95)</f>
        <v>1042562</v>
      </c>
      <c r="E93" s="778">
        <f t="shared" si="48"/>
        <v>0</v>
      </c>
      <c r="F93" s="778">
        <f t="shared" si="48"/>
        <v>425172</v>
      </c>
      <c r="G93" s="778">
        <f t="shared" si="48"/>
        <v>617390</v>
      </c>
      <c r="H93" s="778">
        <f t="shared" si="48"/>
        <v>768308.10000000009</v>
      </c>
      <c r="I93" s="778">
        <f t="shared" si="48"/>
        <v>0</v>
      </c>
      <c r="J93" s="778">
        <f t="shared" si="48"/>
        <v>303975.59999999998</v>
      </c>
      <c r="K93" s="778">
        <f t="shared" si="48"/>
        <v>464332.50000000006</v>
      </c>
      <c r="L93" s="851">
        <f t="shared" si="48"/>
        <v>85.833476844318355</v>
      </c>
      <c r="M93" s="778">
        <f t="shared" si="48"/>
        <v>57812.725219999993</v>
      </c>
      <c r="N93" s="851">
        <f t="shared" si="48"/>
        <v>0</v>
      </c>
      <c r="O93" s="851">
        <f t="shared" si="48"/>
        <v>0</v>
      </c>
      <c r="P93" s="851">
        <f t="shared" si="48"/>
        <v>871.3</v>
      </c>
      <c r="Q93" s="851">
        <f t="shared" si="48"/>
        <v>60.1</v>
      </c>
      <c r="R93" s="851">
        <f t="shared" si="48"/>
        <v>1219.0999999999999</v>
      </c>
      <c r="S93" s="877">
        <f t="shared" si="48"/>
        <v>3063.2</v>
      </c>
    </row>
    <row r="94" spans="1:19" ht="16.5">
      <c r="A94" s="1831"/>
      <c r="B94" s="1825"/>
      <c r="C94" s="645" t="s">
        <v>2201</v>
      </c>
      <c r="D94" s="643">
        <f>SUMIF(하수!$B$1811:$B$1907,하수처리장참고!$C94,하수!E$1811:E$1907)</f>
        <v>1037000</v>
      </c>
      <c r="E94" s="643">
        <f>SUMIF(하수!$B$1811:$B$1907,하수처리장참고!$C94,하수!F$1811:F$1907)</f>
        <v>0</v>
      </c>
      <c r="F94" s="643">
        <f>SUMIF(하수!$B$1811:$B$1907,하수처리장참고!$C94,하수!G$1811:G$1907)</f>
        <v>422600</v>
      </c>
      <c r="G94" s="643">
        <f>SUMIF(하수!$B$1811:$B$1907,하수처리장참고!$C94,하수!H$1811:H$1907)</f>
        <v>614400</v>
      </c>
      <c r="H94" s="643">
        <f>SUMIF(하수!$B$1811:$B$1907,하수처리장참고!$C94,하수!I$1811:I$1907)</f>
        <v>763422.8</v>
      </c>
      <c r="I94" s="643">
        <f>SUMIF(하수!$B$1811:$B$1907,하수처리장참고!$C94,하수!J$1811:J$1907)</f>
        <v>0</v>
      </c>
      <c r="J94" s="643">
        <f>SUMIF(하수!$B$1811:$B$1907,하수처리장참고!$C94,하수!K$1811:K$1907)</f>
        <v>301846</v>
      </c>
      <c r="K94" s="643">
        <f>SUMIF(하수!$B$1811:$B$1907,하수처리장참고!$C94,하수!L$1811:L$1907)</f>
        <v>461576.80000000005</v>
      </c>
      <c r="L94" s="848">
        <f>SUMIF(하수!$B$1811:$B$1907,하수처리장참고!$C94,하수!M$1811:M$1907)</f>
        <v>18.287641075586709</v>
      </c>
      <c r="M94" s="643">
        <f>SUMIF(하수!$B$1812:$B$1908,하수처리장참고!$C94,하수!N$1812:N$1908)</f>
        <v>56606.659219999994</v>
      </c>
      <c r="N94" s="848">
        <f>SUMIF(하수!$B$1811:$B$1907,하수처리장참고!$C94,하수!O$1811:O$1907)</f>
        <v>0</v>
      </c>
      <c r="O94" s="848">
        <f>SUMIF(하수!$B$1811:$B$1907,하수처리장참고!$C94,하수!P$1811:P$1907)</f>
        <v>0</v>
      </c>
      <c r="P94" s="848">
        <f>SUMIF(하수!$B$1811:$B$1907,하수처리장참고!$C94,하수!Q$1811:Q$1907)</f>
        <v>871.3</v>
      </c>
      <c r="Q94" s="848">
        <f>SUMIF(하수!$B$1811:$B$1907,하수처리장참고!$C94,하수!R$1811:R$1907)</f>
        <v>60.1</v>
      </c>
      <c r="R94" s="848">
        <f>SUMIF(하수!$B$1811:$B$1907,하수처리장참고!$C94,하수!S$1811:S$1907)</f>
        <v>1219.0999999999999</v>
      </c>
      <c r="S94" s="874">
        <f>SUMIF(하수!$B$1811:$B$1907,하수처리장참고!$C94,하수!T$1811:T$1907)</f>
        <v>3063.2</v>
      </c>
    </row>
    <row r="95" spans="1:19" ht="16.5">
      <c r="A95" s="1831"/>
      <c r="B95" s="1825"/>
      <c r="C95" s="645" t="s">
        <v>675</v>
      </c>
      <c r="D95" s="643">
        <f>SUMIF(하수!$B$1811:$B$1907,하수처리장참고!$C95,하수!E$1811:E$1907)</f>
        <v>5562</v>
      </c>
      <c r="E95" s="643">
        <f>SUMIF(하수!$B$1811:$B$1907,하수처리장참고!$C95,하수!F$1811:F$1907)</f>
        <v>0</v>
      </c>
      <c r="F95" s="643">
        <f>SUMIF(하수!$B$1811:$B$1907,하수처리장참고!$C95,하수!G$1811:G$1907)</f>
        <v>2572</v>
      </c>
      <c r="G95" s="643">
        <f>SUMIF(하수!$B$1811:$B$1907,하수처리장참고!$C95,하수!H$1811:H$1907)</f>
        <v>2990</v>
      </c>
      <c r="H95" s="643">
        <f>SUMIF(하수!$B$1811:$B$1907,하수처리장참고!$C95,하수!I$1811:I$1907)</f>
        <v>4885.3</v>
      </c>
      <c r="I95" s="643">
        <f>SUMIF(하수!$B$1811:$B$1907,하수처리장참고!$C95,하수!J$1811:J$1907)</f>
        <v>0</v>
      </c>
      <c r="J95" s="643">
        <f>SUMIF(하수!$B$1811:$B$1907,하수처리장참고!$C95,하수!K$1811:K$1907)</f>
        <v>2129.6</v>
      </c>
      <c r="K95" s="643">
        <f>SUMIF(하수!$B$1811:$B$1907,하수처리장참고!$C95,하수!L$1811:L$1907)</f>
        <v>2755.7</v>
      </c>
      <c r="L95" s="848">
        <f>SUMIF(하수!$B$1811:$B$1907,하수처리장참고!$C95,하수!M$1811:M$1907)</f>
        <v>67.545835768731649</v>
      </c>
      <c r="M95" s="643">
        <f>SUMIF(하수!$B$1812:$B$1908,하수처리장참고!$C95,하수!N$1812:N$1908)</f>
        <v>1206.066</v>
      </c>
      <c r="N95" s="848">
        <f>SUMIF(하수!$B$1811:$B$1907,하수처리장참고!$C95,하수!O$1811:O$1907)</f>
        <v>0</v>
      </c>
      <c r="O95" s="848">
        <f>SUMIF(하수!$B$1811:$B$1907,하수처리장참고!$C95,하수!P$1811:P$1907)</f>
        <v>0</v>
      </c>
      <c r="P95" s="848">
        <f>SUMIF(하수!$B$1811:$B$1907,하수처리장참고!$C95,하수!Q$1811:Q$1907)</f>
        <v>0</v>
      </c>
      <c r="Q95" s="848">
        <f>SUMIF(하수!$B$1811:$B$1907,하수처리장참고!$C95,하수!R$1811:R$1907)</f>
        <v>0</v>
      </c>
      <c r="R95" s="848">
        <f>SUMIF(하수!$B$1811:$B$1907,하수처리장참고!$C95,하수!S$1811:S$1907)</f>
        <v>0</v>
      </c>
      <c r="S95" s="874">
        <f>SUMIF(하수!$B$1811:$B$1907,하수처리장참고!$C95,하수!T$1811:T$1907)</f>
        <v>0</v>
      </c>
    </row>
    <row r="96" spans="1:19" ht="16.5">
      <c r="A96" s="1831"/>
      <c r="B96" s="1825" t="s">
        <v>1616</v>
      </c>
      <c r="C96" s="645" t="s">
        <v>6065</v>
      </c>
      <c r="D96" s="643">
        <f t="shared" ref="D96:S96" si="49">SUM(D97:D98)</f>
        <v>103388</v>
      </c>
      <c r="E96" s="643">
        <f t="shared" si="49"/>
        <v>0</v>
      </c>
      <c r="F96" s="643">
        <f t="shared" si="49"/>
        <v>85473</v>
      </c>
      <c r="G96" s="643">
        <f t="shared" si="49"/>
        <v>17915</v>
      </c>
      <c r="H96" s="643">
        <f t="shared" si="49"/>
        <v>92294.92</v>
      </c>
      <c r="I96" s="643">
        <f t="shared" si="49"/>
        <v>0</v>
      </c>
      <c r="J96" s="643">
        <f t="shared" si="49"/>
        <v>77793.919999999998</v>
      </c>
      <c r="K96" s="643">
        <f t="shared" si="49"/>
        <v>14501</v>
      </c>
      <c r="L96" s="848">
        <f t="shared" si="49"/>
        <v>103.16644689618479</v>
      </c>
      <c r="M96" s="643">
        <f t="shared" si="49"/>
        <v>7777.3491999999987</v>
      </c>
      <c r="N96" s="848">
        <f t="shared" si="49"/>
        <v>0</v>
      </c>
      <c r="O96" s="848">
        <f t="shared" si="49"/>
        <v>0</v>
      </c>
      <c r="P96" s="848">
        <f t="shared" si="49"/>
        <v>198.8</v>
      </c>
      <c r="Q96" s="848">
        <f t="shared" si="49"/>
        <v>197.11</v>
      </c>
      <c r="R96" s="848">
        <f t="shared" si="49"/>
        <v>137.01999999999998</v>
      </c>
      <c r="S96" s="874">
        <f t="shared" si="49"/>
        <v>0</v>
      </c>
    </row>
    <row r="97" spans="1:19" ht="16.5">
      <c r="A97" s="1831"/>
      <c r="B97" s="1825"/>
      <c r="C97" s="645" t="s">
        <v>2201</v>
      </c>
      <c r="D97" s="643">
        <f>SUMIF(하수!$B$1909:$B$2035,하수처리장참고!$C97,하수!E$1909:E$2035)</f>
        <v>95150</v>
      </c>
      <c r="E97" s="643">
        <f>SUMIF(하수!$B$1909:$B$2035,하수처리장참고!$C97,하수!F$1909:F$2035)</f>
        <v>0</v>
      </c>
      <c r="F97" s="643">
        <f>SUMIF(하수!$B$1909:$B$2035,하수처리장참고!$C97,하수!G$1909:G$2035)</f>
        <v>80900</v>
      </c>
      <c r="G97" s="643">
        <f>SUMIF(하수!$B$1909:$B$2035,하수처리장참고!$C97,하수!H$1909:H$2035)</f>
        <v>14250</v>
      </c>
      <c r="H97" s="643">
        <f>SUMIF(하수!$B$1909:$B$2035,하수처리장참고!$C97,하수!I$1909:I$2035)</f>
        <v>85809</v>
      </c>
      <c r="I97" s="643">
        <f>SUMIF(하수!$B$1909:$B$2035,하수처리장참고!$C97,하수!J$1909:J$2035)</f>
        <v>0</v>
      </c>
      <c r="J97" s="643">
        <f>SUMIF(하수!$B$1909:$B$2035,하수처리장참고!$C97,하수!K$1909:K$2035)</f>
        <v>72937</v>
      </c>
      <c r="K97" s="643">
        <f>SUMIF(하수!$B$1909:$B$2035,하수처리장참고!$C97,하수!L$1909:L$2035)</f>
        <v>12872</v>
      </c>
      <c r="L97" s="848">
        <f>SUMIF(하수!$B$1909:$B$2035,하수처리장참고!$C97,하수!M$1909:M$2035)</f>
        <v>15.042825727443432</v>
      </c>
      <c r="M97" s="643">
        <f>SUMIF(하수!$B$1910:$B$2036,하수처리장참고!$C97,하수!N$1910:N$2036)</f>
        <v>5871.5091999999995</v>
      </c>
      <c r="N97" s="848">
        <f>SUMIF(하수!$B$1909:$B$2035,하수처리장참고!$C97,하수!O$1909:O$2035)</f>
        <v>0</v>
      </c>
      <c r="O97" s="848">
        <f>SUMIF(하수!$B$1909:$B$2035,하수처리장참고!$C97,하수!P$1909:P$2035)</f>
        <v>0</v>
      </c>
      <c r="P97" s="848">
        <f>SUMIF(하수!$B$1909:$B$2035,하수처리장참고!$C97,하수!Q$1909:Q$2035)</f>
        <v>198.8</v>
      </c>
      <c r="Q97" s="848">
        <f>SUMIF(하수!$B$1909:$B$2035,하수처리장참고!$C97,하수!R$1909:R$2035)</f>
        <v>197.11</v>
      </c>
      <c r="R97" s="848">
        <f>SUMIF(하수!$B$1909:$B$2035,하수처리장참고!$C97,하수!S$1909:S$2035)</f>
        <v>137.01999999999998</v>
      </c>
      <c r="S97" s="874">
        <f>SUMIF(하수!$B$1909:$B$2035,하수처리장참고!$C97,하수!T$1909:T$2035)</f>
        <v>0</v>
      </c>
    </row>
    <row r="98" spans="1:19" ht="17.25" thickBot="1">
      <c r="A98" s="1832"/>
      <c r="B98" s="1829"/>
      <c r="C98" s="652" t="s">
        <v>675</v>
      </c>
      <c r="D98" s="651">
        <f>SUMIF(하수!$B$1909:$B$2035,하수처리장참고!$C98,하수!E$1909:E$2035)</f>
        <v>8238</v>
      </c>
      <c r="E98" s="651">
        <f>SUMIF(하수!$B$1909:$B$2035,하수처리장참고!$C98,하수!F$1909:F$2035)</f>
        <v>0</v>
      </c>
      <c r="F98" s="651">
        <f>SUMIF(하수!$B$1909:$B$2035,하수처리장참고!$C98,하수!G$1909:G$2035)</f>
        <v>4573</v>
      </c>
      <c r="G98" s="651">
        <f>SUMIF(하수!$B$1909:$B$2035,하수처리장참고!$C98,하수!H$1909:H$2035)</f>
        <v>3665</v>
      </c>
      <c r="H98" s="651">
        <f>SUMIF(하수!$B$1909:$B$2035,하수처리장참고!$C98,하수!I$1909:I$2035)</f>
        <v>6485.92</v>
      </c>
      <c r="I98" s="651">
        <f>SUMIF(하수!$B$1909:$B$2035,하수처리장참고!$C98,하수!J$1909:J$2035)</f>
        <v>0</v>
      </c>
      <c r="J98" s="651">
        <f>SUMIF(하수!$B$1909:$B$2035,하수처리장참고!$C98,하수!K$1909:K$2035)</f>
        <v>4856.92</v>
      </c>
      <c r="K98" s="651">
        <f>SUMIF(하수!$B$1909:$B$2035,하수처리장참고!$C98,하수!L$1909:L$2035)</f>
        <v>1629</v>
      </c>
      <c r="L98" s="849">
        <f>SUMIF(하수!$B$1909:$B$2035,하수처리장참고!$C98,하수!M$1909:M$2035)</f>
        <v>88.123621168741366</v>
      </c>
      <c r="M98" s="651">
        <f>SUMIF(하수!$B$1910:$B$2036,하수처리장참고!$C98,하수!N$1910:N$2036)</f>
        <v>1905.8399999999995</v>
      </c>
      <c r="N98" s="849">
        <f>SUMIF(하수!$B$1909:$B$2035,하수처리장참고!$C98,하수!O$1909:O$2035)</f>
        <v>0</v>
      </c>
      <c r="O98" s="849">
        <f>SUMIF(하수!$B$1909:$B$2035,하수처리장참고!$C98,하수!P$1909:P$2035)</f>
        <v>0</v>
      </c>
      <c r="P98" s="849">
        <f>SUMIF(하수!$B$1909:$B$2035,하수처리장참고!$C98,하수!Q$1909:Q$2035)</f>
        <v>0</v>
      </c>
      <c r="Q98" s="849">
        <f>SUMIF(하수!$B$1909:$B$2035,하수처리장참고!$C98,하수!R$1909:R$2035)</f>
        <v>0</v>
      </c>
      <c r="R98" s="849">
        <f>SUMIF(하수!$B$1909:$B$2035,하수처리장참고!$C98,하수!S$1909:S$2035)</f>
        <v>0</v>
      </c>
      <c r="S98" s="875">
        <f>SUMIF(하수!$B$1909:$B$2035,하수처리장참고!$C98,하수!T$1909:T$2035)</f>
        <v>0</v>
      </c>
    </row>
    <row r="99" spans="1:19" ht="16.5">
      <c r="A99" s="1822" t="s">
        <v>1989</v>
      </c>
      <c r="B99" s="1823"/>
      <c r="C99" s="647" t="s">
        <v>1488</v>
      </c>
      <c r="D99" s="648">
        <f t="shared" ref="D99:S99" si="50">SUM(D100:D101)</f>
        <v>178459</v>
      </c>
      <c r="E99" s="648">
        <f t="shared" si="50"/>
        <v>1459</v>
      </c>
      <c r="F99" s="648">
        <f t="shared" si="50"/>
        <v>165000</v>
      </c>
      <c r="G99" s="648">
        <f t="shared" si="50"/>
        <v>12000</v>
      </c>
      <c r="H99" s="648">
        <f t="shared" si="50"/>
        <v>120420</v>
      </c>
      <c r="I99" s="648">
        <f t="shared" si="50"/>
        <v>1028</v>
      </c>
      <c r="J99" s="648">
        <f t="shared" si="50"/>
        <v>115168</v>
      </c>
      <c r="K99" s="648">
        <f t="shared" si="50"/>
        <v>4224</v>
      </c>
      <c r="L99" s="847">
        <f t="shared" si="50"/>
        <v>17.506544558574916</v>
      </c>
      <c r="M99" s="648">
        <f t="shared" si="50"/>
        <v>16155.113120000004</v>
      </c>
      <c r="N99" s="847">
        <f t="shared" si="50"/>
        <v>0</v>
      </c>
      <c r="O99" s="847">
        <f t="shared" si="50"/>
        <v>0</v>
      </c>
      <c r="P99" s="847">
        <f t="shared" si="50"/>
        <v>117.5</v>
      </c>
      <c r="Q99" s="847">
        <f t="shared" si="50"/>
        <v>0</v>
      </c>
      <c r="R99" s="847">
        <f t="shared" si="50"/>
        <v>631.70000000000005</v>
      </c>
      <c r="S99" s="873">
        <f t="shared" si="50"/>
        <v>559.1</v>
      </c>
    </row>
    <row r="100" spans="1:19" ht="16.5">
      <c r="A100" s="1824"/>
      <c r="B100" s="1825"/>
      <c r="C100" s="645" t="s">
        <v>2201</v>
      </c>
      <c r="D100" s="643">
        <f>SUMIF(하수!$B$2037:$B$2073,하수처리장참고!$C100,하수!E$2037:E$2073)</f>
        <v>177000</v>
      </c>
      <c r="E100" s="643">
        <f>SUMIF(하수!$B$2037:$B$2073,하수처리장참고!$C100,하수!F$2037:F$2073)</f>
        <v>0</v>
      </c>
      <c r="F100" s="643">
        <f>SUMIF(하수!$B$2037:$B$2073,하수처리장참고!$C100,하수!G$2037:G$2073)</f>
        <v>165000</v>
      </c>
      <c r="G100" s="643">
        <f>SUMIF(하수!$B$2037:$B$2073,하수처리장참고!$C100,하수!H$2037:H$2073)</f>
        <v>12000</v>
      </c>
      <c r="H100" s="643">
        <f>SUMIF(하수!$B$2037:$B$2073,하수처리장참고!$C100,하수!I$2037:I$2073)</f>
        <v>119392</v>
      </c>
      <c r="I100" s="643">
        <f>SUMIF(하수!$B$2037:$B$2073,하수처리장참고!$C100,하수!J$2037:J$2073)</f>
        <v>0</v>
      </c>
      <c r="J100" s="643">
        <f>SUMIF(하수!$B$2037:$B$2073,하수처리장참고!$C100,하수!K$2037:K$2073)</f>
        <v>115168</v>
      </c>
      <c r="K100" s="643">
        <f>SUMIF(하수!$B$2037:$B$2073,하수처리장참고!$C100,하수!L$2037:L$2073)</f>
        <v>4224</v>
      </c>
      <c r="L100" s="848">
        <f>SUMIF(하수!$B$2037:$B$2073,하수처리장참고!$C100,하수!M$2037:M$2073)</f>
        <v>4.6725445585749146</v>
      </c>
      <c r="M100" s="643">
        <f>SUMIF(하수!$B$2038:$B$2074,하수처리장참고!$C100,하수!N$2038:N$2074)</f>
        <v>12167.270800000004</v>
      </c>
      <c r="N100" s="848">
        <f>SUMIF(하수!$B$2037:$B$2073,하수처리장참고!$C100,하수!O$2037:O$2073)</f>
        <v>0</v>
      </c>
      <c r="O100" s="848">
        <f>SUMIF(하수!$B$2037:$B$2073,하수처리장참고!$C100,하수!P$2037:P$2073)</f>
        <v>0</v>
      </c>
      <c r="P100" s="848">
        <f>SUMIF(하수!$B$2037:$B$2073,하수처리장참고!$C100,하수!Q$2037:Q$2073)</f>
        <v>117.5</v>
      </c>
      <c r="Q100" s="848">
        <f>SUMIF(하수!$B$2037:$B$2073,하수처리장참고!$C100,하수!R$2037:R$2073)</f>
        <v>0</v>
      </c>
      <c r="R100" s="848">
        <f>SUMIF(하수!$B$2037:$B$2073,하수처리장참고!$C100,하수!S$2037:S$2073)</f>
        <v>631.70000000000005</v>
      </c>
      <c r="S100" s="874">
        <f>SUMIF(하수!$B$2037:$B$2073,하수처리장참고!$C100,하수!T$2037:T$2073)</f>
        <v>559.1</v>
      </c>
    </row>
    <row r="101" spans="1:19" ht="17.25" thickBot="1">
      <c r="A101" s="1826"/>
      <c r="B101" s="1827"/>
      <c r="C101" s="646" t="s">
        <v>675</v>
      </c>
      <c r="D101" s="644">
        <f>SUMIF(하수!$B$2037:$B$2073,하수처리장참고!$C101,하수!E$2037:E$2073)</f>
        <v>1459</v>
      </c>
      <c r="E101" s="644">
        <f>SUMIF(하수!$B$2037:$B$2073,하수처리장참고!$C101,하수!F$2037:F$2073)</f>
        <v>1459</v>
      </c>
      <c r="F101" s="644">
        <f>SUMIF(하수!$B$2037:$B$2073,하수처리장참고!$C101,하수!G$2037:G$2073)</f>
        <v>0</v>
      </c>
      <c r="G101" s="644">
        <f>SUMIF(하수!$B$2037:$B$2073,하수처리장참고!$C101,하수!H$2037:H$2073)</f>
        <v>0</v>
      </c>
      <c r="H101" s="644">
        <f>SUMIF(하수!$B$2037:$B$2073,하수처리장참고!$C101,하수!I$2037:I$2073)</f>
        <v>1028</v>
      </c>
      <c r="I101" s="644">
        <f>SUMIF(하수!$B$2037:$B$2073,하수처리장참고!$C101,하수!J$2037:J$2073)</f>
        <v>1028</v>
      </c>
      <c r="J101" s="644">
        <f>SUMIF(하수!$B$2037:$B$2073,하수처리장참고!$C101,하수!K$2037:K$2073)</f>
        <v>0</v>
      </c>
      <c r="K101" s="644">
        <f>SUMIF(하수!$B$2037:$B$2073,하수처리장참고!$C101,하수!L$2037:L$2073)</f>
        <v>0</v>
      </c>
      <c r="L101" s="850">
        <f>SUMIF(하수!$B$2037:$B$2073,하수처리장참고!$C101,하수!M$2037:M$2073)</f>
        <v>12.834</v>
      </c>
      <c r="M101" s="644">
        <f>SUMIF(하수!$B$2038:$B$2074,하수처리장참고!$C101,하수!N$2038:N$2074)</f>
        <v>3987.8423200000002</v>
      </c>
      <c r="N101" s="850">
        <f>SUMIF(하수!$B$2037:$B$2073,하수처리장참고!$C101,하수!O$2037:O$2073)</f>
        <v>0</v>
      </c>
      <c r="O101" s="850">
        <f>SUMIF(하수!$B$2037:$B$2073,하수처리장참고!$C101,하수!P$2037:P$2073)</f>
        <v>0</v>
      </c>
      <c r="P101" s="850">
        <f>SUMIF(하수!$B$2037:$B$2073,하수처리장참고!$C101,하수!Q$2037:Q$2073)</f>
        <v>0</v>
      </c>
      <c r="Q101" s="850">
        <f>SUMIF(하수!$B$2037:$B$2073,하수처리장참고!$C101,하수!R$2037:R$2073)</f>
        <v>0</v>
      </c>
      <c r="R101" s="850">
        <f>SUMIF(하수!$B$2037:$B$2073,하수처리장참고!$C101,하수!S$2037:S$2073)</f>
        <v>0</v>
      </c>
      <c r="S101" s="876">
        <f>SUMIF(하수!$B$2037:$B$2073,하수처리장참고!$C101,하수!T$2037:T$2073)</f>
        <v>0</v>
      </c>
    </row>
  </sheetData>
  <mergeCells count="49">
    <mergeCell ref="A18:B20"/>
    <mergeCell ref="C1:C2"/>
    <mergeCell ref="A21:B23"/>
    <mergeCell ref="A72:A80"/>
    <mergeCell ref="B75:B77"/>
    <mergeCell ref="B78:B80"/>
    <mergeCell ref="B72:B74"/>
    <mergeCell ref="B66:B68"/>
    <mergeCell ref="B69:B71"/>
    <mergeCell ref="A63:A71"/>
    <mergeCell ref="B63:B65"/>
    <mergeCell ref="B54:B56"/>
    <mergeCell ref="B60:B62"/>
    <mergeCell ref="B48:B50"/>
    <mergeCell ref="B51:B53"/>
    <mergeCell ref="B57:B59"/>
    <mergeCell ref="A45:A53"/>
    <mergeCell ref="B45:B47"/>
    <mergeCell ref="A54:A62"/>
    <mergeCell ref="M1:M2"/>
    <mergeCell ref="N1:O2"/>
    <mergeCell ref="A24:B26"/>
    <mergeCell ref="B33:B35"/>
    <mergeCell ref="B30:B32"/>
    <mergeCell ref="B39:B41"/>
    <mergeCell ref="B42:B44"/>
    <mergeCell ref="A27:A35"/>
    <mergeCell ref="B27:B29"/>
    <mergeCell ref="A36:A44"/>
    <mergeCell ref="B36:B38"/>
    <mergeCell ref="A12:B14"/>
    <mergeCell ref="A15:B17"/>
    <mergeCell ref="P1:S1"/>
    <mergeCell ref="A3:B5"/>
    <mergeCell ref="A6:B8"/>
    <mergeCell ref="A9:B11"/>
    <mergeCell ref="I1:K1"/>
    <mergeCell ref="E1:G1"/>
    <mergeCell ref="A1:B2"/>
    <mergeCell ref="L1:L2"/>
    <mergeCell ref="A99:B101"/>
    <mergeCell ref="B84:B86"/>
    <mergeCell ref="B87:B89"/>
    <mergeCell ref="B93:B95"/>
    <mergeCell ref="B96:B98"/>
    <mergeCell ref="A90:A98"/>
    <mergeCell ref="B90:B92"/>
    <mergeCell ref="A81:A89"/>
    <mergeCell ref="B81:B83"/>
  </mergeCells>
  <phoneticPr fontId="3" type="noConversion"/>
  <conditionalFormatting sqref="C6:S101">
    <cfRule type="expression" dxfId="300" priority="4" stopIfTrue="1">
      <formula>$C6="마을"</formula>
    </cfRule>
    <cfRule type="expression" dxfId="299" priority="5" stopIfTrue="1">
      <formula>RIGHT($C6,1)="계"</formula>
    </cfRule>
    <cfRule type="expression" dxfId="298" priority="6" stopIfTrue="1">
      <formula>$C6="하수"</formula>
    </cfRule>
  </conditionalFormatting>
  <conditionalFormatting sqref="C3:S5">
    <cfRule type="expression" dxfId="297" priority="1" stopIfTrue="1">
      <formula>$C3="마을"</formula>
    </cfRule>
    <cfRule type="expression" dxfId="296" priority="2" stopIfTrue="1">
      <formula>RIGHT($C3,1)="계"</formula>
    </cfRule>
    <cfRule type="expression" dxfId="295" priority="3" stopIfTrue="1">
      <formula>$C3="하수"</formula>
    </cfRule>
  </conditionalFormatting>
  <pageMargins left="0.35433070866141736" right="0.31496062992125984" top="1.44875" bottom="0.74803149606299213" header="0.31496062992125984" footer="0.31496062992125984"/>
  <pageSetup paperSize="9" scale="5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8"/>
  <dimension ref="A2:U9"/>
  <sheetViews>
    <sheetView view="pageBreakPreview" topLeftCell="E1" zoomScaleNormal="85" zoomScaleSheetLayoutView="100" workbookViewId="0">
      <selection activeCell="J19" sqref="J19"/>
    </sheetView>
  </sheetViews>
  <sheetFormatPr defaultColWidth="3.88671875" defaultRowHeight="12"/>
  <cols>
    <col min="1" max="1" width="11.33203125" style="2" customWidth="1"/>
    <col min="2" max="2" width="14.44140625" style="2" customWidth="1"/>
    <col min="3" max="3" width="23.44140625" style="42" customWidth="1"/>
    <col min="4" max="6" width="9.77734375" style="2" customWidth="1"/>
    <col min="7" max="7" width="25.21875" style="2" customWidth="1"/>
    <col min="8" max="8" width="16.21875" style="2" customWidth="1"/>
    <col min="9" max="9" width="12" style="3" customWidth="1"/>
    <col min="10" max="10" width="10.5546875" style="2" bestFit="1" customWidth="1"/>
    <col min="11" max="11" width="9.44140625" style="45" customWidth="1"/>
    <col min="12" max="12" width="8.44140625" style="2" bestFit="1" customWidth="1"/>
    <col min="13" max="15" width="6.6640625" style="2" bestFit="1" customWidth="1"/>
    <col min="16" max="16384" width="3.88671875" style="3"/>
  </cols>
  <sheetData>
    <row r="2" spans="1:21" s="922" customFormat="1" ht="27.75" customHeight="1">
      <c r="A2" s="1688"/>
      <c r="B2" s="1688"/>
      <c r="C2" s="1688"/>
      <c r="D2" s="1688"/>
      <c r="E2" s="1688"/>
      <c r="F2" s="977"/>
      <c r="G2" s="920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21" s="925" customFormat="1" ht="27.75" customHeight="1">
      <c r="A3" s="1597" t="s">
        <v>7667</v>
      </c>
      <c r="B3" s="1597"/>
      <c r="C3" s="1597"/>
      <c r="D3" s="1597"/>
      <c r="E3" s="1597"/>
      <c r="F3" s="1136"/>
      <c r="G3" s="923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ht="12.75" thickBot="1"/>
    <row r="5" spans="1:21" s="2" customFormat="1" ht="27" customHeight="1">
      <c r="A5" s="1840" t="s">
        <v>1508</v>
      </c>
      <c r="B5" s="1653" t="s">
        <v>1462</v>
      </c>
      <c r="C5" s="1842" t="s">
        <v>1463</v>
      </c>
      <c r="D5" s="1653" t="s">
        <v>1505</v>
      </c>
      <c r="E5" s="1653" t="s">
        <v>1506</v>
      </c>
      <c r="F5" s="1842" t="s">
        <v>8856</v>
      </c>
      <c r="G5" s="1653" t="s">
        <v>1507</v>
      </c>
      <c r="H5" s="1653" t="s">
        <v>1470</v>
      </c>
      <c r="I5" s="1842" t="s">
        <v>1464</v>
      </c>
      <c r="J5" s="1849" t="s">
        <v>8857</v>
      </c>
      <c r="K5" s="1847" t="s">
        <v>1466</v>
      </c>
      <c r="L5" s="1653" t="s">
        <v>8769</v>
      </c>
      <c r="M5" s="1844" t="s">
        <v>1468</v>
      </c>
      <c r="N5" s="1845"/>
      <c r="O5" s="1846"/>
    </row>
    <row r="6" spans="1:21" s="2" customFormat="1" ht="27" customHeight="1">
      <c r="A6" s="1841"/>
      <c r="B6" s="1839"/>
      <c r="C6" s="1843"/>
      <c r="D6" s="1839"/>
      <c r="E6" s="1839"/>
      <c r="F6" s="1843"/>
      <c r="G6" s="1839"/>
      <c r="H6" s="1839"/>
      <c r="I6" s="1843"/>
      <c r="J6" s="1839"/>
      <c r="K6" s="1848"/>
      <c r="L6" s="1839"/>
      <c r="M6" s="43" t="s">
        <v>1469</v>
      </c>
      <c r="N6" s="43" t="s">
        <v>1481</v>
      </c>
      <c r="O6" s="46" t="s">
        <v>1454</v>
      </c>
    </row>
    <row r="7" spans="1:21" ht="27" customHeight="1">
      <c r="A7" s="1306" t="s">
        <v>9120</v>
      </c>
      <c r="B7" s="1261" t="s">
        <v>9121</v>
      </c>
      <c r="C7" s="1261" t="s">
        <v>9122</v>
      </c>
      <c r="D7" s="1307">
        <v>300</v>
      </c>
      <c r="E7" s="1307">
        <v>139</v>
      </c>
      <c r="F7" s="1261">
        <v>365</v>
      </c>
      <c r="G7" s="1565" t="s">
        <v>9422</v>
      </c>
      <c r="H7" s="1261" t="s">
        <v>9123</v>
      </c>
      <c r="I7" s="1261" t="s">
        <v>9124</v>
      </c>
      <c r="J7" s="1261" t="s">
        <v>9125</v>
      </c>
      <c r="K7" s="1261">
        <v>2114</v>
      </c>
      <c r="L7" s="1261" t="s">
        <v>2244</v>
      </c>
      <c r="M7" s="1261" t="s">
        <v>9126</v>
      </c>
      <c r="N7" s="1261" t="s">
        <v>9127</v>
      </c>
      <c r="O7" s="1308" t="s">
        <v>1767</v>
      </c>
    </row>
    <row r="8" spans="1:21" ht="27" customHeight="1">
      <c r="A8" s="34"/>
      <c r="B8" s="38"/>
      <c r="C8" s="47"/>
      <c r="D8" s="33"/>
      <c r="E8" s="33"/>
      <c r="F8" s="33"/>
      <c r="G8" s="36"/>
      <c r="H8" s="36"/>
      <c r="I8" s="48"/>
      <c r="J8" s="36"/>
      <c r="K8" s="35"/>
      <c r="L8" s="36"/>
      <c r="M8" s="49"/>
      <c r="N8" s="49"/>
      <c r="O8" s="1148"/>
    </row>
    <row r="9" spans="1:21" ht="27" customHeight="1" thickBot="1">
      <c r="A9" s="1074"/>
      <c r="B9" s="1149"/>
      <c r="C9" s="1150"/>
      <c r="D9" s="1083"/>
      <c r="E9" s="1083"/>
      <c r="F9" s="1083"/>
      <c r="G9" s="40"/>
      <c r="H9" s="40"/>
      <c r="I9" s="1127"/>
      <c r="J9" s="40"/>
      <c r="K9" s="1151"/>
      <c r="L9" s="40"/>
      <c r="M9" s="1152"/>
      <c r="N9" s="1152"/>
      <c r="O9" s="1153"/>
    </row>
  </sheetData>
  <mergeCells count="15">
    <mergeCell ref="F5:F6"/>
    <mergeCell ref="M5:O5"/>
    <mergeCell ref="K5:K6"/>
    <mergeCell ref="H5:H6"/>
    <mergeCell ref="I5:I6"/>
    <mergeCell ref="J5:J6"/>
    <mergeCell ref="G5:G6"/>
    <mergeCell ref="L5:L6"/>
    <mergeCell ref="D5:D6"/>
    <mergeCell ref="E5:E6"/>
    <mergeCell ref="A2:E2"/>
    <mergeCell ref="A3:E3"/>
    <mergeCell ref="A5:A6"/>
    <mergeCell ref="B5:B6"/>
    <mergeCell ref="C5:C6"/>
  </mergeCells>
  <phoneticPr fontId="3" type="noConversion"/>
  <conditionalFormatting sqref="A7:O9">
    <cfRule type="expression" dxfId="294" priority="5" stopIfTrue="1">
      <formula>OR(RIGHT($A7,3)="특별시",RIGHT($A7,3)="광역시",RIGHT($A7,1)="도",$A7="전국")</formula>
    </cfRule>
  </conditionalFormatting>
  <conditionalFormatting sqref="A7:O7">
    <cfRule type="expression" dxfId="293" priority="3" stopIfTrue="1">
      <formula>OR(RIGHT($A7,3)="특별시",RIGHT($A7,3)="광역시",RIGHT($A7,1)="도",$A7="전국")</formula>
    </cfRule>
  </conditionalFormatting>
  <conditionalFormatting sqref="A7:N7">
    <cfRule type="expression" dxfId="292" priority="2" stopIfTrue="1">
      <formula>OR(RIGHT($A7,3)="특별시",RIGHT($A7,3)="광역시",RIGHT($A7,1)="도",$A7="전국")</formula>
    </cfRule>
  </conditionalFormatting>
  <conditionalFormatting sqref="O7">
    <cfRule type="expression" dxfId="291" priority="1" stopIfTrue="1">
      <formula>OR(RIGHT($A7,3)="특별시",RIGHT($A7,3)="광역시",RIGHT($A7,1)="도",$A7="전국")</formula>
    </cfRule>
  </conditionalFormatting>
  <dataValidations count="5">
    <dataValidation type="list" allowBlank="1" showInputMessage="1" showErrorMessage="1" sqref="L10">
      <formula1>"자체(직영), 공기업, 민간위탁"</formula1>
    </dataValidation>
    <dataValidation type="list" allowBlank="1" showInputMessage="1" showErrorMessage="1" sqref="O8:O9">
      <formula1>"한강, 낙동강, 금강, 영산강, 섬진강, 연안, 기타"</formula1>
    </dataValidation>
    <dataValidation type="list" allowBlank="1" showInputMessage="1" showErrorMessage="1" sqref="L8:L9">
      <formula1>"자체(직영), 공기업, 민간위탁,기타(일부위탁)"</formula1>
    </dataValidation>
    <dataValidation type="whole" allowBlank="1" showInputMessage="1" showErrorMessage="1" prompt="0~365 사이 정수값" sqref="F8:F9 F7:G7">
      <formula1>0</formula1>
      <formula2>365</formula2>
    </dataValidation>
    <dataValidation type="date" operator="lessThanOrEqual" allowBlank="1" showInputMessage="1" showErrorMessage="1" promptTitle="작성방법" prompt="ex) 2014-12-31_x000a_" sqref="J8:J9">
      <formula1>42004</formula1>
    </dataValidation>
  </dataValidations>
  <pageMargins left="0.75" right="0.75" top="1" bottom="1" header="0.5" footer="0.5"/>
  <pageSetup paperSize="9" scale="62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2:U121"/>
  <sheetViews>
    <sheetView view="pageBreakPreview" zoomScale="88" zoomScaleNormal="80" zoomScaleSheetLayoutView="88" workbookViewId="0">
      <selection activeCell="E16" sqref="E16"/>
    </sheetView>
  </sheetViews>
  <sheetFormatPr defaultColWidth="3.88671875" defaultRowHeight="12"/>
  <cols>
    <col min="1" max="1" width="11.88671875" style="3" customWidth="1"/>
    <col min="2" max="18" width="9" style="3" customWidth="1"/>
    <col min="19" max="19" width="7.44140625" style="3" customWidth="1"/>
    <col min="20" max="16384" width="3.88671875" style="3"/>
  </cols>
  <sheetData>
    <row r="2" spans="1:21" s="922" customFormat="1" ht="27.75" customHeight="1">
      <c r="A2" s="1597" t="s">
        <v>7668</v>
      </c>
      <c r="B2" s="1597"/>
      <c r="C2" s="1597"/>
      <c r="D2" s="1597"/>
      <c r="E2" s="1597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21" s="925" customFormat="1" ht="27.75" customHeight="1">
      <c r="A3" s="1597" t="s">
        <v>9243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ht="18" customHeight="1" thickBo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1857"/>
      <c r="R4" s="1857"/>
    </row>
    <row r="5" spans="1:21" ht="27.75" customHeight="1">
      <c r="A5" s="1850" t="s">
        <v>2469</v>
      </c>
      <c r="B5" s="1853" t="s">
        <v>1488</v>
      </c>
      <c r="C5" s="1853" t="s">
        <v>1426</v>
      </c>
      <c r="D5" s="1853"/>
      <c r="E5" s="1853"/>
      <c r="F5" s="1853"/>
      <c r="G5" s="1853"/>
      <c r="H5" s="1853"/>
      <c r="I5" s="1853"/>
      <c r="J5" s="1853"/>
      <c r="K5" s="1853"/>
      <c r="L5" s="1853"/>
      <c r="M5" s="1853"/>
      <c r="N5" s="1853"/>
      <c r="O5" s="1853"/>
      <c r="P5" s="1853"/>
      <c r="Q5" s="1853"/>
      <c r="R5" s="1856"/>
    </row>
    <row r="6" spans="1:21" ht="27.75" customHeight="1">
      <c r="A6" s="1851"/>
      <c r="B6" s="1854"/>
      <c r="C6" s="1854" t="s">
        <v>1484</v>
      </c>
      <c r="D6" s="1854"/>
      <c r="E6" s="1854"/>
      <c r="F6" s="1854"/>
      <c r="G6" s="1854"/>
      <c r="H6" s="1854"/>
      <c r="I6" s="1854"/>
      <c r="J6" s="1854"/>
      <c r="K6" s="1854" t="s">
        <v>1487</v>
      </c>
      <c r="L6" s="1854"/>
      <c r="M6" s="1854"/>
      <c r="N6" s="1854"/>
      <c r="O6" s="1854"/>
      <c r="P6" s="1854"/>
      <c r="Q6" s="1854"/>
      <c r="R6" s="1858"/>
    </row>
    <row r="7" spans="1:21" ht="27.75" customHeight="1" thickBot="1">
      <c r="A7" s="1852"/>
      <c r="B7" s="1855"/>
      <c r="C7" s="1189" t="s">
        <v>1403</v>
      </c>
      <c r="D7" s="1189" t="s">
        <v>1580</v>
      </c>
      <c r="E7" s="1189" t="s">
        <v>1581</v>
      </c>
      <c r="F7" s="1189" t="s">
        <v>1409</v>
      </c>
      <c r="G7" s="1189" t="s">
        <v>1485</v>
      </c>
      <c r="H7" s="1189" t="s">
        <v>1410</v>
      </c>
      <c r="I7" s="1189" t="s">
        <v>1411</v>
      </c>
      <c r="J7" s="1189" t="s">
        <v>1486</v>
      </c>
      <c r="K7" s="1189" t="s">
        <v>1403</v>
      </c>
      <c r="L7" s="1189" t="s">
        <v>1580</v>
      </c>
      <c r="M7" s="1189" t="s">
        <v>1581</v>
      </c>
      <c r="N7" s="1189" t="s">
        <v>1409</v>
      </c>
      <c r="O7" s="1189" t="s">
        <v>1485</v>
      </c>
      <c r="P7" s="1189" t="s">
        <v>1410</v>
      </c>
      <c r="Q7" s="1189" t="s">
        <v>1411</v>
      </c>
      <c r="R7" s="51" t="s">
        <v>1486</v>
      </c>
    </row>
    <row r="8" spans="1:21" ht="27.75" customHeight="1">
      <c r="A8" s="1361" t="s">
        <v>9241</v>
      </c>
      <c r="B8" s="1362">
        <f>SUM(B9:B27)</f>
        <v>5716</v>
      </c>
      <c r="C8" s="1362">
        <f>SUM(C9:C27)</f>
        <v>2938</v>
      </c>
      <c r="D8" s="1362">
        <f t="shared" ref="D8:J8" si="0">SUM(D9:D27)</f>
        <v>830</v>
      </c>
      <c r="E8" s="1362">
        <f t="shared" si="0"/>
        <v>1382</v>
      </c>
      <c r="F8" s="1362">
        <f t="shared" si="0"/>
        <v>349</v>
      </c>
      <c r="G8" s="1362">
        <f t="shared" si="0"/>
        <v>282</v>
      </c>
      <c r="H8" s="1362">
        <f t="shared" si="0"/>
        <v>57</v>
      </c>
      <c r="I8" s="1362">
        <f t="shared" si="0"/>
        <v>37</v>
      </c>
      <c r="J8" s="1362">
        <f t="shared" si="0"/>
        <v>1</v>
      </c>
      <c r="K8" s="1362">
        <f>SUM(K9:K27)</f>
        <v>2778</v>
      </c>
      <c r="L8" s="1362">
        <f t="shared" ref="L8:R8" si="1">SUM(L9:L27)</f>
        <v>711</v>
      </c>
      <c r="M8" s="1362">
        <f t="shared" si="1"/>
        <v>1604</v>
      </c>
      <c r="N8" s="1362">
        <f t="shared" si="1"/>
        <v>321</v>
      </c>
      <c r="O8" s="1362">
        <f t="shared" si="1"/>
        <v>123</v>
      </c>
      <c r="P8" s="1362">
        <f t="shared" si="1"/>
        <v>13</v>
      </c>
      <c r="Q8" s="1362">
        <f t="shared" si="1"/>
        <v>6</v>
      </c>
      <c r="R8" s="1362">
        <f t="shared" si="1"/>
        <v>0</v>
      </c>
    </row>
    <row r="9" spans="1:21" ht="27" customHeight="1">
      <c r="A9" s="1363" t="s">
        <v>9036</v>
      </c>
      <c r="B9" s="1364">
        <f>SUM(C9+K9)</f>
        <v>487</v>
      </c>
      <c r="C9" s="1364">
        <f>SUM(D9:J9)</f>
        <v>468</v>
      </c>
      <c r="D9" s="1365">
        <v>108</v>
      </c>
      <c r="E9" s="1365">
        <v>214</v>
      </c>
      <c r="F9" s="1365">
        <v>69</v>
      </c>
      <c r="G9" s="1365">
        <v>62</v>
      </c>
      <c r="H9" s="1365">
        <v>8</v>
      </c>
      <c r="I9" s="1365">
        <v>7</v>
      </c>
      <c r="J9" s="1366" t="s">
        <v>9242</v>
      </c>
      <c r="K9" s="1364">
        <f>SUM(L9:R9)</f>
        <v>19</v>
      </c>
      <c r="L9" s="1365">
        <v>2</v>
      </c>
      <c r="M9" s="1365">
        <v>12</v>
      </c>
      <c r="N9" s="1365">
        <v>3</v>
      </c>
      <c r="O9" s="1365">
        <v>1</v>
      </c>
      <c r="P9" s="1365"/>
      <c r="Q9" s="1365">
        <v>1</v>
      </c>
      <c r="R9" s="1366" t="s">
        <v>9242</v>
      </c>
    </row>
    <row r="10" spans="1:21" ht="27" customHeight="1">
      <c r="A10" s="1363" t="s">
        <v>9034</v>
      </c>
      <c r="B10" s="1364">
        <f>SUM(C10+K10)</f>
        <v>435</v>
      </c>
      <c r="C10" s="1364">
        <f t="shared" ref="C10:C27" si="2">SUM(D10:J10)</f>
        <v>435</v>
      </c>
      <c r="D10" s="1365">
        <v>81</v>
      </c>
      <c r="E10" s="1365">
        <v>281</v>
      </c>
      <c r="F10" s="1365">
        <v>40</v>
      </c>
      <c r="G10" s="1365">
        <v>26</v>
      </c>
      <c r="H10" s="1365">
        <v>3</v>
      </c>
      <c r="I10" s="1365">
        <v>4</v>
      </c>
      <c r="J10" s="1366" t="s">
        <v>9242</v>
      </c>
      <c r="K10" s="1364">
        <f>SUM(L10:R10)</f>
        <v>0</v>
      </c>
      <c r="L10" s="1366" t="s">
        <v>9242</v>
      </c>
      <c r="M10" s="1366" t="s">
        <v>9242</v>
      </c>
      <c r="N10" s="1366" t="s">
        <v>9242</v>
      </c>
      <c r="O10" s="1366" t="s">
        <v>9242</v>
      </c>
      <c r="P10" s="1366" t="s">
        <v>9242</v>
      </c>
      <c r="Q10" s="1366" t="s">
        <v>9242</v>
      </c>
      <c r="R10" s="1366" t="s">
        <v>9242</v>
      </c>
    </row>
    <row r="11" spans="1:21" ht="27" customHeight="1">
      <c r="A11" s="1363" t="s">
        <v>9035</v>
      </c>
      <c r="B11" s="1364">
        <f>SUM(C11+K11)</f>
        <v>616</v>
      </c>
      <c r="C11" s="1364">
        <f t="shared" si="2"/>
        <v>570</v>
      </c>
      <c r="D11" s="1365">
        <v>213</v>
      </c>
      <c r="E11" s="1365">
        <v>208</v>
      </c>
      <c r="F11" s="1365">
        <v>76</v>
      </c>
      <c r="G11" s="1365">
        <v>53</v>
      </c>
      <c r="H11" s="1365">
        <v>14</v>
      </c>
      <c r="I11" s="1365">
        <v>6</v>
      </c>
      <c r="J11" s="1366" t="s">
        <v>9242</v>
      </c>
      <c r="K11" s="1364">
        <f t="shared" ref="K11:K27" si="3">SUM(L11:R11)</f>
        <v>46</v>
      </c>
      <c r="L11" s="1365">
        <v>5</v>
      </c>
      <c r="M11" s="1365">
        <v>35</v>
      </c>
      <c r="N11" s="1365">
        <v>6</v>
      </c>
      <c r="O11" s="1366" t="s">
        <v>9242</v>
      </c>
      <c r="P11" s="1366" t="s">
        <v>9242</v>
      </c>
      <c r="Q11" s="1366" t="s">
        <v>9242</v>
      </c>
      <c r="R11" s="1366" t="s">
        <v>9242</v>
      </c>
    </row>
    <row r="12" spans="1:21" ht="27" customHeight="1">
      <c r="A12" s="1363" t="s">
        <v>9038</v>
      </c>
      <c r="B12" s="1364">
        <f>SUM(C12+K12)</f>
        <v>1680</v>
      </c>
      <c r="C12" s="1364">
        <f>SUM(D12:J12)</f>
        <v>330</v>
      </c>
      <c r="D12" s="1365">
        <v>118</v>
      </c>
      <c r="E12" s="1365">
        <v>178</v>
      </c>
      <c r="F12" s="1365">
        <v>27</v>
      </c>
      <c r="G12" s="1365">
        <v>4</v>
      </c>
      <c r="H12" s="1365">
        <v>1</v>
      </c>
      <c r="I12" s="1365">
        <v>2</v>
      </c>
      <c r="J12" s="1366" t="s">
        <v>9242</v>
      </c>
      <c r="K12" s="1364">
        <v>1350</v>
      </c>
      <c r="L12" s="1365">
        <v>323</v>
      </c>
      <c r="M12" s="1365">
        <v>817</v>
      </c>
      <c r="N12" s="1365">
        <v>157</v>
      </c>
      <c r="O12" s="1365">
        <v>49</v>
      </c>
      <c r="P12" s="1365">
        <v>3</v>
      </c>
      <c r="Q12" s="1365">
        <v>1</v>
      </c>
      <c r="R12" s="1366" t="s">
        <v>9242</v>
      </c>
    </row>
    <row r="13" spans="1:21" ht="27" customHeight="1">
      <c r="A13" s="1363" t="s">
        <v>9031</v>
      </c>
      <c r="B13" s="1364">
        <f t="shared" ref="B13:B27" si="4">SUM(C13+K13)</f>
        <v>693</v>
      </c>
      <c r="C13" s="1364">
        <f t="shared" si="2"/>
        <v>360</v>
      </c>
      <c r="D13" s="1365">
        <v>127</v>
      </c>
      <c r="E13" s="1365">
        <v>189</v>
      </c>
      <c r="F13" s="1365">
        <v>36</v>
      </c>
      <c r="G13" s="1365">
        <v>7</v>
      </c>
      <c r="H13" s="1366" t="s">
        <v>9242</v>
      </c>
      <c r="I13" s="1365">
        <v>1</v>
      </c>
      <c r="J13" s="1366" t="s">
        <v>9242</v>
      </c>
      <c r="K13" s="1364">
        <f t="shared" si="3"/>
        <v>333</v>
      </c>
      <c r="L13" s="1365">
        <v>65</v>
      </c>
      <c r="M13" s="1365">
        <v>194</v>
      </c>
      <c r="N13" s="1365">
        <v>36</v>
      </c>
      <c r="O13" s="1365">
        <v>31</v>
      </c>
      <c r="P13" s="1365">
        <v>5</v>
      </c>
      <c r="Q13" s="1365">
        <v>2</v>
      </c>
      <c r="R13" s="1366" t="s">
        <v>9242</v>
      </c>
    </row>
    <row r="14" spans="1:21" ht="27" customHeight="1">
      <c r="A14" s="1363" t="s">
        <v>9029</v>
      </c>
      <c r="B14" s="1364">
        <v>918</v>
      </c>
      <c r="C14" s="1364">
        <f>SUM(D14:J14)</f>
        <v>42</v>
      </c>
      <c r="D14" s="1365">
        <v>31</v>
      </c>
      <c r="E14" s="1365">
        <v>9</v>
      </c>
      <c r="F14" s="1365">
        <v>2</v>
      </c>
      <c r="G14" s="1366" t="s">
        <v>9242</v>
      </c>
      <c r="H14" s="1366" t="s">
        <v>9242</v>
      </c>
      <c r="I14" s="1366" t="s">
        <v>9242</v>
      </c>
      <c r="J14" s="1366" t="s">
        <v>9242</v>
      </c>
      <c r="K14" s="1364">
        <f>SUM(L14:R14)</f>
        <v>876</v>
      </c>
      <c r="L14" s="1365">
        <v>228</v>
      </c>
      <c r="M14" s="1365">
        <v>497</v>
      </c>
      <c r="N14" s="1365">
        <v>106</v>
      </c>
      <c r="O14" s="1365">
        <v>38</v>
      </c>
      <c r="P14" s="1365">
        <v>5</v>
      </c>
      <c r="Q14" s="1365">
        <v>2</v>
      </c>
      <c r="R14" s="1366" t="s">
        <v>9242</v>
      </c>
    </row>
    <row r="15" spans="1:21" ht="27" customHeight="1">
      <c r="A15" s="1363" t="s">
        <v>9027</v>
      </c>
      <c r="B15" s="1364">
        <f t="shared" si="4"/>
        <v>92</v>
      </c>
      <c r="C15" s="1364">
        <f t="shared" si="2"/>
        <v>0</v>
      </c>
      <c r="D15" s="1366" t="s">
        <v>9242</v>
      </c>
      <c r="E15" s="1366" t="s">
        <v>9242</v>
      </c>
      <c r="F15" s="1366" t="s">
        <v>9242</v>
      </c>
      <c r="G15" s="1366" t="s">
        <v>9242</v>
      </c>
      <c r="H15" s="1366" t="s">
        <v>9242</v>
      </c>
      <c r="I15" s="1366" t="s">
        <v>9242</v>
      </c>
      <c r="J15" s="1366" t="s">
        <v>9242</v>
      </c>
      <c r="K15" s="1364">
        <f t="shared" si="3"/>
        <v>92</v>
      </c>
      <c r="L15" s="1365">
        <v>43</v>
      </c>
      <c r="M15" s="1365">
        <v>38</v>
      </c>
      <c r="N15" s="1365">
        <v>8</v>
      </c>
      <c r="O15" s="1365">
        <v>3</v>
      </c>
      <c r="P15" s="1366" t="s">
        <v>9242</v>
      </c>
      <c r="Q15" s="1366" t="s">
        <v>9242</v>
      </c>
      <c r="R15" s="1366" t="s">
        <v>9242</v>
      </c>
    </row>
    <row r="16" spans="1:21" ht="27" customHeight="1">
      <c r="A16" s="1363" t="s">
        <v>9006</v>
      </c>
      <c r="B16" s="1364">
        <f t="shared" si="4"/>
        <v>3</v>
      </c>
      <c r="C16" s="1364">
        <f t="shared" si="2"/>
        <v>3</v>
      </c>
      <c r="D16" s="1365">
        <v>2</v>
      </c>
      <c r="E16" s="1366" t="s">
        <v>9242</v>
      </c>
      <c r="F16" s="1366" t="s">
        <v>9242</v>
      </c>
      <c r="G16" s="1365">
        <v>1</v>
      </c>
      <c r="H16" s="1366" t="s">
        <v>9242</v>
      </c>
      <c r="I16" s="1366" t="s">
        <v>9242</v>
      </c>
      <c r="J16" s="1366" t="s">
        <v>9242</v>
      </c>
      <c r="K16" s="1364">
        <f t="shared" si="3"/>
        <v>0</v>
      </c>
      <c r="L16" s="1366" t="s">
        <v>9242</v>
      </c>
      <c r="M16" s="1366" t="s">
        <v>9242</v>
      </c>
      <c r="N16" s="1366" t="s">
        <v>9242</v>
      </c>
      <c r="O16" s="1366" t="s">
        <v>9242</v>
      </c>
      <c r="P16" s="1366" t="s">
        <v>9242</v>
      </c>
      <c r="Q16" s="1366" t="s">
        <v>9242</v>
      </c>
      <c r="R16" s="1366" t="s">
        <v>9242</v>
      </c>
    </row>
    <row r="17" spans="1:18" ht="27" customHeight="1">
      <c r="A17" s="1363" t="s">
        <v>9234</v>
      </c>
      <c r="B17" s="1364">
        <f t="shared" si="4"/>
        <v>22</v>
      </c>
      <c r="C17" s="1364">
        <f t="shared" si="2"/>
        <v>22</v>
      </c>
      <c r="D17" s="1366" t="s">
        <v>9242</v>
      </c>
      <c r="E17" s="1365">
        <v>3</v>
      </c>
      <c r="F17" s="1365">
        <v>1</v>
      </c>
      <c r="G17" s="1365">
        <v>10</v>
      </c>
      <c r="H17" s="1365">
        <v>7</v>
      </c>
      <c r="I17" s="1365">
        <v>1</v>
      </c>
      <c r="J17" s="1366" t="s">
        <v>9242</v>
      </c>
      <c r="K17" s="1364">
        <f t="shared" si="3"/>
        <v>0</v>
      </c>
      <c r="L17" s="1366" t="s">
        <v>9242</v>
      </c>
      <c r="M17" s="1366" t="s">
        <v>9242</v>
      </c>
      <c r="N17" s="1366" t="s">
        <v>9242</v>
      </c>
      <c r="O17" s="1366" t="s">
        <v>9242</v>
      </c>
      <c r="P17" s="1366" t="s">
        <v>9242</v>
      </c>
      <c r="Q17" s="1366" t="s">
        <v>9242</v>
      </c>
      <c r="R17" s="1366" t="s">
        <v>9242</v>
      </c>
    </row>
    <row r="18" spans="1:18" ht="27" customHeight="1">
      <c r="A18" s="1363" t="s">
        <v>9009</v>
      </c>
      <c r="B18" s="1364">
        <f t="shared" si="4"/>
        <v>39</v>
      </c>
      <c r="C18" s="1364">
        <f t="shared" si="2"/>
        <v>39</v>
      </c>
      <c r="D18" s="1365">
        <v>2</v>
      </c>
      <c r="E18" s="1365">
        <v>11</v>
      </c>
      <c r="F18" s="1365">
        <v>9</v>
      </c>
      <c r="G18" s="1365">
        <v>11</v>
      </c>
      <c r="H18" s="1365">
        <v>4</v>
      </c>
      <c r="I18" s="1365">
        <v>2</v>
      </c>
      <c r="J18" s="1366" t="s">
        <v>9242</v>
      </c>
      <c r="K18" s="1364">
        <f t="shared" si="3"/>
        <v>0</v>
      </c>
      <c r="L18" s="1366" t="s">
        <v>9242</v>
      </c>
      <c r="M18" s="1366" t="s">
        <v>9242</v>
      </c>
      <c r="N18" s="1366" t="s">
        <v>9242</v>
      </c>
      <c r="O18" s="1366" t="s">
        <v>9242</v>
      </c>
      <c r="P18" s="1366" t="s">
        <v>9242</v>
      </c>
      <c r="Q18" s="1366" t="s">
        <v>9242</v>
      </c>
      <c r="R18" s="1366" t="s">
        <v>9242</v>
      </c>
    </row>
    <row r="19" spans="1:18" ht="27" customHeight="1">
      <c r="A19" s="1363" t="s">
        <v>9235</v>
      </c>
      <c r="B19" s="1364">
        <f t="shared" si="4"/>
        <v>25</v>
      </c>
      <c r="C19" s="1364">
        <f t="shared" si="2"/>
        <v>25</v>
      </c>
      <c r="D19" s="1365">
        <v>1</v>
      </c>
      <c r="E19" s="1365">
        <v>4</v>
      </c>
      <c r="F19" s="1365">
        <v>1</v>
      </c>
      <c r="G19" s="1365">
        <v>6</v>
      </c>
      <c r="H19" s="1365">
        <v>6</v>
      </c>
      <c r="I19" s="1365">
        <v>7</v>
      </c>
      <c r="J19" s="1366" t="s">
        <v>9242</v>
      </c>
      <c r="K19" s="1364">
        <f t="shared" si="3"/>
        <v>0</v>
      </c>
      <c r="L19" s="1366" t="s">
        <v>9242</v>
      </c>
      <c r="M19" s="1366" t="s">
        <v>9242</v>
      </c>
      <c r="N19" s="1366" t="s">
        <v>9242</v>
      </c>
      <c r="O19" s="1366" t="s">
        <v>9242</v>
      </c>
      <c r="P19" s="1366" t="s">
        <v>9242</v>
      </c>
      <c r="Q19" s="1366" t="s">
        <v>9242</v>
      </c>
      <c r="R19" s="1366" t="s">
        <v>9242</v>
      </c>
    </row>
    <row r="20" spans="1:18" ht="27" customHeight="1">
      <c r="A20" s="1363" t="s">
        <v>9236</v>
      </c>
      <c r="B20" s="1364">
        <f t="shared" si="4"/>
        <v>61</v>
      </c>
      <c r="C20" s="1364">
        <f t="shared" si="2"/>
        <v>61</v>
      </c>
      <c r="D20" s="1365">
        <v>13</v>
      </c>
      <c r="E20" s="1365">
        <v>29</v>
      </c>
      <c r="F20" s="1365">
        <v>6</v>
      </c>
      <c r="G20" s="1365">
        <v>8</v>
      </c>
      <c r="H20" s="1365">
        <v>4</v>
      </c>
      <c r="I20" s="1365">
        <v>1</v>
      </c>
      <c r="J20" s="1366" t="s">
        <v>9242</v>
      </c>
      <c r="K20" s="1364">
        <f t="shared" si="3"/>
        <v>0</v>
      </c>
      <c r="L20" s="1366" t="s">
        <v>9242</v>
      </c>
      <c r="M20" s="1366" t="s">
        <v>9242</v>
      </c>
      <c r="N20" s="1366" t="s">
        <v>9242</v>
      </c>
      <c r="O20" s="1366" t="s">
        <v>9242</v>
      </c>
      <c r="P20" s="1366" t="s">
        <v>9242</v>
      </c>
      <c r="Q20" s="1366" t="s">
        <v>9242</v>
      </c>
      <c r="R20" s="1366" t="s">
        <v>9242</v>
      </c>
    </row>
    <row r="21" spans="1:18" ht="27" customHeight="1">
      <c r="A21" s="1363" t="s">
        <v>9237</v>
      </c>
      <c r="B21" s="1364">
        <f t="shared" si="4"/>
        <v>146</v>
      </c>
      <c r="C21" s="1364">
        <f t="shared" si="2"/>
        <v>146</v>
      </c>
      <c r="D21" s="1365">
        <v>59</v>
      </c>
      <c r="E21" s="1365">
        <v>69</v>
      </c>
      <c r="F21" s="1365">
        <v>12</v>
      </c>
      <c r="G21" s="1365">
        <v>4</v>
      </c>
      <c r="H21" s="1365">
        <v>1</v>
      </c>
      <c r="I21" s="1365">
        <v>1</v>
      </c>
      <c r="J21" s="1366" t="s">
        <v>9242</v>
      </c>
      <c r="K21" s="1364">
        <f t="shared" si="3"/>
        <v>0</v>
      </c>
      <c r="L21" s="1366" t="s">
        <v>9242</v>
      </c>
      <c r="M21" s="1366" t="s">
        <v>9242</v>
      </c>
      <c r="N21" s="1366" t="s">
        <v>9242</v>
      </c>
      <c r="O21" s="1366" t="s">
        <v>9242</v>
      </c>
      <c r="P21" s="1366" t="s">
        <v>9242</v>
      </c>
      <c r="Q21" s="1366" t="s">
        <v>9242</v>
      </c>
      <c r="R21" s="1366" t="s">
        <v>9242</v>
      </c>
    </row>
    <row r="22" spans="1:18" ht="27" customHeight="1">
      <c r="A22" s="1363" t="s">
        <v>9238</v>
      </c>
      <c r="B22" s="1364">
        <f t="shared" si="4"/>
        <v>42</v>
      </c>
      <c r="C22" s="1364">
        <f t="shared" si="2"/>
        <v>42</v>
      </c>
      <c r="D22" s="1365">
        <v>5</v>
      </c>
      <c r="E22" s="1365">
        <v>12</v>
      </c>
      <c r="F22" s="1365">
        <v>4</v>
      </c>
      <c r="G22" s="1365">
        <v>18</v>
      </c>
      <c r="H22" s="1365">
        <v>1</v>
      </c>
      <c r="I22" s="1365">
        <v>2</v>
      </c>
      <c r="J22" s="1366" t="s">
        <v>9242</v>
      </c>
      <c r="K22" s="1364">
        <f t="shared" si="3"/>
        <v>0</v>
      </c>
      <c r="L22" s="1366" t="s">
        <v>9242</v>
      </c>
      <c r="M22" s="1366" t="s">
        <v>9242</v>
      </c>
      <c r="N22" s="1366" t="s">
        <v>9242</v>
      </c>
      <c r="O22" s="1366" t="s">
        <v>9242</v>
      </c>
      <c r="P22" s="1366" t="s">
        <v>9242</v>
      </c>
      <c r="Q22" s="1366" t="s">
        <v>9242</v>
      </c>
      <c r="R22" s="1366" t="s">
        <v>9242</v>
      </c>
    </row>
    <row r="23" spans="1:18" ht="27" customHeight="1">
      <c r="A23" s="1363" t="s">
        <v>9239</v>
      </c>
      <c r="B23" s="1364">
        <f t="shared" si="4"/>
        <v>47</v>
      </c>
      <c r="C23" s="1364">
        <f t="shared" si="2"/>
        <v>47</v>
      </c>
      <c r="D23" s="1365">
        <v>4</v>
      </c>
      <c r="E23" s="1365">
        <v>13</v>
      </c>
      <c r="F23" s="1365">
        <v>8</v>
      </c>
      <c r="G23" s="1365">
        <v>17</v>
      </c>
      <c r="H23" s="1365">
        <v>3</v>
      </c>
      <c r="I23" s="1365">
        <v>1</v>
      </c>
      <c r="J23" s="1365">
        <v>1</v>
      </c>
      <c r="K23" s="1364">
        <f t="shared" si="3"/>
        <v>0</v>
      </c>
      <c r="L23" s="1366" t="s">
        <v>9242</v>
      </c>
      <c r="M23" s="1366" t="s">
        <v>9242</v>
      </c>
      <c r="N23" s="1366" t="s">
        <v>9242</v>
      </c>
      <c r="O23" s="1366" t="s">
        <v>9242</v>
      </c>
      <c r="P23" s="1366" t="s">
        <v>9242</v>
      </c>
      <c r="Q23" s="1366" t="s">
        <v>9242</v>
      </c>
      <c r="R23" s="1366" t="s">
        <v>9242</v>
      </c>
    </row>
    <row r="24" spans="1:18" ht="27" customHeight="1">
      <c r="A24" s="1363" t="s">
        <v>9023</v>
      </c>
      <c r="B24" s="1364">
        <f t="shared" si="4"/>
        <v>43</v>
      </c>
      <c r="C24" s="1364">
        <f t="shared" si="2"/>
        <v>43</v>
      </c>
      <c r="D24" s="1365">
        <v>7</v>
      </c>
      <c r="E24" s="1365">
        <v>21</v>
      </c>
      <c r="F24" s="1365">
        <v>8</v>
      </c>
      <c r="G24" s="1365">
        <v>6</v>
      </c>
      <c r="H24" s="1365">
        <v>1</v>
      </c>
      <c r="I24" s="1366" t="s">
        <v>9242</v>
      </c>
      <c r="J24" s="1366" t="s">
        <v>9242</v>
      </c>
      <c r="K24" s="1364">
        <f t="shared" si="3"/>
        <v>0</v>
      </c>
      <c r="L24" s="1366" t="s">
        <v>9242</v>
      </c>
      <c r="M24" s="1366" t="s">
        <v>9242</v>
      </c>
      <c r="N24" s="1366" t="s">
        <v>9242</v>
      </c>
      <c r="O24" s="1366" t="s">
        <v>9242</v>
      </c>
      <c r="P24" s="1366" t="s">
        <v>9242</v>
      </c>
      <c r="Q24" s="1366" t="s">
        <v>9242</v>
      </c>
      <c r="R24" s="1366" t="s">
        <v>9242</v>
      </c>
    </row>
    <row r="25" spans="1:18" ht="27" customHeight="1">
      <c r="A25" s="1363" t="s">
        <v>9240</v>
      </c>
      <c r="B25" s="1364">
        <f t="shared" si="4"/>
        <v>215</v>
      </c>
      <c r="C25" s="1364">
        <f t="shared" si="2"/>
        <v>215</v>
      </c>
      <c r="D25" s="1365">
        <v>38</v>
      </c>
      <c r="E25" s="1365">
        <v>115</v>
      </c>
      <c r="F25" s="1365">
        <v>32</v>
      </c>
      <c r="G25" s="1365">
        <v>28</v>
      </c>
      <c r="H25" s="1365">
        <v>2</v>
      </c>
      <c r="I25" s="1366" t="s">
        <v>9242</v>
      </c>
      <c r="J25" s="1366" t="s">
        <v>9242</v>
      </c>
      <c r="K25" s="1364">
        <f t="shared" si="3"/>
        <v>0</v>
      </c>
      <c r="L25" s="1366" t="s">
        <v>9242</v>
      </c>
      <c r="M25" s="1366" t="s">
        <v>9242</v>
      </c>
      <c r="N25" s="1366" t="s">
        <v>9242</v>
      </c>
      <c r="O25" s="1366" t="s">
        <v>9242</v>
      </c>
      <c r="P25" s="1366" t="s">
        <v>9242</v>
      </c>
      <c r="Q25" s="1366" t="s">
        <v>9242</v>
      </c>
      <c r="R25" s="1366" t="s">
        <v>9242</v>
      </c>
    </row>
    <row r="26" spans="1:18" ht="27" customHeight="1">
      <c r="A26" s="1363" t="s">
        <v>9025</v>
      </c>
      <c r="B26" s="1364">
        <f t="shared" si="4"/>
        <v>31</v>
      </c>
      <c r="C26" s="1364">
        <f t="shared" si="2"/>
        <v>31</v>
      </c>
      <c r="D26" s="1365">
        <v>1</v>
      </c>
      <c r="E26" s="1365">
        <v>13</v>
      </c>
      <c r="F26" s="1365">
        <v>5</v>
      </c>
      <c r="G26" s="1365">
        <v>9</v>
      </c>
      <c r="H26" s="1365">
        <v>2</v>
      </c>
      <c r="I26" s="1365">
        <v>1</v>
      </c>
      <c r="J26" s="1366" t="s">
        <v>9242</v>
      </c>
      <c r="K26" s="1364">
        <f t="shared" si="3"/>
        <v>0</v>
      </c>
      <c r="L26" s="1366" t="s">
        <v>9242</v>
      </c>
      <c r="M26" s="1366" t="s">
        <v>9242</v>
      </c>
      <c r="N26" s="1366" t="s">
        <v>9242</v>
      </c>
      <c r="O26" s="1366" t="s">
        <v>9242</v>
      </c>
      <c r="P26" s="1366" t="s">
        <v>9242</v>
      </c>
      <c r="Q26" s="1366" t="s">
        <v>9242</v>
      </c>
      <c r="R26" s="1366" t="s">
        <v>9242</v>
      </c>
    </row>
    <row r="27" spans="1:18" ht="27" customHeight="1">
      <c r="A27" s="1363" t="s">
        <v>9026</v>
      </c>
      <c r="B27" s="1364">
        <f t="shared" si="4"/>
        <v>121</v>
      </c>
      <c r="C27" s="1364">
        <f t="shared" si="2"/>
        <v>59</v>
      </c>
      <c r="D27" s="1365">
        <v>20</v>
      </c>
      <c r="E27" s="1365">
        <v>13</v>
      </c>
      <c r="F27" s="1365">
        <v>13</v>
      </c>
      <c r="G27" s="1365">
        <v>12</v>
      </c>
      <c r="H27" s="1366" t="s">
        <v>9242</v>
      </c>
      <c r="I27" s="1365">
        <v>1</v>
      </c>
      <c r="J27" s="1366" t="s">
        <v>9242</v>
      </c>
      <c r="K27" s="1364">
        <f t="shared" si="3"/>
        <v>62</v>
      </c>
      <c r="L27" s="1365">
        <v>45</v>
      </c>
      <c r="M27" s="1365">
        <v>11</v>
      </c>
      <c r="N27" s="1365">
        <v>5</v>
      </c>
      <c r="O27" s="1365">
        <v>1</v>
      </c>
      <c r="P27" s="1366" t="s">
        <v>9242</v>
      </c>
      <c r="Q27" s="1366" t="s">
        <v>9242</v>
      </c>
      <c r="R27" s="1366" t="s">
        <v>9242</v>
      </c>
    </row>
    <row r="112" spans="4:4" ht="21">
      <c r="D112" s="3" ph="1"/>
    </row>
    <row r="118" spans="4:4" ht="21">
      <c r="D118" s="3" ph="1"/>
    </row>
    <row r="121" spans="4:4" ht="21">
      <c r="D121" s="3" ph="1"/>
    </row>
  </sheetData>
  <mergeCells count="8">
    <mergeCell ref="A2:E2"/>
    <mergeCell ref="A3:E3"/>
    <mergeCell ref="A5:A7"/>
    <mergeCell ref="B5:B7"/>
    <mergeCell ref="C5:R5"/>
    <mergeCell ref="Q4:R4"/>
    <mergeCell ref="C6:J6"/>
    <mergeCell ref="K6:R6"/>
  </mergeCells>
  <phoneticPr fontId="3" type="noConversion"/>
  <conditionalFormatting sqref="A8:R27">
    <cfRule type="expression" dxfId="290" priority="9" stopIfTrue="1">
      <formula>OR($A8="시부",$A8="군부",$A8="제주시",$A8="서귀포시")</formula>
    </cfRule>
    <cfRule type="expression" dxfId="289" priority="10" stopIfTrue="1">
      <formula>OR(RIGHT($A8,3)="특별시",RIGHT($A8,3)="광역시",RIGHT($A8,1)="도",$A8="전국")</formula>
    </cfRule>
  </conditionalFormatting>
  <conditionalFormatting sqref="B8:C27 A8:A10 D8:I10 J8 K8:K27 L8:Q9 R8">
    <cfRule type="expression" dxfId="288" priority="1" stopIfTrue="1">
      <formula>OR($A8="시부",$A8="군부",$A8="제주시",$A8="서귀포시")</formula>
    </cfRule>
    <cfRule type="expression" dxfId="287" priority="2" stopIfTrue="1">
      <formula>OR(RIGHT($A8,3)="특별시",RIGHT($A8,3)="광역시",RIGHT($A8,1)="도",$A8="전국")</formula>
    </cfRule>
  </conditionalFormatting>
  <dataValidations count="1">
    <dataValidation type="whole" operator="greaterThanOrEqual" allowBlank="1" showInputMessage="1" showErrorMessage="1" sqref="L8:R27 D8:J27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56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J30"/>
  <sheetViews>
    <sheetView view="pageBreakPreview" zoomScale="96" zoomScaleNormal="100" zoomScaleSheetLayoutView="96" workbookViewId="0">
      <selection activeCell="A4" sqref="A4:XFD4"/>
    </sheetView>
  </sheetViews>
  <sheetFormatPr defaultRowHeight="13.5"/>
  <sheetData>
    <row r="1" spans="1:62" ht="16.5">
      <c r="A1" s="1100"/>
      <c r="B1" s="1100"/>
      <c r="C1" s="1100"/>
      <c r="D1" s="1100"/>
      <c r="E1" s="1100"/>
      <c r="F1" s="1100"/>
      <c r="G1" s="1100"/>
      <c r="H1" s="1100"/>
      <c r="I1" s="1100"/>
      <c r="J1" s="1100"/>
      <c r="K1" s="1100"/>
      <c r="L1" s="1100"/>
      <c r="M1" s="1100"/>
      <c r="N1" s="1100"/>
      <c r="O1" s="1100"/>
      <c r="P1" s="1100"/>
      <c r="Q1" s="1100"/>
      <c r="R1" s="1100"/>
      <c r="S1" s="1100"/>
      <c r="T1" s="1100"/>
      <c r="U1" s="1100"/>
      <c r="V1" s="1100"/>
      <c r="W1" s="1100"/>
      <c r="X1" s="1100"/>
      <c r="Y1" s="1100"/>
      <c r="Z1" s="1100"/>
      <c r="AA1" s="1100"/>
      <c r="AB1" s="1100"/>
      <c r="AC1" s="1100"/>
      <c r="AD1" s="1100"/>
      <c r="AE1" s="1100"/>
      <c r="AF1" s="1100"/>
      <c r="AG1" s="1100"/>
      <c r="AH1" s="1100"/>
      <c r="AI1" s="1100"/>
      <c r="AJ1" s="1100"/>
      <c r="AK1" s="1100"/>
      <c r="AL1" s="1100"/>
      <c r="AM1" s="1100"/>
      <c r="AN1" s="1100"/>
      <c r="AO1" s="1100"/>
      <c r="AP1" s="1100"/>
      <c r="AQ1" s="1100"/>
      <c r="AR1" s="1100"/>
      <c r="AS1" s="1100"/>
      <c r="AT1" s="1100"/>
      <c r="AU1" s="1100"/>
      <c r="AV1" s="1100"/>
      <c r="AW1" s="1100"/>
      <c r="AX1" s="1100"/>
      <c r="AY1" s="1100"/>
      <c r="AZ1" s="1100"/>
      <c r="BA1" s="1100"/>
      <c r="BB1" s="1100"/>
      <c r="BC1" s="1100"/>
      <c r="BD1" s="1100"/>
      <c r="BE1" s="1100"/>
      <c r="BF1" s="1100"/>
      <c r="BG1" s="1100"/>
      <c r="BH1" s="1100"/>
      <c r="BI1" s="1100"/>
      <c r="BJ1" s="1100"/>
    </row>
    <row r="2" spans="1:62" ht="16.5">
      <c r="A2" s="1859" t="s">
        <v>8907</v>
      </c>
      <c r="B2" s="1859"/>
      <c r="C2" s="1859"/>
      <c r="D2" s="1859"/>
      <c r="E2" s="1859"/>
      <c r="F2" s="1859"/>
      <c r="G2" s="1859"/>
      <c r="H2" s="1859"/>
      <c r="I2" s="1859"/>
      <c r="J2" s="1859"/>
      <c r="K2" s="1154"/>
      <c r="L2" s="1154"/>
      <c r="M2" s="1154"/>
      <c r="N2" s="1100"/>
      <c r="O2" s="1100"/>
      <c r="P2" s="1100"/>
      <c r="Q2" s="1100"/>
      <c r="R2" s="1100"/>
      <c r="S2" s="1100"/>
      <c r="T2" s="1100"/>
      <c r="U2" s="1100"/>
      <c r="V2" s="1100"/>
      <c r="W2" s="1100"/>
      <c r="X2" s="1100"/>
      <c r="Y2" s="1100"/>
      <c r="Z2" s="1100"/>
      <c r="AA2" s="1100"/>
      <c r="AB2" s="1100"/>
      <c r="AC2" s="1100"/>
      <c r="AD2" s="1100"/>
      <c r="AE2" s="1100"/>
      <c r="AF2" s="1100"/>
      <c r="AG2" s="1100"/>
      <c r="AH2" s="1100"/>
      <c r="AI2" s="1100"/>
      <c r="AJ2" s="1100"/>
      <c r="AK2" s="1100"/>
      <c r="AL2" s="1100"/>
      <c r="AM2" s="1100"/>
      <c r="AN2" s="1100"/>
      <c r="AO2" s="1100"/>
      <c r="AP2" s="1100"/>
      <c r="AQ2" s="1100"/>
      <c r="AR2" s="1100"/>
      <c r="AS2" s="1100"/>
      <c r="AT2" s="1100"/>
      <c r="AU2" s="1100"/>
      <c r="AV2" s="1100"/>
      <c r="AW2" s="1100"/>
      <c r="AX2" s="1100"/>
      <c r="AY2" s="1100"/>
      <c r="AZ2" s="1100"/>
      <c r="BA2" s="1100"/>
      <c r="BB2" s="1100"/>
      <c r="BC2" s="1100"/>
      <c r="BD2" s="1100"/>
      <c r="BE2" s="1100"/>
      <c r="BF2" s="1100"/>
      <c r="BG2" s="1100"/>
      <c r="BH2" s="1100"/>
      <c r="BI2" s="1100"/>
      <c r="BJ2" s="1100"/>
    </row>
    <row r="3" spans="1:62" ht="16.5">
      <c r="A3" s="1154"/>
      <c r="B3" s="1154"/>
      <c r="C3" s="1154"/>
      <c r="D3" s="1154"/>
      <c r="E3" s="1154"/>
      <c r="F3" s="1154"/>
      <c r="G3" s="1154"/>
      <c r="H3" s="1154"/>
      <c r="I3" s="1154"/>
      <c r="J3" s="1154"/>
      <c r="K3" s="1154"/>
      <c r="L3" s="1154"/>
      <c r="M3" s="1154"/>
      <c r="N3" s="1100"/>
      <c r="O3" s="1100"/>
      <c r="P3" s="1100"/>
      <c r="Q3" s="1100"/>
      <c r="R3" s="1100"/>
      <c r="S3" s="1100"/>
      <c r="T3" s="1100"/>
      <c r="U3" s="1100"/>
      <c r="V3" s="1100"/>
      <c r="W3" s="1100"/>
      <c r="X3" s="1100"/>
      <c r="Y3" s="1100"/>
      <c r="Z3" s="1100"/>
      <c r="AA3" s="1100"/>
      <c r="AB3" s="1100"/>
      <c r="AC3" s="1100"/>
      <c r="AD3" s="1100"/>
      <c r="AE3" s="1100"/>
      <c r="AF3" s="1100"/>
      <c r="AG3" s="1100"/>
      <c r="AH3" s="1100"/>
      <c r="AI3" s="1100"/>
      <c r="AJ3" s="1100"/>
      <c r="AK3" s="1100"/>
      <c r="AL3" s="1100"/>
      <c r="AM3" s="1100"/>
      <c r="AN3" s="1100"/>
      <c r="AO3" s="1100"/>
      <c r="AP3" s="1100"/>
      <c r="AQ3" s="1100"/>
      <c r="AR3" s="1100"/>
      <c r="AS3" s="1100"/>
      <c r="AT3" s="1100"/>
      <c r="AU3" s="1100"/>
      <c r="AV3" s="1100"/>
      <c r="AW3" s="1100"/>
      <c r="AX3" s="1100"/>
      <c r="AY3" s="1100"/>
      <c r="AZ3" s="1100"/>
      <c r="BA3" s="1100"/>
      <c r="BB3" s="1100"/>
      <c r="BC3" s="1100"/>
      <c r="BD3" s="1100"/>
      <c r="BE3" s="1100"/>
      <c r="BF3" s="1100"/>
      <c r="BG3" s="1100"/>
      <c r="BH3" s="1100"/>
      <c r="BI3" s="1100"/>
      <c r="BJ3" s="1100"/>
    </row>
    <row r="4" spans="1:62" ht="16.5">
      <c r="A4" s="1101"/>
      <c r="B4" s="1101"/>
      <c r="C4" s="1101"/>
      <c r="D4" s="1100"/>
      <c r="E4" s="1100"/>
      <c r="F4" s="1100"/>
      <c r="G4" s="1100"/>
      <c r="H4" s="1100"/>
      <c r="I4" s="1154"/>
      <c r="J4" s="1154"/>
      <c r="K4" s="1154"/>
      <c r="L4" s="1154"/>
      <c r="M4" s="1154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</row>
    <row r="5" spans="1:62" ht="17.25" thickBot="1">
      <c r="A5" s="1100"/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</row>
    <row r="6" spans="1:62">
      <c r="A6" s="1860" t="s">
        <v>8908</v>
      </c>
      <c r="B6" s="1863" t="s">
        <v>8909</v>
      </c>
      <c r="C6" s="1102"/>
      <c r="D6" s="1866" t="s">
        <v>8910</v>
      </c>
      <c r="E6" s="1866"/>
      <c r="F6" s="1866"/>
      <c r="G6" s="1866"/>
      <c r="H6" s="1866"/>
      <c r="I6" s="1866"/>
      <c r="J6" s="1866"/>
      <c r="K6" s="1866"/>
      <c r="L6" s="1866"/>
      <c r="M6" s="1866"/>
      <c r="N6" s="1866"/>
      <c r="O6" s="1866"/>
      <c r="P6" s="1866"/>
      <c r="Q6" s="1866"/>
      <c r="R6" s="1866"/>
      <c r="S6" s="1866"/>
      <c r="T6" s="1866"/>
      <c r="U6" s="1866"/>
      <c r="V6" s="1866"/>
      <c r="W6" s="1866"/>
      <c r="X6" s="1866"/>
      <c r="Y6" s="1866"/>
      <c r="Z6" s="1866"/>
      <c r="AA6" s="1866"/>
      <c r="AB6" s="1866"/>
      <c r="AC6" s="1866"/>
      <c r="AD6" s="1866"/>
      <c r="AE6" s="1866"/>
      <c r="AF6" s="1866"/>
      <c r="AG6" s="1103"/>
      <c r="AH6" s="1867" t="s">
        <v>8911</v>
      </c>
      <c r="AI6" s="1867"/>
      <c r="AJ6" s="1867"/>
      <c r="AK6" s="1867"/>
      <c r="AL6" s="1867"/>
      <c r="AM6" s="1867"/>
      <c r="AN6" s="1867"/>
      <c r="AO6" s="1867"/>
      <c r="AP6" s="1867"/>
      <c r="AQ6" s="1867"/>
      <c r="AR6" s="1867"/>
      <c r="AS6" s="1867"/>
      <c r="AT6" s="1867"/>
      <c r="AU6" s="1867"/>
      <c r="AV6" s="1867"/>
      <c r="AW6" s="1867"/>
      <c r="AX6" s="1867"/>
      <c r="AY6" s="1867"/>
      <c r="AZ6" s="1867"/>
      <c r="BA6" s="1867"/>
      <c r="BB6" s="1867"/>
      <c r="BC6" s="1867"/>
      <c r="BD6" s="1867"/>
      <c r="BE6" s="1867"/>
      <c r="BF6" s="1867"/>
      <c r="BG6" s="1867"/>
      <c r="BH6" s="1867"/>
      <c r="BI6" s="1867"/>
      <c r="BJ6" s="1868"/>
    </row>
    <row r="7" spans="1:62">
      <c r="A7" s="1861"/>
      <c r="B7" s="1864"/>
      <c r="C7" s="1869" t="s">
        <v>8912</v>
      </c>
      <c r="D7" s="1871" t="s">
        <v>8913</v>
      </c>
      <c r="E7" s="1872"/>
      <c r="F7" s="1872"/>
      <c r="G7" s="1872"/>
      <c r="H7" s="1872"/>
      <c r="I7" s="1872"/>
      <c r="J7" s="1872"/>
      <c r="K7" s="1872"/>
      <c r="L7" s="1872"/>
      <c r="M7" s="1872"/>
      <c r="N7" s="1872"/>
      <c r="O7" s="1872"/>
      <c r="P7" s="1872"/>
      <c r="Q7" s="1872"/>
      <c r="R7" s="1872"/>
      <c r="S7" s="1872"/>
      <c r="T7" s="1872"/>
      <c r="U7" s="1872"/>
      <c r="V7" s="1872"/>
      <c r="W7" s="1873"/>
      <c r="X7" s="1874" t="s">
        <v>8849</v>
      </c>
      <c r="Y7" s="1875"/>
      <c r="Z7" s="1875"/>
      <c r="AA7" s="1875"/>
      <c r="AB7" s="1875"/>
      <c r="AC7" s="1875"/>
      <c r="AD7" s="1875"/>
      <c r="AE7" s="1875"/>
      <c r="AF7" s="1875"/>
      <c r="AG7" s="1869" t="s">
        <v>8914</v>
      </c>
      <c r="AH7" s="1871" t="s">
        <v>8838</v>
      </c>
      <c r="AI7" s="1872"/>
      <c r="AJ7" s="1872"/>
      <c r="AK7" s="1872"/>
      <c r="AL7" s="1872"/>
      <c r="AM7" s="1872"/>
      <c r="AN7" s="1872"/>
      <c r="AO7" s="1872"/>
      <c r="AP7" s="1872"/>
      <c r="AQ7" s="1872"/>
      <c r="AR7" s="1872"/>
      <c r="AS7" s="1872"/>
      <c r="AT7" s="1872"/>
      <c r="AU7" s="1872"/>
      <c r="AV7" s="1872"/>
      <c r="AW7" s="1872"/>
      <c r="AX7" s="1872"/>
      <c r="AY7" s="1872"/>
      <c r="AZ7" s="1872"/>
      <c r="BA7" s="1873"/>
      <c r="BB7" s="1874" t="s">
        <v>8839</v>
      </c>
      <c r="BC7" s="1875"/>
      <c r="BD7" s="1875"/>
      <c r="BE7" s="1875"/>
      <c r="BF7" s="1875"/>
      <c r="BG7" s="1875"/>
      <c r="BH7" s="1875"/>
      <c r="BI7" s="1875"/>
      <c r="BJ7" s="1881"/>
    </row>
    <row r="8" spans="1:62">
      <c r="A8" s="1861"/>
      <c r="B8" s="1864"/>
      <c r="C8" s="1869"/>
      <c r="D8" s="1882" t="s">
        <v>448</v>
      </c>
      <c r="E8" s="1884" t="s">
        <v>1405</v>
      </c>
      <c r="F8" s="1885"/>
      <c r="G8" s="1885"/>
      <c r="H8" s="1885"/>
      <c r="I8" s="1886"/>
      <c r="J8" s="1884" t="s">
        <v>1406</v>
      </c>
      <c r="K8" s="1885"/>
      <c r="L8" s="1885"/>
      <c r="M8" s="1885"/>
      <c r="N8" s="1886"/>
      <c r="O8" s="1884" t="s">
        <v>8915</v>
      </c>
      <c r="P8" s="1885"/>
      <c r="Q8" s="1885"/>
      <c r="R8" s="1885"/>
      <c r="S8" s="1886"/>
      <c r="T8" s="1887" t="s">
        <v>8916</v>
      </c>
      <c r="U8" s="1890" t="s">
        <v>1407</v>
      </c>
      <c r="V8" s="1890" t="s">
        <v>1408</v>
      </c>
      <c r="W8" s="1893" t="s">
        <v>453</v>
      </c>
      <c r="X8" s="1896" t="s">
        <v>8917</v>
      </c>
      <c r="Y8" s="1898" t="s">
        <v>8918</v>
      </c>
      <c r="Z8" s="1878" t="s">
        <v>8919</v>
      </c>
      <c r="AA8" s="1878" t="s">
        <v>8920</v>
      </c>
      <c r="AB8" s="1878" t="s">
        <v>8921</v>
      </c>
      <c r="AC8" s="1878" t="s">
        <v>8922</v>
      </c>
      <c r="AD8" s="1878" t="s">
        <v>8923</v>
      </c>
      <c r="AE8" s="1878" t="s">
        <v>8924</v>
      </c>
      <c r="AF8" s="1901" t="s">
        <v>8925</v>
      </c>
      <c r="AG8" s="1876"/>
      <c r="AH8" s="1882" t="s">
        <v>8926</v>
      </c>
      <c r="AI8" s="1884" t="s">
        <v>8927</v>
      </c>
      <c r="AJ8" s="1885"/>
      <c r="AK8" s="1885"/>
      <c r="AL8" s="1885"/>
      <c r="AM8" s="1886"/>
      <c r="AN8" s="1884" t="s">
        <v>8928</v>
      </c>
      <c r="AO8" s="1885"/>
      <c r="AP8" s="1885"/>
      <c r="AQ8" s="1885"/>
      <c r="AR8" s="1886"/>
      <c r="AS8" s="1884" t="s">
        <v>8929</v>
      </c>
      <c r="AT8" s="1885"/>
      <c r="AU8" s="1885"/>
      <c r="AV8" s="1885"/>
      <c r="AW8" s="1886"/>
      <c r="AX8" s="1887" t="s">
        <v>8930</v>
      </c>
      <c r="AY8" s="1890" t="s">
        <v>8931</v>
      </c>
      <c r="AZ8" s="1890" t="s">
        <v>8932</v>
      </c>
      <c r="BA8" s="1893" t="s">
        <v>8933</v>
      </c>
      <c r="BB8" s="1896" t="s">
        <v>8934</v>
      </c>
      <c r="BC8" s="1898" t="s">
        <v>8935</v>
      </c>
      <c r="BD8" s="1878" t="s">
        <v>8919</v>
      </c>
      <c r="BE8" s="1878" t="s">
        <v>8920</v>
      </c>
      <c r="BF8" s="1878" t="s">
        <v>8936</v>
      </c>
      <c r="BG8" s="1878" t="s">
        <v>8922</v>
      </c>
      <c r="BH8" s="1878" t="s">
        <v>8937</v>
      </c>
      <c r="BI8" s="1878" t="s">
        <v>8924</v>
      </c>
      <c r="BJ8" s="1907" t="s">
        <v>8938</v>
      </c>
    </row>
    <row r="9" spans="1:62">
      <c r="A9" s="1861"/>
      <c r="B9" s="1864"/>
      <c r="C9" s="1869"/>
      <c r="D9" s="1882"/>
      <c r="E9" s="1904" t="s">
        <v>443</v>
      </c>
      <c r="F9" s="1906" t="s">
        <v>8939</v>
      </c>
      <c r="G9" s="1885" t="s">
        <v>8940</v>
      </c>
      <c r="H9" s="1885"/>
      <c r="I9" s="1886"/>
      <c r="J9" s="1904" t="s">
        <v>443</v>
      </c>
      <c r="K9" s="1906" t="s">
        <v>8939</v>
      </c>
      <c r="L9" s="1885" t="s">
        <v>8940</v>
      </c>
      <c r="M9" s="1885"/>
      <c r="N9" s="1886"/>
      <c r="O9" s="1904" t="s">
        <v>443</v>
      </c>
      <c r="P9" s="1906" t="s">
        <v>8939</v>
      </c>
      <c r="Q9" s="1885" t="s">
        <v>8940</v>
      </c>
      <c r="R9" s="1885"/>
      <c r="S9" s="1886"/>
      <c r="T9" s="1888"/>
      <c r="U9" s="1891"/>
      <c r="V9" s="1891"/>
      <c r="W9" s="1894"/>
      <c r="X9" s="1896"/>
      <c r="Y9" s="1899"/>
      <c r="Z9" s="1879"/>
      <c r="AA9" s="1879"/>
      <c r="AB9" s="1879"/>
      <c r="AC9" s="1879"/>
      <c r="AD9" s="1879"/>
      <c r="AE9" s="1879"/>
      <c r="AF9" s="1902"/>
      <c r="AG9" s="1876"/>
      <c r="AH9" s="1882"/>
      <c r="AI9" s="1904" t="s">
        <v>8941</v>
      </c>
      <c r="AJ9" s="1906" t="s">
        <v>8942</v>
      </c>
      <c r="AK9" s="1885" t="s">
        <v>8943</v>
      </c>
      <c r="AL9" s="1885"/>
      <c r="AM9" s="1886"/>
      <c r="AN9" s="1904" t="s">
        <v>8941</v>
      </c>
      <c r="AO9" s="1906" t="s">
        <v>8942</v>
      </c>
      <c r="AP9" s="1885" t="s">
        <v>8943</v>
      </c>
      <c r="AQ9" s="1885"/>
      <c r="AR9" s="1886"/>
      <c r="AS9" s="1904" t="s">
        <v>8941</v>
      </c>
      <c r="AT9" s="1906" t="s">
        <v>8942</v>
      </c>
      <c r="AU9" s="1885" t="s">
        <v>8943</v>
      </c>
      <c r="AV9" s="1885"/>
      <c r="AW9" s="1886"/>
      <c r="AX9" s="1888"/>
      <c r="AY9" s="1891"/>
      <c r="AZ9" s="1891"/>
      <c r="BA9" s="1894"/>
      <c r="BB9" s="1896"/>
      <c r="BC9" s="1899"/>
      <c r="BD9" s="1879"/>
      <c r="BE9" s="1879"/>
      <c r="BF9" s="1879"/>
      <c r="BG9" s="1879"/>
      <c r="BH9" s="1879"/>
      <c r="BI9" s="1879"/>
      <c r="BJ9" s="1908"/>
    </row>
    <row r="10" spans="1:62" ht="24">
      <c r="A10" s="1862"/>
      <c r="B10" s="1865"/>
      <c r="C10" s="1870"/>
      <c r="D10" s="1883"/>
      <c r="E10" s="1905"/>
      <c r="F10" s="1905"/>
      <c r="G10" s="1105" t="s">
        <v>8944</v>
      </c>
      <c r="H10" s="1105" t="s">
        <v>8956</v>
      </c>
      <c r="I10" s="1106" t="s">
        <v>8945</v>
      </c>
      <c r="J10" s="1905"/>
      <c r="K10" s="1905"/>
      <c r="L10" s="1105" t="s">
        <v>8944</v>
      </c>
      <c r="M10" s="1105" t="s">
        <v>8956</v>
      </c>
      <c r="N10" s="1106" t="s">
        <v>8945</v>
      </c>
      <c r="O10" s="1905"/>
      <c r="P10" s="1905"/>
      <c r="Q10" s="1105" t="s">
        <v>8944</v>
      </c>
      <c r="R10" s="1105" t="s">
        <v>8956</v>
      </c>
      <c r="S10" s="1107" t="s">
        <v>8945</v>
      </c>
      <c r="T10" s="1889"/>
      <c r="U10" s="1892"/>
      <c r="V10" s="1892"/>
      <c r="W10" s="1895"/>
      <c r="X10" s="1897"/>
      <c r="Y10" s="1900"/>
      <c r="Z10" s="1880"/>
      <c r="AA10" s="1880"/>
      <c r="AB10" s="1880"/>
      <c r="AC10" s="1880"/>
      <c r="AD10" s="1880"/>
      <c r="AE10" s="1880"/>
      <c r="AF10" s="1903"/>
      <c r="AG10" s="1877"/>
      <c r="AH10" s="1883"/>
      <c r="AI10" s="1905"/>
      <c r="AJ10" s="1905"/>
      <c r="AK10" s="1105" t="s">
        <v>8944</v>
      </c>
      <c r="AL10" s="1105" t="s">
        <v>8956</v>
      </c>
      <c r="AM10" s="1106" t="s">
        <v>8945</v>
      </c>
      <c r="AN10" s="1905"/>
      <c r="AO10" s="1905"/>
      <c r="AP10" s="1105" t="s">
        <v>8944</v>
      </c>
      <c r="AQ10" s="1105" t="s">
        <v>8956</v>
      </c>
      <c r="AR10" s="1106" t="s">
        <v>8945</v>
      </c>
      <c r="AS10" s="1905"/>
      <c r="AT10" s="1905"/>
      <c r="AU10" s="1105" t="s">
        <v>8944</v>
      </c>
      <c r="AV10" s="1105" t="s">
        <v>8956</v>
      </c>
      <c r="AW10" s="1107" t="s">
        <v>8945</v>
      </c>
      <c r="AX10" s="1889"/>
      <c r="AY10" s="1892"/>
      <c r="AZ10" s="1892"/>
      <c r="BA10" s="1895"/>
      <c r="BB10" s="1897"/>
      <c r="BC10" s="1900"/>
      <c r="BD10" s="1880"/>
      <c r="BE10" s="1880"/>
      <c r="BF10" s="1880"/>
      <c r="BG10" s="1880"/>
      <c r="BH10" s="1880"/>
      <c r="BI10" s="1880"/>
      <c r="BJ10" s="1909"/>
    </row>
    <row r="11" spans="1:62" ht="16.5">
      <c r="A11" s="1367" t="s">
        <v>9120</v>
      </c>
      <c r="B11" s="1402">
        <f>SUM(B12:B30)</f>
        <v>8477</v>
      </c>
      <c r="C11" s="1403">
        <f t="shared" ref="C11:F11" si="0">SUM(C12:C30)</f>
        <v>6420</v>
      </c>
      <c r="D11" s="1404">
        <f>SUM(D12:D30)</f>
        <v>6420</v>
      </c>
      <c r="E11" s="1405">
        <f t="shared" si="0"/>
        <v>5756</v>
      </c>
      <c r="F11" s="1406">
        <f t="shared" si="0"/>
        <v>5756</v>
      </c>
      <c r="G11" s="1407"/>
      <c r="H11" s="1407"/>
      <c r="I11" s="1407"/>
      <c r="J11" s="1405">
        <f>SUM(J12:J30)</f>
        <v>8</v>
      </c>
      <c r="K11" s="1406">
        <f>SUM(K12:K30)</f>
        <v>8</v>
      </c>
      <c r="L11" s="1408"/>
      <c r="M11" s="1408"/>
      <c r="N11" s="1408"/>
      <c r="O11" s="1405">
        <f>SUM(O12:O30)</f>
        <v>16</v>
      </c>
      <c r="P11" s="1406">
        <f>SUM(P12:P30)</f>
        <v>16</v>
      </c>
      <c r="Q11" s="1368"/>
      <c r="R11" s="1368"/>
      <c r="S11" s="1368"/>
      <c r="T11" s="1368">
        <f>SUM(T12:T30)</f>
        <v>1</v>
      </c>
      <c r="U11" s="1368">
        <f t="shared" ref="U11:W11" si="1">SUM(U12:U30)</f>
        <v>48</v>
      </c>
      <c r="V11" s="1368">
        <f t="shared" si="1"/>
        <v>538</v>
      </c>
      <c r="W11" s="1368">
        <f t="shared" si="1"/>
        <v>53</v>
      </c>
      <c r="X11" s="1418">
        <f t="shared" ref="X11:X30" si="2">SUM(Y11:AF11)</f>
        <v>6420</v>
      </c>
      <c r="Y11" s="1408">
        <f>SUM(Y12:Y30)</f>
        <v>2882</v>
      </c>
      <c r="Z11" s="1408">
        <f t="shared" ref="Z11:AF11" si="3">SUM(Z12:Z30)</f>
        <v>1108</v>
      </c>
      <c r="AA11" s="1408">
        <f t="shared" si="3"/>
        <v>615</v>
      </c>
      <c r="AB11" s="1408">
        <f t="shared" si="3"/>
        <v>794</v>
      </c>
      <c r="AC11" s="1408">
        <f t="shared" si="3"/>
        <v>913</v>
      </c>
      <c r="AD11" s="1408">
        <f t="shared" si="3"/>
        <v>99</v>
      </c>
      <c r="AE11" s="1408">
        <f t="shared" si="3"/>
        <v>5</v>
      </c>
      <c r="AF11" s="1408">
        <f t="shared" si="3"/>
        <v>4</v>
      </c>
      <c r="AG11" s="1403">
        <f>(AH11+BB11)/2</f>
        <v>2057</v>
      </c>
      <c r="AH11" s="1419">
        <f>SUM(AI11,AN11,AS11,AX11:BA11)</f>
        <v>2057</v>
      </c>
      <c r="AI11" s="1405">
        <f>SUM(AI12:AI30)</f>
        <v>1608</v>
      </c>
      <c r="AJ11" s="1408">
        <f>SUM(AJ12:AJ30)</f>
        <v>1608</v>
      </c>
      <c r="AK11" s="1408"/>
      <c r="AL11" s="1408"/>
      <c r="AM11" s="1408"/>
      <c r="AN11" s="1405">
        <f>SUM(AN12:AN30)</f>
        <v>2</v>
      </c>
      <c r="AO11" s="1408">
        <f>SUM(AO12:AO30)</f>
        <v>2</v>
      </c>
      <c r="AP11" s="1408"/>
      <c r="AQ11" s="1408"/>
      <c r="AR11" s="1408"/>
      <c r="AS11" s="1405">
        <f>SUM(AS12:AS30)</f>
        <v>12</v>
      </c>
      <c r="AT11" s="1405">
        <f>SUM(AT12:AT30)</f>
        <v>12</v>
      </c>
      <c r="AU11" s="1408"/>
      <c r="AV11" s="1408"/>
      <c r="AW11" s="1408"/>
      <c r="AX11" s="1408">
        <f>SUM(AX12:AX30)</f>
        <v>2</v>
      </c>
      <c r="AY11" s="1408">
        <f>SUM(AY12:AY30)</f>
        <v>36</v>
      </c>
      <c r="AZ11" s="1408">
        <f>SUM(AZ12:AZ30)</f>
        <v>371</v>
      </c>
      <c r="BA11" s="1408">
        <f>SUM(BA12:BA30)</f>
        <v>26</v>
      </c>
      <c r="BB11" s="1420">
        <f t="shared" ref="BB11:BB12" si="4">SUM(BC11:BJ11)</f>
        <v>2057</v>
      </c>
      <c r="BC11" s="1408">
        <f>SUM(BC12:BC30)</f>
        <v>1536</v>
      </c>
      <c r="BD11" s="1408">
        <f t="shared" ref="BD11:BJ11" si="5">SUM(BD12:BD30)</f>
        <v>297</v>
      </c>
      <c r="BE11" s="1408">
        <f t="shared" si="5"/>
        <v>127</v>
      </c>
      <c r="BF11" s="1408">
        <f t="shared" si="5"/>
        <v>43</v>
      </c>
      <c r="BG11" s="1408">
        <f t="shared" si="5"/>
        <v>53</v>
      </c>
      <c r="BH11" s="1408">
        <f t="shared" si="5"/>
        <v>1</v>
      </c>
      <c r="BI11" s="1408">
        <f t="shared" si="5"/>
        <v>0</v>
      </c>
      <c r="BJ11" s="1408">
        <f t="shared" si="5"/>
        <v>0</v>
      </c>
    </row>
    <row r="12" spans="1:62" ht="16.5">
      <c r="A12" s="1367" t="s">
        <v>9036</v>
      </c>
      <c r="B12" s="1402">
        <v>861</v>
      </c>
      <c r="C12" s="1409">
        <v>850</v>
      </c>
      <c r="D12" s="1410">
        <f>SUM(E12+J12+O12+T12+U12+V12+W12)</f>
        <v>850</v>
      </c>
      <c r="E12" s="1405">
        <v>723</v>
      </c>
      <c r="F12" s="1406">
        <v>723</v>
      </c>
      <c r="G12" s="1407"/>
      <c r="H12" s="1407"/>
      <c r="I12" s="1407"/>
      <c r="J12" s="1411"/>
      <c r="K12" s="1408"/>
      <c r="L12" s="1408"/>
      <c r="M12" s="1408"/>
      <c r="N12" s="1408"/>
      <c r="O12" s="1405">
        <v>3</v>
      </c>
      <c r="P12" s="1406">
        <v>3</v>
      </c>
      <c r="Q12" s="1368"/>
      <c r="R12" s="1368"/>
      <c r="S12" s="1368"/>
      <c r="T12" s="1368"/>
      <c r="U12" s="1368">
        <v>6</v>
      </c>
      <c r="V12" s="1368">
        <v>107</v>
      </c>
      <c r="W12" s="1368">
        <v>11</v>
      </c>
      <c r="X12" s="1418">
        <f>SUM(Y12:AF12)</f>
        <v>850</v>
      </c>
      <c r="Y12" s="1408">
        <v>465</v>
      </c>
      <c r="Z12" s="1408">
        <v>130</v>
      </c>
      <c r="AA12" s="1408">
        <v>73</v>
      </c>
      <c r="AB12" s="1408">
        <v>74</v>
      </c>
      <c r="AC12" s="1408">
        <v>92</v>
      </c>
      <c r="AD12" s="1408">
        <v>14</v>
      </c>
      <c r="AE12" s="1408">
        <v>1</v>
      </c>
      <c r="AF12" s="1408">
        <v>1</v>
      </c>
      <c r="AG12" s="1403">
        <f t="shared" ref="AG12:AG30" si="6">(AH12+BB12)/2</f>
        <v>11</v>
      </c>
      <c r="AH12" s="1419">
        <f>SUM(AI12,AN12,AS12,AX12:BA12)</f>
        <v>11</v>
      </c>
      <c r="AI12" s="1405">
        <v>8</v>
      </c>
      <c r="AJ12" s="1406">
        <v>8</v>
      </c>
      <c r="AK12" s="1408"/>
      <c r="AL12" s="1408"/>
      <c r="AM12" s="1408"/>
      <c r="AN12" s="1405"/>
      <c r="AO12" s="1408"/>
      <c r="AP12" s="1408"/>
      <c r="AQ12" s="1408"/>
      <c r="AR12" s="1408"/>
      <c r="AS12" s="1405">
        <f t="shared" ref="AS12:AS13" si="7">SUM(AT12:AW12)</f>
        <v>0</v>
      </c>
      <c r="AT12" s="1408"/>
      <c r="AU12" s="1408"/>
      <c r="AV12" s="1408"/>
      <c r="AW12" s="1408"/>
      <c r="AX12" s="1408"/>
      <c r="AY12" s="1408"/>
      <c r="AZ12" s="1408">
        <v>3</v>
      </c>
      <c r="BA12" s="1408"/>
      <c r="BB12" s="1420">
        <f t="shared" si="4"/>
        <v>11</v>
      </c>
      <c r="BC12" s="1408">
        <v>10</v>
      </c>
      <c r="BD12" s="1408">
        <v>1</v>
      </c>
      <c r="BE12" s="1408"/>
      <c r="BF12" s="1408"/>
      <c r="BG12" s="1408"/>
      <c r="BH12" s="1408"/>
      <c r="BI12" s="1408"/>
      <c r="BJ12" s="1408"/>
    </row>
    <row r="13" spans="1:62" ht="16.5">
      <c r="A13" s="1367" t="s">
        <v>9034</v>
      </c>
      <c r="B13" s="1402">
        <v>289</v>
      </c>
      <c r="C13" s="1409">
        <v>289</v>
      </c>
      <c r="D13" s="1410">
        <f t="shared" ref="D13:D30" si="8">SUM(E13+J13+O13+T13+U13+V13+W13)</f>
        <v>289</v>
      </c>
      <c r="E13" s="1405">
        <v>242</v>
      </c>
      <c r="F13" s="1406">
        <v>242</v>
      </c>
      <c r="G13" s="1407"/>
      <c r="H13" s="1407"/>
      <c r="I13" s="1407"/>
      <c r="J13" s="1411"/>
      <c r="K13" s="1408"/>
      <c r="L13" s="1408"/>
      <c r="M13" s="1408"/>
      <c r="N13" s="1408"/>
      <c r="O13" s="1405">
        <f t="shared" ref="O13:P13" si="9">SUM(P13:S13)</f>
        <v>0</v>
      </c>
      <c r="P13" s="1406">
        <f t="shared" si="9"/>
        <v>0</v>
      </c>
      <c r="Q13" s="1368"/>
      <c r="R13" s="1368"/>
      <c r="S13" s="1368"/>
      <c r="T13" s="1368"/>
      <c r="U13" s="1368">
        <v>2</v>
      </c>
      <c r="V13" s="1368">
        <v>43</v>
      </c>
      <c r="W13" s="1368">
        <v>2</v>
      </c>
      <c r="X13" s="1418">
        <f t="shared" si="2"/>
        <v>289</v>
      </c>
      <c r="Y13" s="1408">
        <v>161</v>
      </c>
      <c r="Z13" s="1408">
        <v>71</v>
      </c>
      <c r="AA13" s="1408">
        <v>30</v>
      </c>
      <c r="AB13" s="1408">
        <v>11</v>
      </c>
      <c r="AC13" s="1408">
        <v>15</v>
      </c>
      <c r="AD13" s="1408">
        <v>1</v>
      </c>
      <c r="AE13" s="1408"/>
      <c r="AF13" s="1408"/>
      <c r="AG13" s="1403"/>
      <c r="AH13" s="1419"/>
      <c r="AI13" s="1405"/>
      <c r="AJ13" s="1406"/>
      <c r="AK13" s="1408"/>
      <c r="AL13" s="1408"/>
      <c r="AM13" s="1408"/>
      <c r="AN13" s="1405"/>
      <c r="AO13" s="1408"/>
      <c r="AP13" s="1408"/>
      <c r="AQ13" s="1408"/>
      <c r="AR13" s="1408"/>
      <c r="AS13" s="1405">
        <f t="shared" si="7"/>
        <v>0</v>
      </c>
      <c r="AT13" s="1408"/>
      <c r="AU13" s="1408"/>
      <c r="AV13" s="1408"/>
      <c r="AW13" s="1408"/>
      <c r="AX13" s="1408"/>
      <c r="AY13" s="1408"/>
      <c r="AZ13" s="1408"/>
      <c r="BA13" s="1408"/>
      <c r="BB13" s="1420"/>
      <c r="BC13" s="1408"/>
      <c r="BD13" s="1408"/>
      <c r="BE13" s="1408"/>
      <c r="BF13" s="1408"/>
      <c r="BG13" s="1408"/>
      <c r="BH13" s="1408"/>
      <c r="BI13" s="1408"/>
      <c r="BJ13" s="1408"/>
    </row>
    <row r="14" spans="1:62" ht="16.5">
      <c r="A14" s="1367" t="s">
        <v>9035</v>
      </c>
      <c r="B14" s="1402">
        <v>367</v>
      </c>
      <c r="C14" s="1412">
        <v>325</v>
      </c>
      <c r="D14" s="1410">
        <f>SUM(E14+J14+O14+T14+U14+V14+W14)</f>
        <v>326</v>
      </c>
      <c r="E14" s="1413">
        <v>196</v>
      </c>
      <c r="F14" s="1414">
        <v>196</v>
      </c>
      <c r="G14" s="1407"/>
      <c r="H14" s="1407"/>
      <c r="I14" s="1407"/>
      <c r="J14" s="1413">
        <v>1</v>
      </c>
      <c r="K14" s="1415">
        <v>1</v>
      </c>
      <c r="L14" s="1415"/>
      <c r="M14" s="1415"/>
      <c r="N14" s="1415"/>
      <c r="O14" s="1413">
        <v>8</v>
      </c>
      <c r="P14" s="1415">
        <v>8</v>
      </c>
      <c r="Q14" s="1370"/>
      <c r="R14" s="1370"/>
      <c r="S14" s="1370"/>
      <c r="T14" s="1370"/>
      <c r="U14" s="1370">
        <v>6</v>
      </c>
      <c r="V14" s="1370">
        <v>105</v>
      </c>
      <c r="W14" s="1370">
        <v>10</v>
      </c>
      <c r="X14" s="1418">
        <f t="shared" si="2"/>
        <v>326</v>
      </c>
      <c r="Y14" s="1415">
        <v>188</v>
      </c>
      <c r="Z14" s="1415">
        <v>66</v>
      </c>
      <c r="AA14" s="1415">
        <v>25</v>
      </c>
      <c r="AB14" s="1415">
        <v>13</v>
      </c>
      <c r="AC14" s="1415">
        <v>33</v>
      </c>
      <c r="AD14" s="1415">
        <v>1</v>
      </c>
      <c r="AE14" s="1415"/>
      <c r="AF14" s="1415"/>
      <c r="AG14" s="1403">
        <f t="shared" si="6"/>
        <v>42</v>
      </c>
      <c r="AH14" s="1419">
        <f t="shared" ref="AH14:AH30" si="10">SUM(AI14,AN14,AS14,AX14:BA14)</f>
        <v>42</v>
      </c>
      <c r="AI14" s="1413">
        <v>37</v>
      </c>
      <c r="AJ14" s="1414">
        <v>37</v>
      </c>
      <c r="AK14" s="1415"/>
      <c r="AL14" s="1415"/>
      <c r="AM14" s="1415"/>
      <c r="AN14" s="1413"/>
      <c r="AO14" s="1415"/>
      <c r="AP14" s="1415"/>
      <c r="AQ14" s="1415"/>
      <c r="AR14" s="1415"/>
      <c r="AS14" s="1413"/>
      <c r="AT14" s="1415"/>
      <c r="AU14" s="1415"/>
      <c r="AV14" s="1415"/>
      <c r="AW14" s="1415"/>
      <c r="AX14" s="1415"/>
      <c r="AY14" s="1415">
        <v>1</v>
      </c>
      <c r="AZ14" s="1415">
        <v>3</v>
      </c>
      <c r="BA14" s="1415">
        <v>1</v>
      </c>
      <c r="BB14" s="1421">
        <f>SUM(BC14:BJ14)</f>
        <v>42</v>
      </c>
      <c r="BC14" s="1415">
        <v>39</v>
      </c>
      <c r="BD14" s="1415">
        <v>1</v>
      </c>
      <c r="BE14" s="1415">
        <v>1</v>
      </c>
      <c r="BF14" s="1415">
        <v>1</v>
      </c>
      <c r="BG14" s="1415"/>
      <c r="BH14" s="1415"/>
      <c r="BI14" s="1415"/>
      <c r="BJ14" s="1415"/>
    </row>
    <row r="15" spans="1:62" ht="16.5">
      <c r="A15" s="1367" t="s">
        <v>9038</v>
      </c>
      <c r="B15" s="1402">
        <v>1246</v>
      </c>
      <c r="C15" s="1409">
        <v>291</v>
      </c>
      <c r="D15" s="1410">
        <f t="shared" si="8"/>
        <v>291</v>
      </c>
      <c r="E15" s="1405">
        <v>262</v>
      </c>
      <c r="F15" s="1406">
        <v>262</v>
      </c>
      <c r="G15" s="1407"/>
      <c r="H15" s="1407"/>
      <c r="I15" s="1407"/>
      <c r="J15" s="1411"/>
      <c r="K15" s="1415"/>
      <c r="L15" s="1415"/>
      <c r="M15" s="1415"/>
      <c r="N15" s="1415"/>
      <c r="O15" s="1413"/>
      <c r="P15" s="1415"/>
      <c r="Q15" s="1370"/>
      <c r="R15" s="1370"/>
      <c r="S15" s="1370"/>
      <c r="T15" s="1370"/>
      <c r="U15" s="1374">
        <v>3</v>
      </c>
      <c r="V15" s="1374">
        <v>26</v>
      </c>
      <c r="W15" s="1370"/>
      <c r="X15" s="1418">
        <f t="shared" si="2"/>
        <v>291</v>
      </c>
      <c r="Y15" s="1406">
        <v>230</v>
      </c>
      <c r="Z15" s="1406">
        <v>32</v>
      </c>
      <c r="AA15" s="1406">
        <v>15</v>
      </c>
      <c r="AB15" s="1406">
        <v>7</v>
      </c>
      <c r="AC15" s="1406">
        <v>7</v>
      </c>
      <c r="AD15" s="1406"/>
      <c r="AE15" s="1415"/>
      <c r="AF15" s="1415"/>
      <c r="AG15" s="1403">
        <f t="shared" si="6"/>
        <v>955</v>
      </c>
      <c r="AH15" s="1419">
        <f t="shared" si="10"/>
        <v>955</v>
      </c>
      <c r="AI15" s="1413">
        <v>787</v>
      </c>
      <c r="AJ15" s="1414">
        <v>787</v>
      </c>
      <c r="AK15" s="1415"/>
      <c r="AL15" s="1415"/>
      <c r="AM15" s="1415"/>
      <c r="AN15" s="1413">
        <v>1</v>
      </c>
      <c r="AO15" s="1415">
        <v>1</v>
      </c>
      <c r="AP15" s="1415"/>
      <c r="AQ15" s="1415"/>
      <c r="AR15" s="1415"/>
      <c r="AS15" s="1413">
        <v>5</v>
      </c>
      <c r="AT15" s="1415">
        <v>5</v>
      </c>
      <c r="AU15" s="1415"/>
      <c r="AV15" s="1415"/>
      <c r="AW15" s="1415"/>
      <c r="AX15" s="1415">
        <v>1</v>
      </c>
      <c r="AY15" s="1415">
        <v>22</v>
      </c>
      <c r="AZ15" s="1415">
        <v>134</v>
      </c>
      <c r="BA15" s="1415">
        <v>5</v>
      </c>
      <c r="BB15" s="1421">
        <f t="shared" ref="BB15:BB30" si="11">SUM(BC15:BJ15)</f>
        <v>955</v>
      </c>
      <c r="BC15" s="1415">
        <v>741</v>
      </c>
      <c r="BD15" s="1415">
        <v>122</v>
      </c>
      <c r="BE15" s="1415">
        <v>54</v>
      </c>
      <c r="BF15" s="1415">
        <v>16</v>
      </c>
      <c r="BG15" s="1415">
        <v>22</v>
      </c>
      <c r="BH15" s="1415"/>
      <c r="BI15" s="1415"/>
      <c r="BJ15" s="1415"/>
    </row>
    <row r="16" spans="1:62" ht="16.5">
      <c r="A16" s="1367" t="s">
        <v>9031</v>
      </c>
      <c r="B16" s="1402">
        <v>403</v>
      </c>
      <c r="C16" s="1409">
        <v>290</v>
      </c>
      <c r="D16" s="1410">
        <f t="shared" si="8"/>
        <v>290</v>
      </c>
      <c r="E16" s="1405">
        <v>237</v>
      </c>
      <c r="F16" s="1406">
        <v>237</v>
      </c>
      <c r="G16" s="1407"/>
      <c r="H16" s="1407"/>
      <c r="I16" s="1407"/>
      <c r="J16" s="1413"/>
      <c r="K16" s="1415"/>
      <c r="L16" s="1415"/>
      <c r="M16" s="1415"/>
      <c r="N16" s="1415"/>
      <c r="O16" s="1413"/>
      <c r="P16" s="1415"/>
      <c r="Q16" s="1370"/>
      <c r="R16" s="1370"/>
      <c r="S16" s="1370"/>
      <c r="T16" s="1370"/>
      <c r="U16" s="1374">
        <v>7</v>
      </c>
      <c r="V16" s="1374">
        <v>43</v>
      </c>
      <c r="W16" s="1374">
        <v>3</v>
      </c>
      <c r="X16" s="1418">
        <f t="shared" si="2"/>
        <v>290</v>
      </c>
      <c r="Y16" s="1406">
        <v>222</v>
      </c>
      <c r="Z16" s="1406">
        <v>33</v>
      </c>
      <c r="AA16" s="1406">
        <v>22</v>
      </c>
      <c r="AB16" s="1406">
        <v>5</v>
      </c>
      <c r="AC16" s="1406">
        <v>7</v>
      </c>
      <c r="AD16" s="1406">
        <v>1</v>
      </c>
      <c r="AE16" s="1415"/>
      <c r="AF16" s="1415"/>
      <c r="AG16" s="1403">
        <f t="shared" si="6"/>
        <v>113</v>
      </c>
      <c r="AH16" s="1419">
        <f t="shared" si="10"/>
        <v>113</v>
      </c>
      <c r="AI16" s="1405">
        <v>94</v>
      </c>
      <c r="AJ16" s="1406">
        <v>94</v>
      </c>
      <c r="AK16" s="1415"/>
      <c r="AL16" s="1415"/>
      <c r="AM16" s="1415"/>
      <c r="AN16" s="1413"/>
      <c r="AO16" s="1415"/>
      <c r="AP16" s="1415"/>
      <c r="AQ16" s="1415"/>
      <c r="AR16" s="1415"/>
      <c r="AS16" s="1413"/>
      <c r="AT16" s="1415"/>
      <c r="AU16" s="1415"/>
      <c r="AV16" s="1415"/>
      <c r="AW16" s="1415"/>
      <c r="AX16" s="1415"/>
      <c r="AY16" s="1415">
        <v>1</v>
      </c>
      <c r="AZ16" s="1406">
        <v>16</v>
      </c>
      <c r="BA16" s="1415">
        <v>2</v>
      </c>
      <c r="BB16" s="1421">
        <f t="shared" si="11"/>
        <v>113</v>
      </c>
      <c r="BC16" s="1406">
        <v>71</v>
      </c>
      <c r="BD16" s="1406">
        <v>15</v>
      </c>
      <c r="BE16" s="1406">
        <v>10</v>
      </c>
      <c r="BF16" s="1406">
        <v>5</v>
      </c>
      <c r="BG16" s="1406">
        <v>12</v>
      </c>
      <c r="BH16" s="1415"/>
      <c r="BI16" s="1415"/>
      <c r="BJ16" s="1415"/>
    </row>
    <row r="17" spans="1:62" ht="16.5">
      <c r="A17" s="1367" t="s">
        <v>9029</v>
      </c>
      <c r="B17" s="1402">
        <v>649</v>
      </c>
      <c r="C17" s="1409">
        <v>47</v>
      </c>
      <c r="D17" s="1410">
        <f t="shared" si="8"/>
        <v>47</v>
      </c>
      <c r="E17" s="1405">
        <v>42</v>
      </c>
      <c r="F17" s="1406">
        <v>42</v>
      </c>
      <c r="G17" s="1407"/>
      <c r="H17" s="1407"/>
      <c r="I17" s="1407"/>
      <c r="J17" s="1413">
        <v>1</v>
      </c>
      <c r="K17" s="1415">
        <v>1</v>
      </c>
      <c r="L17" s="1415"/>
      <c r="M17" s="1415"/>
      <c r="N17" s="1415"/>
      <c r="O17" s="1413">
        <v>1</v>
      </c>
      <c r="P17" s="1415">
        <v>1</v>
      </c>
      <c r="Q17" s="1370"/>
      <c r="R17" s="1370"/>
      <c r="S17" s="1370"/>
      <c r="T17" s="1370"/>
      <c r="U17" s="1370"/>
      <c r="V17" s="1374">
        <v>1</v>
      </c>
      <c r="W17" s="1374">
        <v>2</v>
      </c>
      <c r="X17" s="1418">
        <f t="shared" si="2"/>
        <v>47</v>
      </c>
      <c r="Y17" s="1406">
        <v>43</v>
      </c>
      <c r="Z17" s="1406">
        <v>2</v>
      </c>
      <c r="AA17" s="1415"/>
      <c r="AB17" s="1415"/>
      <c r="AC17" s="1406">
        <v>2</v>
      </c>
      <c r="AD17" s="1406"/>
      <c r="AE17" s="1415"/>
      <c r="AF17" s="1415"/>
      <c r="AG17" s="1403">
        <f t="shared" si="6"/>
        <v>602</v>
      </c>
      <c r="AH17" s="1419">
        <f t="shared" si="10"/>
        <v>602</v>
      </c>
      <c r="AI17" s="1405">
        <v>476</v>
      </c>
      <c r="AJ17" s="1406">
        <v>476</v>
      </c>
      <c r="AK17" s="1415"/>
      <c r="AL17" s="1415"/>
      <c r="AM17" s="1415"/>
      <c r="AN17" s="1413"/>
      <c r="AO17" s="1415"/>
      <c r="AP17" s="1415"/>
      <c r="AQ17" s="1415"/>
      <c r="AR17" s="1415"/>
      <c r="AS17" s="1413">
        <v>6</v>
      </c>
      <c r="AT17" s="1415">
        <v>6</v>
      </c>
      <c r="AU17" s="1415"/>
      <c r="AV17" s="1415"/>
      <c r="AW17" s="1415"/>
      <c r="AX17" s="1415"/>
      <c r="AY17" s="1415">
        <v>4</v>
      </c>
      <c r="AZ17" s="1406">
        <v>111</v>
      </c>
      <c r="BA17" s="1415">
        <v>5</v>
      </c>
      <c r="BB17" s="1421">
        <f t="shared" si="11"/>
        <v>602</v>
      </c>
      <c r="BC17" s="1406">
        <v>443</v>
      </c>
      <c r="BD17" s="1406">
        <v>92</v>
      </c>
      <c r="BE17" s="1406">
        <v>38</v>
      </c>
      <c r="BF17" s="1406">
        <v>13</v>
      </c>
      <c r="BG17" s="1406">
        <v>15</v>
      </c>
      <c r="BH17" s="1406">
        <v>1</v>
      </c>
      <c r="BI17" s="1415"/>
      <c r="BJ17" s="1415"/>
    </row>
    <row r="18" spans="1:62" ht="16.5">
      <c r="A18" s="1367" t="s">
        <v>9027</v>
      </c>
      <c r="B18" s="1402">
        <v>267</v>
      </c>
      <c r="C18" s="1416"/>
      <c r="D18" s="1417"/>
      <c r="E18" s="1411"/>
      <c r="F18" s="1407"/>
      <c r="G18" s="1407"/>
      <c r="H18" s="1407"/>
      <c r="I18" s="1407"/>
      <c r="J18" s="1413"/>
      <c r="K18" s="1415"/>
      <c r="L18" s="1415"/>
      <c r="M18" s="1415"/>
      <c r="N18" s="1415"/>
      <c r="O18" s="1413"/>
      <c r="P18" s="1415"/>
      <c r="Q18" s="1370"/>
      <c r="R18" s="1370"/>
      <c r="S18" s="1370"/>
      <c r="T18" s="1370"/>
      <c r="U18" s="1370"/>
      <c r="V18" s="1370"/>
      <c r="W18" s="1370"/>
      <c r="X18" s="1418"/>
      <c r="Y18" s="1415"/>
      <c r="Z18" s="1415"/>
      <c r="AA18" s="1415"/>
      <c r="AB18" s="1415"/>
      <c r="AC18" s="1415"/>
      <c r="AD18" s="1415"/>
      <c r="AE18" s="1415"/>
      <c r="AF18" s="1415"/>
      <c r="AG18" s="1403">
        <f t="shared" si="6"/>
        <v>267</v>
      </c>
      <c r="AH18" s="1419">
        <f t="shared" si="10"/>
        <v>267</v>
      </c>
      <c r="AI18" s="1405">
        <v>151</v>
      </c>
      <c r="AJ18" s="1406">
        <v>151</v>
      </c>
      <c r="AK18" s="1415"/>
      <c r="AL18" s="1415"/>
      <c r="AM18" s="1415"/>
      <c r="AN18" s="1413">
        <v>1</v>
      </c>
      <c r="AO18" s="1415">
        <v>1</v>
      </c>
      <c r="AP18" s="1415"/>
      <c r="AQ18" s="1415"/>
      <c r="AR18" s="1415"/>
      <c r="AS18" s="1413">
        <v>1</v>
      </c>
      <c r="AT18" s="1415">
        <v>1</v>
      </c>
      <c r="AU18" s="1415"/>
      <c r="AV18" s="1415"/>
      <c r="AW18" s="1415"/>
      <c r="AX18" s="1415">
        <v>1</v>
      </c>
      <c r="AY18" s="1415">
        <v>6</v>
      </c>
      <c r="AZ18" s="1406">
        <v>94</v>
      </c>
      <c r="BA18" s="1415">
        <v>13</v>
      </c>
      <c r="BB18" s="1421">
        <f t="shared" si="11"/>
        <v>267</v>
      </c>
      <c r="BC18" s="1406">
        <v>174</v>
      </c>
      <c r="BD18" s="1406">
        <v>59</v>
      </c>
      <c r="BE18" s="1406">
        <v>22</v>
      </c>
      <c r="BF18" s="1406">
        <v>8</v>
      </c>
      <c r="BG18" s="1406">
        <v>4</v>
      </c>
      <c r="BH18" s="1415"/>
      <c r="BI18" s="1415"/>
      <c r="BJ18" s="1415"/>
    </row>
    <row r="19" spans="1:62" ht="16.5">
      <c r="A19" s="1367" t="s">
        <v>9006</v>
      </c>
      <c r="B19" s="1402">
        <v>296</v>
      </c>
      <c r="C19" s="1409">
        <v>296</v>
      </c>
      <c r="D19" s="1410">
        <f t="shared" si="8"/>
        <v>296</v>
      </c>
      <c r="E19" s="1405">
        <v>278</v>
      </c>
      <c r="F19" s="1406">
        <v>278</v>
      </c>
      <c r="G19" s="1407"/>
      <c r="H19" s="1407"/>
      <c r="I19" s="1407"/>
      <c r="J19" s="1413">
        <v>1</v>
      </c>
      <c r="K19" s="1415">
        <v>1</v>
      </c>
      <c r="L19" s="1415"/>
      <c r="M19" s="1415"/>
      <c r="N19" s="1415"/>
      <c r="O19" s="1413">
        <v>2</v>
      </c>
      <c r="P19" s="1415">
        <v>2</v>
      </c>
      <c r="Q19" s="1370"/>
      <c r="R19" s="1370"/>
      <c r="S19" s="1370"/>
      <c r="T19" s="1370"/>
      <c r="U19" s="1370">
        <v>1</v>
      </c>
      <c r="V19" s="1374">
        <v>11</v>
      </c>
      <c r="W19" s="1370">
        <v>3</v>
      </c>
      <c r="X19" s="1418">
        <f t="shared" si="2"/>
        <v>296</v>
      </c>
      <c r="Y19" s="1406">
        <v>140</v>
      </c>
      <c r="Z19" s="1406">
        <v>70</v>
      </c>
      <c r="AA19" s="1406">
        <v>23</v>
      </c>
      <c r="AB19" s="1406">
        <v>25</v>
      </c>
      <c r="AC19" s="1406">
        <v>35</v>
      </c>
      <c r="AD19" s="1406">
        <v>2</v>
      </c>
      <c r="AE19" s="1415"/>
      <c r="AF19" s="1406">
        <v>1</v>
      </c>
      <c r="AG19" s="1403"/>
      <c r="AH19" s="1419"/>
      <c r="AI19" s="1413"/>
      <c r="AJ19" s="1414"/>
      <c r="AK19" s="1415"/>
      <c r="AL19" s="1415"/>
      <c r="AM19" s="1415"/>
      <c r="AN19" s="1413"/>
      <c r="AO19" s="1415"/>
      <c r="AP19" s="1415"/>
      <c r="AQ19" s="1415"/>
      <c r="AR19" s="1415"/>
      <c r="AS19" s="1413"/>
      <c r="AT19" s="1415"/>
      <c r="AU19" s="1415"/>
      <c r="AV19" s="1415"/>
      <c r="AW19" s="1415"/>
      <c r="AX19" s="1415"/>
      <c r="AY19" s="1415"/>
      <c r="AZ19" s="1415"/>
      <c r="BA19" s="1415"/>
      <c r="BB19" s="1421"/>
      <c r="BC19" s="1415"/>
      <c r="BD19" s="1415"/>
      <c r="BE19" s="1415"/>
      <c r="BF19" s="1415"/>
      <c r="BG19" s="1415"/>
      <c r="BH19" s="1415"/>
      <c r="BI19" s="1415"/>
      <c r="BJ19" s="1415"/>
    </row>
    <row r="20" spans="1:62" ht="16.5">
      <c r="A20" s="1367" t="s">
        <v>9234</v>
      </c>
      <c r="B20" s="1402">
        <v>455</v>
      </c>
      <c r="C20" s="1409">
        <v>455</v>
      </c>
      <c r="D20" s="1410">
        <f t="shared" si="8"/>
        <v>455</v>
      </c>
      <c r="E20" s="1405">
        <v>429</v>
      </c>
      <c r="F20" s="1406">
        <v>429</v>
      </c>
      <c r="G20" s="1407"/>
      <c r="H20" s="1407"/>
      <c r="I20" s="1407"/>
      <c r="J20" s="1413"/>
      <c r="K20" s="1415"/>
      <c r="L20" s="1415"/>
      <c r="M20" s="1415"/>
      <c r="N20" s="1415"/>
      <c r="O20" s="1413">
        <v>1</v>
      </c>
      <c r="P20" s="1415">
        <v>1</v>
      </c>
      <c r="Q20" s="1370"/>
      <c r="R20" s="1370"/>
      <c r="S20" s="1370"/>
      <c r="T20" s="1370"/>
      <c r="U20" s="1370">
        <v>1</v>
      </c>
      <c r="V20" s="1374">
        <v>22</v>
      </c>
      <c r="W20" s="1370">
        <v>2</v>
      </c>
      <c r="X20" s="1418">
        <f t="shared" si="2"/>
        <v>455</v>
      </c>
      <c r="Y20" s="1406">
        <v>99</v>
      </c>
      <c r="Z20" s="1406">
        <v>98</v>
      </c>
      <c r="AA20" s="1406">
        <v>63</v>
      </c>
      <c r="AB20" s="1406">
        <v>70</v>
      </c>
      <c r="AC20" s="1406">
        <v>98</v>
      </c>
      <c r="AD20" s="1406">
        <v>26</v>
      </c>
      <c r="AE20" s="1406">
        <v>1</v>
      </c>
      <c r="AF20" s="1415"/>
      <c r="AG20" s="1403"/>
      <c r="AH20" s="1419"/>
      <c r="AI20" s="1413"/>
      <c r="AJ20" s="1415"/>
      <c r="AK20" s="1415"/>
      <c r="AL20" s="1415"/>
      <c r="AM20" s="1415"/>
      <c r="AN20" s="1413"/>
      <c r="AO20" s="1415"/>
      <c r="AP20" s="1415"/>
      <c r="AQ20" s="1415"/>
      <c r="AR20" s="1415"/>
      <c r="AS20" s="1413"/>
      <c r="AT20" s="1415"/>
      <c r="AU20" s="1415"/>
      <c r="AV20" s="1415"/>
      <c r="AW20" s="1415"/>
      <c r="AX20" s="1415"/>
      <c r="AY20" s="1415"/>
      <c r="AZ20" s="1415"/>
      <c r="BA20" s="1415"/>
      <c r="BB20" s="1421"/>
      <c r="BC20" s="1415"/>
      <c r="BD20" s="1415"/>
      <c r="BE20" s="1415"/>
      <c r="BF20" s="1415"/>
      <c r="BG20" s="1415"/>
      <c r="BH20" s="1415"/>
      <c r="BI20" s="1415"/>
      <c r="BJ20" s="1415"/>
    </row>
    <row r="21" spans="1:62" ht="16.5">
      <c r="A21" s="1367" t="s">
        <v>9009</v>
      </c>
      <c r="B21" s="1402">
        <v>383</v>
      </c>
      <c r="C21" s="1409">
        <v>383</v>
      </c>
      <c r="D21" s="1410">
        <f t="shared" si="8"/>
        <v>383</v>
      </c>
      <c r="E21" s="1405">
        <v>357</v>
      </c>
      <c r="F21" s="1406">
        <v>357</v>
      </c>
      <c r="G21" s="1407"/>
      <c r="H21" s="1407"/>
      <c r="I21" s="1407"/>
      <c r="J21" s="1413"/>
      <c r="K21" s="1415"/>
      <c r="L21" s="1415"/>
      <c r="M21" s="1415"/>
      <c r="N21" s="1415"/>
      <c r="O21" s="1413"/>
      <c r="P21" s="1415"/>
      <c r="Q21" s="1370"/>
      <c r="R21" s="1370"/>
      <c r="S21" s="1370"/>
      <c r="T21" s="1370"/>
      <c r="U21" s="1370">
        <v>6</v>
      </c>
      <c r="V21" s="1374">
        <v>12</v>
      </c>
      <c r="W21" s="1370">
        <v>8</v>
      </c>
      <c r="X21" s="1418">
        <f t="shared" si="2"/>
        <v>383</v>
      </c>
      <c r="Y21" s="1406">
        <v>116</v>
      </c>
      <c r="Z21" s="1406">
        <v>46</v>
      </c>
      <c r="AA21" s="1406">
        <v>39</v>
      </c>
      <c r="AB21" s="1406">
        <v>47</v>
      </c>
      <c r="AC21" s="1406">
        <v>119</v>
      </c>
      <c r="AD21" s="1406">
        <v>14</v>
      </c>
      <c r="AE21" s="1406">
        <v>1</v>
      </c>
      <c r="AF21" s="1406">
        <v>1</v>
      </c>
      <c r="AG21" s="1403"/>
      <c r="AH21" s="1419"/>
      <c r="AI21" s="1413"/>
      <c r="AJ21" s="1415"/>
      <c r="AK21" s="1415"/>
      <c r="AL21" s="1415"/>
      <c r="AM21" s="1415"/>
      <c r="AN21" s="1413"/>
      <c r="AO21" s="1415"/>
      <c r="AP21" s="1415"/>
      <c r="AQ21" s="1415"/>
      <c r="AR21" s="1415"/>
      <c r="AS21" s="1413"/>
      <c r="AT21" s="1415"/>
      <c r="AU21" s="1415"/>
      <c r="AV21" s="1415"/>
      <c r="AW21" s="1415"/>
      <c r="AX21" s="1415"/>
      <c r="AY21" s="1415"/>
      <c r="AZ21" s="1415"/>
      <c r="BA21" s="1415"/>
      <c r="BB21" s="1421"/>
      <c r="BC21" s="1415"/>
      <c r="BD21" s="1415"/>
      <c r="BE21" s="1415"/>
      <c r="BF21" s="1415"/>
      <c r="BG21" s="1415"/>
      <c r="BH21" s="1415"/>
      <c r="BI21" s="1415"/>
      <c r="BJ21" s="1415"/>
    </row>
    <row r="22" spans="1:62" ht="16.5">
      <c r="A22" s="1367" t="s">
        <v>9235</v>
      </c>
      <c r="B22" s="1402">
        <v>416</v>
      </c>
      <c r="C22" s="1409">
        <v>416</v>
      </c>
      <c r="D22" s="1410">
        <f t="shared" si="8"/>
        <v>416</v>
      </c>
      <c r="E22" s="1405">
        <v>402</v>
      </c>
      <c r="F22" s="1406">
        <v>402</v>
      </c>
      <c r="G22" s="1407"/>
      <c r="H22" s="1407"/>
      <c r="I22" s="1407"/>
      <c r="J22" s="1413"/>
      <c r="K22" s="1415"/>
      <c r="L22" s="1415"/>
      <c r="M22" s="1415"/>
      <c r="N22" s="1415"/>
      <c r="O22" s="1413"/>
      <c r="P22" s="1415"/>
      <c r="Q22" s="1370"/>
      <c r="R22" s="1370"/>
      <c r="S22" s="1370"/>
      <c r="T22" s="1370">
        <v>1</v>
      </c>
      <c r="U22" s="1370">
        <v>2</v>
      </c>
      <c r="V22" s="1374">
        <v>10</v>
      </c>
      <c r="W22" s="1370">
        <v>1</v>
      </c>
      <c r="X22" s="1418">
        <f t="shared" si="2"/>
        <v>416</v>
      </c>
      <c r="Y22" s="1406">
        <v>91</v>
      </c>
      <c r="Z22" s="1406">
        <v>45</v>
      </c>
      <c r="AA22" s="1406">
        <v>42</v>
      </c>
      <c r="AB22" s="1406">
        <v>131</v>
      </c>
      <c r="AC22" s="1406">
        <v>103</v>
      </c>
      <c r="AD22" s="1406">
        <v>4</v>
      </c>
      <c r="AE22" s="1415"/>
      <c r="AF22" s="1415"/>
      <c r="AG22" s="1403"/>
      <c r="AH22" s="1419"/>
      <c r="AI22" s="1413"/>
      <c r="AJ22" s="1415"/>
      <c r="AK22" s="1415"/>
      <c r="AL22" s="1415"/>
      <c r="AM22" s="1415"/>
      <c r="AN22" s="1413"/>
      <c r="AO22" s="1415"/>
      <c r="AP22" s="1415"/>
      <c r="AQ22" s="1415"/>
      <c r="AR22" s="1415"/>
      <c r="AS22" s="1413"/>
      <c r="AT22" s="1415"/>
      <c r="AU22" s="1415"/>
      <c r="AV22" s="1415"/>
      <c r="AW22" s="1415"/>
      <c r="AX22" s="1415"/>
      <c r="AY22" s="1415"/>
      <c r="AZ22" s="1415"/>
      <c r="BA22" s="1415"/>
      <c r="BB22" s="1421"/>
      <c r="BC22" s="1415"/>
      <c r="BD22" s="1415"/>
      <c r="BE22" s="1415"/>
      <c r="BF22" s="1415"/>
      <c r="BG22" s="1415"/>
      <c r="BH22" s="1415"/>
      <c r="BI22" s="1415"/>
      <c r="BJ22" s="1415"/>
    </row>
    <row r="23" spans="1:62" ht="16.5">
      <c r="A23" s="1367" t="s">
        <v>9236</v>
      </c>
      <c r="B23" s="1402">
        <v>475</v>
      </c>
      <c r="C23" s="1409">
        <v>475</v>
      </c>
      <c r="D23" s="1410">
        <f t="shared" si="8"/>
        <v>475</v>
      </c>
      <c r="E23" s="1405">
        <v>452</v>
      </c>
      <c r="F23" s="1406">
        <v>452</v>
      </c>
      <c r="G23" s="1407"/>
      <c r="H23" s="1407"/>
      <c r="I23" s="1407"/>
      <c r="J23" s="1413">
        <v>2</v>
      </c>
      <c r="K23" s="1415">
        <v>2</v>
      </c>
      <c r="L23" s="1415"/>
      <c r="M23" s="1415"/>
      <c r="N23" s="1415"/>
      <c r="O23" s="1413"/>
      <c r="P23" s="1415"/>
      <c r="Q23" s="1370"/>
      <c r="R23" s="1370"/>
      <c r="S23" s="1370"/>
      <c r="T23" s="1370"/>
      <c r="U23" s="1370"/>
      <c r="V23" s="1374">
        <v>20</v>
      </c>
      <c r="W23" s="1370">
        <v>1</v>
      </c>
      <c r="X23" s="1418">
        <f t="shared" si="2"/>
        <v>475</v>
      </c>
      <c r="Y23" s="1406">
        <v>212</v>
      </c>
      <c r="Z23" s="1406">
        <v>109</v>
      </c>
      <c r="AA23" s="1406">
        <v>54</v>
      </c>
      <c r="AB23" s="1406">
        <v>57</v>
      </c>
      <c r="AC23" s="1406">
        <v>40</v>
      </c>
      <c r="AD23" s="1406">
        <v>3</v>
      </c>
      <c r="AE23" s="1415"/>
      <c r="AF23" s="1415"/>
      <c r="AG23" s="1403"/>
      <c r="AH23" s="1419"/>
      <c r="AI23" s="1413"/>
      <c r="AJ23" s="1415"/>
      <c r="AK23" s="1415"/>
      <c r="AL23" s="1415"/>
      <c r="AM23" s="1415"/>
      <c r="AN23" s="1413"/>
      <c r="AO23" s="1415"/>
      <c r="AP23" s="1415"/>
      <c r="AQ23" s="1415"/>
      <c r="AR23" s="1415"/>
      <c r="AS23" s="1413"/>
      <c r="AT23" s="1415"/>
      <c r="AU23" s="1415"/>
      <c r="AV23" s="1415"/>
      <c r="AW23" s="1415"/>
      <c r="AX23" s="1415"/>
      <c r="AY23" s="1415"/>
      <c r="AZ23" s="1415"/>
      <c r="BA23" s="1415"/>
      <c r="BB23" s="1421"/>
      <c r="BC23" s="1415"/>
      <c r="BD23" s="1415"/>
      <c r="BE23" s="1415"/>
      <c r="BF23" s="1415"/>
      <c r="BG23" s="1415"/>
      <c r="BH23" s="1415"/>
      <c r="BI23" s="1415"/>
      <c r="BJ23" s="1415"/>
    </row>
    <row r="24" spans="1:62" ht="16.5">
      <c r="A24" s="1367" t="s">
        <v>9237</v>
      </c>
      <c r="B24" s="1402">
        <v>353</v>
      </c>
      <c r="C24" s="1409">
        <v>353</v>
      </c>
      <c r="D24" s="1410">
        <f t="shared" si="8"/>
        <v>353</v>
      </c>
      <c r="E24" s="1405">
        <v>291</v>
      </c>
      <c r="F24" s="1406">
        <v>291</v>
      </c>
      <c r="G24" s="1407"/>
      <c r="H24" s="1407"/>
      <c r="I24" s="1407"/>
      <c r="J24" s="1413"/>
      <c r="K24" s="1415"/>
      <c r="L24" s="1415"/>
      <c r="M24" s="1415"/>
      <c r="N24" s="1415"/>
      <c r="O24" s="1413">
        <v>1</v>
      </c>
      <c r="P24" s="1415">
        <v>1</v>
      </c>
      <c r="Q24" s="1370"/>
      <c r="R24" s="1370"/>
      <c r="S24" s="1370"/>
      <c r="T24" s="1370"/>
      <c r="U24" s="1370"/>
      <c r="V24" s="1374">
        <v>60</v>
      </c>
      <c r="W24" s="1370">
        <v>1</v>
      </c>
      <c r="X24" s="1418">
        <f t="shared" si="2"/>
        <v>353</v>
      </c>
      <c r="Y24" s="1406">
        <v>257</v>
      </c>
      <c r="Z24" s="1406">
        <v>32</v>
      </c>
      <c r="AA24" s="1406">
        <v>14</v>
      </c>
      <c r="AB24" s="1406">
        <v>26</v>
      </c>
      <c r="AC24" s="1406">
        <v>24</v>
      </c>
      <c r="AD24" s="1415"/>
      <c r="AE24" s="1415"/>
      <c r="AF24" s="1415"/>
      <c r="AG24" s="1403"/>
      <c r="AH24" s="1419"/>
      <c r="AI24" s="1413"/>
      <c r="AJ24" s="1415"/>
      <c r="AK24" s="1415"/>
      <c r="AL24" s="1415"/>
      <c r="AM24" s="1415"/>
      <c r="AN24" s="1413"/>
      <c r="AO24" s="1415"/>
      <c r="AP24" s="1415"/>
      <c r="AQ24" s="1415"/>
      <c r="AR24" s="1415"/>
      <c r="AS24" s="1413"/>
      <c r="AT24" s="1415"/>
      <c r="AU24" s="1415"/>
      <c r="AV24" s="1415"/>
      <c r="AW24" s="1415"/>
      <c r="AX24" s="1415"/>
      <c r="AY24" s="1415"/>
      <c r="AZ24" s="1415"/>
      <c r="BA24" s="1415"/>
      <c r="BB24" s="1421"/>
      <c r="BC24" s="1415"/>
      <c r="BD24" s="1415"/>
      <c r="BE24" s="1415"/>
      <c r="BF24" s="1415"/>
      <c r="BG24" s="1415"/>
      <c r="BH24" s="1415"/>
      <c r="BI24" s="1415"/>
      <c r="BJ24" s="1415"/>
    </row>
    <row r="25" spans="1:62" ht="16.5">
      <c r="A25" s="1367" t="s">
        <v>9238</v>
      </c>
      <c r="B25" s="1402">
        <v>677</v>
      </c>
      <c r="C25" s="1409">
        <v>677</v>
      </c>
      <c r="D25" s="1410">
        <f t="shared" si="8"/>
        <v>677</v>
      </c>
      <c r="E25" s="1405">
        <v>653</v>
      </c>
      <c r="F25" s="1406">
        <v>653</v>
      </c>
      <c r="G25" s="1407"/>
      <c r="H25" s="1407"/>
      <c r="I25" s="1407"/>
      <c r="J25" s="1413">
        <v>1</v>
      </c>
      <c r="K25" s="1415">
        <v>1</v>
      </c>
      <c r="L25" s="1415"/>
      <c r="M25" s="1415"/>
      <c r="N25" s="1415"/>
      <c r="O25" s="1413"/>
      <c r="P25" s="1415"/>
      <c r="Q25" s="1370"/>
      <c r="R25" s="1370"/>
      <c r="S25" s="1370"/>
      <c r="T25" s="1370"/>
      <c r="U25" s="1370">
        <v>4</v>
      </c>
      <c r="V25" s="1374">
        <v>18</v>
      </c>
      <c r="W25" s="1370">
        <v>1</v>
      </c>
      <c r="X25" s="1418">
        <f t="shared" si="2"/>
        <v>677</v>
      </c>
      <c r="Y25" s="1406">
        <v>163</v>
      </c>
      <c r="Z25" s="1406">
        <v>101</v>
      </c>
      <c r="AA25" s="1406">
        <v>65</v>
      </c>
      <c r="AB25" s="1406">
        <v>153</v>
      </c>
      <c r="AC25" s="1406">
        <v>178</v>
      </c>
      <c r="AD25" s="1406">
        <v>17</v>
      </c>
      <c r="AE25" s="1415"/>
      <c r="AF25" s="1415"/>
      <c r="AG25" s="1403"/>
      <c r="AH25" s="1419"/>
      <c r="AI25" s="1413"/>
      <c r="AJ25" s="1415"/>
      <c r="AK25" s="1415"/>
      <c r="AL25" s="1415"/>
      <c r="AM25" s="1415"/>
      <c r="AN25" s="1413"/>
      <c r="AO25" s="1415"/>
      <c r="AP25" s="1415"/>
      <c r="AQ25" s="1415"/>
      <c r="AR25" s="1415"/>
      <c r="AS25" s="1413"/>
      <c r="AT25" s="1415"/>
      <c r="AU25" s="1415"/>
      <c r="AV25" s="1415"/>
      <c r="AW25" s="1415"/>
      <c r="AX25" s="1415"/>
      <c r="AY25" s="1415"/>
      <c r="AZ25" s="1415"/>
      <c r="BA25" s="1415"/>
      <c r="BB25" s="1421"/>
      <c r="BC25" s="1415"/>
      <c r="BD25" s="1415"/>
      <c r="BE25" s="1415"/>
      <c r="BF25" s="1415"/>
      <c r="BG25" s="1415"/>
      <c r="BH25" s="1415"/>
      <c r="BI25" s="1415"/>
      <c r="BJ25" s="1415"/>
    </row>
    <row r="26" spans="1:62" ht="16.5">
      <c r="A26" s="1367" t="s">
        <v>9239</v>
      </c>
      <c r="B26" s="1402">
        <v>701</v>
      </c>
      <c r="C26" s="1409">
        <v>701</v>
      </c>
      <c r="D26" s="1410">
        <f t="shared" si="8"/>
        <v>701</v>
      </c>
      <c r="E26" s="1405">
        <v>681</v>
      </c>
      <c r="F26" s="1406">
        <v>681</v>
      </c>
      <c r="G26" s="1407"/>
      <c r="H26" s="1407"/>
      <c r="I26" s="1407"/>
      <c r="J26" s="1413">
        <v>2</v>
      </c>
      <c r="K26" s="1415">
        <v>2</v>
      </c>
      <c r="L26" s="1415"/>
      <c r="M26" s="1415"/>
      <c r="N26" s="1415"/>
      <c r="O26" s="1413"/>
      <c r="P26" s="1415"/>
      <c r="Q26" s="1370"/>
      <c r="R26" s="1370"/>
      <c r="S26" s="1370"/>
      <c r="T26" s="1370"/>
      <c r="U26" s="1370">
        <v>3</v>
      </c>
      <c r="V26" s="1374">
        <v>12</v>
      </c>
      <c r="W26" s="1370">
        <v>3</v>
      </c>
      <c r="X26" s="1418">
        <f t="shared" si="2"/>
        <v>701</v>
      </c>
      <c r="Y26" s="1406">
        <v>160</v>
      </c>
      <c r="Z26" s="1406">
        <v>165</v>
      </c>
      <c r="AA26" s="1406">
        <v>101</v>
      </c>
      <c r="AB26" s="1406">
        <v>144</v>
      </c>
      <c r="AC26" s="1406">
        <v>120</v>
      </c>
      <c r="AD26" s="1406">
        <v>8</v>
      </c>
      <c r="AE26" s="1406">
        <v>2</v>
      </c>
      <c r="AF26" s="1406">
        <v>1</v>
      </c>
      <c r="AG26" s="1403"/>
      <c r="AH26" s="1419"/>
      <c r="AI26" s="1413"/>
      <c r="AJ26" s="1415"/>
      <c r="AK26" s="1415"/>
      <c r="AL26" s="1415"/>
      <c r="AM26" s="1415"/>
      <c r="AN26" s="1413"/>
      <c r="AO26" s="1415"/>
      <c r="AP26" s="1415"/>
      <c r="AQ26" s="1415"/>
      <c r="AR26" s="1415"/>
      <c r="AS26" s="1413"/>
      <c r="AT26" s="1415"/>
      <c r="AU26" s="1415"/>
      <c r="AV26" s="1415"/>
      <c r="AW26" s="1415"/>
      <c r="AX26" s="1415"/>
      <c r="AY26" s="1415"/>
      <c r="AZ26" s="1415"/>
      <c r="BA26" s="1415"/>
      <c r="BB26" s="1421"/>
      <c r="BC26" s="1415"/>
      <c r="BD26" s="1415"/>
      <c r="BE26" s="1415"/>
      <c r="BF26" s="1415"/>
      <c r="BG26" s="1415"/>
      <c r="BH26" s="1415"/>
      <c r="BI26" s="1415"/>
      <c r="BJ26" s="1415"/>
    </row>
    <row r="27" spans="1:62" ht="16.5">
      <c r="A27" s="1367" t="s">
        <v>9023</v>
      </c>
      <c r="B27" s="1402">
        <v>242</v>
      </c>
      <c r="C27" s="1409">
        <v>242</v>
      </c>
      <c r="D27" s="1410">
        <f t="shared" si="8"/>
        <v>241</v>
      </c>
      <c r="E27" s="1405">
        <v>217</v>
      </c>
      <c r="F27" s="1406">
        <v>217</v>
      </c>
      <c r="G27" s="1407"/>
      <c r="H27" s="1407"/>
      <c r="I27" s="1407"/>
      <c r="J27" s="1413"/>
      <c r="K27" s="1415"/>
      <c r="L27" s="1415"/>
      <c r="M27" s="1415"/>
      <c r="N27" s="1415"/>
      <c r="O27" s="1413"/>
      <c r="P27" s="1415"/>
      <c r="Q27" s="1370"/>
      <c r="R27" s="1370"/>
      <c r="S27" s="1370"/>
      <c r="T27" s="1370"/>
      <c r="U27" s="1370">
        <v>2</v>
      </c>
      <c r="V27" s="1374">
        <v>19</v>
      </c>
      <c r="W27" s="1370">
        <v>3</v>
      </c>
      <c r="X27" s="1418">
        <f t="shared" si="2"/>
        <v>241</v>
      </c>
      <c r="Y27" s="1406">
        <v>126</v>
      </c>
      <c r="Z27" s="1406">
        <v>58</v>
      </c>
      <c r="AA27" s="1406">
        <v>21</v>
      </c>
      <c r="AB27" s="1406">
        <v>12</v>
      </c>
      <c r="AC27" s="1406">
        <v>21</v>
      </c>
      <c r="AD27" s="1406">
        <v>3</v>
      </c>
      <c r="AE27" s="1415"/>
      <c r="AF27" s="1415"/>
      <c r="AG27" s="1403"/>
      <c r="AH27" s="1419"/>
      <c r="AI27" s="1413"/>
      <c r="AJ27" s="1415"/>
      <c r="AK27" s="1415"/>
      <c r="AL27" s="1415"/>
      <c r="AM27" s="1415"/>
      <c r="AN27" s="1413"/>
      <c r="AO27" s="1415"/>
      <c r="AP27" s="1415"/>
      <c r="AQ27" s="1415"/>
      <c r="AR27" s="1415"/>
      <c r="AS27" s="1413"/>
      <c r="AT27" s="1415"/>
      <c r="AU27" s="1415"/>
      <c r="AV27" s="1415"/>
      <c r="AW27" s="1415"/>
      <c r="AX27" s="1415"/>
      <c r="AY27" s="1415"/>
      <c r="AZ27" s="1415"/>
      <c r="BA27" s="1415"/>
      <c r="BB27" s="1421"/>
      <c r="BC27" s="1415"/>
      <c r="BD27" s="1415"/>
      <c r="BE27" s="1415"/>
      <c r="BF27" s="1415"/>
      <c r="BG27" s="1415"/>
      <c r="BH27" s="1415"/>
      <c r="BI27" s="1415"/>
      <c r="BJ27" s="1415"/>
    </row>
    <row r="28" spans="1:62" ht="16.5">
      <c r="A28" s="1367" t="s">
        <v>9240</v>
      </c>
      <c r="B28" s="1402">
        <v>249</v>
      </c>
      <c r="C28" s="1409">
        <v>249</v>
      </c>
      <c r="D28" s="1410">
        <f t="shared" si="8"/>
        <v>249</v>
      </c>
      <c r="E28" s="1405">
        <v>226</v>
      </c>
      <c r="F28" s="1406">
        <v>226</v>
      </c>
      <c r="G28" s="1407"/>
      <c r="H28" s="1407"/>
      <c r="I28" s="1407"/>
      <c r="J28" s="1413"/>
      <c r="K28" s="1415"/>
      <c r="L28" s="1415"/>
      <c r="M28" s="1415"/>
      <c r="N28" s="1415"/>
      <c r="O28" s="1413"/>
      <c r="P28" s="1415"/>
      <c r="Q28" s="1370"/>
      <c r="R28" s="1370"/>
      <c r="S28" s="1370"/>
      <c r="T28" s="1370"/>
      <c r="U28" s="1370">
        <v>2</v>
      </c>
      <c r="V28" s="1374">
        <v>19</v>
      </c>
      <c r="W28" s="1370">
        <v>2</v>
      </c>
      <c r="X28" s="1418">
        <f t="shared" si="2"/>
        <v>249</v>
      </c>
      <c r="Y28" s="1406">
        <v>167</v>
      </c>
      <c r="Z28" s="1406">
        <v>39</v>
      </c>
      <c r="AA28" s="1406">
        <v>14</v>
      </c>
      <c r="AB28" s="1406">
        <v>9</v>
      </c>
      <c r="AC28" s="1406">
        <v>15</v>
      </c>
      <c r="AD28" s="1406">
        <v>5</v>
      </c>
      <c r="AE28" s="1415"/>
      <c r="AF28" s="1415"/>
      <c r="AG28" s="1403"/>
      <c r="AH28" s="1419"/>
      <c r="AI28" s="1413"/>
      <c r="AJ28" s="1415"/>
      <c r="AK28" s="1415"/>
      <c r="AL28" s="1415"/>
      <c r="AM28" s="1415"/>
      <c r="AN28" s="1413"/>
      <c r="AO28" s="1415"/>
      <c r="AP28" s="1415"/>
      <c r="AQ28" s="1415"/>
      <c r="AR28" s="1415"/>
      <c r="AS28" s="1413"/>
      <c r="AT28" s="1415"/>
      <c r="AU28" s="1415"/>
      <c r="AV28" s="1415"/>
      <c r="AW28" s="1415"/>
      <c r="AX28" s="1415"/>
      <c r="AY28" s="1415"/>
      <c r="AZ28" s="1415"/>
      <c r="BA28" s="1415"/>
      <c r="BB28" s="1421"/>
      <c r="BC28" s="1415"/>
      <c r="BD28" s="1415"/>
      <c r="BE28" s="1415"/>
      <c r="BF28" s="1415"/>
      <c r="BG28" s="1415"/>
      <c r="BH28" s="1415"/>
      <c r="BI28" s="1415"/>
      <c r="BJ28" s="1415"/>
    </row>
    <row r="29" spans="1:62" ht="16.5">
      <c r="A29" s="1367" t="s">
        <v>9025</v>
      </c>
      <c r="B29" s="1402">
        <v>34</v>
      </c>
      <c r="C29" s="1409">
        <v>34</v>
      </c>
      <c r="D29" s="1410">
        <f t="shared" si="8"/>
        <v>34</v>
      </c>
      <c r="E29" s="1405">
        <v>31</v>
      </c>
      <c r="F29" s="1406">
        <v>31</v>
      </c>
      <c r="G29" s="1407"/>
      <c r="H29" s="1407"/>
      <c r="I29" s="1407"/>
      <c r="J29" s="1413"/>
      <c r="K29" s="1415"/>
      <c r="L29" s="1415"/>
      <c r="M29" s="1415"/>
      <c r="N29" s="1415"/>
      <c r="O29" s="1413"/>
      <c r="P29" s="1415"/>
      <c r="Q29" s="1370"/>
      <c r="R29" s="1370"/>
      <c r="S29" s="1370"/>
      <c r="T29" s="1370"/>
      <c r="U29" s="1370">
        <v>3</v>
      </c>
      <c r="V29" s="1370"/>
      <c r="W29" s="1370"/>
      <c r="X29" s="1418">
        <f t="shared" si="2"/>
        <v>34</v>
      </c>
      <c r="Y29" s="1406">
        <v>21</v>
      </c>
      <c r="Z29" s="1406">
        <v>3</v>
      </c>
      <c r="AA29" s="1406">
        <v>5</v>
      </c>
      <c r="AB29" s="1406">
        <v>5</v>
      </c>
      <c r="AC29" s="1415"/>
      <c r="AD29" s="1415"/>
      <c r="AE29" s="1415"/>
      <c r="AF29" s="1415"/>
      <c r="AG29" s="1403"/>
      <c r="AH29" s="1419"/>
      <c r="AI29" s="1413"/>
      <c r="AJ29" s="1415"/>
      <c r="AK29" s="1415"/>
      <c r="AL29" s="1415"/>
      <c r="AM29" s="1415"/>
      <c r="AN29" s="1413"/>
      <c r="AO29" s="1415"/>
      <c r="AP29" s="1415"/>
      <c r="AQ29" s="1415"/>
      <c r="AR29" s="1415"/>
      <c r="AS29" s="1413"/>
      <c r="AT29" s="1415"/>
      <c r="AU29" s="1415"/>
      <c r="AV29" s="1415"/>
      <c r="AW29" s="1415"/>
      <c r="AX29" s="1415"/>
      <c r="AY29" s="1415"/>
      <c r="AZ29" s="1415"/>
      <c r="BA29" s="1415"/>
      <c r="BB29" s="1421"/>
      <c r="BC29" s="1415"/>
      <c r="BD29" s="1415"/>
      <c r="BE29" s="1415"/>
      <c r="BF29" s="1415"/>
      <c r="BG29" s="1415"/>
      <c r="BH29" s="1415"/>
      <c r="BI29" s="1415"/>
      <c r="BJ29" s="1415"/>
    </row>
    <row r="30" spans="1:62" ht="16.5">
      <c r="A30" s="1367" t="s">
        <v>9026</v>
      </c>
      <c r="B30" s="1402">
        <v>114</v>
      </c>
      <c r="C30" s="1409">
        <v>47</v>
      </c>
      <c r="D30" s="1410">
        <f t="shared" si="8"/>
        <v>47</v>
      </c>
      <c r="E30" s="1405">
        <v>37</v>
      </c>
      <c r="F30" s="1406">
        <v>37</v>
      </c>
      <c r="G30" s="1407"/>
      <c r="H30" s="1407"/>
      <c r="I30" s="1407"/>
      <c r="J30" s="1413"/>
      <c r="K30" s="1415"/>
      <c r="L30" s="1415"/>
      <c r="M30" s="1415"/>
      <c r="N30" s="1415"/>
      <c r="O30" s="1413"/>
      <c r="P30" s="1415"/>
      <c r="Q30" s="1370"/>
      <c r="R30" s="1370"/>
      <c r="S30" s="1370"/>
      <c r="T30" s="1370"/>
      <c r="U30" s="1370"/>
      <c r="V30" s="1374">
        <v>10</v>
      </c>
      <c r="W30" s="1370"/>
      <c r="X30" s="1371">
        <f t="shared" si="2"/>
        <v>47</v>
      </c>
      <c r="Y30" s="1374">
        <v>21</v>
      </c>
      <c r="Z30" s="1374">
        <v>8</v>
      </c>
      <c r="AA30" s="1374">
        <v>9</v>
      </c>
      <c r="AB30" s="1374">
        <v>5</v>
      </c>
      <c r="AC30" s="1374">
        <v>4</v>
      </c>
      <c r="AD30" s="1370"/>
      <c r="AE30" s="1370"/>
      <c r="AF30" s="1370"/>
      <c r="AG30" s="1104">
        <f t="shared" si="6"/>
        <v>67</v>
      </c>
      <c r="AH30" s="1372">
        <f t="shared" si="10"/>
        <v>67</v>
      </c>
      <c r="AI30" s="1369">
        <v>55</v>
      </c>
      <c r="AJ30" s="1370">
        <v>55</v>
      </c>
      <c r="AK30" s="1370"/>
      <c r="AL30" s="1370"/>
      <c r="AM30" s="1370"/>
      <c r="AN30" s="1369"/>
      <c r="AO30" s="1370"/>
      <c r="AP30" s="1370"/>
      <c r="AQ30" s="1370"/>
      <c r="AR30" s="1370"/>
      <c r="AS30" s="1369"/>
      <c r="AT30" s="1370"/>
      <c r="AU30" s="1370"/>
      <c r="AV30" s="1370"/>
      <c r="AW30" s="1370"/>
      <c r="AX30" s="1370"/>
      <c r="AY30" s="1370">
        <v>2</v>
      </c>
      <c r="AZ30" s="1370">
        <v>10</v>
      </c>
      <c r="BA30" s="1370"/>
      <c r="BB30" s="1373">
        <f t="shared" si="11"/>
        <v>67</v>
      </c>
      <c r="BC30" s="1370">
        <v>58</v>
      </c>
      <c r="BD30" s="1370">
        <v>7</v>
      </c>
      <c r="BE30" s="1370">
        <v>2</v>
      </c>
      <c r="BF30" s="1370"/>
      <c r="BG30" s="1370"/>
      <c r="BH30" s="1370"/>
      <c r="BI30" s="1370"/>
      <c r="BJ30" s="1370"/>
    </row>
  </sheetData>
  <mergeCells count="63">
    <mergeCell ref="AO9:AO10"/>
    <mergeCell ref="AP9:AR9"/>
    <mergeCell ref="AS9:AS10"/>
    <mergeCell ref="AT9:AT10"/>
    <mergeCell ref="AU9:AW9"/>
    <mergeCell ref="BJ8:BJ10"/>
    <mergeCell ref="E9:E10"/>
    <mergeCell ref="F9:F10"/>
    <mergeCell ref="G9:I9"/>
    <mergeCell ref="J9:J10"/>
    <mergeCell ref="K9:K10"/>
    <mergeCell ref="L9:N9"/>
    <mergeCell ref="O9:O10"/>
    <mergeCell ref="P9:P10"/>
    <mergeCell ref="Q9:S9"/>
    <mergeCell ref="BD8:BD10"/>
    <mergeCell ref="BE8:BE10"/>
    <mergeCell ref="BF8:BF10"/>
    <mergeCell ref="BG8:BG10"/>
    <mergeCell ref="BH8:BH10"/>
    <mergeCell ref="BI8:BI10"/>
    <mergeCell ref="BC8:BC10"/>
    <mergeCell ref="AE8:AE10"/>
    <mergeCell ref="AF8:AF10"/>
    <mergeCell ref="AH8:AH10"/>
    <mergeCell ref="AI8:AM8"/>
    <mergeCell ref="AN8:AR8"/>
    <mergeCell ref="AS8:AW8"/>
    <mergeCell ref="AI9:AI10"/>
    <mergeCell ref="AJ9:AJ10"/>
    <mergeCell ref="AK9:AM9"/>
    <mergeCell ref="AN9:AN10"/>
    <mergeCell ref="AX8:AX10"/>
    <mergeCell ref="AY8:AY10"/>
    <mergeCell ref="AZ8:AZ10"/>
    <mergeCell ref="BA8:BA10"/>
    <mergeCell ref="BB8:BB10"/>
    <mergeCell ref="Y8:Y10"/>
    <mergeCell ref="Z8:Z10"/>
    <mergeCell ref="AA8:AA10"/>
    <mergeCell ref="AB8:AB10"/>
    <mergeCell ref="AC8:AC10"/>
    <mergeCell ref="T8:T10"/>
    <mergeCell ref="U8:U10"/>
    <mergeCell ref="V8:V10"/>
    <mergeCell ref="W8:W10"/>
    <mergeCell ref="X8:X10"/>
    <mergeCell ref="A2:J2"/>
    <mergeCell ref="A6:A10"/>
    <mergeCell ref="B6:B10"/>
    <mergeCell ref="D6:AF6"/>
    <mergeCell ref="AH6:BJ6"/>
    <mergeCell ref="C7:C10"/>
    <mergeCell ref="D7:W7"/>
    <mergeCell ref="X7:AF7"/>
    <mergeCell ref="AG7:AG10"/>
    <mergeCell ref="AH7:BA7"/>
    <mergeCell ref="AD8:AD10"/>
    <mergeCell ref="BB7:BJ7"/>
    <mergeCell ref="D8:D10"/>
    <mergeCell ref="E8:I8"/>
    <mergeCell ref="J8:N8"/>
    <mergeCell ref="O8:S8"/>
  </mergeCells>
  <phoneticPr fontId="3" type="noConversion"/>
  <conditionalFormatting sqref="BB11:BB13 X11:X30">
    <cfRule type="expression" dxfId="286" priority="5" stopIfTrue="1">
      <formula>(D11=X11)=FALSE</formula>
    </cfRule>
  </conditionalFormatting>
  <conditionalFormatting sqref="AH11:AH30">
    <cfRule type="expression" dxfId="285" priority="4" stopIfTrue="1">
      <formula>(AH11=BB11)=FALSE</formula>
    </cfRule>
  </conditionalFormatting>
  <conditionalFormatting sqref="A11:A30">
    <cfRule type="expression" dxfId="284" priority="1">
      <formula>OR(RIGHT($A11,2)="시부", RIGHT($A11,2)="군부")</formula>
    </cfRule>
    <cfRule type="expression" dxfId="283" priority="2">
      <formula>OR(RIGHT($A11,2)="전국", RIGHT($A11,3)="특별시", RIGHT($A11,3)="광역시", RIGHT($A11,3)="자치시", RIGHT($A11,3)="자치도", RIGHT($A11,1)="도")</formula>
    </cfRule>
    <cfRule type="expression" dxfId="282" priority="3">
      <formula>OR(RIGHT($A11,1)="시", RIGHT($A11,1)="군")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O10"/>
  <sheetViews>
    <sheetView view="pageBreakPreview" zoomScale="98" zoomScaleNormal="100" zoomScaleSheetLayoutView="98" workbookViewId="0">
      <selection activeCell="F18" sqref="F18"/>
    </sheetView>
  </sheetViews>
  <sheetFormatPr defaultRowHeight="13.5"/>
  <cols>
    <col min="2" max="2" width="9" bestFit="1" customWidth="1"/>
    <col min="3" max="3" width="11.5546875" customWidth="1"/>
    <col min="15" max="15" width="8.33203125" customWidth="1"/>
  </cols>
  <sheetData>
    <row r="1" spans="1:15" ht="16.5">
      <c r="A1" s="1916"/>
      <c r="B1" s="1916"/>
      <c r="C1" s="1916"/>
      <c r="D1" s="1916"/>
      <c r="E1" s="1916"/>
      <c r="F1" s="1916"/>
      <c r="G1" s="1916"/>
      <c r="H1" s="1108"/>
      <c r="I1" s="1109"/>
      <c r="J1" s="1109"/>
      <c r="K1" s="1109"/>
      <c r="L1" s="1109"/>
      <c r="M1" s="1109"/>
      <c r="N1" s="1109"/>
      <c r="O1" s="1110"/>
    </row>
    <row r="2" spans="1:15" ht="16.5">
      <c r="A2" s="1916" t="s">
        <v>8955</v>
      </c>
      <c r="B2" s="1916"/>
      <c r="C2" s="1916"/>
      <c r="D2" s="1916"/>
      <c r="E2" s="1916"/>
      <c r="F2" s="1916"/>
      <c r="G2" s="1916"/>
      <c r="H2" s="1108"/>
      <c r="I2" s="1109"/>
      <c r="J2" s="1109"/>
      <c r="K2" s="1109"/>
      <c r="L2" s="1109"/>
      <c r="M2" s="1109"/>
      <c r="N2" s="1109"/>
      <c r="O2" s="1110"/>
    </row>
    <row r="3" spans="1:15" ht="17.25" thickBot="1">
      <c r="A3" s="1111"/>
      <c r="B3" s="1111"/>
      <c r="C3" s="1111"/>
      <c r="D3" s="1111"/>
      <c r="E3" s="1111"/>
      <c r="F3" s="1111"/>
      <c r="G3" s="1112"/>
      <c r="H3" s="1112"/>
      <c r="I3" s="1111"/>
      <c r="J3" s="1111"/>
      <c r="K3" s="1111"/>
      <c r="L3" s="1111"/>
      <c r="M3" s="1111"/>
      <c r="N3" s="1915"/>
      <c r="O3" s="1915"/>
    </row>
    <row r="4" spans="1:15" ht="21" customHeight="1">
      <c r="A4" s="1922" t="s">
        <v>8840</v>
      </c>
      <c r="B4" s="1911" t="s">
        <v>8954</v>
      </c>
      <c r="C4" s="1912"/>
      <c r="D4" s="1924" t="s">
        <v>8841</v>
      </c>
      <c r="E4" s="1925"/>
      <c r="F4" s="1925"/>
      <c r="G4" s="1925"/>
      <c r="H4" s="1924" t="s">
        <v>8842</v>
      </c>
      <c r="I4" s="1925"/>
      <c r="J4" s="1925"/>
      <c r="K4" s="1925"/>
      <c r="L4" s="1925"/>
      <c r="M4" s="1925"/>
      <c r="N4" s="1925"/>
      <c r="O4" s="1926"/>
    </row>
    <row r="5" spans="1:15" ht="31.5" customHeight="1">
      <c r="A5" s="1923"/>
      <c r="B5" s="1913"/>
      <c r="C5" s="1914"/>
      <c r="D5" s="1920" t="s">
        <v>8843</v>
      </c>
      <c r="E5" s="1917" t="s">
        <v>8844</v>
      </c>
      <c r="F5" s="1918"/>
      <c r="G5" s="1919"/>
      <c r="H5" s="1920" t="s">
        <v>8843</v>
      </c>
      <c r="I5" s="1917" t="s">
        <v>8844</v>
      </c>
      <c r="J5" s="1918"/>
      <c r="K5" s="1918"/>
      <c r="L5" s="1918"/>
      <c r="M5" s="1918"/>
      <c r="N5" s="1918"/>
      <c r="O5" s="1927"/>
    </row>
    <row r="6" spans="1:15" ht="49.5">
      <c r="A6" s="1923"/>
      <c r="B6" s="1910" t="s">
        <v>8905</v>
      </c>
      <c r="C6" s="1910" t="s">
        <v>8906</v>
      </c>
      <c r="D6" s="1920"/>
      <c r="E6" s="1910" t="s">
        <v>8845</v>
      </c>
      <c r="F6" s="1910" t="s">
        <v>8846</v>
      </c>
      <c r="G6" s="1928" t="s">
        <v>8847</v>
      </c>
      <c r="H6" s="1920"/>
      <c r="I6" s="1910" t="s">
        <v>8848</v>
      </c>
      <c r="J6" s="1910"/>
      <c r="K6" s="1910"/>
      <c r="L6" s="1910" t="s">
        <v>8850</v>
      </c>
      <c r="M6" s="1910"/>
      <c r="N6" s="1910"/>
      <c r="O6" s="1121" t="s">
        <v>7681</v>
      </c>
    </row>
    <row r="7" spans="1:15" ht="21" customHeight="1">
      <c r="A7" s="1923"/>
      <c r="B7" s="1910"/>
      <c r="C7" s="1910"/>
      <c r="D7" s="1921"/>
      <c r="E7" s="1910"/>
      <c r="F7" s="1910"/>
      <c r="G7" s="1928"/>
      <c r="H7" s="1921"/>
      <c r="I7" s="1190" t="s">
        <v>7682</v>
      </c>
      <c r="J7" s="1190" t="s">
        <v>7683</v>
      </c>
      <c r="K7" s="1190" t="s">
        <v>7684</v>
      </c>
      <c r="L7" s="1190" t="s">
        <v>7685</v>
      </c>
      <c r="M7" s="1190" t="s">
        <v>7683</v>
      </c>
      <c r="N7" s="1190" t="s">
        <v>7684</v>
      </c>
      <c r="O7" s="1116"/>
    </row>
    <row r="8" spans="1:15" ht="21" customHeight="1">
      <c r="A8" s="1359" t="s">
        <v>9232</v>
      </c>
      <c r="B8" s="1358" t="s">
        <v>9233</v>
      </c>
      <c r="C8" s="1358" t="s">
        <v>9233</v>
      </c>
      <c r="D8" s="1113">
        <v>5716</v>
      </c>
      <c r="E8" s="1113">
        <v>5716</v>
      </c>
      <c r="F8" s="1113">
        <v>2794</v>
      </c>
      <c r="G8" s="1117">
        <f>IF(ISERROR(F8/E8*100),0,F8/E8*100)</f>
        <v>48.880335899230232</v>
      </c>
      <c r="H8" s="1113">
        <v>8477</v>
      </c>
      <c r="I8" s="1118">
        <v>8477</v>
      </c>
      <c r="J8" s="1113">
        <v>8475</v>
      </c>
      <c r="K8" s="1113">
        <v>2</v>
      </c>
      <c r="L8" s="1118">
        <v>3413</v>
      </c>
      <c r="M8" s="1113">
        <v>3413</v>
      </c>
      <c r="N8" s="1113" t="s">
        <v>9233</v>
      </c>
      <c r="O8" s="1120">
        <f>IF(ISERROR(L8/I8*100),0,L8/I8*100)</f>
        <v>40.261885100861157</v>
      </c>
    </row>
    <row r="9" spans="1:15" ht="21" customHeight="1">
      <c r="A9" s="1192"/>
      <c r="B9" s="1191"/>
      <c r="C9" s="1191"/>
      <c r="D9" s="1113"/>
      <c r="E9" s="1113"/>
      <c r="F9" s="1113"/>
      <c r="G9" s="1117">
        <f t="shared" ref="G9:G10" si="0">IF(ISERROR(F9/E9*100),0,F9/E9*100)</f>
        <v>0</v>
      </c>
      <c r="H9" s="1113"/>
      <c r="I9" s="1118">
        <f t="shared" ref="I9:I10" si="1">SUM(J9+K9)</f>
        <v>0</v>
      </c>
      <c r="J9" s="1113"/>
      <c r="K9" s="1113"/>
      <c r="L9" s="1118">
        <f t="shared" ref="L9:L10" si="2">SUM(M9+N9)</f>
        <v>0</v>
      </c>
      <c r="M9" s="1113"/>
      <c r="N9" s="1113"/>
      <c r="O9" s="1120">
        <f t="shared" ref="O9:O10" si="3">IF(ISERROR(L9/I9*100),0,L9/I9*100)</f>
        <v>0</v>
      </c>
    </row>
    <row r="10" spans="1:15" ht="21" customHeight="1" thickBot="1">
      <c r="A10" s="1114"/>
      <c r="B10" s="1156"/>
      <c r="C10" s="1156"/>
      <c r="D10" s="1096"/>
      <c r="E10" s="1115"/>
      <c r="F10" s="1115"/>
      <c r="G10" s="1213">
        <f t="shared" si="0"/>
        <v>0</v>
      </c>
      <c r="H10" s="1096"/>
      <c r="I10" s="1119">
        <f t="shared" si="1"/>
        <v>0</v>
      </c>
      <c r="J10" s="1115"/>
      <c r="K10" s="1115"/>
      <c r="L10" s="1119">
        <f t="shared" si="2"/>
        <v>0</v>
      </c>
      <c r="M10" s="1115"/>
      <c r="N10" s="1115"/>
      <c r="O10" s="1214">
        <f t="shared" si="3"/>
        <v>0</v>
      </c>
    </row>
  </sheetData>
  <mergeCells count="18">
    <mergeCell ref="G6:G7"/>
    <mergeCell ref="B6:B7"/>
    <mergeCell ref="C6:C7"/>
    <mergeCell ref="B4:C5"/>
    <mergeCell ref="N3:O3"/>
    <mergeCell ref="A1:G1"/>
    <mergeCell ref="A2:G2"/>
    <mergeCell ref="E6:E7"/>
    <mergeCell ref="I6:K6"/>
    <mergeCell ref="F6:F7"/>
    <mergeCell ref="E5:G5"/>
    <mergeCell ref="H5:H7"/>
    <mergeCell ref="A4:A7"/>
    <mergeCell ref="D4:G4"/>
    <mergeCell ref="H4:O4"/>
    <mergeCell ref="D5:D7"/>
    <mergeCell ref="L6:N6"/>
    <mergeCell ref="I5:O5"/>
  </mergeCells>
  <phoneticPr fontId="3" type="noConversion"/>
  <pageMargins left="0.7" right="0.7" top="0.75" bottom="0.75" header="0.3" footer="0.3"/>
  <pageSetup paperSize="9" scale="8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2:AD12"/>
  <sheetViews>
    <sheetView view="pageBreakPreview" zoomScale="85" zoomScaleNormal="85" zoomScaleSheetLayoutView="85" workbookViewId="0">
      <selection activeCell="N23" sqref="N23"/>
    </sheetView>
  </sheetViews>
  <sheetFormatPr defaultColWidth="8.109375" defaultRowHeight="12"/>
  <cols>
    <col min="1" max="1" width="6.44140625" style="3" customWidth="1"/>
    <col min="2" max="2" width="8.109375" style="3" customWidth="1"/>
    <col min="3" max="3" width="7.44140625" style="3" customWidth="1"/>
    <col min="4" max="4" width="7.109375" style="3" customWidth="1"/>
    <col min="5" max="5" width="10.77734375" style="3" customWidth="1"/>
    <col min="6" max="9" width="8.109375" style="3" customWidth="1"/>
    <col min="10" max="10" width="9" style="3" customWidth="1"/>
    <col min="11" max="11" width="7.6640625" style="3" customWidth="1"/>
    <col min="12" max="28" width="6.88671875" style="3" customWidth="1"/>
    <col min="29" max="30" width="6.88671875" style="8" customWidth="1"/>
    <col min="31" max="16384" width="8.109375" style="8"/>
  </cols>
  <sheetData>
    <row r="2" spans="1:30" s="922" customFormat="1" ht="27.75" customHeight="1">
      <c r="A2" s="1597" t="s">
        <v>7669</v>
      </c>
      <c r="B2" s="1597"/>
      <c r="C2" s="1597"/>
      <c r="D2" s="1597"/>
      <c r="E2" s="1597"/>
      <c r="F2" s="1597"/>
      <c r="G2" s="977"/>
      <c r="H2" s="920"/>
      <c r="I2" s="920"/>
      <c r="J2" s="921"/>
      <c r="K2" s="921"/>
      <c r="L2" s="921"/>
      <c r="M2" s="921"/>
      <c r="N2" s="921"/>
      <c r="O2" s="921"/>
      <c r="P2" s="921"/>
      <c r="Q2" s="921"/>
      <c r="R2" s="921"/>
      <c r="S2" s="920"/>
      <c r="T2" s="921"/>
      <c r="U2" s="921"/>
      <c r="V2" s="921"/>
      <c r="W2" s="920"/>
      <c r="X2" s="920"/>
    </row>
    <row r="3" spans="1:30" s="925" customFormat="1" ht="27.75" customHeight="1">
      <c r="A3" s="1597" t="s">
        <v>9226</v>
      </c>
      <c r="B3" s="1597"/>
      <c r="C3" s="1597"/>
      <c r="D3" s="1597"/>
      <c r="E3" s="1597"/>
      <c r="F3" s="1597"/>
      <c r="G3" s="976"/>
      <c r="H3" s="923"/>
      <c r="I3" s="923"/>
      <c r="J3" s="924"/>
      <c r="K3" s="924"/>
      <c r="L3" s="924"/>
      <c r="M3" s="924"/>
      <c r="N3" s="924"/>
      <c r="O3" s="924"/>
      <c r="P3" s="924"/>
      <c r="Q3" s="924"/>
      <c r="R3" s="924"/>
      <c r="S3" s="923"/>
      <c r="T3" s="924"/>
      <c r="U3" s="924"/>
      <c r="V3" s="924"/>
      <c r="W3" s="923"/>
      <c r="X3" s="923"/>
    </row>
    <row r="4" spans="1:30" s="925" customFormat="1" ht="27.75" customHeight="1">
      <c r="A4" s="1136"/>
      <c r="B4" s="1136"/>
      <c r="C4" s="1136"/>
      <c r="D4" s="1136"/>
      <c r="E4" s="1136"/>
      <c r="F4" s="1136"/>
      <c r="G4" s="976"/>
      <c r="H4" s="923"/>
      <c r="I4" s="923"/>
      <c r="J4" s="924"/>
      <c r="K4" s="924"/>
      <c r="L4" s="924"/>
      <c r="M4" s="924"/>
      <c r="N4" s="924"/>
      <c r="O4" s="924"/>
      <c r="P4" s="924"/>
      <c r="Q4" s="924"/>
      <c r="R4" s="924"/>
      <c r="S4" s="923"/>
      <c r="T4" s="924"/>
      <c r="U4" s="924"/>
      <c r="V4" s="924"/>
      <c r="W4" s="923"/>
      <c r="X4" s="923"/>
    </row>
    <row r="5" spans="1:30" s="925" customFormat="1" ht="27.75" customHeight="1">
      <c r="A5" s="1136"/>
      <c r="B5" s="1136"/>
      <c r="C5" s="1136"/>
      <c r="D5" s="1136"/>
      <c r="E5" s="1136"/>
      <c r="F5" s="1136"/>
      <c r="G5" s="976"/>
      <c r="H5" s="923"/>
      <c r="I5" s="923"/>
      <c r="J5" s="924"/>
      <c r="K5" s="924"/>
      <c r="L5" s="924"/>
      <c r="M5" s="924"/>
      <c r="N5" s="924"/>
      <c r="O5" s="924"/>
      <c r="P5" s="924"/>
      <c r="Q5" s="924"/>
      <c r="R5" s="924"/>
      <c r="S5" s="923"/>
      <c r="T5" s="924"/>
      <c r="U5" s="924"/>
      <c r="V5" s="924"/>
      <c r="W5" s="923"/>
      <c r="X5" s="923"/>
    </row>
    <row r="6" spans="1:30" s="3" customFormat="1" ht="16.5" customHeight="1" thickBot="1">
      <c r="Y6" s="8"/>
      <c r="Z6" s="8"/>
      <c r="AA6" s="8"/>
      <c r="AB6" s="8"/>
      <c r="AC6" s="1945" t="s">
        <v>1489</v>
      </c>
      <c r="AD6" s="1945"/>
    </row>
    <row r="7" spans="1:30" s="52" customFormat="1" ht="19.5" customHeight="1">
      <c r="A7" s="1749" t="s">
        <v>1455</v>
      </c>
      <c r="B7" s="1938" t="s">
        <v>1412</v>
      </c>
      <c r="C7" s="1936"/>
      <c r="D7" s="1936"/>
      <c r="E7" s="1936"/>
      <c r="F7" s="1936"/>
      <c r="G7" s="1936"/>
      <c r="H7" s="1936"/>
      <c r="I7" s="1939"/>
      <c r="J7" s="1929" t="s">
        <v>8851</v>
      </c>
      <c r="K7" s="1935" t="s">
        <v>1413</v>
      </c>
      <c r="L7" s="1936"/>
      <c r="M7" s="1936"/>
      <c r="N7" s="1936"/>
      <c r="O7" s="1936"/>
      <c r="P7" s="1936"/>
      <c r="Q7" s="1936"/>
      <c r="R7" s="1936"/>
      <c r="S7" s="1936"/>
      <c r="T7" s="1936"/>
      <c r="U7" s="1936"/>
      <c r="V7" s="1936"/>
      <c r="W7" s="1936"/>
      <c r="X7" s="1936"/>
      <c r="Y7" s="1936"/>
      <c r="Z7" s="1936"/>
      <c r="AA7" s="1936"/>
      <c r="AB7" s="1936"/>
      <c r="AC7" s="1936"/>
      <c r="AD7" s="1937"/>
    </row>
    <row r="8" spans="1:30" s="52" customFormat="1" ht="23.25" customHeight="1">
      <c r="A8" s="1750"/>
      <c r="B8" s="1933" t="s">
        <v>1403</v>
      </c>
      <c r="C8" s="1747" t="s">
        <v>1510</v>
      </c>
      <c r="D8" s="1730" t="s">
        <v>1511</v>
      </c>
      <c r="E8" s="1732"/>
      <c r="F8" s="1685" t="s">
        <v>9218</v>
      </c>
      <c r="G8" s="1708" t="s">
        <v>9219</v>
      </c>
      <c r="H8" s="1685" t="s">
        <v>9220</v>
      </c>
      <c r="I8" s="1940" t="s">
        <v>8852</v>
      </c>
      <c r="J8" s="1930"/>
      <c r="K8" s="1934" t="s">
        <v>1403</v>
      </c>
      <c r="L8" s="1932" t="s">
        <v>1414</v>
      </c>
      <c r="M8" s="1747"/>
      <c r="N8" s="1747"/>
      <c r="O8" s="1747"/>
      <c r="P8" s="1747"/>
      <c r="Q8" s="1932" t="s">
        <v>8997</v>
      </c>
      <c r="R8" s="1747"/>
      <c r="S8" s="1747"/>
      <c r="T8" s="1747"/>
      <c r="U8" s="1747"/>
      <c r="V8" s="1932" t="s">
        <v>1417</v>
      </c>
      <c r="W8" s="1747"/>
      <c r="X8" s="1747"/>
      <c r="Y8" s="1747"/>
      <c r="Z8" s="1759"/>
      <c r="AA8" s="1641" t="s">
        <v>453</v>
      </c>
      <c r="AB8" s="1642"/>
      <c r="AC8" s="1642"/>
      <c r="AD8" s="1944"/>
    </row>
    <row r="9" spans="1:30" s="52" customFormat="1" ht="33" customHeight="1" thickBot="1">
      <c r="A9" s="1751"/>
      <c r="B9" s="1748"/>
      <c r="C9" s="1748"/>
      <c r="D9" s="1040" t="s">
        <v>7648</v>
      </c>
      <c r="E9" s="1040" t="s">
        <v>7649</v>
      </c>
      <c r="F9" s="1943"/>
      <c r="G9" s="1942"/>
      <c r="H9" s="1943"/>
      <c r="I9" s="1941"/>
      <c r="J9" s="1931"/>
      <c r="K9" s="1751"/>
      <c r="L9" s="780" t="s">
        <v>1429</v>
      </c>
      <c r="M9" s="40" t="s">
        <v>1415</v>
      </c>
      <c r="N9" s="40" t="s">
        <v>1416</v>
      </c>
      <c r="O9" s="40" t="s">
        <v>1472</v>
      </c>
      <c r="P9" s="40" t="s">
        <v>1404</v>
      </c>
      <c r="Q9" s="780" t="s">
        <v>1429</v>
      </c>
      <c r="R9" s="40" t="s">
        <v>1415</v>
      </c>
      <c r="S9" s="40" t="s">
        <v>1416</v>
      </c>
      <c r="T9" s="40" t="s">
        <v>1472</v>
      </c>
      <c r="U9" s="40" t="s">
        <v>1404</v>
      </c>
      <c r="V9" s="780" t="s">
        <v>1429</v>
      </c>
      <c r="W9" s="40" t="s">
        <v>1415</v>
      </c>
      <c r="X9" s="40" t="s">
        <v>1416</v>
      </c>
      <c r="Y9" s="40" t="s">
        <v>1472</v>
      </c>
      <c r="Z9" s="995" t="s">
        <v>1404</v>
      </c>
      <c r="AA9" s="1161" t="s">
        <v>443</v>
      </c>
      <c r="AB9" s="1162" t="s">
        <v>8854</v>
      </c>
      <c r="AC9" s="1162" t="s">
        <v>8853</v>
      </c>
      <c r="AD9" s="1163" t="s">
        <v>453</v>
      </c>
    </row>
    <row r="10" spans="1:30" s="53" customFormat="1" ht="26.25" customHeight="1">
      <c r="A10" s="1352" t="s">
        <v>9225</v>
      </c>
      <c r="B10" s="1078">
        <f>C10+D10+F10+G10+H10+E10+I10</f>
        <v>84766</v>
      </c>
      <c r="C10" s="1079">
        <v>30988</v>
      </c>
      <c r="D10" s="1080"/>
      <c r="E10" s="1080">
        <v>463</v>
      </c>
      <c r="F10" s="1080">
        <v>22895</v>
      </c>
      <c r="G10" s="1080">
        <v>3148</v>
      </c>
      <c r="H10" s="1080">
        <v>5492</v>
      </c>
      <c r="I10" s="1080">
        <v>21780</v>
      </c>
      <c r="J10" s="1081">
        <v>222547</v>
      </c>
      <c r="K10" s="1087">
        <f>L10+Q10+V10+AA10</f>
        <v>84766</v>
      </c>
      <c r="L10" s="1088">
        <f>M10+N10+O10+P10</f>
        <v>20519</v>
      </c>
      <c r="M10" s="1079">
        <v>1545</v>
      </c>
      <c r="N10" s="1079">
        <v>2815</v>
      </c>
      <c r="O10" s="1079">
        <v>16159</v>
      </c>
      <c r="P10" s="1079"/>
      <c r="Q10" s="1088">
        <f t="shared" ref="Q10:Q12" si="0">R10+S10+T10+U10</f>
        <v>41894</v>
      </c>
      <c r="R10" s="1079">
        <v>35954</v>
      </c>
      <c r="S10" s="1079">
        <v>5630</v>
      </c>
      <c r="T10" s="1079">
        <v>310</v>
      </c>
      <c r="U10" s="1079"/>
      <c r="V10" s="1088">
        <f t="shared" ref="V10:V12" si="1">W10+X10+Y10+Z10</f>
        <v>930</v>
      </c>
      <c r="W10" s="1079"/>
      <c r="X10" s="1079">
        <v>710</v>
      </c>
      <c r="Y10" s="1079">
        <v>220</v>
      </c>
      <c r="Z10" s="1124"/>
      <c r="AA10" s="1088">
        <f t="shared" ref="AA10:AA12" si="2">AB10+AC10+AD10</f>
        <v>21423</v>
      </c>
      <c r="AB10" s="1130">
        <v>19116</v>
      </c>
      <c r="AC10" s="1131">
        <v>2307</v>
      </c>
      <c r="AD10" s="1132"/>
    </row>
    <row r="11" spans="1:30" s="53" customFormat="1" ht="26.25" customHeight="1">
      <c r="A11" s="1001"/>
      <c r="B11" s="1072">
        <f t="shared" ref="B11:B12" si="3">C11+D11+F11+G11+H11+E11+I11</f>
        <v>0</v>
      </c>
      <c r="C11" s="989"/>
      <c r="D11" s="1041"/>
      <c r="E11" s="1041"/>
      <c r="F11" s="1041"/>
      <c r="G11" s="1041"/>
      <c r="H11" s="1041"/>
      <c r="I11" s="1041"/>
      <c r="J11" s="1003"/>
      <c r="K11" s="1128">
        <f t="shared" ref="K11:K12" si="4">L11+Q11+V11+AA11</f>
        <v>0</v>
      </c>
      <c r="L11" s="1012">
        <f t="shared" ref="L11:L12" si="5">M11+N11+O11+P11</f>
        <v>0</v>
      </c>
      <c r="M11" s="989"/>
      <c r="N11" s="989"/>
      <c r="O11" s="989"/>
      <c r="P11" s="989"/>
      <c r="Q11" s="1000">
        <f t="shared" si="0"/>
        <v>0</v>
      </c>
      <c r="R11" s="989"/>
      <c r="S11" s="989"/>
      <c r="T11" s="989"/>
      <c r="U11" s="989"/>
      <c r="V11" s="1000">
        <f t="shared" si="1"/>
        <v>0</v>
      </c>
      <c r="W11" s="989"/>
      <c r="X11" s="989"/>
      <c r="Y11" s="989"/>
      <c r="Z11" s="1125"/>
      <c r="AA11" s="1000">
        <f t="shared" si="2"/>
        <v>0</v>
      </c>
      <c r="AB11" s="989"/>
      <c r="AC11" s="48"/>
      <c r="AD11" s="1122"/>
    </row>
    <row r="12" spans="1:30" s="53" customFormat="1" ht="26.25" customHeight="1" thickBot="1">
      <c r="A12" s="1074"/>
      <c r="B12" s="1082">
        <f t="shared" si="3"/>
        <v>0</v>
      </c>
      <c r="C12" s="1083"/>
      <c r="D12" s="1084"/>
      <c r="E12" s="1084"/>
      <c r="F12" s="1085"/>
      <c r="G12" s="1085"/>
      <c r="H12" s="1085"/>
      <c r="I12" s="1085"/>
      <c r="J12" s="1086"/>
      <c r="K12" s="1129">
        <f t="shared" si="4"/>
        <v>0</v>
      </c>
      <c r="L12" s="1089">
        <f t="shared" si="5"/>
        <v>0</v>
      </c>
      <c r="M12" s="1083"/>
      <c r="N12" s="1083"/>
      <c r="O12" s="1083"/>
      <c r="P12" s="1083"/>
      <c r="Q12" s="1077">
        <f t="shared" si="0"/>
        <v>0</v>
      </c>
      <c r="R12" s="1090"/>
      <c r="S12" s="1090"/>
      <c r="T12" s="1090"/>
      <c r="U12" s="1090"/>
      <c r="V12" s="1077">
        <f t="shared" si="1"/>
        <v>0</v>
      </c>
      <c r="W12" s="1090"/>
      <c r="X12" s="1090"/>
      <c r="Y12" s="1090"/>
      <c r="Z12" s="1126"/>
      <c r="AA12" s="1077">
        <f t="shared" si="2"/>
        <v>0</v>
      </c>
      <c r="AB12" s="1083"/>
      <c r="AC12" s="1127"/>
      <c r="AD12" s="1123"/>
    </row>
  </sheetData>
  <mergeCells count="19">
    <mergeCell ref="AA8:AD8"/>
    <mergeCell ref="AC6:AD6"/>
    <mergeCell ref="V8:Z8"/>
    <mergeCell ref="A2:F2"/>
    <mergeCell ref="A3:F3"/>
    <mergeCell ref="A7:A9"/>
    <mergeCell ref="J7:J9"/>
    <mergeCell ref="Q8:U8"/>
    <mergeCell ref="B8:B9"/>
    <mergeCell ref="K8:K9"/>
    <mergeCell ref="L8:P8"/>
    <mergeCell ref="K7:AD7"/>
    <mergeCell ref="B7:I7"/>
    <mergeCell ref="I8:I9"/>
    <mergeCell ref="D8:E8"/>
    <mergeCell ref="G8:G9"/>
    <mergeCell ref="C8:C9"/>
    <mergeCell ref="F8:F9"/>
    <mergeCell ref="H8:H9"/>
  </mergeCells>
  <phoneticPr fontId="3" type="noConversion"/>
  <conditionalFormatting sqref="A10:AB12">
    <cfRule type="expression" dxfId="281" priority="11" stopIfTrue="1">
      <formula>OR($A10="시부",$A10="군부",RIGHT($A10,2)="소계",$A10="서귀포시",$A10="제주시")</formula>
    </cfRule>
    <cfRule type="expression" dxfId="280" priority="12" stopIfTrue="1">
      <formula>OR(RIGHT($A10,3)="광역시",RIGHT($A10,3)="특별시",RIGHT($A10,1)="도",$A10="전국")</formula>
    </cfRule>
  </conditionalFormatting>
  <conditionalFormatting sqref="B10:B12">
    <cfRule type="cellIs" dxfId="279" priority="3" stopIfTrue="1" operator="notEqual">
      <formula>K10</formula>
    </cfRule>
  </conditionalFormatting>
  <pageMargins left="0.55118110236220474" right="0.35" top="0.98425196850393704" bottom="0.98425196850393704" header="0.51181102362204722" footer="0.51181102362204722"/>
  <pageSetup paperSize="8" scale="68" fitToWidth="2" orientation="landscape" r:id="rId1"/>
  <headerFooter alignWithMargins="0"/>
  <colBreaks count="1" manualBreakCount="1">
    <brk id="10" max="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Z42"/>
  <sheetViews>
    <sheetView view="pageBreakPreview" zoomScale="85" zoomScaleNormal="85" zoomScaleSheetLayoutView="85" workbookViewId="0">
      <selection activeCell="D52" sqref="D52"/>
    </sheetView>
  </sheetViews>
  <sheetFormatPr defaultColWidth="3.88671875" defaultRowHeight="13.5"/>
  <cols>
    <col min="1" max="1" width="10.77734375" style="31" bestFit="1" customWidth="1"/>
    <col min="2" max="15" width="15.33203125" style="28" customWidth="1"/>
    <col min="16" max="19" width="3.88671875" style="28"/>
    <col min="20" max="20" width="36.5546875" style="28" customWidth="1"/>
    <col min="21" max="16384" width="3.88671875" style="28"/>
  </cols>
  <sheetData>
    <row r="1" spans="1:26" ht="14.25">
      <c r="A1" s="1610"/>
      <c r="B1" s="1611"/>
    </row>
    <row r="2" spans="1:26" s="922" customFormat="1" ht="27.75" customHeight="1">
      <c r="A2" s="1612" t="s">
        <v>1503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920"/>
      <c r="O2" s="921"/>
      <c r="P2" s="921"/>
      <c r="Q2" s="921"/>
      <c r="R2" s="921"/>
      <c r="S2" s="921"/>
      <c r="T2" s="921"/>
      <c r="U2" s="920"/>
      <c r="V2" s="921"/>
      <c r="W2" s="921"/>
      <c r="X2" s="921"/>
      <c r="Y2" s="920"/>
      <c r="Z2" s="920"/>
    </row>
    <row r="3" spans="1:26" s="925" customFormat="1" ht="27.75" customHeight="1">
      <c r="A3" s="1613" t="s">
        <v>9188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923"/>
      <c r="O3" s="924"/>
      <c r="P3" s="924"/>
      <c r="Q3" s="924"/>
      <c r="R3" s="924"/>
      <c r="S3" s="924"/>
      <c r="T3" s="924"/>
      <c r="U3" s="923"/>
      <c r="V3" s="924"/>
      <c r="W3" s="924"/>
      <c r="X3" s="924"/>
      <c r="Y3" s="923"/>
      <c r="Z3" s="923"/>
    </row>
    <row r="4" spans="1:26" s="10" customFormat="1" ht="15" thickBot="1">
      <c r="A4" s="30"/>
      <c r="O4" s="1075" t="s">
        <v>7643</v>
      </c>
    </row>
    <row r="5" spans="1:26" s="29" customFormat="1" ht="18.75" customHeight="1">
      <c r="A5" s="1620" t="s">
        <v>1979</v>
      </c>
      <c r="B5" s="1623" t="s">
        <v>1980</v>
      </c>
      <c r="C5" s="1624"/>
      <c r="D5" s="1624"/>
      <c r="E5" s="1624"/>
      <c r="F5" s="1624"/>
      <c r="G5" s="1624"/>
      <c r="H5" s="1624"/>
      <c r="I5" s="1624"/>
      <c r="J5" s="1624"/>
      <c r="K5" s="1624"/>
      <c r="L5" s="1625"/>
      <c r="M5" s="1614" t="s">
        <v>7644</v>
      </c>
      <c r="N5" s="1614"/>
      <c r="O5" s="1615"/>
    </row>
    <row r="6" spans="1:26" s="29" customFormat="1" ht="13.5" customHeight="1">
      <c r="A6" s="1621"/>
      <c r="B6" s="1626"/>
      <c r="C6" s="1627"/>
      <c r="D6" s="1627"/>
      <c r="E6" s="1627"/>
      <c r="F6" s="1627"/>
      <c r="G6" s="1627"/>
      <c r="H6" s="1627"/>
      <c r="I6" s="1627"/>
      <c r="J6" s="1627"/>
      <c r="K6" s="1627"/>
      <c r="L6" s="1628"/>
      <c r="M6" s="1616"/>
      <c r="N6" s="1616"/>
      <c r="O6" s="1617"/>
    </row>
    <row r="7" spans="1:26" s="29" customFormat="1" ht="27.75" customHeight="1">
      <c r="A7" s="1621"/>
      <c r="B7" s="1618" t="s">
        <v>1982</v>
      </c>
      <c r="C7" s="1629" t="s">
        <v>1983</v>
      </c>
      <c r="D7" s="1630"/>
      <c r="E7" s="1630"/>
      <c r="F7" s="1630"/>
      <c r="G7" s="1631"/>
      <c r="H7" s="1616" t="s">
        <v>1984</v>
      </c>
      <c r="I7" s="1616"/>
      <c r="J7" s="1616"/>
      <c r="K7" s="1616"/>
      <c r="L7" s="1616"/>
      <c r="M7" s="1618" t="s">
        <v>1403</v>
      </c>
      <c r="N7" s="1618" t="s">
        <v>7652</v>
      </c>
      <c r="O7" s="1632" t="s">
        <v>7653</v>
      </c>
    </row>
    <row r="8" spans="1:26" s="29" customFormat="1" ht="27.75" customHeight="1">
      <c r="A8" s="1622"/>
      <c r="B8" s="1619"/>
      <c r="C8" s="1172" t="s">
        <v>8959</v>
      </c>
      <c r="D8" s="1193" t="s">
        <v>8963</v>
      </c>
      <c r="E8" s="1172" t="s">
        <v>8960</v>
      </c>
      <c r="F8" s="1253" t="s">
        <v>9041</v>
      </c>
      <c r="G8" s="1172" t="s">
        <v>8962</v>
      </c>
      <c r="H8" s="1172" t="s">
        <v>8959</v>
      </c>
      <c r="I8" s="1193" t="s">
        <v>8963</v>
      </c>
      <c r="J8" s="1172" t="s">
        <v>8960</v>
      </c>
      <c r="K8" s="1172" t="s">
        <v>8961</v>
      </c>
      <c r="L8" s="1172" t="s">
        <v>8962</v>
      </c>
      <c r="M8" s="1619"/>
      <c r="N8" s="1619"/>
      <c r="O8" s="1633"/>
    </row>
    <row r="9" spans="1:26" s="29" customFormat="1" ht="27.75" customHeight="1">
      <c r="A9" s="1259" t="s">
        <v>8998</v>
      </c>
      <c r="B9" s="1342">
        <f>C9+H9</f>
        <v>184897</v>
      </c>
      <c r="C9" s="1341">
        <v>176725</v>
      </c>
      <c r="D9" s="1254">
        <v>522841</v>
      </c>
      <c r="E9" s="1238"/>
      <c r="F9" s="1238">
        <v>0.8</v>
      </c>
      <c r="G9" s="1238">
        <v>0.9</v>
      </c>
      <c r="H9" s="1341">
        <v>8172</v>
      </c>
      <c r="I9" s="1322">
        <v>24546</v>
      </c>
      <c r="J9" s="1238"/>
      <c r="K9" s="1238"/>
      <c r="L9" s="1238"/>
      <c r="M9" s="1316">
        <f>SUM(M10:M41)</f>
        <v>133.078</v>
      </c>
      <c r="N9" s="1316">
        <f>SUM(N10:N41)</f>
        <v>9.5580000000000016</v>
      </c>
      <c r="O9" s="1316">
        <f>SUM(O10:O41)</f>
        <v>123.52</v>
      </c>
    </row>
    <row r="10" spans="1:26" s="29" customFormat="1" ht="27.75" customHeight="1">
      <c r="A10" s="1337" t="s">
        <v>9039</v>
      </c>
      <c r="B10" s="1338">
        <f>C10+H10</f>
        <v>11056.204</v>
      </c>
      <c r="C10" s="1257">
        <f>INT(D10*E10*F10*G10)/1000</f>
        <v>11029.808999999999</v>
      </c>
      <c r="D10" s="1255">
        <v>32594</v>
      </c>
      <c r="E10" s="1238">
        <v>470</v>
      </c>
      <c r="F10" s="1238">
        <v>0.8</v>
      </c>
      <c r="G10" s="1238">
        <v>0.9</v>
      </c>
      <c r="H10" s="1257">
        <f>INT(I10*J10*K10*L10)/1000</f>
        <v>26.395</v>
      </c>
      <c r="I10" s="1255">
        <v>78</v>
      </c>
      <c r="J10" s="1262">
        <v>470</v>
      </c>
      <c r="K10" s="1238">
        <v>0.8</v>
      </c>
      <c r="L10" s="1256">
        <v>0.9</v>
      </c>
      <c r="M10" s="1317">
        <f t="shared" ref="M10:M41" si="0">N10+O10</f>
        <v>2.0299999999999998</v>
      </c>
      <c r="N10" s="1317">
        <v>0.15</v>
      </c>
      <c r="O10" s="1318">
        <v>1.88</v>
      </c>
    </row>
    <row r="11" spans="1:26" s="29" customFormat="1" ht="27.75" customHeight="1">
      <c r="A11" s="1337" t="s">
        <v>9002</v>
      </c>
      <c r="B11" s="1338">
        <f>C11+H11</f>
        <v>16344.38</v>
      </c>
      <c r="C11" s="1257">
        <f>INT(D11*E11*F11*G11)/1000</f>
        <v>16320.016</v>
      </c>
      <c r="D11" s="1255">
        <v>48227</v>
      </c>
      <c r="E11" s="1238">
        <v>470</v>
      </c>
      <c r="F11" s="1238">
        <v>0.8</v>
      </c>
      <c r="G11" s="1238">
        <v>0.9</v>
      </c>
      <c r="H11" s="1257">
        <f>INT(I11*J11*K11*L11)/1000</f>
        <v>24.364000000000001</v>
      </c>
      <c r="I11" s="1255">
        <v>72</v>
      </c>
      <c r="J11" s="1262">
        <v>470</v>
      </c>
      <c r="K11" s="1238">
        <v>0.8</v>
      </c>
      <c r="L11" s="1256">
        <v>0.9</v>
      </c>
      <c r="M11" s="1317">
        <f t="shared" si="0"/>
        <v>2.9099999999999997</v>
      </c>
      <c r="N11" s="1317">
        <v>0.05</v>
      </c>
      <c r="O11" s="1318">
        <v>2.86</v>
      </c>
    </row>
    <row r="12" spans="1:26" s="29" customFormat="1" ht="27.75" customHeight="1">
      <c r="A12" s="1337" t="s">
        <v>9003</v>
      </c>
      <c r="B12" s="1338">
        <f t="shared" ref="B12:B41" si="1">C12+H12</f>
        <v>1654.02</v>
      </c>
      <c r="C12" s="1257">
        <f>INT(D12*E12*F12*G12)/1000</f>
        <v>1626.1559999999999</v>
      </c>
      <c r="D12" s="1255">
        <v>5019</v>
      </c>
      <c r="E12" s="1253">
        <v>450</v>
      </c>
      <c r="F12" s="1256">
        <v>0.8</v>
      </c>
      <c r="G12" s="1253">
        <v>0.9</v>
      </c>
      <c r="H12" s="1257">
        <f t="shared" ref="H12:H41" si="2">INT(I12*J12*K12*L12)/1000</f>
        <v>27.864000000000001</v>
      </c>
      <c r="I12" s="1255">
        <v>86</v>
      </c>
      <c r="J12" s="1262">
        <v>450</v>
      </c>
      <c r="K12" s="1256">
        <v>0.8</v>
      </c>
      <c r="L12" s="1256">
        <v>0.9</v>
      </c>
      <c r="M12" s="1317">
        <f t="shared" si="0"/>
        <v>0.39</v>
      </c>
      <c r="N12" s="1317">
        <v>0.18</v>
      </c>
      <c r="O12" s="1318">
        <v>0.21</v>
      </c>
    </row>
    <row r="13" spans="1:26" s="29" customFormat="1" ht="27.75" customHeight="1">
      <c r="A13" s="1337" t="s">
        <v>9004</v>
      </c>
      <c r="B13" s="1338">
        <f t="shared" si="1"/>
        <v>17332.509000000002</v>
      </c>
      <c r="C13" s="1257">
        <f>INT(D13*E13*F13*G13)/1000</f>
        <v>17306.791000000001</v>
      </c>
      <c r="D13" s="1255">
        <v>51143</v>
      </c>
      <c r="E13" s="1253">
        <v>470</v>
      </c>
      <c r="F13" s="1256">
        <v>0.8</v>
      </c>
      <c r="G13" s="1253">
        <v>0.9</v>
      </c>
      <c r="H13" s="1257">
        <f t="shared" si="2"/>
        <v>25.718</v>
      </c>
      <c r="I13" s="1255">
        <v>76</v>
      </c>
      <c r="J13" s="1262">
        <v>470</v>
      </c>
      <c r="K13" s="1256">
        <v>0.8</v>
      </c>
      <c r="L13" s="1256">
        <v>0.9</v>
      </c>
      <c r="M13" s="1317">
        <f t="shared" si="0"/>
        <v>3.2300000000000004</v>
      </c>
      <c r="N13" s="1317">
        <v>0.28000000000000003</v>
      </c>
      <c r="O13" s="1318">
        <v>2.95</v>
      </c>
    </row>
    <row r="14" spans="1:26" s="29" customFormat="1" ht="27.75" customHeight="1">
      <c r="A14" s="1337" t="s">
        <v>9005</v>
      </c>
      <c r="B14" s="1338">
        <f t="shared" si="1"/>
        <v>11196.215</v>
      </c>
      <c r="C14" s="1257">
        <f t="shared" ref="C14:C41" si="3">INT(D14*E14*F14*G14)/1000</f>
        <v>11173.694</v>
      </c>
      <c r="D14" s="1255">
        <v>33737</v>
      </c>
      <c r="E14" s="1253">
        <v>460</v>
      </c>
      <c r="F14" s="1256">
        <v>0.8</v>
      </c>
      <c r="G14" s="1253">
        <v>0.9</v>
      </c>
      <c r="H14" s="1257">
        <f t="shared" si="2"/>
        <v>22.521000000000001</v>
      </c>
      <c r="I14" s="1255">
        <v>68</v>
      </c>
      <c r="J14" s="1262">
        <v>460</v>
      </c>
      <c r="K14" s="1256">
        <v>0.8</v>
      </c>
      <c r="L14" s="1256">
        <v>0.9</v>
      </c>
      <c r="M14" s="1317">
        <f t="shared" si="0"/>
        <v>2.1</v>
      </c>
      <c r="N14" s="1317">
        <v>0.15</v>
      </c>
      <c r="O14" s="1318">
        <v>1.95</v>
      </c>
    </row>
    <row r="15" spans="1:26" s="29" customFormat="1" ht="27.75" customHeight="1">
      <c r="A15" s="1337" t="s">
        <v>9006</v>
      </c>
      <c r="B15" s="1338">
        <f t="shared" si="1"/>
        <v>3623.248</v>
      </c>
      <c r="C15" s="1257">
        <f t="shared" si="3"/>
        <v>3608.02</v>
      </c>
      <c r="D15" s="1255">
        <v>10662</v>
      </c>
      <c r="E15" s="1253">
        <v>470</v>
      </c>
      <c r="F15" s="1256">
        <v>0.8</v>
      </c>
      <c r="G15" s="1253">
        <v>0.9</v>
      </c>
      <c r="H15" s="1257">
        <f t="shared" si="2"/>
        <v>15.228</v>
      </c>
      <c r="I15" s="1255">
        <v>45</v>
      </c>
      <c r="J15" s="1262">
        <v>470</v>
      </c>
      <c r="K15" s="1256">
        <v>0.8</v>
      </c>
      <c r="L15" s="1256">
        <v>0.9</v>
      </c>
      <c r="M15" s="1319">
        <f t="shared" si="0"/>
        <v>0.78</v>
      </c>
      <c r="N15" s="1317">
        <v>0.05</v>
      </c>
      <c r="O15" s="1318">
        <v>0.73</v>
      </c>
    </row>
    <row r="16" spans="1:26" s="29" customFormat="1" ht="27.75" customHeight="1">
      <c r="A16" s="1337" t="s">
        <v>9007</v>
      </c>
      <c r="B16" s="1338">
        <f t="shared" si="1"/>
        <v>643.52099999999996</v>
      </c>
      <c r="C16" s="1257">
        <f t="shared" si="3"/>
        <v>643.52099999999996</v>
      </c>
      <c r="D16" s="1255">
        <v>1943</v>
      </c>
      <c r="E16" s="1253">
        <v>460</v>
      </c>
      <c r="F16" s="1256">
        <v>0.8</v>
      </c>
      <c r="G16" s="1253">
        <v>0.9</v>
      </c>
      <c r="H16" s="1257">
        <f t="shared" si="2"/>
        <v>0</v>
      </c>
      <c r="I16" s="1255">
        <v>0</v>
      </c>
      <c r="J16" s="1262">
        <v>460</v>
      </c>
      <c r="K16" s="1256">
        <v>0.8</v>
      </c>
      <c r="L16" s="1256">
        <v>0.9</v>
      </c>
      <c r="M16" s="1317">
        <f t="shared" si="0"/>
        <v>0.13999999999999999</v>
      </c>
      <c r="N16" s="1317">
        <v>0.02</v>
      </c>
      <c r="O16" s="1318">
        <v>0.12</v>
      </c>
    </row>
    <row r="17" spans="1:15" s="29" customFormat="1" ht="27.75" customHeight="1">
      <c r="A17" s="1337" t="s">
        <v>9008</v>
      </c>
      <c r="B17" s="1338">
        <f t="shared" si="1"/>
        <v>2305.1510000000003</v>
      </c>
      <c r="C17" s="1257">
        <f t="shared" si="3"/>
        <v>2299.5210000000002</v>
      </c>
      <c r="D17" s="1255">
        <v>6943</v>
      </c>
      <c r="E17" s="1253">
        <v>460</v>
      </c>
      <c r="F17" s="1256">
        <v>0.8</v>
      </c>
      <c r="G17" s="1253">
        <v>0.9</v>
      </c>
      <c r="H17" s="1257">
        <f t="shared" si="2"/>
        <v>5.63</v>
      </c>
      <c r="I17" s="1255">
        <v>17</v>
      </c>
      <c r="J17" s="1262">
        <v>460</v>
      </c>
      <c r="K17" s="1256">
        <v>0.8</v>
      </c>
      <c r="L17" s="1256">
        <v>0.9</v>
      </c>
      <c r="M17" s="1317">
        <f t="shared" si="0"/>
        <v>0.51</v>
      </c>
      <c r="N17" s="1317">
        <v>0.02</v>
      </c>
      <c r="O17" s="1318">
        <v>0.49</v>
      </c>
    </row>
    <row r="18" spans="1:15" s="29" customFormat="1" ht="27.75" customHeight="1">
      <c r="A18" s="1337" t="s">
        <v>9009</v>
      </c>
      <c r="B18" s="1338">
        <f t="shared" si="1"/>
        <v>3487.86</v>
      </c>
      <c r="C18" s="1257">
        <f t="shared" si="3"/>
        <v>3483.3240000000001</v>
      </c>
      <c r="D18" s="1255">
        <v>10751</v>
      </c>
      <c r="E18" s="1253">
        <v>450</v>
      </c>
      <c r="F18" s="1256">
        <v>0.8</v>
      </c>
      <c r="G18" s="1253">
        <v>0.9</v>
      </c>
      <c r="H18" s="1257">
        <f t="shared" si="2"/>
        <v>4.5359999999999996</v>
      </c>
      <c r="I18" s="1255">
        <v>14</v>
      </c>
      <c r="J18" s="1262">
        <v>450</v>
      </c>
      <c r="K18" s="1256">
        <v>0.8</v>
      </c>
      <c r="L18" s="1256">
        <v>0.9</v>
      </c>
      <c r="M18" s="1317">
        <f t="shared" si="0"/>
        <v>0.72799999999999998</v>
      </c>
      <c r="N18" s="1317">
        <v>3.7999999999999999E-2</v>
      </c>
      <c r="O18" s="1318">
        <v>0.69</v>
      </c>
    </row>
    <row r="19" spans="1:15" s="29" customFormat="1" ht="27.75" customHeight="1">
      <c r="A19" s="1337" t="s">
        <v>9010</v>
      </c>
      <c r="B19" s="1338">
        <f t="shared" si="1"/>
        <v>360.61200000000002</v>
      </c>
      <c r="C19" s="1257">
        <f t="shared" si="3"/>
        <v>358.99200000000002</v>
      </c>
      <c r="D19" s="1255">
        <v>1108</v>
      </c>
      <c r="E19" s="1253">
        <v>450</v>
      </c>
      <c r="F19" s="1256">
        <v>0.8</v>
      </c>
      <c r="G19" s="1253">
        <v>0.9</v>
      </c>
      <c r="H19" s="1257">
        <f t="shared" si="2"/>
        <v>1.62</v>
      </c>
      <c r="I19" s="1255">
        <v>5</v>
      </c>
      <c r="J19" s="1262">
        <v>450</v>
      </c>
      <c r="K19" s="1256">
        <v>0.8</v>
      </c>
      <c r="L19" s="1256">
        <v>0.9</v>
      </c>
      <c r="M19" s="1317">
        <f t="shared" si="0"/>
        <v>0.08</v>
      </c>
      <c r="N19" s="1317">
        <v>0.02</v>
      </c>
      <c r="O19" s="1318">
        <v>0.06</v>
      </c>
    </row>
    <row r="20" spans="1:15" s="29" customFormat="1" ht="27.75" customHeight="1">
      <c r="A20" s="1337" t="s">
        <v>9011</v>
      </c>
      <c r="B20" s="1338">
        <f t="shared" si="1"/>
        <v>98.841000000000008</v>
      </c>
      <c r="C20" s="1257">
        <f t="shared" si="3"/>
        <v>97.891000000000005</v>
      </c>
      <c r="D20" s="1255">
        <v>309</v>
      </c>
      <c r="E20" s="1253">
        <v>440</v>
      </c>
      <c r="F20" s="1256">
        <v>0.8</v>
      </c>
      <c r="G20" s="1253">
        <v>0.9</v>
      </c>
      <c r="H20" s="1257">
        <f t="shared" si="2"/>
        <v>0.95</v>
      </c>
      <c r="I20" s="1255">
        <v>3</v>
      </c>
      <c r="J20" s="1262">
        <v>440</v>
      </c>
      <c r="K20" s="1256">
        <v>0.8</v>
      </c>
      <c r="L20" s="1256">
        <v>0.9</v>
      </c>
      <c r="M20" s="1317">
        <f t="shared" si="0"/>
        <v>0.03</v>
      </c>
      <c r="N20" s="1317">
        <v>0.01</v>
      </c>
      <c r="O20" s="1318">
        <v>0.02</v>
      </c>
    </row>
    <row r="21" spans="1:15" s="29" customFormat="1" ht="27.75" customHeight="1">
      <c r="A21" s="1337" t="s">
        <v>9012</v>
      </c>
      <c r="B21" s="1338">
        <f t="shared" si="1"/>
        <v>177.53</v>
      </c>
      <c r="C21" s="1257">
        <f t="shared" si="3"/>
        <v>172.69200000000001</v>
      </c>
      <c r="D21" s="1255">
        <v>533</v>
      </c>
      <c r="E21" s="1253">
        <v>450</v>
      </c>
      <c r="F21" s="1256">
        <v>0.8</v>
      </c>
      <c r="G21" s="1253">
        <v>0.9</v>
      </c>
      <c r="H21" s="1257">
        <f t="shared" si="2"/>
        <v>4.8380000000000001</v>
      </c>
      <c r="I21" s="1255">
        <v>16</v>
      </c>
      <c r="J21" s="1262">
        <v>420</v>
      </c>
      <c r="K21" s="1256">
        <v>0.8</v>
      </c>
      <c r="L21" s="1256">
        <v>0.9</v>
      </c>
      <c r="M21" s="1317">
        <f t="shared" si="0"/>
        <v>0.04</v>
      </c>
      <c r="N21" s="1317">
        <v>0.02</v>
      </c>
      <c r="O21" s="1318">
        <v>0.02</v>
      </c>
    </row>
    <row r="22" spans="1:15" s="29" customFormat="1" ht="27.75" customHeight="1">
      <c r="A22" s="1337" t="s">
        <v>9013</v>
      </c>
      <c r="B22" s="1338">
        <f t="shared" si="1"/>
        <v>455.55700000000002</v>
      </c>
      <c r="C22" s="1257">
        <f t="shared" si="3"/>
        <v>442.56900000000002</v>
      </c>
      <c r="D22" s="1255">
        <v>1397</v>
      </c>
      <c r="E22" s="1253">
        <v>440</v>
      </c>
      <c r="F22" s="1256">
        <v>0.8</v>
      </c>
      <c r="G22" s="1253">
        <v>0.9</v>
      </c>
      <c r="H22" s="1257">
        <f t="shared" si="2"/>
        <v>12.988</v>
      </c>
      <c r="I22" s="1255">
        <v>41</v>
      </c>
      <c r="J22" s="1262">
        <v>440</v>
      </c>
      <c r="K22" s="1256">
        <v>0.8</v>
      </c>
      <c r="L22" s="1256">
        <v>0.9</v>
      </c>
      <c r="M22" s="1317">
        <f t="shared" si="0"/>
        <v>0.11</v>
      </c>
      <c r="N22" s="1317">
        <v>0.01</v>
      </c>
      <c r="O22" s="1318">
        <v>0.1</v>
      </c>
    </row>
    <row r="23" spans="1:15" s="29" customFormat="1" ht="27.75" customHeight="1">
      <c r="A23" s="1337" t="s">
        <v>9014</v>
      </c>
      <c r="B23" s="1338">
        <f t="shared" si="1"/>
        <v>1256.4780000000001</v>
      </c>
      <c r="C23" s="1257">
        <f t="shared" si="3"/>
        <v>1212.825</v>
      </c>
      <c r="D23" s="1255">
        <v>3584</v>
      </c>
      <c r="E23" s="1253">
        <v>470</v>
      </c>
      <c r="F23" s="1256">
        <v>0.8</v>
      </c>
      <c r="G23" s="1253">
        <v>0.9</v>
      </c>
      <c r="H23" s="1257">
        <f t="shared" si="2"/>
        <v>43.652999999999999</v>
      </c>
      <c r="I23" s="1255">
        <v>129</v>
      </c>
      <c r="J23" s="1262">
        <v>470</v>
      </c>
      <c r="K23" s="1256">
        <v>0.8</v>
      </c>
      <c r="L23" s="1256">
        <v>0.9</v>
      </c>
      <c r="M23" s="1317">
        <f t="shared" si="0"/>
        <v>0.29000000000000004</v>
      </c>
      <c r="N23" s="1317">
        <v>0.02</v>
      </c>
      <c r="O23" s="1318">
        <v>0.27</v>
      </c>
    </row>
    <row r="24" spans="1:15" s="29" customFormat="1" ht="27.75" customHeight="1">
      <c r="A24" s="1337" t="s">
        <v>9015</v>
      </c>
      <c r="B24" s="1338">
        <f t="shared" si="1"/>
        <v>1014.3349999999999</v>
      </c>
      <c r="C24" s="1257">
        <f t="shared" si="3"/>
        <v>1012.2619999999999</v>
      </c>
      <c r="D24" s="1255">
        <v>2929</v>
      </c>
      <c r="E24" s="1253">
        <v>480</v>
      </c>
      <c r="F24" s="1256">
        <v>0.8</v>
      </c>
      <c r="G24" s="1253">
        <v>0.9</v>
      </c>
      <c r="H24" s="1257">
        <f t="shared" si="2"/>
        <v>2.073</v>
      </c>
      <c r="I24" s="1255">
        <v>6</v>
      </c>
      <c r="J24" s="1262">
        <v>480</v>
      </c>
      <c r="K24" s="1256">
        <v>0.8</v>
      </c>
      <c r="L24" s="1256">
        <v>0.9</v>
      </c>
      <c r="M24" s="1317">
        <f t="shared" si="0"/>
        <v>0.22</v>
      </c>
      <c r="N24" s="1317">
        <v>0.01</v>
      </c>
      <c r="O24" s="1318">
        <v>0.21</v>
      </c>
    </row>
    <row r="25" spans="1:15" s="29" customFormat="1" ht="27.75" customHeight="1">
      <c r="A25" s="1337" t="s">
        <v>9016</v>
      </c>
      <c r="B25" s="1338">
        <f t="shared" si="1"/>
        <v>91.8</v>
      </c>
      <c r="C25" s="1257">
        <f t="shared" si="3"/>
        <v>86.903999999999996</v>
      </c>
      <c r="D25" s="1255">
        <v>284</v>
      </c>
      <c r="E25" s="1253">
        <v>450</v>
      </c>
      <c r="F25" s="1256">
        <v>0.8</v>
      </c>
      <c r="G25" s="1238">
        <v>0.85</v>
      </c>
      <c r="H25" s="1257">
        <f t="shared" si="2"/>
        <v>4.8959999999999999</v>
      </c>
      <c r="I25" s="1255">
        <v>16</v>
      </c>
      <c r="J25" s="1262">
        <v>450</v>
      </c>
      <c r="K25" s="1256">
        <v>0.8</v>
      </c>
      <c r="L25" s="1256">
        <v>0.85</v>
      </c>
      <c r="M25" s="1317">
        <f t="shared" si="0"/>
        <v>0.02</v>
      </c>
      <c r="N25" s="1317">
        <v>0.01</v>
      </c>
      <c r="O25" s="1318">
        <v>0.01</v>
      </c>
    </row>
    <row r="26" spans="1:15" s="29" customFormat="1" ht="27.75" customHeight="1">
      <c r="A26" s="1337" t="s">
        <v>9017</v>
      </c>
      <c r="B26" s="1338">
        <f t="shared" si="1"/>
        <v>9140.125</v>
      </c>
      <c r="C26" s="1257">
        <f t="shared" si="3"/>
        <v>9125.9130000000005</v>
      </c>
      <c r="D26" s="1255">
        <v>26406</v>
      </c>
      <c r="E26" s="1253">
        <v>480</v>
      </c>
      <c r="F26" s="1256">
        <v>0.8</v>
      </c>
      <c r="G26" s="1238">
        <v>0.9</v>
      </c>
      <c r="H26" s="1257">
        <f t="shared" si="2"/>
        <v>14.212</v>
      </c>
      <c r="I26" s="1255">
        <v>42</v>
      </c>
      <c r="J26" s="1262">
        <v>470</v>
      </c>
      <c r="K26" s="1256">
        <v>0.8</v>
      </c>
      <c r="L26" s="1256">
        <v>0.9</v>
      </c>
      <c r="M26" s="1317">
        <f t="shared" si="0"/>
        <v>1.97</v>
      </c>
      <c r="N26" s="1317">
        <v>0.05</v>
      </c>
      <c r="O26" s="1318">
        <v>1.92</v>
      </c>
    </row>
    <row r="27" spans="1:15" s="29" customFormat="1" ht="27.75" customHeight="1">
      <c r="A27" s="1337" t="s">
        <v>9019</v>
      </c>
      <c r="B27" s="1338">
        <f t="shared" si="1"/>
        <v>7002.201</v>
      </c>
      <c r="C27" s="1257">
        <f t="shared" si="3"/>
        <v>6982.848</v>
      </c>
      <c r="D27" s="1255">
        <v>20205</v>
      </c>
      <c r="E27" s="1253">
        <v>480</v>
      </c>
      <c r="F27" s="1256">
        <v>0.8</v>
      </c>
      <c r="G27" s="1238">
        <v>0.9</v>
      </c>
      <c r="H27" s="1257">
        <f t="shared" si="2"/>
        <v>19.353000000000002</v>
      </c>
      <c r="I27" s="1255">
        <v>56</v>
      </c>
      <c r="J27" s="1262">
        <v>480</v>
      </c>
      <c r="K27" s="1256">
        <v>0.8</v>
      </c>
      <c r="L27" s="1256">
        <v>0.9</v>
      </c>
      <c r="M27" s="1317">
        <f t="shared" si="0"/>
        <v>1.51</v>
      </c>
      <c r="N27" s="1317">
        <v>0.03</v>
      </c>
      <c r="O27" s="1318">
        <v>1.48</v>
      </c>
    </row>
    <row r="28" spans="1:15" s="29" customFormat="1" ht="27.75" customHeight="1">
      <c r="A28" s="1339" t="s">
        <v>9020</v>
      </c>
      <c r="B28" s="1338">
        <f t="shared" si="1"/>
        <v>11241.984999999999</v>
      </c>
      <c r="C28" s="1257">
        <f t="shared" si="3"/>
        <v>11206.791999999999</v>
      </c>
      <c r="D28" s="1255">
        <v>33117</v>
      </c>
      <c r="E28" s="1253">
        <v>470</v>
      </c>
      <c r="F28" s="1256">
        <v>0.8</v>
      </c>
      <c r="G28" s="1253">
        <v>0.9</v>
      </c>
      <c r="H28" s="1257">
        <f t="shared" si="2"/>
        <v>35.192999999999998</v>
      </c>
      <c r="I28" s="1255">
        <v>104</v>
      </c>
      <c r="J28" s="1262">
        <v>470</v>
      </c>
      <c r="K28" s="1256">
        <v>0.8</v>
      </c>
      <c r="L28" s="1256">
        <v>0.9</v>
      </c>
      <c r="M28" s="1319">
        <f t="shared" si="0"/>
        <v>2.23</v>
      </c>
      <c r="N28" s="1319">
        <v>0.02</v>
      </c>
      <c r="O28" s="1320">
        <v>2.21</v>
      </c>
    </row>
    <row r="29" spans="1:15" s="29" customFormat="1" ht="27.75" customHeight="1">
      <c r="A29" s="1340" t="s">
        <v>9021</v>
      </c>
      <c r="B29" s="1338">
        <f t="shared" si="1"/>
        <v>2725.7470000000003</v>
      </c>
      <c r="C29" s="1257">
        <f t="shared" si="3"/>
        <v>2692.2240000000002</v>
      </c>
      <c r="D29" s="1255">
        <v>7790</v>
      </c>
      <c r="E29" s="1253">
        <v>480</v>
      </c>
      <c r="F29" s="1256">
        <v>0.8</v>
      </c>
      <c r="G29" s="1253">
        <v>0.9</v>
      </c>
      <c r="H29" s="1257">
        <f t="shared" si="2"/>
        <v>33.523000000000003</v>
      </c>
      <c r="I29" s="1255">
        <v>97</v>
      </c>
      <c r="J29" s="1262">
        <v>480</v>
      </c>
      <c r="K29" s="1256">
        <v>0.8</v>
      </c>
      <c r="L29" s="1256">
        <v>0.9</v>
      </c>
      <c r="M29" s="1321">
        <f t="shared" si="0"/>
        <v>0.63</v>
      </c>
      <c r="N29" s="1321">
        <v>0.05</v>
      </c>
      <c r="O29" s="1321">
        <v>0.57999999999999996</v>
      </c>
    </row>
    <row r="30" spans="1:15" s="29" customFormat="1" ht="27.75" customHeight="1">
      <c r="A30" s="1340" t="s">
        <v>9040</v>
      </c>
      <c r="B30" s="1338">
        <f t="shared" si="1"/>
        <v>2648.3319999999999</v>
      </c>
      <c r="C30" s="1257">
        <f t="shared" si="3"/>
        <v>2640.038</v>
      </c>
      <c r="D30" s="1255">
        <v>7639</v>
      </c>
      <c r="E30" s="1253">
        <v>480</v>
      </c>
      <c r="F30" s="1256">
        <v>0.8</v>
      </c>
      <c r="G30" s="1253">
        <v>0.9</v>
      </c>
      <c r="H30" s="1257">
        <f t="shared" si="2"/>
        <v>8.2940000000000005</v>
      </c>
      <c r="I30" s="1255">
        <v>24</v>
      </c>
      <c r="J30" s="1262">
        <v>480</v>
      </c>
      <c r="K30" s="1256">
        <v>0.8</v>
      </c>
      <c r="L30" s="1256">
        <v>0.9</v>
      </c>
      <c r="M30" s="1321">
        <f t="shared" si="0"/>
        <v>0.62000000000000011</v>
      </c>
      <c r="N30" s="1321">
        <v>0.06</v>
      </c>
      <c r="O30" s="1321">
        <v>0.56000000000000005</v>
      </c>
    </row>
    <row r="31" spans="1:15" s="29" customFormat="1" ht="27.75" customHeight="1">
      <c r="A31" s="1340" t="s">
        <v>9023</v>
      </c>
      <c r="B31" s="1338">
        <f t="shared" si="1"/>
        <v>407.77100000000002</v>
      </c>
      <c r="C31" s="1257">
        <f t="shared" si="3"/>
        <v>336.36900000000003</v>
      </c>
      <c r="D31" s="1255">
        <v>994</v>
      </c>
      <c r="E31" s="1253">
        <v>470</v>
      </c>
      <c r="F31" s="1256">
        <v>0.8</v>
      </c>
      <c r="G31" s="1253">
        <v>0.9</v>
      </c>
      <c r="H31" s="1257">
        <f t="shared" si="2"/>
        <v>71.402000000000001</v>
      </c>
      <c r="I31" s="1255">
        <v>211</v>
      </c>
      <c r="J31" s="1262">
        <v>470</v>
      </c>
      <c r="K31" s="1256">
        <v>0.8</v>
      </c>
      <c r="L31" s="1256">
        <v>0.9</v>
      </c>
      <c r="M31" s="1321">
        <f t="shared" si="0"/>
        <v>0.13</v>
      </c>
      <c r="N31" s="1321">
        <v>0.05</v>
      </c>
      <c r="O31" s="1321">
        <v>0.08</v>
      </c>
    </row>
    <row r="32" spans="1:15" s="29" customFormat="1" ht="27.75" customHeight="1">
      <c r="A32" s="1340" t="s">
        <v>9166</v>
      </c>
      <c r="B32" s="1338">
        <f t="shared" si="1"/>
        <v>19221.579999999998</v>
      </c>
      <c r="C32" s="1257">
        <f t="shared" si="3"/>
        <v>19119.282999999999</v>
      </c>
      <c r="D32" s="1255">
        <v>55322</v>
      </c>
      <c r="E32" s="1253">
        <v>480</v>
      </c>
      <c r="F32" s="1256">
        <v>0.8</v>
      </c>
      <c r="G32" s="1253">
        <v>0.9</v>
      </c>
      <c r="H32" s="1257">
        <f t="shared" si="2"/>
        <v>102.297</v>
      </c>
      <c r="I32" s="1255">
        <v>296</v>
      </c>
      <c r="J32" s="1262">
        <v>480</v>
      </c>
      <c r="K32" s="1256">
        <v>0.8</v>
      </c>
      <c r="L32" s="1256">
        <v>0.9</v>
      </c>
      <c r="M32" s="1321">
        <f t="shared" si="0"/>
        <v>8.64</v>
      </c>
      <c r="N32" s="1321">
        <v>0.26</v>
      </c>
      <c r="O32" s="1321">
        <v>8.3800000000000008</v>
      </c>
    </row>
    <row r="33" spans="1:15" s="29" customFormat="1" ht="27.75" customHeight="1">
      <c r="A33" s="1340" t="s">
        <v>9025</v>
      </c>
      <c r="B33" s="1338">
        <f t="shared" si="1"/>
        <v>11918.785</v>
      </c>
      <c r="C33" s="1257">
        <f t="shared" si="3"/>
        <v>11907.28</v>
      </c>
      <c r="D33" s="1255">
        <v>35187</v>
      </c>
      <c r="E33" s="1253">
        <v>470</v>
      </c>
      <c r="F33" s="1256">
        <v>0.8</v>
      </c>
      <c r="G33" s="1253">
        <v>0.9</v>
      </c>
      <c r="H33" s="1257">
        <f t="shared" si="2"/>
        <v>11.505000000000001</v>
      </c>
      <c r="I33" s="1255">
        <v>34</v>
      </c>
      <c r="J33" s="1262">
        <v>470</v>
      </c>
      <c r="K33" s="1256">
        <v>0.8</v>
      </c>
      <c r="L33" s="1256">
        <v>0.9</v>
      </c>
      <c r="M33" s="1321">
        <f t="shared" si="0"/>
        <v>5.23</v>
      </c>
      <c r="N33" s="1321">
        <v>0.11</v>
      </c>
      <c r="O33" s="1321">
        <v>5.12</v>
      </c>
    </row>
    <row r="34" spans="1:15" s="29" customFormat="1" ht="27.75" customHeight="1">
      <c r="A34" s="1340" t="s">
        <v>9026</v>
      </c>
      <c r="B34" s="1338">
        <f t="shared" si="1"/>
        <v>19124.811999999998</v>
      </c>
      <c r="C34" s="1257">
        <f t="shared" si="3"/>
        <v>18887.384999999998</v>
      </c>
      <c r="D34" s="1255">
        <v>54651</v>
      </c>
      <c r="E34" s="1253">
        <v>480</v>
      </c>
      <c r="F34" s="1256">
        <v>0.8</v>
      </c>
      <c r="G34" s="1253">
        <v>0.9</v>
      </c>
      <c r="H34" s="1257">
        <f t="shared" si="2"/>
        <v>237.42699999999999</v>
      </c>
      <c r="I34" s="1255">
        <v>687</v>
      </c>
      <c r="J34" s="1262">
        <v>480</v>
      </c>
      <c r="K34" s="1256">
        <v>0.8</v>
      </c>
      <c r="L34" s="1256">
        <v>0.9</v>
      </c>
      <c r="M34" s="1321">
        <f t="shared" si="0"/>
        <v>8.92</v>
      </c>
      <c r="N34" s="1321">
        <v>0.18</v>
      </c>
      <c r="O34" s="1321">
        <v>8.74</v>
      </c>
    </row>
    <row r="35" spans="1:15" s="29" customFormat="1" ht="27.75" customHeight="1">
      <c r="A35" s="1340" t="s">
        <v>9027</v>
      </c>
      <c r="B35" s="1338">
        <f t="shared" si="1"/>
        <v>2291.634</v>
      </c>
      <c r="C35" s="1257">
        <f t="shared" si="3"/>
        <v>1464.21</v>
      </c>
      <c r="D35" s="1255">
        <v>4785</v>
      </c>
      <c r="E35" s="1253">
        <v>450</v>
      </c>
      <c r="F35" s="1256">
        <v>0.8</v>
      </c>
      <c r="G35" s="1238">
        <v>0.85</v>
      </c>
      <c r="H35" s="1257">
        <f t="shared" si="2"/>
        <v>827.42399999999998</v>
      </c>
      <c r="I35" s="1255">
        <v>2704</v>
      </c>
      <c r="J35" s="1262">
        <v>450</v>
      </c>
      <c r="K35" s="1256">
        <v>0.8</v>
      </c>
      <c r="L35" s="1256">
        <v>0.85</v>
      </c>
      <c r="M35" s="1321">
        <f t="shared" si="0"/>
        <v>13.18</v>
      </c>
      <c r="N35" s="1321">
        <v>1.19</v>
      </c>
      <c r="O35" s="1321">
        <v>11.99</v>
      </c>
    </row>
    <row r="36" spans="1:15" s="29" customFormat="1" ht="27.75" customHeight="1">
      <c r="A36" s="1340" t="s">
        <v>9029</v>
      </c>
      <c r="B36" s="1338">
        <f t="shared" si="1"/>
        <v>1741.261</v>
      </c>
      <c r="C36" s="1257">
        <f t="shared" si="3"/>
        <v>789.11199999999997</v>
      </c>
      <c r="D36" s="1255">
        <v>2149</v>
      </c>
      <c r="E36" s="1253">
        <v>540</v>
      </c>
      <c r="F36" s="1256">
        <v>0.8</v>
      </c>
      <c r="G36" s="1253">
        <v>0.85</v>
      </c>
      <c r="H36" s="1257">
        <f t="shared" si="2"/>
        <v>952.149</v>
      </c>
      <c r="I36" s="1255">
        <v>2593</v>
      </c>
      <c r="J36" s="1262">
        <v>540</v>
      </c>
      <c r="K36" s="1256">
        <v>0.8</v>
      </c>
      <c r="L36" s="1256">
        <v>0.85</v>
      </c>
      <c r="M36" s="1321">
        <f t="shared" si="0"/>
        <v>12.65</v>
      </c>
      <c r="N36" s="1321">
        <v>1.1499999999999999</v>
      </c>
      <c r="O36" s="1321">
        <v>11.5</v>
      </c>
    </row>
    <row r="37" spans="1:15" s="29" customFormat="1" ht="27.75" customHeight="1">
      <c r="A37" s="1340" t="s">
        <v>9031</v>
      </c>
      <c r="B37" s="1338">
        <f t="shared" si="1"/>
        <v>1533.93</v>
      </c>
      <c r="C37" s="1257">
        <f t="shared" si="3"/>
        <v>733.33900000000006</v>
      </c>
      <c r="D37" s="1255">
        <v>2508</v>
      </c>
      <c r="E37" s="1253">
        <v>430</v>
      </c>
      <c r="F37" s="1256">
        <v>0.8</v>
      </c>
      <c r="G37" s="1253">
        <v>0.85</v>
      </c>
      <c r="H37" s="1257">
        <f t="shared" si="2"/>
        <v>800.59100000000001</v>
      </c>
      <c r="I37" s="1255">
        <v>2738</v>
      </c>
      <c r="J37" s="1262">
        <v>430</v>
      </c>
      <c r="K37" s="1256">
        <v>0.8</v>
      </c>
      <c r="L37" s="1256">
        <v>0.85</v>
      </c>
      <c r="M37" s="1321">
        <f t="shared" si="0"/>
        <v>13.36</v>
      </c>
      <c r="N37" s="1321">
        <v>1.21</v>
      </c>
      <c r="O37" s="1321">
        <v>12.15</v>
      </c>
    </row>
    <row r="38" spans="1:15" s="29" customFormat="1" ht="27.75" customHeight="1">
      <c r="A38" s="1340" t="s">
        <v>9034</v>
      </c>
      <c r="B38" s="1338">
        <f t="shared" si="1"/>
        <v>1635.4269999999999</v>
      </c>
      <c r="C38" s="1257">
        <f t="shared" si="3"/>
        <v>1102.5519999999999</v>
      </c>
      <c r="D38" s="1255">
        <v>3685</v>
      </c>
      <c r="E38" s="1253">
        <v>440</v>
      </c>
      <c r="F38" s="1256">
        <v>0.8</v>
      </c>
      <c r="G38" s="1253">
        <v>0.85</v>
      </c>
      <c r="H38" s="1257">
        <f t="shared" si="2"/>
        <v>532.875</v>
      </c>
      <c r="I38" s="1255">
        <v>1781</v>
      </c>
      <c r="J38" s="1262">
        <v>440</v>
      </c>
      <c r="K38" s="1256">
        <v>0.8</v>
      </c>
      <c r="L38" s="1256">
        <v>0.85</v>
      </c>
      <c r="M38" s="1321">
        <f t="shared" si="0"/>
        <v>1.25</v>
      </c>
      <c r="N38" s="1321">
        <v>0.03</v>
      </c>
      <c r="O38" s="1321">
        <v>1.22</v>
      </c>
    </row>
    <row r="39" spans="1:15" s="29" customFormat="1" ht="27.75" customHeight="1">
      <c r="A39" s="1340" t="s">
        <v>9035</v>
      </c>
      <c r="B39" s="1338">
        <f t="shared" si="1"/>
        <v>3625.4539999999997</v>
      </c>
      <c r="C39" s="1257">
        <f t="shared" si="3"/>
        <v>2906.3539999999998</v>
      </c>
      <c r="D39" s="1255">
        <v>7771</v>
      </c>
      <c r="E39" s="1253">
        <v>550</v>
      </c>
      <c r="F39" s="1256">
        <v>0.8</v>
      </c>
      <c r="G39" s="1253">
        <v>0.85</v>
      </c>
      <c r="H39" s="1257">
        <f t="shared" si="2"/>
        <v>719.1</v>
      </c>
      <c r="I39" s="1255">
        <v>2115</v>
      </c>
      <c r="J39" s="1262">
        <v>500</v>
      </c>
      <c r="K39" s="1256">
        <v>0.8</v>
      </c>
      <c r="L39" s="1256">
        <v>0.85</v>
      </c>
      <c r="M39" s="1321">
        <f t="shared" si="0"/>
        <v>2.5199999999999996</v>
      </c>
      <c r="N39" s="1321">
        <v>0.47</v>
      </c>
      <c r="O39" s="1321">
        <v>2.0499999999999998</v>
      </c>
    </row>
    <row r="40" spans="1:15" s="29" customFormat="1" ht="27.75" customHeight="1">
      <c r="A40" s="1340" t="s">
        <v>9036</v>
      </c>
      <c r="B40" s="1338">
        <f t="shared" si="1"/>
        <v>15277.838</v>
      </c>
      <c r="C40" s="1257">
        <f t="shared" si="3"/>
        <v>14428.661</v>
      </c>
      <c r="D40" s="1255">
        <v>45146</v>
      </c>
      <c r="E40" s="1253">
        <v>470</v>
      </c>
      <c r="F40" s="1256">
        <v>0.8</v>
      </c>
      <c r="G40" s="1253">
        <v>0.85</v>
      </c>
      <c r="H40" s="1257">
        <f t="shared" si="2"/>
        <v>849.17700000000002</v>
      </c>
      <c r="I40" s="1255">
        <v>2657</v>
      </c>
      <c r="J40" s="1262">
        <v>470</v>
      </c>
      <c r="K40" s="1256">
        <v>0.8</v>
      </c>
      <c r="L40" s="1256">
        <v>0.85</v>
      </c>
      <c r="M40" s="1321">
        <f t="shared" si="0"/>
        <v>8.9</v>
      </c>
      <c r="N40" s="1321">
        <v>0.23</v>
      </c>
      <c r="O40" s="1321">
        <v>8.67</v>
      </c>
    </row>
    <row r="41" spans="1:15" s="29" customFormat="1" ht="27.75" customHeight="1">
      <c r="A41" s="1340" t="s">
        <v>9038</v>
      </c>
      <c r="B41" s="1338">
        <f t="shared" si="1"/>
        <v>4263.7080000000005</v>
      </c>
      <c r="C41" s="1257">
        <f t="shared" si="3"/>
        <v>1528.6120000000001</v>
      </c>
      <c r="D41" s="1255">
        <v>4323</v>
      </c>
      <c r="E41" s="1253">
        <v>520</v>
      </c>
      <c r="F41" s="1256">
        <v>0.8</v>
      </c>
      <c r="G41" s="1253">
        <v>0.85</v>
      </c>
      <c r="H41" s="1257">
        <f t="shared" si="2"/>
        <v>2735.096</v>
      </c>
      <c r="I41" s="1255">
        <v>7735</v>
      </c>
      <c r="J41" s="1262">
        <v>520</v>
      </c>
      <c r="K41" s="1256">
        <v>0.8</v>
      </c>
      <c r="L41" s="1256">
        <v>0.85</v>
      </c>
      <c r="M41" s="1321">
        <f t="shared" si="0"/>
        <v>37.729999999999997</v>
      </c>
      <c r="N41" s="1321">
        <v>3.43</v>
      </c>
      <c r="O41" s="1321">
        <v>34.299999999999997</v>
      </c>
    </row>
    <row r="42" spans="1:15" s="29" customFormat="1" ht="27.75" customHeight="1">
      <c r="A42" s="1240"/>
      <c r="B42" s="1258"/>
      <c r="C42" s="1257"/>
      <c r="D42" s="1263"/>
      <c r="E42" s="1238"/>
      <c r="F42" s="1238"/>
      <c r="G42" s="1238"/>
      <c r="H42" s="1257"/>
      <c r="I42" s="1263"/>
      <c r="J42" s="1238"/>
      <c r="K42" s="1238"/>
      <c r="L42" s="1238"/>
      <c r="M42" s="1239"/>
      <c r="N42" s="1239"/>
      <c r="O42" s="1241"/>
    </row>
  </sheetData>
  <mergeCells count="12">
    <mergeCell ref="A1:B1"/>
    <mergeCell ref="A2:M2"/>
    <mergeCell ref="A3:M3"/>
    <mergeCell ref="M5:O6"/>
    <mergeCell ref="B7:B8"/>
    <mergeCell ref="M7:M8"/>
    <mergeCell ref="A5:A8"/>
    <mergeCell ref="B5:L6"/>
    <mergeCell ref="C7:G7"/>
    <mergeCell ref="H7:L7"/>
    <mergeCell ref="N7:N8"/>
    <mergeCell ref="O7:O8"/>
  </mergeCells>
  <phoneticPr fontId="3" type="noConversion"/>
  <pageMargins left="0.74803149606299213" right="0.74803149606299213" top="0.98425196850393704" bottom="0.98425196850393704" header="0.51181102362204722" footer="0.51181102362204722"/>
  <pageSetup paperSize="9" scale="38" orientation="landscape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2:U8"/>
  <sheetViews>
    <sheetView view="pageBreakPreview" zoomScale="115" zoomScaleNormal="85" zoomScaleSheetLayoutView="115" workbookViewId="0">
      <selection activeCell="C12" sqref="C12"/>
    </sheetView>
  </sheetViews>
  <sheetFormatPr defaultColWidth="3.88671875" defaultRowHeight="12"/>
  <cols>
    <col min="1" max="5" width="15.77734375" style="3" customWidth="1"/>
    <col min="6" max="6" width="17.21875" style="3" customWidth="1"/>
    <col min="7" max="7" width="16.77734375" style="3" customWidth="1"/>
    <col min="8" max="16384" width="3.88671875" style="3"/>
  </cols>
  <sheetData>
    <row r="2" spans="1:21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21" s="925" customFormat="1" ht="27.75" customHeight="1">
      <c r="A3" s="1597" t="s">
        <v>9229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ht="12.75" thickBot="1"/>
    <row r="5" spans="1:21" ht="39" customHeight="1">
      <c r="A5" s="7" t="s">
        <v>1455</v>
      </c>
      <c r="B5" s="6" t="s">
        <v>8770</v>
      </c>
      <c r="C5" s="6" t="s">
        <v>8771</v>
      </c>
      <c r="D5" s="6" t="s">
        <v>8772</v>
      </c>
      <c r="E5" s="6" t="s">
        <v>8725</v>
      </c>
      <c r="F5" s="6" t="s">
        <v>8726</v>
      </c>
      <c r="G5" s="1008" t="s">
        <v>8773</v>
      </c>
    </row>
    <row r="6" spans="1:21" s="937" customFormat="1" ht="27" customHeight="1">
      <c r="A6" s="1354" t="s">
        <v>9228</v>
      </c>
      <c r="B6" s="1355">
        <v>50103</v>
      </c>
      <c r="C6" s="1355">
        <v>22895</v>
      </c>
      <c r="D6" s="1356">
        <f t="shared" ref="D6" si="0">IF(ISERROR(C6/B6*1000),0,C6/B6*1000)</f>
        <v>456.95866514979144</v>
      </c>
      <c r="E6" s="1355">
        <v>62604</v>
      </c>
      <c r="F6" s="1356">
        <f t="shared" ref="F6" si="1">IF(ISERROR(E6/B6*1000),0,E6/B6*1000)</f>
        <v>1249.5060176037362</v>
      </c>
      <c r="G6" s="1357">
        <f t="shared" ref="G6" si="2">IF(ISERROR(D6/F6*100),0,D6/F6*100)</f>
        <v>36.57114561369881</v>
      </c>
    </row>
    <row r="7" spans="1:21" s="937" customFormat="1" ht="27" customHeight="1">
      <c r="A7" s="1004"/>
      <c r="B7" s="1005"/>
      <c r="C7" s="1005"/>
      <c r="D7" s="1006">
        <f t="shared" ref="D7:D8" si="3">IF(ISERROR(C7/B7*1000),0,C7/B7*1000)</f>
        <v>0</v>
      </c>
      <c r="E7" s="1005"/>
      <c r="F7" s="1006">
        <f t="shared" ref="F7:F8" si="4">IF(ISERROR(E7/B7*1000),0,E7/B7*1000)</f>
        <v>0</v>
      </c>
      <c r="G7" s="1007">
        <f t="shared" ref="G7:G8" si="5">IF(ISERROR(D7/F7*100),0,D7/F7*100)</f>
        <v>0</v>
      </c>
    </row>
    <row r="8" spans="1:21" ht="27" customHeight="1" thickBot="1">
      <c r="A8" s="1215"/>
      <c r="B8" s="284"/>
      <c r="C8" s="1216"/>
      <c r="D8" s="1217">
        <f t="shared" si="3"/>
        <v>0</v>
      </c>
      <c r="E8" s="284"/>
      <c r="F8" s="1217">
        <f t="shared" si="4"/>
        <v>0</v>
      </c>
      <c r="G8" s="1218">
        <f t="shared" si="5"/>
        <v>0</v>
      </c>
    </row>
  </sheetData>
  <mergeCells count="2">
    <mergeCell ref="A2:E2"/>
    <mergeCell ref="A3:E3"/>
  </mergeCells>
  <phoneticPr fontId="3" type="noConversion"/>
  <conditionalFormatting sqref="A6:G8">
    <cfRule type="expression" dxfId="278" priority="7" stopIfTrue="1">
      <formula>OR(RIGHT($A6,3)="특별시",RIGHT($A6,3)="광역시",RIGHT($A6,1)="도",$A6="전국")</formula>
    </cfRule>
  </conditionalFormatting>
  <conditionalFormatting sqref="A6:G6">
    <cfRule type="expression" dxfId="277" priority="1" stopIfTrue="1">
      <formula>OR(RIGHT($A6,3)="특별시",RIGHT($A6,3)="광역시",RIGHT($A6,1)="도",$A6="전국")</formula>
    </cfRule>
  </conditionalFormatting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E186"/>
  <sheetViews>
    <sheetView workbookViewId="0">
      <selection sqref="A1:IV1"/>
    </sheetView>
  </sheetViews>
  <sheetFormatPr defaultRowHeight="13.5"/>
  <cols>
    <col min="1" max="1" width="14.21875" customWidth="1"/>
    <col min="2" max="19" width="8.5546875" customWidth="1"/>
  </cols>
  <sheetData>
    <row r="1" spans="1:31" s="1949" customFormat="1" ht="19.5" customHeight="1">
      <c r="A1" s="1949" t="s">
        <v>1509</v>
      </c>
    </row>
    <row r="2" spans="1:31" ht="12" customHeight="1">
      <c r="A2" s="19"/>
      <c r="B2" s="19"/>
      <c r="C2" s="19"/>
      <c r="D2" s="19"/>
      <c r="E2" s="19"/>
      <c r="F2" s="19"/>
      <c r="G2" s="19"/>
    </row>
    <row r="3" spans="1:31" ht="26.25" customHeight="1">
      <c r="A3" s="1950" t="s">
        <v>1584</v>
      </c>
      <c r="B3" s="1950"/>
    </row>
    <row r="4" spans="1:31" ht="25.5" customHeight="1" thickBot="1">
      <c r="A4" s="27" t="s">
        <v>1579</v>
      </c>
    </row>
    <row r="5" spans="1:31" ht="21.95" customHeight="1">
      <c r="A5" s="22" t="s">
        <v>1516</v>
      </c>
      <c r="B5" s="1947" t="s">
        <v>1518</v>
      </c>
      <c r="C5" s="1947"/>
      <c r="D5" s="1947"/>
      <c r="E5" s="1947" t="s">
        <v>1519</v>
      </c>
      <c r="F5" s="1947"/>
      <c r="G5" s="1947"/>
      <c r="H5" s="1947" t="s">
        <v>1520</v>
      </c>
      <c r="I5" s="1947"/>
      <c r="J5" s="1947"/>
      <c r="K5" s="1947" t="s">
        <v>1521</v>
      </c>
      <c r="L5" s="1947"/>
      <c r="M5" s="1948"/>
      <c r="N5" s="1947" t="s">
        <v>1582</v>
      </c>
      <c r="O5" s="1947"/>
      <c r="P5" s="1948"/>
      <c r="Q5" s="1947" t="s">
        <v>1583</v>
      </c>
      <c r="R5" s="1947"/>
      <c r="S5" s="1948"/>
      <c r="T5" t="s">
        <v>58</v>
      </c>
      <c r="W5" t="s">
        <v>59</v>
      </c>
      <c r="Z5" t="s">
        <v>60</v>
      </c>
      <c r="AC5" t="s">
        <v>61</v>
      </c>
    </row>
    <row r="6" spans="1:31" ht="21.95" customHeight="1">
      <c r="A6" s="1946" t="s">
        <v>1517</v>
      </c>
      <c r="B6" s="20" t="s">
        <v>1522</v>
      </c>
      <c r="C6" s="20" t="s">
        <v>1524</v>
      </c>
      <c r="D6" s="20" t="s">
        <v>1526</v>
      </c>
      <c r="E6" s="20" t="s">
        <v>1522</v>
      </c>
      <c r="F6" s="20" t="s">
        <v>1524</v>
      </c>
      <c r="G6" s="20" t="s">
        <v>1526</v>
      </c>
      <c r="H6" s="20" t="s">
        <v>1522</v>
      </c>
      <c r="I6" s="20" t="s">
        <v>1524</v>
      </c>
      <c r="J6" s="20" t="s">
        <v>1526</v>
      </c>
      <c r="K6" s="20" t="s">
        <v>1522</v>
      </c>
      <c r="L6" s="20" t="s">
        <v>1524</v>
      </c>
      <c r="M6" s="23" t="s">
        <v>1526</v>
      </c>
      <c r="N6" s="20" t="s">
        <v>1522</v>
      </c>
      <c r="O6" s="20" t="s">
        <v>1524</v>
      </c>
      <c r="P6" s="23" t="s">
        <v>1526</v>
      </c>
      <c r="Q6" s="20" t="s">
        <v>1522</v>
      </c>
      <c r="R6" s="20" t="s">
        <v>1524</v>
      </c>
      <c r="S6" s="23" t="s">
        <v>1526</v>
      </c>
    </row>
    <row r="7" spans="1:31" ht="21.95" customHeight="1">
      <c r="A7" s="1946"/>
      <c r="B7" s="20" t="s">
        <v>1523</v>
      </c>
      <c r="C7" s="20" t="s">
        <v>1525</v>
      </c>
      <c r="D7" s="20" t="s">
        <v>1527</v>
      </c>
      <c r="E7" s="20" t="s">
        <v>1523</v>
      </c>
      <c r="F7" s="20" t="s">
        <v>1525</v>
      </c>
      <c r="G7" s="20" t="s">
        <v>1527</v>
      </c>
      <c r="H7" s="20" t="s">
        <v>1523</v>
      </c>
      <c r="I7" s="20" t="s">
        <v>1525</v>
      </c>
      <c r="J7" s="20" t="s">
        <v>1527</v>
      </c>
      <c r="K7" s="20" t="s">
        <v>1523</v>
      </c>
      <c r="L7" s="20" t="s">
        <v>1525</v>
      </c>
      <c r="M7" s="23" t="s">
        <v>1527</v>
      </c>
      <c r="N7" s="20" t="s">
        <v>1523</v>
      </c>
      <c r="O7" s="20" t="s">
        <v>1525</v>
      </c>
      <c r="P7" s="23" t="s">
        <v>1527</v>
      </c>
      <c r="Q7" s="20" t="s">
        <v>1523</v>
      </c>
      <c r="R7" s="20" t="s">
        <v>1525</v>
      </c>
      <c r="S7" s="23" t="s">
        <v>1527</v>
      </c>
    </row>
    <row r="8" spans="1:31" ht="21.95" customHeight="1">
      <c r="A8" s="24">
        <v>2006</v>
      </c>
      <c r="B8" s="20"/>
      <c r="C8" s="21"/>
      <c r="D8" s="21" t="e">
        <f>B8/E8*1000</f>
        <v>#DIV/0!</v>
      </c>
      <c r="E8" s="20"/>
      <c r="F8" s="20"/>
      <c r="G8" s="21" t="e">
        <f>E8/H8*1000</f>
        <v>#DIV/0!</v>
      </c>
      <c r="H8" s="20"/>
      <c r="I8" s="20"/>
      <c r="J8" s="20" t="e">
        <f>H8/I8*1000</f>
        <v>#DIV/0!</v>
      </c>
      <c r="K8" s="20"/>
      <c r="L8" s="20"/>
      <c r="M8" s="23" t="e">
        <f t="shared" ref="M8:M14" si="0">K8/L8*1000</f>
        <v>#DIV/0!</v>
      </c>
      <c r="N8" s="20"/>
      <c r="O8" s="20"/>
      <c r="P8" s="23" t="e">
        <f>N8/O8*1000</f>
        <v>#DIV/0!</v>
      </c>
      <c r="Q8" s="20"/>
      <c r="R8" s="20"/>
      <c r="S8" s="23" t="e">
        <f>Q8/R8*1000</f>
        <v>#DIV/0!</v>
      </c>
    </row>
    <row r="9" spans="1:31" ht="21.95" customHeight="1">
      <c r="A9" s="72" t="s">
        <v>2471</v>
      </c>
      <c r="B9" s="73">
        <v>119199</v>
      </c>
      <c r="C9" s="73">
        <v>734523</v>
      </c>
      <c r="D9" s="74">
        <f t="shared" ref="D9:D14" si="1">B9/C9*1000</f>
        <v>162.28082714904775</v>
      </c>
      <c r="E9" s="73">
        <v>36472</v>
      </c>
      <c r="F9" s="73">
        <v>97223</v>
      </c>
      <c r="G9" s="74">
        <f>E9/F9*1000</f>
        <v>375.13757032800879</v>
      </c>
      <c r="H9" s="73">
        <v>160891</v>
      </c>
      <c r="I9" s="73">
        <v>257062</v>
      </c>
      <c r="J9" s="73">
        <f>H9/I9*1000</f>
        <v>625.88402797768629</v>
      </c>
      <c r="K9" s="73">
        <v>10498</v>
      </c>
      <c r="L9" s="73">
        <v>46364</v>
      </c>
      <c r="M9" s="75">
        <f t="shared" si="0"/>
        <v>226.42567509274437</v>
      </c>
      <c r="N9" s="13"/>
      <c r="O9" s="13"/>
      <c r="P9" s="15"/>
      <c r="Q9" s="13"/>
      <c r="R9" s="13"/>
      <c r="S9" s="15"/>
    </row>
    <row r="10" spans="1:31" ht="21.95" customHeight="1">
      <c r="A10" s="14" t="s">
        <v>2472</v>
      </c>
      <c r="B10" s="76">
        <v>46025</v>
      </c>
      <c r="C10" s="76">
        <v>210377</v>
      </c>
      <c r="D10" s="77">
        <f t="shared" si="1"/>
        <v>218.7739153994971</v>
      </c>
      <c r="E10" s="76">
        <v>6674</v>
      </c>
      <c r="F10" s="76">
        <v>21685</v>
      </c>
      <c r="G10" s="77">
        <f>E10/F10*1000</f>
        <v>307.77034816693566</v>
      </c>
      <c r="H10" s="76">
        <v>47630</v>
      </c>
      <c r="I10" s="76">
        <v>85776</v>
      </c>
      <c r="J10" s="78">
        <f>H10/I10*1000</f>
        <v>555.28352919231486</v>
      </c>
      <c r="K10" s="76">
        <v>8628</v>
      </c>
      <c r="L10" s="76">
        <v>25840</v>
      </c>
      <c r="M10" s="79">
        <f t="shared" si="0"/>
        <v>333.90092879256969</v>
      </c>
      <c r="N10" s="76">
        <v>654</v>
      </c>
      <c r="O10" s="76">
        <v>341</v>
      </c>
      <c r="P10" s="79">
        <f>N10/O10*1000</f>
        <v>1917.8885630498535</v>
      </c>
      <c r="Q10" s="76">
        <v>11062</v>
      </c>
      <c r="R10" s="76">
        <v>39447</v>
      </c>
      <c r="S10" s="79">
        <f>Q10/R10*1000</f>
        <v>280.42690191903057</v>
      </c>
    </row>
    <row r="11" spans="1:31" ht="21.95" customHeight="1" thickBot="1">
      <c r="A11" s="16" t="s">
        <v>1971</v>
      </c>
      <c r="B11" s="80">
        <v>33718</v>
      </c>
      <c r="C11" s="80">
        <v>154540</v>
      </c>
      <c r="D11" s="17">
        <f t="shared" si="1"/>
        <v>218.18299469393037</v>
      </c>
      <c r="E11" s="17"/>
      <c r="F11" s="17"/>
      <c r="G11" s="17"/>
      <c r="H11" s="17"/>
      <c r="I11" s="17"/>
      <c r="J11" s="17"/>
      <c r="K11" s="17">
        <v>4377</v>
      </c>
      <c r="L11" s="17">
        <v>15139</v>
      </c>
      <c r="M11" s="18">
        <f t="shared" si="0"/>
        <v>289.12081379219234</v>
      </c>
      <c r="N11" s="17"/>
      <c r="O11" s="17"/>
      <c r="P11" s="18"/>
      <c r="Q11" s="17">
        <v>12449</v>
      </c>
      <c r="R11" s="17">
        <v>44269</v>
      </c>
      <c r="S11" s="18">
        <f>Q11/R11*1000</f>
        <v>281.21258668594271</v>
      </c>
      <c r="T11">
        <v>27953</v>
      </c>
      <c r="U11">
        <v>74129</v>
      </c>
      <c r="V11" s="18">
        <f>T11/U11*1000</f>
        <v>377.08589081196294</v>
      </c>
    </row>
    <row r="12" spans="1:31">
      <c r="A12" s="81" t="s">
        <v>2473</v>
      </c>
      <c r="B12" s="82">
        <v>24633</v>
      </c>
      <c r="C12" s="82">
        <v>158793</v>
      </c>
      <c r="D12" s="83">
        <f t="shared" si="1"/>
        <v>155.12648542442048</v>
      </c>
      <c r="E12" s="82">
        <v>8791</v>
      </c>
      <c r="F12" s="82">
        <v>23563</v>
      </c>
      <c r="G12" s="83">
        <f>E12/F12*1000</f>
        <v>373.08492127488012</v>
      </c>
      <c r="H12" s="82">
        <v>18418</v>
      </c>
      <c r="I12" s="82">
        <v>34972</v>
      </c>
      <c r="J12" s="83">
        <f>H12/I12*1000</f>
        <v>526.64989134164477</v>
      </c>
      <c r="K12" s="82">
        <v>2844</v>
      </c>
      <c r="L12" s="82">
        <v>9610</v>
      </c>
      <c r="M12" s="83">
        <f t="shared" si="0"/>
        <v>295.94172736732571</v>
      </c>
      <c r="Q12" s="82">
        <v>6683</v>
      </c>
      <c r="R12" s="82">
        <v>24049</v>
      </c>
      <c r="S12" s="84">
        <f>Q12/R12*1000</f>
        <v>277.8909725976132</v>
      </c>
    </row>
    <row r="13" spans="1:31">
      <c r="A13" s="86" t="s">
        <v>1798</v>
      </c>
      <c r="B13" s="85">
        <v>17218</v>
      </c>
      <c r="C13" s="57">
        <v>86080</v>
      </c>
      <c r="D13" s="57">
        <f t="shared" si="1"/>
        <v>200.0232342007435</v>
      </c>
      <c r="E13" s="85">
        <v>10147</v>
      </c>
      <c r="F13" s="85">
        <v>16188</v>
      </c>
      <c r="G13" s="57">
        <f>E13/F13*1000</f>
        <v>626.82233753397577</v>
      </c>
      <c r="H13" s="85">
        <v>13997</v>
      </c>
      <c r="I13" s="85">
        <v>21275</v>
      </c>
      <c r="J13" s="57">
        <f>H13/I13*1000</f>
        <v>657.9083431257344</v>
      </c>
      <c r="K13" s="85">
        <v>1691</v>
      </c>
      <c r="L13" s="85">
        <v>5056</v>
      </c>
      <c r="M13" s="57">
        <f t="shared" si="0"/>
        <v>334.4541139240506</v>
      </c>
      <c r="Q13" s="85">
        <v>1691</v>
      </c>
      <c r="R13" s="87">
        <v>5056</v>
      </c>
      <c r="S13" s="57">
        <f>Q13/R13*1000</f>
        <v>334.4541139240506</v>
      </c>
    </row>
    <row r="14" spans="1:31">
      <c r="A14" t="s">
        <v>1972</v>
      </c>
      <c r="B14">
        <v>17050</v>
      </c>
      <c r="C14">
        <v>102625</v>
      </c>
      <c r="D14">
        <f t="shared" si="1"/>
        <v>166.13885505481122</v>
      </c>
      <c r="E14">
        <v>8826</v>
      </c>
      <c r="F14">
        <v>20363</v>
      </c>
      <c r="G14">
        <f>E14/F14*1000</f>
        <v>433.43318764425675</v>
      </c>
      <c r="H14">
        <v>14551</v>
      </c>
      <c r="I14">
        <v>24369</v>
      </c>
      <c r="J14">
        <f>H14/I14*1000</f>
        <v>597.11108375394974</v>
      </c>
      <c r="K14">
        <v>1182</v>
      </c>
      <c r="L14">
        <v>4920</v>
      </c>
      <c r="M14">
        <f t="shared" si="0"/>
        <v>240.2439024390244</v>
      </c>
      <c r="Q14">
        <v>1579</v>
      </c>
      <c r="R14">
        <v>7596</v>
      </c>
      <c r="S14" s="88">
        <f>Q14/R14*1000</f>
        <v>207.87256450763562</v>
      </c>
    </row>
    <row r="15" spans="1:31" ht="14.25" thickBot="1">
      <c r="A15" s="89" t="s">
        <v>2474</v>
      </c>
      <c r="B15" s="90">
        <v>11047</v>
      </c>
      <c r="C15" s="90">
        <v>72448</v>
      </c>
      <c r="D15" s="90">
        <f>(B15/C15)*1000</f>
        <v>152.4817800353357</v>
      </c>
      <c r="E15" s="90">
        <v>1430</v>
      </c>
      <c r="F15" s="90">
        <v>6571</v>
      </c>
      <c r="G15" s="90">
        <f>(E15/F15)*1000</f>
        <v>217.62288844924669</v>
      </c>
      <c r="H15" s="90">
        <v>6053</v>
      </c>
      <c r="I15" s="90">
        <v>22049</v>
      </c>
      <c r="J15" s="90">
        <f>(H15/I15)*1000</f>
        <v>274.52492176515943</v>
      </c>
      <c r="K15" s="90">
        <v>1179</v>
      </c>
      <c r="L15" s="90">
        <v>7416</v>
      </c>
      <c r="M15" s="90">
        <f>(K15/L15)*1000</f>
        <v>158.98058252427185</v>
      </c>
    </row>
    <row r="16" spans="1:31">
      <c r="A16" s="91" t="s">
        <v>1808</v>
      </c>
      <c r="B16" s="92">
        <f t="shared" ref="B16:AE16" si="2">SUM(B17:B47)</f>
        <v>78777.579639999996</v>
      </c>
      <c r="C16" s="92">
        <f t="shared" si="2"/>
        <v>663006.35700000008</v>
      </c>
      <c r="D16" s="92">
        <f t="shared" si="2"/>
        <v>4336.5909661060514</v>
      </c>
      <c r="E16" s="92">
        <f t="shared" si="2"/>
        <v>23179</v>
      </c>
      <c r="F16" s="92">
        <f t="shared" si="2"/>
        <v>77430.600000000006</v>
      </c>
      <c r="G16" s="92">
        <f t="shared" si="2"/>
        <v>6893.3749627169846</v>
      </c>
      <c r="H16" s="92">
        <f t="shared" si="2"/>
        <v>212280.9</v>
      </c>
      <c r="I16" s="92">
        <f t="shared" si="2"/>
        <v>139878.1</v>
      </c>
      <c r="J16" s="92">
        <f t="shared" si="2"/>
        <v>7489.5100526668557</v>
      </c>
      <c r="K16" s="92">
        <f t="shared" si="2"/>
        <v>15190.451139999999</v>
      </c>
      <c r="L16" s="92">
        <f t="shared" si="2"/>
        <v>28902.087000000003</v>
      </c>
      <c r="M16" s="92">
        <f t="shared" si="2"/>
        <v>7585.9743185625684</v>
      </c>
      <c r="N16" s="92">
        <f t="shared" si="2"/>
        <v>22</v>
      </c>
      <c r="O16" s="92">
        <f t="shared" si="2"/>
        <v>59</v>
      </c>
      <c r="P16" s="92">
        <f t="shared" si="2"/>
        <v>713.33333333333326</v>
      </c>
      <c r="Q16" s="92">
        <f t="shared" si="2"/>
        <v>15746.498299999999</v>
      </c>
      <c r="R16" s="92">
        <f t="shared" si="2"/>
        <v>84131.058999999994</v>
      </c>
      <c r="S16" s="92">
        <f t="shared" si="2"/>
        <v>1430.8199988606541</v>
      </c>
      <c r="T16" s="92">
        <f t="shared" si="2"/>
        <v>133322.96908000001</v>
      </c>
      <c r="U16" s="92">
        <f t="shared" si="2"/>
        <v>58370.478999999999</v>
      </c>
      <c r="V16" s="92">
        <f t="shared" si="2"/>
        <v>2531.8345526130129</v>
      </c>
      <c r="W16" s="92">
        <f t="shared" si="2"/>
        <v>416</v>
      </c>
      <c r="X16" s="92">
        <f t="shared" si="2"/>
        <v>2119</v>
      </c>
      <c r="Y16" s="92">
        <f t="shared" si="2"/>
        <v>196.1</v>
      </c>
      <c r="Z16" s="92">
        <f t="shared" si="2"/>
        <v>13516</v>
      </c>
      <c r="AA16" s="92">
        <f t="shared" si="2"/>
        <v>193</v>
      </c>
      <c r="AB16" s="92">
        <f t="shared" si="2"/>
        <v>70.031088082901547</v>
      </c>
      <c r="AC16" s="92">
        <f t="shared" si="2"/>
        <v>148</v>
      </c>
      <c r="AD16" s="92">
        <f t="shared" si="2"/>
        <v>2</v>
      </c>
      <c r="AE16" s="92">
        <f t="shared" si="2"/>
        <v>74</v>
      </c>
    </row>
    <row r="17" spans="1:31">
      <c r="A17" s="86" t="s">
        <v>1809</v>
      </c>
      <c r="B17" s="58">
        <v>8643</v>
      </c>
      <c r="C17" s="58">
        <v>76952</v>
      </c>
      <c r="D17" s="58">
        <v>112.32</v>
      </c>
      <c r="E17" s="58">
        <v>2367</v>
      </c>
      <c r="F17" s="58">
        <v>10013</v>
      </c>
      <c r="G17" s="58">
        <v>236.4</v>
      </c>
      <c r="H17" s="58">
        <v>6418</v>
      </c>
      <c r="I17" s="58">
        <v>19268</v>
      </c>
      <c r="J17" s="58">
        <v>333.09</v>
      </c>
      <c r="K17" s="58">
        <v>1165</v>
      </c>
      <c r="L17" s="58">
        <v>3751</v>
      </c>
      <c r="M17" s="58">
        <v>310.64999999999998</v>
      </c>
      <c r="N17" s="58"/>
      <c r="O17" s="58"/>
      <c r="P17" s="58"/>
      <c r="Q17" s="58"/>
      <c r="R17" s="58"/>
      <c r="S17" s="58"/>
      <c r="T17" s="58"/>
      <c r="U17" s="58"/>
      <c r="V17" s="58"/>
      <c r="W17" s="55"/>
      <c r="X17" s="55"/>
      <c r="Y17" s="55"/>
      <c r="Z17" s="55"/>
      <c r="AA17" s="55"/>
      <c r="AB17" s="55"/>
      <c r="AC17" s="55"/>
      <c r="AD17" s="55"/>
      <c r="AE17" s="55"/>
    </row>
    <row r="18" spans="1:31">
      <c r="A18" s="86" t="s">
        <v>1810</v>
      </c>
      <c r="B18" s="58">
        <v>7247</v>
      </c>
      <c r="C18" s="58">
        <v>68694</v>
      </c>
      <c r="D18" s="58">
        <v>105.5</v>
      </c>
      <c r="E18" s="58">
        <v>4554</v>
      </c>
      <c r="F18" s="58">
        <v>11028</v>
      </c>
      <c r="G18" s="58">
        <v>413</v>
      </c>
      <c r="H18" s="58">
        <v>6840</v>
      </c>
      <c r="I18" s="58">
        <v>16119</v>
      </c>
      <c r="J18" s="58">
        <v>424.4</v>
      </c>
      <c r="K18" s="58">
        <v>731</v>
      </c>
      <c r="L18" s="58">
        <v>4717</v>
      </c>
      <c r="M18" s="58">
        <v>155</v>
      </c>
      <c r="N18" s="93"/>
      <c r="O18" s="93"/>
      <c r="P18" s="93"/>
      <c r="Q18" s="93"/>
      <c r="R18" s="93"/>
      <c r="S18" s="93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</row>
    <row r="19" spans="1:31">
      <c r="A19" s="95" t="s">
        <v>1593</v>
      </c>
      <c r="B19" s="55">
        <v>5513</v>
      </c>
      <c r="C19" s="55">
        <v>56039</v>
      </c>
      <c r="D19" s="55">
        <v>98.4</v>
      </c>
      <c r="E19" s="55">
        <v>890</v>
      </c>
      <c r="F19" s="55">
        <v>3847</v>
      </c>
      <c r="G19" s="55">
        <v>231.3</v>
      </c>
      <c r="H19" s="55">
        <v>3820</v>
      </c>
      <c r="I19" s="55">
        <v>16572</v>
      </c>
      <c r="J19" s="55">
        <v>230.5</v>
      </c>
      <c r="K19" s="55">
        <v>673</v>
      </c>
      <c r="L19" s="55">
        <v>3197</v>
      </c>
      <c r="M19" s="55">
        <v>210.5</v>
      </c>
      <c r="N19" s="93"/>
      <c r="O19" s="93"/>
      <c r="P19" s="93"/>
      <c r="Q19" s="93"/>
      <c r="R19" s="93"/>
      <c r="S19" s="93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</row>
    <row r="20" spans="1:31">
      <c r="A20" s="86" t="s">
        <v>1812</v>
      </c>
      <c r="B20" s="58">
        <v>7654</v>
      </c>
      <c r="C20" s="58">
        <v>59368</v>
      </c>
      <c r="D20" s="58">
        <v>128.93</v>
      </c>
      <c r="E20" s="58" t="s">
        <v>1588</v>
      </c>
      <c r="F20" s="58" t="s">
        <v>1588</v>
      </c>
      <c r="G20" s="58" t="s">
        <v>1588</v>
      </c>
      <c r="H20" s="58" t="s">
        <v>1588</v>
      </c>
      <c r="I20" s="58" t="s">
        <v>1588</v>
      </c>
      <c r="J20" s="58" t="s">
        <v>1588</v>
      </c>
      <c r="K20" s="58">
        <v>937</v>
      </c>
      <c r="L20" s="58">
        <v>2715</v>
      </c>
      <c r="M20" s="58">
        <v>345.25</v>
      </c>
      <c r="N20" s="93" t="s">
        <v>1588</v>
      </c>
      <c r="O20" s="93" t="s">
        <v>1588</v>
      </c>
      <c r="P20" s="93" t="s">
        <v>1588</v>
      </c>
      <c r="Q20" s="58">
        <v>1739</v>
      </c>
      <c r="R20" s="58">
        <v>8426</v>
      </c>
      <c r="S20" s="58">
        <v>206</v>
      </c>
      <c r="T20" s="58">
        <v>10199</v>
      </c>
      <c r="U20" s="58">
        <v>18612</v>
      </c>
      <c r="V20" s="58">
        <v>547.99</v>
      </c>
      <c r="W20" s="94"/>
      <c r="X20" s="94"/>
      <c r="Y20" s="94"/>
      <c r="Z20" s="94"/>
      <c r="AA20" s="94"/>
      <c r="AB20" s="94"/>
      <c r="AC20" s="94"/>
      <c r="AD20" s="94"/>
      <c r="AE20" s="94"/>
    </row>
    <row r="21" spans="1:31">
      <c r="A21" s="96" t="s">
        <v>1813</v>
      </c>
      <c r="B21" s="56">
        <v>6965</v>
      </c>
      <c r="C21" s="56">
        <v>43750</v>
      </c>
      <c r="D21" s="56">
        <v>365</v>
      </c>
      <c r="E21" s="56">
        <v>1740</v>
      </c>
      <c r="F21" s="56">
        <v>4925</v>
      </c>
      <c r="G21" s="56">
        <v>470</v>
      </c>
      <c r="H21" s="56">
        <v>4549</v>
      </c>
      <c r="I21" s="56">
        <v>12066</v>
      </c>
      <c r="J21" s="56">
        <v>510</v>
      </c>
      <c r="K21" s="56">
        <v>433</v>
      </c>
      <c r="L21" s="56">
        <v>1623</v>
      </c>
      <c r="M21" s="56">
        <v>335</v>
      </c>
      <c r="N21" s="97"/>
      <c r="O21" s="97"/>
      <c r="P21" s="97"/>
      <c r="Q21" s="56">
        <v>861</v>
      </c>
      <c r="R21" s="56">
        <v>4083</v>
      </c>
      <c r="S21" s="56">
        <v>255</v>
      </c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</row>
    <row r="22" spans="1:31">
      <c r="A22" s="98" t="s">
        <v>1814</v>
      </c>
      <c r="B22" s="99">
        <v>5089</v>
      </c>
      <c r="C22" s="99">
        <v>52872</v>
      </c>
      <c r="D22" s="99">
        <v>96.2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>
        <v>11695</v>
      </c>
      <c r="R22" s="99">
        <v>61577</v>
      </c>
      <c r="S22" s="99">
        <v>189.9</v>
      </c>
      <c r="T22" s="99">
        <v>3612</v>
      </c>
      <c r="U22" s="99">
        <v>15022</v>
      </c>
      <c r="V22" s="99">
        <v>240.4</v>
      </c>
      <c r="W22" s="99">
        <v>416</v>
      </c>
      <c r="X22" s="99">
        <v>2119</v>
      </c>
      <c r="Y22" s="99">
        <v>196.1</v>
      </c>
      <c r="Z22" s="99"/>
      <c r="AA22" s="99"/>
      <c r="AB22" s="99"/>
      <c r="AC22" s="99"/>
      <c r="AD22" s="99"/>
      <c r="AE22" s="99"/>
    </row>
    <row r="23" spans="1:31">
      <c r="A23" s="86" t="s">
        <v>1815</v>
      </c>
      <c r="B23" s="58">
        <v>3657</v>
      </c>
      <c r="C23" s="58">
        <v>48525</v>
      </c>
      <c r="D23" s="58">
        <v>75.36</v>
      </c>
      <c r="E23" s="58">
        <v>1181</v>
      </c>
      <c r="F23" s="58">
        <v>5598</v>
      </c>
      <c r="G23" s="58">
        <v>210.96</v>
      </c>
      <c r="H23" s="58">
        <v>4362</v>
      </c>
      <c r="I23" s="58">
        <v>12338</v>
      </c>
      <c r="J23" s="58">
        <v>353.51</v>
      </c>
      <c r="K23" s="58">
        <v>156</v>
      </c>
      <c r="L23" s="58">
        <v>1384</v>
      </c>
      <c r="M23" s="58">
        <v>112.52</v>
      </c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>
      <c r="A24" s="86" t="s">
        <v>1817</v>
      </c>
      <c r="B24" s="58">
        <v>6988</v>
      </c>
      <c r="C24" s="58">
        <v>28117</v>
      </c>
      <c r="D24" s="58">
        <v>248.5</v>
      </c>
      <c r="E24" s="58">
        <v>49</v>
      </c>
      <c r="F24" s="58">
        <v>182</v>
      </c>
      <c r="G24" s="58">
        <v>269.2</v>
      </c>
      <c r="H24" s="58">
        <v>4714</v>
      </c>
      <c r="I24" s="58">
        <v>8593</v>
      </c>
      <c r="J24" s="58">
        <v>548.6</v>
      </c>
      <c r="K24" s="58">
        <v>631</v>
      </c>
      <c r="L24" s="58">
        <v>1296</v>
      </c>
      <c r="M24" s="58">
        <v>486.9</v>
      </c>
      <c r="N24" s="58"/>
      <c r="O24" s="58"/>
      <c r="P24" s="58"/>
      <c r="Q24" s="58"/>
      <c r="R24" s="58"/>
      <c r="S24" s="58"/>
      <c r="T24" s="58"/>
      <c r="U24" s="58"/>
      <c r="V24" s="58"/>
      <c r="W24" s="55"/>
      <c r="X24" s="55"/>
      <c r="Y24" s="55"/>
      <c r="Z24" s="55"/>
      <c r="AA24" s="55"/>
      <c r="AB24" s="55"/>
      <c r="AC24" s="55"/>
      <c r="AD24" s="55"/>
      <c r="AE24" s="55"/>
    </row>
    <row r="25" spans="1:31">
      <c r="A25" s="86" t="s">
        <v>1818</v>
      </c>
      <c r="B25" s="58">
        <v>1413</v>
      </c>
      <c r="C25" s="58">
        <v>22363</v>
      </c>
      <c r="D25" s="58">
        <v>63.18</v>
      </c>
      <c r="E25" s="58">
        <v>771</v>
      </c>
      <c r="F25" s="58">
        <v>6067</v>
      </c>
      <c r="G25" s="58">
        <v>127.1</v>
      </c>
      <c r="H25" s="58">
        <v>103</v>
      </c>
      <c r="I25" s="58">
        <v>996</v>
      </c>
      <c r="J25" s="58">
        <v>103.4</v>
      </c>
      <c r="K25" s="58">
        <v>16</v>
      </c>
      <c r="L25" s="58">
        <v>167</v>
      </c>
      <c r="M25" s="58">
        <v>98.4</v>
      </c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</row>
    <row r="26" spans="1:31">
      <c r="A26" s="86" t="s">
        <v>1819</v>
      </c>
      <c r="B26" s="58">
        <v>1115</v>
      </c>
      <c r="C26" s="58">
        <v>17270</v>
      </c>
      <c r="D26" s="58">
        <f>((B26*1000000)/(C26*1000))</f>
        <v>64.562825709322524</v>
      </c>
      <c r="E26" s="58">
        <v>1548</v>
      </c>
      <c r="F26" s="58">
        <v>3043</v>
      </c>
      <c r="G26" s="58">
        <f>((E26*1000000)/(F26*1000))</f>
        <v>508.70851133749591</v>
      </c>
      <c r="H26" s="58">
        <v>1201</v>
      </c>
      <c r="I26" s="58">
        <v>6629</v>
      </c>
      <c r="J26" s="58">
        <f>((H26*1000000)/(I26*1000))</f>
        <v>181.17363101523608</v>
      </c>
      <c r="K26" s="58">
        <v>128</v>
      </c>
      <c r="L26" s="58">
        <v>665</v>
      </c>
      <c r="M26" s="58">
        <f>((K26*1000000)/(L26*1000))</f>
        <v>192.48120300751879</v>
      </c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</row>
    <row r="27" spans="1:31">
      <c r="A27" s="86" t="s">
        <v>1822</v>
      </c>
      <c r="B27" s="58">
        <v>2657.7649999999999</v>
      </c>
      <c r="C27" s="58">
        <v>23111</v>
      </c>
      <c r="D27" s="58">
        <v>115</v>
      </c>
      <c r="E27" s="58"/>
      <c r="F27" s="58"/>
      <c r="G27" s="58"/>
      <c r="H27" s="58"/>
      <c r="I27" s="58"/>
      <c r="J27" s="58"/>
      <c r="K27" s="58">
        <v>192.45599999999999</v>
      </c>
      <c r="L27" s="58">
        <v>810</v>
      </c>
      <c r="M27" s="58">
        <v>237.6</v>
      </c>
      <c r="N27" s="55"/>
      <c r="O27" s="55"/>
      <c r="P27" s="55"/>
      <c r="Q27" s="55"/>
      <c r="R27" s="55"/>
      <c r="S27" s="55"/>
      <c r="T27" s="55">
        <v>2879.2060999999999</v>
      </c>
      <c r="U27" s="55">
        <v>6893</v>
      </c>
      <c r="V27" s="55">
        <v>417.7</v>
      </c>
      <c r="W27" s="55"/>
      <c r="X27" s="55"/>
      <c r="Y27" s="55"/>
      <c r="Z27" s="55"/>
      <c r="AA27" s="55"/>
      <c r="AB27" s="55"/>
      <c r="AC27" s="55"/>
      <c r="AD27" s="55"/>
      <c r="AE27" s="55"/>
    </row>
    <row r="28" spans="1:31">
      <c r="A28" s="86" t="s">
        <v>2475</v>
      </c>
      <c r="B28" s="58">
        <v>2790</v>
      </c>
      <c r="C28" s="58">
        <v>26568</v>
      </c>
      <c r="D28" s="58">
        <v>105.01355013550136</v>
      </c>
      <c r="E28" s="58">
        <v>1543</v>
      </c>
      <c r="F28" s="58">
        <v>8944</v>
      </c>
      <c r="G28" s="58">
        <v>172.51788908765653</v>
      </c>
      <c r="H28" s="58">
        <v>3138</v>
      </c>
      <c r="I28" s="58">
        <v>22166</v>
      </c>
      <c r="J28" s="58">
        <v>141.56816746368312</v>
      </c>
      <c r="K28" s="58">
        <v>170</v>
      </c>
      <c r="L28" s="58">
        <v>1001</v>
      </c>
      <c r="M28" s="58">
        <v>169.83016983016984</v>
      </c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>
      <c r="A29" s="86" t="s">
        <v>1824</v>
      </c>
      <c r="B29" s="58">
        <v>3374</v>
      </c>
      <c r="C29" s="58">
        <v>19765</v>
      </c>
      <c r="D29" s="58">
        <v>170.7</v>
      </c>
      <c r="E29" s="58">
        <v>1989</v>
      </c>
      <c r="F29" s="58">
        <v>4204</v>
      </c>
      <c r="G29" s="58">
        <v>473.1</v>
      </c>
      <c r="H29" s="58">
        <v>286</v>
      </c>
      <c r="I29" s="58">
        <v>1049</v>
      </c>
      <c r="J29" s="58">
        <v>273.10000000000002</v>
      </c>
      <c r="K29" s="58">
        <v>448</v>
      </c>
      <c r="L29" s="58">
        <v>2887</v>
      </c>
      <c r="M29" s="58">
        <v>155.19999999999999</v>
      </c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1">
      <c r="A30" s="86" t="s">
        <v>1825</v>
      </c>
      <c r="B30" s="58">
        <f>1215.75768+36.85696</f>
        <v>1252.61464</v>
      </c>
      <c r="C30" s="58">
        <f>393.083+14711.474</f>
        <v>15104.557000000001</v>
      </c>
      <c r="D30" s="58">
        <f>B30/C30*1000</f>
        <v>82.92958476041369</v>
      </c>
      <c r="E30" s="58"/>
      <c r="F30" s="58"/>
      <c r="G30" s="58"/>
      <c r="H30" s="58"/>
      <c r="I30" s="58"/>
      <c r="J30" s="58"/>
      <c r="K30" s="58">
        <f>54.71618+51.07224</f>
        <v>105.78842</v>
      </c>
      <c r="L30" s="58">
        <f>311.587+328.528</f>
        <v>640.11500000000001</v>
      </c>
      <c r="M30" s="58">
        <f>K30/L30*1000</f>
        <v>165.26471024737742</v>
      </c>
      <c r="N30" s="55"/>
      <c r="O30" s="55"/>
      <c r="P30" s="55"/>
      <c r="Q30" s="58">
        <f>542.08994+13.40836</f>
        <v>555.49829999999997</v>
      </c>
      <c r="R30" s="58">
        <f>4131.285+95.774</f>
        <v>4227.0590000000002</v>
      </c>
      <c r="S30" s="58">
        <f>Q30/R30*1000</f>
        <v>131.4148442214788</v>
      </c>
      <c r="T30" s="58">
        <f>208.84434+1298.11864</f>
        <v>1506.9629799999998</v>
      </c>
      <c r="U30" s="58">
        <f>1147.114+7119.465</f>
        <v>8266.5789999999997</v>
      </c>
      <c r="V30" s="58">
        <f>T30/U30*1000</f>
        <v>182.29584208897052</v>
      </c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>
      <c r="A31" s="86" t="s">
        <v>1826</v>
      </c>
      <c r="B31" s="58">
        <v>1156</v>
      </c>
      <c r="C31" s="58">
        <v>6424</v>
      </c>
      <c r="D31" s="58">
        <f>B31/C31*1000</f>
        <v>179.95018679950186</v>
      </c>
      <c r="E31" s="58">
        <v>278</v>
      </c>
      <c r="F31" s="58">
        <v>847</v>
      </c>
      <c r="G31" s="58">
        <f>E31/F31*1000</f>
        <v>328.21723730814637</v>
      </c>
      <c r="H31" s="58">
        <v>751</v>
      </c>
      <c r="I31" s="58">
        <v>1526</v>
      </c>
      <c r="J31" s="58">
        <f>H31/I31*1000</f>
        <v>492.13630406290957</v>
      </c>
      <c r="K31" s="58">
        <v>104</v>
      </c>
      <c r="L31" s="58">
        <v>327</v>
      </c>
      <c r="M31" s="58">
        <f>K31/L31*1000</f>
        <v>318.04281345565749</v>
      </c>
      <c r="N31" s="55"/>
      <c r="O31" s="55"/>
      <c r="P31" s="55"/>
      <c r="Q31" s="58"/>
      <c r="R31" s="58"/>
      <c r="S31" s="58"/>
      <c r="T31" s="58"/>
      <c r="U31" s="58"/>
      <c r="V31" s="58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>
      <c r="A32" s="86" t="s">
        <v>1829</v>
      </c>
      <c r="B32" s="58">
        <v>680</v>
      </c>
      <c r="C32" s="58">
        <v>6220</v>
      </c>
      <c r="D32" s="58">
        <v>109</v>
      </c>
      <c r="E32" s="58">
        <v>643</v>
      </c>
      <c r="F32" s="58">
        <v>2443</v>
      </c>
      <c r="G32" s="58">
        <v>263</v>
      </c>
      <c r="H32" s="58">
        <v>103</v>
      </c>
      <c r="I32" s="58">
        <v>587</v>
      </c>
      <c r="J32" s="58">
        <v>175</v>
      </c>
      <c r="K32" s="58">
        <v>7</v>
      </c>
      <c r="L32" s="58">
        <v>52</v>
      </c>
      <c r="M32" s="58">
        <v>134</v>
      </c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>
      <c r="A33" s="86" t="s">
        <v>1832</v>
      </c>
      <c r="B33" s="58">
        <v>775</v>
      </c>
      <c r="C33" s="58">
        <v>13782</v>
      </c>
      <c r="D33" s="58">
        <v>56.2</v>
      </c>
      <c r="E33" s="58">
        <v>134</v>
      </c>
      <c r="F33" s="58">
        <v>1199</v>
      </c>
      <c r="G33" s="58">
        <v>111.7</v>
      </c>
      <c r="H33" s="58">
        <v>752</v>
      </c>
      <c r="I33" s="58">
        <v>4145</v>
      </c>
      <c r="J33" s="58">
        <v>181.4</v>
      </c>
      <c r="K33" s="58">
        <v>48</v>
      </c>
      <c r="L33" s="58">
        <v>629</v>
      </c>
      <c r="M33" s="58">
        <v>76.3</v>
      </c>
      <c r="N33" s="55"/>
      <c r="O33" s="55"/>
      <c r="P33" s="55"/>
      <c r="Q33" s="55">
        <v>7</v>
      </c>
      <c r="R33" s="55">
        <v>78</v>
      </c>
      <c r="S33" s="55">
        <v>95</v>
      </c>
      <c r="T33" s="58"/>
      <c r="U33" s="58"/>
      <c r="V33" s="58"/>
      <c r="W33" s="55"/>
      <c r="X33" s="55"/>
      <c r="Y33" s="55"/>
      <c r="Z33" s="55"/>
      <c r="AA33" s="55"/>
      <c r="AB33" s="55"/>
      <c r="AC33" s="55"/>
      <c r="AD33" s="55"/>
      <c r="AE33" s="55"/>
    </row>
    <row r="34" spans="1:31">
      <c r="A34" s="86" t="s">
        <v>1833</v>
      </c>
      <c r="B34" s="58">
        <f>ROUND(1451194870/1000000,0)</f>
        <v>1451</v>
      </c>
      <c r="C34" s="58">
        <f>ROUND(8685054/1000,0)</f>
        <v>8685</v>
      </c>
      <c r="D34" s="58">
        <f>+B34/C34*1000</f>
        <v>167.06966033390904</v>
      </c>
      <c r="E34" s="58">
        <f>ROUND(1001310634/1000000,0)</f>
        <v>1001</v>
      </c>
      <c r="F34" s="58">
        <f>ROUND(2506207/1000,0)</f>
        <v>2506</v>
      </c>
      <c r="G34" s="58">
        <f>+E34/F34*1000</f>
        <v>399.44134078212289</v>
      </c>
      <c r="H34" s="58"/>
      <c r="I34" s="58"/>
      <c r="J34" s="58"/>
      <c r="K34" s="58">
        <f>87306720/1000000</f>
        <v>87.306719999999999</v>
      </c>
      <c r="L34" s="100">
        <f>239372/1000</f>
        <v>239.37200000000001</v>
      </c>
      <c r="M34" s="58">
        <f>+K34/L34*1000</f>
        <v>364.73238306903062</v>
      </c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</row>
    <row r="35" spans="1:31">
      <c r="A35" s="86" t="s">
        <v>1834</v>
      </c>
      <c r="B35" s="58">
        <v>1152.4000000000001</v>
      </c>
      <c r="C35" s="58">
        <v>4304.3</v>
      </c>
      <c r="D35" s="58">
        <v>267.7322677322677</v>
      </c>
      <c r="E35" s="58"/>
      <c r="F35" s="58"/>
      <c r="G35" s="58"/>
      <c r="H35" s="58"/>
      <c r="I35" s="58"/>
      <c r="J35" s="58"/>
      <c r="K35" s="58">
        <v>45.5</v>
      </c>
      <c r="L35" s="58">
        <v>111.4</v>
      </c>
      <c r="M35" s="58">
        <v>408.4380610412926</v>
      </c>
      <c r="N35" s="55"/>
      <c r="O35" s="55"/>
      <c r="P35" s="55"/>
      <c r="Q35" s="55"/>
      <c r="R35" s="55"/>
      <c r="S35" s="55"/>
      <c r="T35" s="58">
        <v>945.8</v>
      </c>
      <c r="U35" s="58">
        <v>1555.9</v>
      </c>
      <c r="V35" s="58">
        <v>607.8796837843048</v>
      </c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>
      <c r="A36" s="101" t="s">
        <v>1835</v>
      </c>
      <c r="B36" s="58">
        <v>1611</v>
      </c>
      <c r="C36" s="58">
        <v>13181</v>
      </c>
      <c r="D36" s="58">
        <f>(B36/C36)*1000</f>
        <v>122.22137925802291</v>
      </c>
      <c r="E36" s="58">
        <v>724</v>
      </c>
      <c r="F36" s="58">
        <v>1947</v>
      </c>
      <c r="G36" s="58">
        <f>(E36/F36)*1000</f>
        <v>371.85413456599895</v>
      </c>
      <c r="H36" s="58">
        <v>893</v>
      </c>
      <c r="I36" s="58">
        <v>2270</v>
      </c>
      <c r="J36" s="58">
        <f>(H36/I36)*1000</f>
        <v>393.39207048458155</v>
      </c>
      <c r="K36" s="58">
        <v>70</v>
      </c>
      <c r="L36" s="58">
        <v>389</v>
      </c>
      <c r="M36" s="58">
        <f>(K36/L36)*1000</f>
        <v>179.94858611825194</v>
      </c>
      <c r="N36" s="102">
        <v>3</v>
      </c>
      <c r="O36" s="102">
        <v>9</v>
      </c>
      <c r="P36" s="58">
        <f>(N36/O36)*1000</f>
        <v>333.33333333333331</v>
      </c>
      <c r="Q36" s="102">
        <v>178</v>
      </c>
      <c r="R36" s="102">
        <v>970</v>
      </c>
      <c r="S36" s="58">
        <f>(Q36/R36)*1000</f>
        <v>183.50515463917523</v>
      </c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</row>
    <row r="37" spans="1:31">
      <c r="A37" s="86" t="s">
        <v>1837</v>
      </c>
      <c r="B37" s="58">
        <v>685.8</v>
      </c>
      <c r="C37" s="58">
        <v>2948.5</v>
      </c>
      <c r="D37" s="58">
        <v>232.5</v>
      </c>
      <c r="E37" s="58"/>
      <c r="F37" s="58"/>
      <c r="G37" s="58"/>
      <c r="H37" s="58">
        <v>793.9</v>
      </c>
      <c r="I37" s="58">
        <v>1733.1</v>
      </c>
      <c r="J37" s="58">
        <v>458</v>
      </c>
      <c r="K37" s="58">
        <v>84.9</v>
      </c>
      <c r="L37" s="58">
        <v>178.2</v>
      </c>
      <c r="M37" s="58">
        <v>476.4</v>
      </c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</row>
    <row r="38" spans="1:31">
      <c r="A38" s="86" t="s">
        <v>1839</v>
      </c>
      <c r="B38" s="58">
        <v>437</v>
      </c>
      <c r="C38" s="58">
        <v>7737</v>
      </c>
      <c r="D38" s="58">
        <v>56.5</v>
      </c>
      <c r="E38" s="58">
        <v>4</v>
      </c>
      <c r="F38" s="58">
        <v>8.6</v>
      </c>
      <c r="G38" s="58">
        <v>460</v>
      </c>
      <c r="H38" s="58">
        <v>272</v>
      </c>
      <c r="I38" s="58">
        <v>2093</v>
      </c>
      <c r="J38" s="58">
        <v>130</v>
      </c>
      <c r="K38" s="58">
        <v>84.5</v>
      </c>
      <c r="L38" s="58">
        <v>338</v>
      </c>
      <c r="M38" s="58">
        <v>250</v>
      </c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>
      <c r="A39" s="86" t="s">
        <v>1840</v>
      </c>
      <c r="B39" s="58">
        <v>1617</v>
      </c>
      <c r="C39" s="58">
        <v>9446</v>
      </c>
      <c r="D39" s="58">
        <v>171</v>
      </c>
      <c r="E39" s="58">
        <v>814</v>
      </c>
      <c r="F39" s="58">
        <v>2072</v>
      </c>
      <c r="G39" s="58">
        <v>392</v>
      </c>
      <c r="H39" s="58">
        <v>868</v>
      </c>
      <c r="I39" s="58">
        <v>2186</v>
      </c>
      <c r="J39" s="58">
        <v>396</v>
      </c>
      <c r="K39" s="58">
        <v>100</v>
      </c>
      <c r="L39" s="58">
        <v>286</v>
      </c>
      <c r="M39" s="58">
        <v>350</v>
      </c>
      <c r="N39" s="58"/>
      <c r="O39" s="58"/>
      <c r="P39" s="58"/>
      <c r="Q39" s="58">
        <v>77</v>
      </c>
      <c r="R39" s="58">
        <v>338</v>
      </c>
      <c r="S39" s="58">
        <v>227</v>
      </c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</row>
    <row r="40" spans="1:31">
      <c r="A40" s="86" t="s">
        <v>1841</v>
      </c>
      <c r="B40" s="58">
        <v>1427</v>
      </c>
      <c r="C40" s="58">
        <v>7476</v>
      </c>
      <c r="D40" s="58">
        <f>B40/C40*1000</f>
        <v>190.87747458533974</v>
      </c>
      <c r="E40" s="58">
        <v>1373</v>
      </c>
      <c r="F40" s="58">
        <v>3327</v>
      </c>
      <c r="G40" s="58">
        <f>E40/F40*1000</f>
        <v>412.68409978960022</v>
      </c>
      <c r="H40" s="58">
        <v>1162</v>
      </c>
      <c r="I40" s="58">
        <v>4075</v>
      </c>
      <c r="J40" s="58">
        <f>H40/I40*1000</f>
        <v>285.15337423312883</v>
      </c>
      <c r="K40" s="58">
        <v>92</v>
      </c>
      <c r="L40" s="58">
        <v>268</v>
      </c>
      <c r="M40" s="58">
        <f>K40/L40*1000</f>
        <v>343.28358208955223</v>
      </c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>
      <c r="A41" s="86" t="s">
        <v>1842</v>
      </c>
      <c r="B41" s="58">
        <v>1454</v>
      </c>
      <c r="C41" s="58">
        <v>8860</v>
      </c>
      <c r="D41" s="58">
        <f>B41/C41*1000</f>
        <v>164.10835214446954</v>
      </c>
      <c r="E41" s="55"/>
      <c r="F41" s="55"/>
      <c r="G41" s="55"/>
      <c r="H41" s="58"/>
      <c r="I41" s="58"/>
      <c r="J41" s="58"/>
      <c r="K41" s="58">
        <v>116</v>
      </c>
      <c r="L41" s="58">
        <v>470</v>
      </c>
      <c r="M41" s="58">
        <f>K41/L41*1000</f>
        <v>246.80851063829786</v>
      </c>
      <c r="N41" s="55"/>
      <c r="O41" s="55"/>
      <c r="P41" s="55"/>
      <c r="Q41" s="55"/>
      <c r="R41" s="55"/>
      <c r="S41" s="55"/>
      <c r="T41" s="58">
        <v>2970</v>
      </c>
      <c r="U41" s="58">
        <v>6313</v>
      </c>
      <c r="V41" s="58">
        <f>T41/U41*1000</f>
        <v>470.45778552193883</v>
      </c>
      <c r="W41" s="55"/>
      <c r="X41" s="55"/>
      <c r="Y41" s="55"/>
      <c r="Z41" s="55"/>
      <c r="AA41" s="55"/>
      <c r="AB41" s="55"/>
      <c r="AC41" s="55"/>
      <c r="AD41" s="55"/>
      <c r="AE41" s="55"/>
    </row>
    <row r="42" spans="1:31">
      <c r="A42" s="86" t="s">
        <v>1843</v>
      </c>
      <c r="B42" s="58"/>
      <c r="C42" s="58"/>
      <c r="D42" s="58"/>
      <c r="E42" s="58"/>
      <c r="F42" s="58"/>
      <c r="G42" s="58"/>
      <c r="H42" s="104">
        <v>169634</v>
      </c>
      <c r="I42" s="104">
        <v>1138</v>
      </c>
      <c r="J42" s="104">
        <f>H42/I42</f>
        <v>149.06326889279438</v>
      </c>
      <c r="K42" s="104">
        <v>8370</v>
      </c>
      <c r="L42" s="104">
        <v>107</v>
      </c>
      <c r="M42" s="104">
        <f>K42/L42</f>
        <v>78.224299065420567</v>
      </c>
      <c r="N42" s="58"/>
      <c r="O42" s="58"/>
      <c r="P42" s="58"/>
      <c r="Q42" s="58"/>
      <c r="R42" s="58"/>
      <c r="S42" s="58"/>
      <c r="T42" s="104">
        <v>111210</v>
      </c>
      <c r="U42" s="104">
        <v>1708</v>
      </c>
      <c r="V42" s="104">
        <f>T42/U42</f>
        <v>65.111241217798593</v>
      </c>
      <c r="W42" s="58"/>
      <c r="X42" s="58"/>
      <c r="Y42" s="58"/>
      <c r="Z42" s="104">
        <v>13516</v>
      </c>
      <c r="AA42" s="104">
        <v>193</v>
      </c>
      <c r="AB42" s="104">
        <f>Z42/AA42</f>
        <v>70.031088082901547</v>
      </c>
      <c r="AC42" s="105">
        <v>148</v>
      </c>
      <c r="AD42" s="105">
        <v>2</v>
      </c>
      <c r="AE42" s="104">
        <f>AC42/AD42</f>
        <v>74</v>
      </c>
    </row>
    <row r="43" spans="1:31">
      <c r="A43" s="86" t="s">
        <v>1844</v>
      </c>
      <c r="B43" s="58">
        <v>207</v>
      </c>
      <c r="C43" s="58">
        <v>2169</v>
      </c>
      <c r="D43" s="58">
        <f>SUM(B43/C43*1000)</f>
        <v>95.435684647302892</v>
      </c>
      <c r="E43" s="58">
        <v>404</v>
      </c>
      <c r="F43" s="58">
        <v>1623</v>
      </c>
      <c r="G43" s="58">
        <f>SUM(E43/F43*1000)</f>
        <v>248.92174984596426</v>
      </c>
      <c r="H43" s="58">
        <v>43</v>
      </c>
      <c r="I43" s="58">
        <v>241</v>
      </c>
      <c r="J43" s="58">
        <f>SUM(H43/I43*1000)</f>
        <v>178.42323651452281</v>
      </c>
      <c r="K43" s="58"/>
      <c r="L43" s="58"/>
      <c r="M43" s="58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</row>
    <row r="44" spans="1:31">
      <c r="A44" s="86" t="s">
        <v>1975</v>
      </c>
      <c r="B44" s="58">
        <v>536</v>
      </c>
      <c r="C44" s="58">
        <v>5321</v>
      </c>
      <c r="D44" s="58">
        <v>101</v>
      </c>
      <c r="E44" s="58">
        <v>95</v>
      </c>
      <c r="F44" s="58">
        <v>686</v>
      </c>
      <c r="G44" s="58">
        <v>138</v>
      </c>
      <c r="H44" s="58">
        <v>351</v>
      </c>
      <c r="I44" s="58">
        <v>1234</v>
      </c>
      <c r="J44" s="58">
        <v>284</v>
      </c>
      <c r="K44" s="58">
        <v>31</v>
      </c>
      <c r="L44" s="58">
        <v>205</v>
      </c>
      <c r="M44" s="58">
        <v>151</v>
      </c>
      <c r="N44" s="55"/>
      <c r="O44" s="55"/>
      <c r="P44" s="55"/>
      <c r="Q44" s="55">
        <v>634</v>
      </c>
      <c r="R44" s="55">
        <v>4432</v>
      </c>
      <c r="S44" s="55">
        <v>143</v>
      </c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</row>
    <row r="45" spans="1:31">
      <c r="A45" s="86" t="s">
        <v>2246</v>
      </c>
      <c r="B45" s="58">
        <v>300</v>
      </c>
      <c r="C45" s="58">
        <v>4255</v>
      </c>
      <c r="D45" s="58">
        <v>70.5</v>
      </c>
      <c r="E45" s="58">
        <v>198</v>
      </c>
      <c r="F45" s="58">
        <v>903</v>
      </c>
      <c r="G45" s="58">
        <v>219.27</v>
      </c>
      <c r="H45" s="58">
        <v>235</v>
      </c>
      <c r="I45" s="58">
        <v>864</v>
      </c>
      <c r="J45" s="58">
        <v>272</v>
      </c>
      <c r="K45" s="58">
        <v>29</v>
      </c>
      <c r="L45" s="58">
        <v>194</v>
      </c>
      <c r="M45" s="58">
        <v>149.5</v>
      </c>
      <c r="N45" s="55">
        <v>19</v>
      </c>
      <c r="O45" s="55">
        <v>50</v>
      </c>
      <c r="P45" s="55">
        <v>380</v>
      </c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</row>
    <row r="46" spans="1:31">
      <c r="A46" s="86" t="s">
        <v>1847</v>
      </c>
      <c r="B46" s="58">
        <v>482</v>
      </c>
      <c r="C46" s="58">
        <v>2210</v>
      </c>
      <c r="D46" s="58">
        <v>220</v>
      </c>
      <c r="E46" s="58">
        <v>879</v>
      </c>
      <c r="F46" s="58">
        <v>2018</v>
      </c>
      <c r="G46" s="58">
        <v>436</v>
      </c>
      <c r="H46" s="58">
        <v>398</v>
      </c>
      <c r="I46" s="58">
        <v>986</v>
      </c>
      <c r="J46" s="58">
        <v>404</v>
      </c>
      <c r="K46" s="58">
        <v>55</v>
      </c>
      <c r="L46" s="58">
        <v>139</v>
      </c>
      <c r="M46" s="58">
        <v>395</v>
      </c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</row>
    <row r="47" spans="1:31" ht="14.25" thickBot="1">
      <c r="A47" s="106" t="s">
        <v>1848</v>
      </c>
      <c r="B47" s="59">
        <v>448</v>
      </c>
      <c r="C47" s="59">
        <v>1489</v>
      </c>
      <c r="D47" s="59">
        <f>ROUND(B47/C47*1000,1)</f>
        <v>300.89999999999998</v>
      </c>
      <c r="E47" s="59"/>
      <c r="F47" s="59"/>
      <c r="G47" s="59"/>
      <c r="H47" s="59">
        <v>594</v>
      </c>
      <c r="I47" s="59">
        <v>1004</v>
      </c>
      <c r="J47" s="59">
        <f>ROUND(H47/I47*1000,1)</f>
        <v>591.6</v>
      </c>
      <c r="K47" s="59">
        <v>80</v>
      </c>
      <c r="L47" s="59">
        <v>116</v>
      </c>
      <c r="M47" s="59">
        <f>ROUND(K47/L47*1000,1)</f>
        <v>689.7</v>
      </c>
      <c r="N47" s="59"/>
      <c r="O47" s="59"/>
      <c r="P47" s="59"/>
      <c r="Q47" s="59"/>
      <c r="R47" s="59"/>
      <c r="S47" s="59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</row>
    <row r="48" spans="1:31">
      <c r="A48" s="108" t="s">
        <v>2476</v>
      </c>
      <c r="B48" s="109">
        <f t="shared" ref="B48:R48" si="3">SUM(B49:B66)</f>
        <v>8472.9</v>
      </c>
      <c r="C48" s="109">
        <f t="shared" si="3"/>
        <v>64932</v>
      </c>
      <c r="D48" s="110">
        <f t="shared" ref="D48:D57" si="4">B48/C48*1000</f>
        <v>130.48881907226021</v>
      </c>
      <c r="E48" s="109">
        <f t="shared" si="3"/>
        <v>4252.1000000000004</v>
      </c>
      <c r="F48" s="109">
        <f t="shared" si="3"/>
        <v>13989.7</v>
      </c>
      <c r="G48" s="110">
        <f t="shared" ref="G48:G57" si="5">E48/F48*1000</f>
        <v>303.94504528331561</v>
      </c>
      <c r="H48" s="109">
        <f t="shared" si="3"/>
        <v>3970.4</v>
      </c>
      <c r="I48" s="109">
        <f t="shared" si="3"/>
        <v>13822.7</v>
      </c>
      <c r="J48" s="110">
        <f>H48/I48*1000</f>
        <v>287.23765979150238</v>
      </c>
      <c r="K48" s="109">
        <f t="shared" si="3"/>
        <v>710.2</v>
      </c>
      <c r="L48" s="109">
        <f t="shared" si="3"/>
        <v>2776.7000000000003</v>
      </c>
      <c r="M48" s="110">
        <f t="shared" ref="M48:M57" si="6">K48/L48*1000</f>
        <v>255.77123924082545</v>
      </c>
      <c r="N48" s="109">
        <f t="shared" si="3"/>
        <v>187.5</v>
      </c>
      <c r="O48" s="109">
        <f t="shared" si="3"/>
        <v>901.9</v>
      </c>
      <c r="P48" s="110">
        <f>N48/O48*1000</f>
        <v>207.89444506042798</v>
      </c>
      <c r="Q48" s="109">
        <f t="shared" si="3"/>
        <v>212</v>
      </c>
      <c r="R48" s="109">
        <f t="shared" si="3"/>
        <v>1207</v>
      </c>
      <c r="S48" s="111">
        <f>Q48/R48*1000</f>
        <v>175.6420878210439</v>
      </c>
    </row>
    <row r="49" spans="1:19">
      <c r="A49" s="112" t="s">
        <v>2477</v>
      </c>
      <c r="B49" s="113">
        <v>1981</v>
      </c>
      <c r="C49" s="113">
        <v>16953</v>
      </c>
      <c r="D49" s="114">
        <f t="shared" si="4"/>
        <v>116.85247448829115</v>
      </c>
      <c r="E49" s="113">
        <v>813</v>
      </c>
      <c r="F49" s="113">
        <v>2529</v>
      </c>
      <c r="G49" s="110">
        <f t="shared" si="5"/>
        <v>321.47093712930013</v>
      </c>
      <c r="H49" s="113">
        <v>1246</v>
      </c>
      <c r="I49" s="113">
        <v>4060</v>
      </c>
      <c r="J49" s="114">
        <f>H49/I49*1000</f>
        <v>306.89655172413791</v>
      </c>
      <c r="K49" s="113">
        <v>57</v>
      </c>
      <c r="L49" s="113">
        <v>376</v>
      </c>
      <c r="M49" s="114">
        <f t="shared" si="6"/>
        <v>151.59574468085108</v>
      </c>
      <c r="N49" s="113">
        <v>140</v>
      </c>
      <c r="O49" s="113">
        <v>813</v>
      </c>
      <c r="P49" s="114">
        <f>N49/O49*1000</f>
        <v>172.20172201722016</v>
      </c>
      <c r="Q49" s="113"/>
      <c r="R49" s="113"/>
      <c r="S49" s="115"/>
    </row>
    <row r="50" spans="1:19">
      <c r="A50" s="112" t="s">
        <v>2478</v>
      </c>
      <c r="B50" s="116">
        <v>1999</v>
      </c>
      <c r="C50" s="116">
        <v>16236</v>
      </c>
      <c r="D50" s="114">
        <f t="shared" si="4"/>
        <v>123.12145848731215</v>
      </c>
      <c r="E50" s="113">
        <v>690</v>
      </c>
      <c r="F50" s="113">
        <v>2715</v>
      </c>
      <c r="G50" s="110">
        <f t="shared" si="5"/>
        <v>254.1436464088398</v>
      </c>
      <c r="H50" s="113">
        <v>997</v>
      </c>
      <c r="I50" s="113">
        <v>3533</v>
      </c>
      <c r="J50" s="114">
        <f>H50/I50*1000</f>
        <v>282.19643362581377</v>
      </c>
      <c r="K50" s="113">
        <v>59</v>
      </c>
      <c r="L50" s="113">
        <v>275</v>
      </c>
      <c r="M50" s="114">
        <f t="shared" si="6"/>
        <v>214.54545454545453</v>
      </c>
      <c r="N50" s="113"/>
      <c r="O50" s="113"/>
      <c r="P50" s="114"/>
      <c r="Q50" s="113">
        <v>76</v>
      </c>
      <c r="R50" s="113">
        <v>513</v>
      </c>
      <c r="S50" s="115">
        <f>Q50/R50*1000</f>
        <v>148.14814814814815</v>
      </c>
    </row>
    <row r="51" spans="1:19">
      <c r="A51" s="112" t="s">
        <v>2479</v>
      </c>
      <c r="B51" s="117">
        <v>1640</v>
      </c>
      <c r="C51" s="117">
        <v>11381</v>
      </c>
      <c r="D51" s="118">
        <f t="shared" si="4"/>
        <v>144.09981548194358</v>
      </c>
      <c r="E51" s="117">
        <v>1939</v>
      </c>
      <c r="F51" s="117">
        <v>5506</v>
      </c>
      <c r="G51" s="110">
        <f t="shared" si="5"/>
        <v>352.16127860515797</v>
      </c>
      <c r="H51" s="117">
        <v>0</v>
      </c>
      <c r="I51" s="117">
        <v>0</v>
      </c>
      <c r="J51" s="119">
        <v>0</v>
      </c>
      <c r="K51" s="117">
        <v>351</v>
      </c>
      <c r="L51" s="117">
        <v>966</v>
      </c>
      <c r="M51" s="119">
        <f t="shared" si="6"/>
        <v>363.35403726708074</v>
      </c>
      <c r="N51" s="117">
        <v>0</v>
      </c>
      <c r="O51" s="117">
        <v>0</v>
      </c>
      <c r="P51" s="119">
        <v>0</v>
      </c>
      <c r="Q51" s="117">
        <v>88</v>
      </c>
      <c r="R51" s="117">
        <v>422</v>
      </c>
      <c r="S51" s="120">
        <f>Q51/R51*1000</f>
        <v>208.53080568720378</v>
      </c>
    </row>
    <row r="52" spans="1:19">
      <c r="A52" s="112" t="s">
        <v>62</v>
      </c>
      <c r="B52" s="113">
        <v>434</v>
      </c>
      <c r="C52" s="121">
        <v>5992</v>
      </c>
      <c r="D52" s="114">
        <f t="shared" si="4"/>
        <v>72.429906542056074</v>
      </c>
      <c r="E52" s="113">
        <v>298</v>
      </c>
      <c r="F52" s="121">
        <v>1156</v>
      </c>
      <c r="G52" s="110">
        <f t="shared" si="5"/>
        <v>257.78546712802768</v>
      </c>
      <c r="H52" s="121">
        <v>347</v>
      </c>
      <c r="I52" s="121">
        <v>1418</v>
      </c>
      <c r="J52" s="114">
        <f t="shared" ref="J52:J57" si="7">H52/I52*1000</f>
        <v>244.71086036671369</v>
      </c>
      <c r="K52" s="113">
        <v>8</v>
      </c>
      <c r="L52" s="113">
        <v>72</v>
      </c>
      <c r="M52" s="114">
        <f t="shared" si="6"/>
        <v>111.1111111111111</v>
      </c>
      <c r="N52" s="113">
        <v>0.1</v>
      </c>
      <c r="O52" s="113">
        <v>0.4</v>
      </c>
      <c r="P52" s="114">
        <f>N52/O52*1000</f>
        <v>250</v>
      </c>
      <c r="Q52" s="113">
        <v>6</v>
      </c>
      <c r="R52" s="113">
        <v>53</v>
      </c>
      <c r="S52" s="115">
        <f>Q52/R52*1000</f>
        <v>113.20754716981132</v>
      </c>
    </row>
    <row r="53" spans="1:19">
      <c r="A53" s="112" t="s">
        <v>0</v>
      </c>
      <c r="B53" s="113">
        <v>432</v>
      </c>
      <c r="C53" s="113">
        <v>2748</v>
      </c>
      <c r="D53" s="114">
        <f t="shared" si="4"/>
        <v>157.2052401746725</v>
      </c>
      <c r="E53" s="113">
        <v>128</v>
      </c>
      <c r="F53" s="113">
        <v>499</v>
      </c>
      <c r="G53" s="110">
        <f t="shared" si="5"/>
        <v>256.51302605210418</v>
      </c>
      <c r="H53" s="113">
        <v>252</v>
      </c>
      <c r="I53" s="113">
        <v>966</v>
      </c>
      <c r="J53" s="114">
        <f t="shared" si="7"/>
        <v>260.86956521739131</v>
      </c>
      <c r="K53" s="113">
        <v>90</v>
      </c>
      <c r="L53" s="113">
        <v>308</v>
      </c>
      <c r="M53" s="114">
        <f t="shared" si="6"/>
        <v>292.20779220779218</v>
      </c>
      <c r="N53" s="113"/>
      <c r="O53" s="113"/>
      <c r="P53" s="114"/>
      <c r="Q53" s="113">
        <v>40</v>
      </c>
      <c r="R53" s="113">
        <v>195</v>
      </c>
      <c r="S53" s="115">
        <f>Q53/R53*1000</f>
        <v>205.12820512820511</v>
      </c>
    </row>
    <row r="54" spans="1:19">
      <c r="A54" s="112" t="s">
        <v>1</v>
      </c>
      <c r="B54" s="122">
        <v>1465</v>
      </c>
      <c r="C54" s="122">
        <v>5698</v>
      </c>
      <c r="D54" s="114">
        <f t="shared" si="4"/>
        <v>257.10775710775715</v>
      </c>
      <c r="E54" s="113">
        <v>131</v>
      </c>
      <c r="F54" s="113">
        <v>438</v>
      </c>
      <c r="G54" s="110">
        <f t="shared" si="5"/>
        <v>299.08675799086757</v>
      </c>
      <c r="H54" s="113">
        <v>758</v>
      </c>
      <c r="I54" s="116">
        <v>2070</v>
      </c>
      <c r="J54" s="114">
        <f t="shared" si="7"/>
        <v>366.18357487922702</v>
      </c>
      <c r="K54" s="113">
        <v>78</v>
      </c>
      <c r="L54" s="113">
        <v>246</v>
      </c>
      <c r="M54" s="114">
        <f t="shared" si="6"/>
        <v>317.07317073170731</v>
      </c>
      <c r="N54" s="113"/>
      <c r="O54" s="113"/>
      <c r="P54" s="114"/>
      <c r="Q54" s="113"/>
      <c r="R54" s="113"/>
      <c r="S54" s="115"/>
    </row>
    <row r="55" spans="1:19">
      <c r="A55" s="123" t="s">
        <v>2</v>
      </c>
      <c r="B55" s="9">
        <v>180</v>
      </c>
      <c r="C55" s="9">
        <v>2933</v>
      </c>
      <c r="D55" s="114">
        <f t="shared" si="4"/>
        <v>61.370610296624619</v>
      </c>
      <c r="E55" s="9">
        <v>105</v>
      </c>
      <c r="F55" s="9">
        <v>595</v>
      </c>
      <c r="G55" s="110">
        <f t="shared" si="5"/>
        <v>176.47058823529412</v>
      </c>
      <c r="H55" s="9">
        <v>119</v>
      </c>
      <c r="I55" s="9">
        <v>680</v>
      </c>
      <c r="J55" s="124">
        <f t="shared" si="7"/>
        <v>175</v>
      </c>
      <c r="K55" s="9">
        <v>28</v>
      </c>
      <c r="L55" s="9">
        <v>353</v>
      </c>
      <c r="M55" s="124">
        <f t="shared" si="6"/>
        <v>79.320113314447596</v>
      </c>
      <c r="N55" s="9">
        <v>43</v>
      </c>
      <c r="O55" s="9">
        <v>83</v>
      </c>
      <c r="P55" s="124">
        <f>N55/O55*1000</f>
        <v>518.07228915662654</v>
      </c>
      <c r="Q55" s="9">
        <v>2</v>
      </c>
      <c r="R55" s="9">
        <v>24</v>
      </c>
      <c r="S55" s="125">
        <f>Q55/R55*1000</f>
        <v>83.333333333333329</v>
      </c>
    </row>
    <row r="56" spans="1:19">
      <c r="A56" s="126" t="s">
        <v>3</v>
      </c>
      <c r="B56" s="127">
        <v>178</v>
      </c>
      <c r="C56" s="127">
        <v>1618</v>
      </c>
      <c r="D56" s="114">
        <f t="shared" si="4"/>
        <v>110.0123609394314</v>
      </c>
      <c r="E56" s="127">
        <v>66</v>
      </c>
      <c r="F56" s="127">
        <v>295</v>
      </c>
      <c r="G56" s="110">
        <f t="shared" si="5"/>
        <v>223.72881355932202</v>
      </c>
      <c r="H56" s="127">
        <v>105</v>
      </c>
      <c r="I56" s="127">
        <v>459</v>
      </c>
      <c r="J56" s="124">
        <f t="shared" si="7"/>
        <v>228.75816993464051</v>
      </c>
      <c r="K56" s="127">
        <v>24</v>
      </c>
      <c r="L56" s="127">
        <v>100</v>
      </c>
      <c r="M56" s="124">
        <f t="shared" si="6"/>
        <v>240</v>
      </c>
      <c r="N56" s="127">
        <v>0</v>
      </c>
      <c r="O56" s="127">
        <v>0</v>
      </c>
      <c r="P56" s="124"/>
      <c r="Q56" s="127">
        <v>0</v>
      </c>
      <c r="R56" s="127">
        <v>0</v>
      </c>
      <c r="S56" s="125"/>
    </row>
    <row r="57" spans="1:19">
      <c r="A57" s="112" t="s">
        <v>63</v>
      </c>
      <c r="B57" s="128">
        <v>75.3</v>
      </c>
      <c r="C57" s="128">
        <v>947</v>
      </c>
      <c r="D57" s="114">
        <f t="shared" si="4"/>
        <v>79.514255543822586</v>
      </c>
      <c r="E57" s="128">
        <v>34</v>
      </c>
      <c r="F57" s="128">
        <v>47.7</v>
      </c>
      <c r="G57" s="110">
        <f t="shared" si="5"/>
        <v>712.78825995807131</v>
      </c>
      <c r="H57" s="128">
        <v>54.3</v>
      </c>
      <c r="I57" s="128">
        <v>311.7</v>
      </c>
      <c r="J57" s="114">
        <f t="shared" si="7"/>
        <v>174.20596727622714</v>
      </c>
      <c r="K57" s="128">
        <v>6.1</v>
      </c>
      <c r="L57" s="128">
        <v>58.9</v>
      </c>
      <c r="M57" s="114">
        <f t="shared" si="6"/>
        <v>103.56536502546689</v>
      </c>
      <c r="N57" s="128"/>
      <c r="O57" s="128"/>
      <c r="P57" s="128"/>
      <c r="Q57" s="113">
        <v>0</v>
      </c>
      <c r="R57" s="113">
        <v>0</v>
      </c>
      <c r="S57" s="115"/>
    </row>
    <row r="58" spans="1:19">
      <c r="A58" s="112" t="s">
        <v>4</v>
      </c>
      <c r="B58" s="129" t="s">
        <v>5</v>
      </c>
      <c r="C58" s="128"/>
      <c r="D58" s="113"/>
      <c r="E58" s="128"/>
      <c r="F58" s="128"/>
      <c r="G58" s="114"/>
      <c r="H58" s="128"/>
      <c r="I58" s="128"/>
      <c r="J58" s="114"/>
      <c r="K58" s="128"/>
      <c r="L58" s="128"/>
      <c r="M58" s="114"/>
      <c r="N58" s="128"/>
      <c r="O58" s="128"/>
      <c r="P58" s="128"/>
      <c r="Q58" s="113"/>
      <c r="R58" s="113"/>
      <c r="S58" s="115"/>
    </row>
    <row r="59" spans="1:19">
      <c r="A59" s="112" t="s">
        <v>6</v>
      </c>
      <c r="B59" s="129" t="s">
        <v>5</v>
      </c>
      <c r="C59" s="128"/>
      <c r="D59" s="113"/>
      <c r="E59" s="128"/>
      <c r="F59" s="128"/>
      <c r="G59" s="114"/>
      <c r="H59" s="128"/>
      <c r="I59" s="128"/>
      <c r="J59" s="114"/>
      <c r="K59" s="128"/>
      <c r="L59" s="128"/>
      <c r="M59" s="114"/>
      <c r="N59" s="128"/>
      <c r="O59" s="128"/>
      <c r="P59" s="128"/>
      <c r="Q59" s="113"/>
      <c r="R59" s="113"/>
      <c r="S59" s="115"/>
    </row>
    <row r="60" spans="1:19">
      <c r="A60" s="112" t="s">
        <v>7</v>
      </c>
      <c r="B60" s="113">
        <v>80.599999999999994</v>
      </c>
      <c r="C60" s="113">
        <v>358</v>
      </c>
      <c r="D60" s="114">
        <f>B60/C60*1000</f>
        <v>225.13966480446925</v>
      </c>
      <c r="E60" s="113">
        <v>20.100000000000001</v>
      </c>
      <c r="F60" s="113">
        <v>88</v>
      </c>
      <c r="G60" s="110">
        <f>E60/F60*1000</f>
        <v>228.40909090909093</v>
      </c>
      <c r="H60" s="113">
        <v>87.1</v>
      </c>
      <c r="I60" s="113">
        <v>300</v>
      </c>
      <c r="J60" s="114">
        <f>H60/I60*1000</f>
        <v>290.33333333333331</v>
      </c>
      <c r="K60" s="113">
        <v>9.1</v>
      </c>
      <c r="L60" s="113">
        <v>21.8</v>
      </c>
      <c r="M60" s="114">
        <f>K60/L60*1000</f>
        <v>417.43119266055044</v>
      </c>
      <c r="N60" s="113">
        <v>4.4000000000000004</v>
      </c>
      <c r="O60" s="113">
        <v>5.5</v>
      </c>
      <c r="P60" s="124">
        <f>N60/O60*1000</f>
        <v>800</v>
      </c>
      <c r="Q60" s="128"/>
      <c r="R60" s="128"/>
      <c r="S60" s="130"/>
    </row>
    <row r="61" spans="1:19">
      <c r="A61" s="112" t="s">
        <v>8</v>
      </c>
      <c r="B61" s="131" t="s">
        <v>5</v>
      </c>
      <c r="C61" s="113"/>
      <c r="D61" s="122"/>
      <c r="E61" s="113"/>
      <c r="F61" s="113"/>
      <c r="G61" s="114"/>
      <c r="H61" s="113"/>
      <c r="I61" s="113"/>
      <c r="J61" s="122"/>
      <c r="K61" s="113"/>
      <c r="L61" s="113"/>
      <c r="M61" s="122"/>
      <c r="N61" s="113"/>
      <c r="O61" s="113"/>
      <c r="P61" s="122"/>
      <c r="Q61" s="128"/>
      <c r="R61" s="128"/>
      <c r="S61" s="130"/>
    </row>
    <row r="62" spans="1:19">
      <c r="A62" s="112" t="s">
        <v>64</v>
      </c>
      <c r="B62" s="128">
        <v>8</v>
      </c>
      <c r="C62" s="128">
        <v>68</v>
      </c>
      <c r="D62" s="114">
        <f>B62/C62*1000</f>
        <v>117.64705882352941</v>
      </c>
      <c r="E62" s="128">
        <v>28</v>
      </c>
      <c r="F62" s="128">
        <v>121</v>
      </c>
      <c r="G62" s="110">
        <f>E62/F62*1000</f>
        <v>231.40495867768595</v>
      </c>
      <c r="H62" s="128">
        <v>5</v>
      </c>
      <c r="I62" s="128">
        <v>25</v>
      </c>
      <c r="J62" s="128">
        <v>200</v>
      </c>
      <c r="K62" s="128">
        <v>0</v>
      </c>
      <c r="L62" s="128">
        <v>0</v>
      </c>
      <c r="M62" s="128">
        <v>0</v>
      </c>
      <c r="N62" s="128">
        <v>0</v>
      </c>
      <c r="O62" s="128">
        <v>0</v>
      </c>
      <c r="P62" s="128" t="e">
        <v>#DIV/0!</v>
      </c>
      <c r="Q62" s="128">
        <v>0</v>
      </c>
      <c r="R62" s="128">
        <v>0</v>
      </c>
      <c r="S62" s="130"/>
    </row>
    <row r="63" spans="1:19">
      <c r="A63" s="112" t="s">
        <v>9</v>
      </c>
      <c r="B63" s="129" t="s">
        <v>1694</v>
      </c>
      <c r="C63" s="128"/>
      <c r="D63" s="128"/>
      <c r="E63" s="128"/>
      <c r="F63" s="128"/>
      <c r="G63" s="114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30"/>
    </row>
    <row r="64" spans="1:19">
      <c r="A64" s="112" t="s">
        <v>10</v>
      </c>
      <c r="B64" s="803" t="s">
        <v>1694</v>
      </c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3"/>
    </row>
    <row r="65" spans="1:28">
      <c r="A65" s="112" t="s">
        <v>11</v>
      </c>
      <c r="B65" s="129" t="s">
        <v>5</v>
      </c>
      <c r="C65" s="128"/>
      <c r="D65" s="128"/>
      <c r="E65" s="128"/>
      <c r="F65" s="128"/>
      <c r="G65" s="114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30"/>
    </row>
    <row r="66" spans="1:28" ht="14.25" thickBot="1">
      <c r="A66" s="134" t="s">
        <v>12</v>
      </c>
      <c r="B66" s="135" t="s">
        <v>5</v>
      </c>
      <c r="C66" s="136"/>
      <c r="D66" s="136"/>
      <c r="E66" s="136"/>
      <c r="F66" s="136"/>
      <c r="G66" s="137"/>
      <c r="H66" s="136"/>
      <c r="I66" s="136"/>
      <c r="J66" s="137"/>
      <c r="K66" s="136"/>
      <c r="L66" s="136"/>
      <c r="M66" s="136"/>
      <c r="N66" s="136"/>
      <c r="O66" s="136"/>
      <c r="P66" s="137"/>
      <c r="Q66" s="138"/>
      <c r="R66" s="138"/>
      <c r="S66" s="139"/>
    </row>
    <row r="67" spans="1:28">
      <c r="A67" s="140" t="s">
        <v>1977</v>
      </c>
      <c r="B67" s="141">
        <f>SUM(B68:B77)</f>
        <v>17212.807000000001</v>
      </c>
      <c r="C67" s="141">
        <f>SUM(C68:C77)</f>
        <v>69429.28899999999</v>
      </c>
      <c r="D67" s="141">
        <f t="shared" ref="D67:D77" si="8">B67/C67*1000</f>
        <v>247.91852614247571</v>
      </c>
      <c r="E67" s="141">
        <f>SUM(E68:E77)</f>
        <v>13182.496999999999</v>
      </c>
      <c r="F67" s="141">
        <f>SUM(F68:F77)</f>
        <v>19718.791000000001</v>
      </c>
      <c r="G67" s="141">
        <f t="shared" ref="G67:G77" si="9">E67/F67*1000</f>
        <v>668.52460680779063</v>
      </c>
      <c r="H67" s="141">
        <f>SUM(H68:H77)</f>
        <v>3414.886</v>
      </c>
      <c r="I67" s="141">
        <f>SUM(I68:I77)</f>
        <v>7576.22</v>
      </c>
      <c r="J67" s="141">
        <f t="shared" ref="J67:J77" si="10">H67/I67*1000</f>
        <v>450.73743898672427</v>
      </c>
      <c r="K67" s="141">
        <f>SUM(K68:K77)</f>
        <v>2893.8410000000003</v>
      </c>
      <c r="L67" s="141">
        <f>SUM(L68:L77)</f>
        <v>16541.165000000001</v>
      </c>
      <c r="M67" s="141">
        <f t="shared" ref="M67:M77" si="11">K67/L67*1000</f>
        <v>174.94783468999915</v>
      </c>
      <c r="N67" s="141">
        <f>SUM(N68:N77)</f>
        <v>162.899</v>
      </c>
      <c r="O67" s="141">
        <f>SUM(O68:O77)</f>
        <v>335.1</v>
      </c>
      <c r="P67" s="141">
        <f>N67/O67*1000</f>
        <v>486.12056102655919</v>
      </c>
      <c r="Q67" s="141">
        <f>SUM(Q68:Q77)</f>
        <v>400.8</v>
      </c>
      <c r="R67" s="141">
        <f>SUM(R68:R77)</f>
        <v>1869.3000000000002</v>
      </c>
      <c r="S67" s="142">
        <f>Q67/R67*1000</f>
        <v>214.41181190820092</v>
      </c>
    </row>
    <row r="68" spans="1:28">
      <c r="A68" s="143" t="s">
        <v>13</v>
      </c>
      <c r="B68" s="144">
        <v>12498</v>
      </c>
      <c r="C68" s="144">
        <v>43144</v>
      </c>
      <c r="D68" s="144">
        <f t="shared" si="8"/>
        <v>289.68106805117742</v>
      </c>
      <c r="E68" s="144">
        <v>11537</v>
      </c>
      <c r="F68" s="144">
        <v>14686</v>
      </c>
      <c r="G68" s="144">
        <f t="shared" si="9"/>
        <v>785.57810159335418</v>
      </c>
      <c r="H68" s="144">
        <v>975</v>
      </c>
      <c r="I68" s="144">
        <v>1333</v>
      </c>
      <c r="J68" s="144">
        <f t="shared" si="10"/>
        <v>731.43285821455356</v>
      </c>
      <c r="K68" s="144">
        <v>2414</v>
      </c>
      <c r="L68" s="144">
        <v>14701</v>
      </c>
      <c r="M68" s="144">
        <f t="shared" si="11"/>
        <v>164.20651656349906</v>
      </c>
      <c r="N68" s="144"/>
      <c r="O68" s="144"/>
      <c r="P68" s="144"/>
      <c r="Q68" s="144"/>
      <c r="R68" s="144"/>
      <c r="S68" s="145"/>
    </row>
    <row r="69" spans="1:28">
      <c r="A69" s="143" t="s">
        <v>14</v>
      </c>
      <c r="B69" s="144">
        <v>2091</v>
      </c>
      <c r="C69" s="144">
        <v>10096</v>
      </c>
      <c r="D69" s="144">
        <f t="shared" si="8"/>
        <v>207.11172741679874</v>
      </c>
      <c r="E69" s="144">
        <v>437</v>
      </c>
      <c r="F69" s="144">
        <v>1562</v>
      </c>
      <c r="G69" s="144">
        <f t="shared" si="9"/>
        <v>279.76952624839953</v>
      </c>
      <c r="H69" s="144">
        <v>1088</v>
      </c>
      <c r="I69" s="144">
        <v>2408</v>
      </c>
      <c r="J69" s="144">
        <f t="shared" si="10"/>
        <v>451.82724252491698</v>
      </c>
      <c r="K69" s="144">
        <v>188</v>
      </c>
      <c r="L69" s="144">
        <v>536</v>
      </c>
      <c r="M69" s="144">
        <f t="shared" si="11"/>
        <v>350.74626865671644</v>
      </c>
      <c r="N69" s="144">
        <v>148</v>
      </c>
      <c r="O69" s="144">
        <v>303</v>
      </c>
      <c r="P69" s="144">
        <f>N69/O69*1000</f>
        <v>488.44884488448849</v>
      </c>
      <c r="Q69" s="144">
        <v>200</v>
      </c>
      <c r="R69" s="144">
        <v>645</v>
      </c>
      <c r="S69" s="145">
        <f>Q69/R69*1000</f>
        <v>310.07751937984494</v>
      </c>
    </row>
    <row r="70" spans="1:28">
      <c r="A70" s="143" t="s">
        <v>15</v>
      </c>
      <c r="B70" s="144">
        <v>1401</v>
      </c>
      <c r="C70" s="144">
        <v>6961</v>
      </c>
      <c r="D70" s="144">
        <f t="shared" si="8"/>
        <v>201.26418618014651</v>
      </c>
      <c r="E70" s="144">
        <v>374</v>
      </c>
      <c r="F70" s="144">
        <v>917</v>
      </c>
      <c r="G70" s="144">
        <f t="shared" si="9"/>
        <v>407.85169029443841</v>
      </c>
      <c r="H70" s="144">
        <v>753</v>
      </c>
      <c r="I70" s="144">
        <v>1692</v>
      </c>
      <c r="J70" s="144">
        <f t="shared" si="10"/>
        <v>445.03546099290782</v>
      </c>
      <c r="K70" s="144">
        <v>152</v>
      </c>
      <c r="L70" s="144">
        <v>563</v>
      </c>
      <c r="M70" s="144">
        <f t="shared" si="11"/>
        <v>269.98223801065717</v>
      </c>
      <c r="N70" s="144">
        <v>14</v>
      </c>
      <c r="O70" s="144">
        <v>29</v>
      </c>
      <c r="P70" s="144">
        <f>N70/O70*1000</f>
        <v>482.75862068965517</v>
      </c>
      <c r="Q70" s="144">
        <v>28</v>
      </c>
      <c r="R70" s="144">
        <v>102</v>
      </c>
      <c r="S70" s="145">
        <f>Q70/R70*1000</f>
        <v>274.50980392156868</v>
      </c>
    </row>
    <row r="71" spans="1:28">
      <c r="A71" s="146" t="s">
        <v>16</v>
      </c>
      <c r="B71" s="144">
        <v>64</v>
      </c>
      <c r="C71" s="144">
        <v>904</v>
      </c>
      <c r="D71" s="144">
        <f t="shared" si="8"/>
        <v>70.796460176991147</v>
      </c>
      <c r="E71" s="144">
        <v>46</v>
      </c>
      <c r="F71" s="144">
        <v>283</v>
      </c>
      <c r="G71" s="144">
        <f t="shared" si="9"/>
        <v>162.54416961130741</v>
      </c>
      <c r="H71" s="144">
        <v>122</v>
      </c>
      <c r="I71" s="144">
        <v>470</v>
      </c>
      <c r="J71" s="144">
        <f t="shared" si="10"/>
        <v>259.57446808510639</v>
      </c>
      <c r="K71" s="144">
        <v>10</v>
      </c>
      <c r="L71" s="144">
        <v>142</v>
      </c>
      <c r="M71" s="144">
        <f t="shared" si="11"/>
        <v>70.422535211267615</v>
      </c>
      <c r="N71" s="147"/>
      <c r="O71" s="147"/>
      <c r="P71" s="147"/>
      <c r="Q71" s="147"/>
      <c r="R71" s="147"/>
      <c r="S71" s="148"/>
    </row>
    <row r="72" spans="1:28">
      <c r="A72" s="143" t="s">
        <v>17</v>
      </c>
      <c r="B72" s="144">
        <v>153.6</v>
      </c>
      <c r="C72" s="144">
        <v>1841</v>
      </c>
      <c r="D72" s="144">
        <f t="shared" si="8"/>
        <v>83.432916892992935</v>
      </c>
      <c r="E72" s="144">
        <v>72</v>
      </c>
      <c r="F72" s="144">
        <v>386</v>
      </c>
      <c r="G72" s="144">
        <f t="shared" si="9"/>
        <v>186.52849740932643</v>
      </c>
      <c r="H72" s="144">
        <v>135.5</v>
      </c>
      <c r="I72" s="144">
        <v>468</v>
      </c>
      <c r="J72" s="144">
        <f t="shared" si="10"/>
        <v>289.52991452991455</v>
      </c>
      <c r="K72" s="144">
        <v>3</v>
      </c>
      <c r="L72" s="144">
        <v>32</v>
      </c>
      <c r="M72" s="144">
        <f t="shared" si="11"/>
        <v>93.75</v>
      </c>
      <c r="N72" s="144"/>
      <c r="O72" s="144"/>
      <c r="P72" s="144"/>
      <c r="Q72" s="144">
        <v>59</v>
      </c>
      <c r="R72" s="144">
        <v>301</v>
      </c>
      <c r="S72" s="145">
        <f>Q72/R72*1000</f>
        <v>196.01328903654485</v>
      </c>
    </row>
    <row r="73" spans="1:28">
      <c r="A73" s="143" t="s">
        <v>18</v>
      </c>
      <c r="B73" s="144">
        <v>190</v>
      </c>
      <c r="C73" s="144">
        <f>10+1041</f>
        <v>1051</v>
      </c>
      <c r="D73" s="144">
        <f t="shared" si="8"/>
        <v>180.7802093244529</v>
      </c>
      <c r="E73" s="144">
        <v>244.9</v>
      </c>
      <c r="F73" s="144">
        <v>532</v>
      </c>
      <c r="G73" s="144">
        <f t="shared" si="9"/>
        <v>460.33834586466168</v>
      </c>
      <c r="H73" s="144">
        <v>0</v>
      </c>
      <c r="I73" s="144" t="s">
        <v>65</v>
      </c>
      <c r="J73" s="144"/>
      <c r="K73" s="144">
        <v>44.8</v>
      </c>
      <c r="L73" s="144">
        <v>97.9</v>
      </c>
      <c r="M73" s="144">
        <f t="shared" si="11"/>
        <v>457.60980592441257</v>
      </c>
      <c r="N73" s="144"/>
      <c r="O73" s="144"/>
      <c r="P73" s="144"/>
      <c r="Q73" s="144"/>
      <c r="R73" s="144"/>
      <c r="S73" s="145"/>
    </row>
    <row r="74" spans="1:28">
      <c r="A74" s="143" t="s">
        <v>19</v>
      </c>
      <c r="B74" s="144">
        <v>229.4</v>
      </c>
      <c r="C74" s="144">
        <v>1564.5</v>
      </c>
      <c r="D74" s="144">
        <f t="shared" si="8"/>
        <v>146.62831575583255</v>
      </c>
      <c r="E74" s="144">
        <v>323.3</v>
      </c>
      <c r="F74" s="144">
        <v>925.8</v>
      </c>
      <c r="G74" s="144">
        <f t="shared" si="9"/>
        <v>349.21149276301577</v>
      </c>
      <c r="H74" s="144"/>
      <c r="I74" s="144"/>
      <c r="J74" s="144"/>
      <c r="K74" s="144">
        <v>27.5</v>
      </c>
      <c r="L74" s="144">
        <v>156.69999999999999</v>
      </c>
      <c r="M74" s="144">
        <f t="shared" si="11"/>
        <v>175.49457562220806</v>
      </c>
      <c r="N74" s="144"/>
      <c r="O74" s="144"/>
      <c r="P74" s="144"/>
      <c r="Q74" s="144">
        <v>109.2</v>
      </c>
      <c r="R74" s="144">
        <v>779.4</v>
      </c>
      <c r="S74" s="145">
        <f>Q74/R74*1000</f>
        <v>140.10777521170132</v>
      </c>
    </row>
    <row r="75" spans="1:28">
      <c r="A75" s="143" t="s">
        <v>20</v>
      </c>
      <c r="B75" s="144">
        <v>171</v>
      </c>
      <c r="C75" s="144">
        <v>1589</v>
      </c>
      <c r="D75" s="144">
        <f t="shared" si="8"/>
        <v>107.61485210824418</v>
      </c>
      <c r="E75" s="144">
        <v>78</v>
      </c>
      <c r="F75" s="144">
        <v>219</v>
      </c>
      <c r="G75" s="144">
        <f t="shared" si="9"/>
        <v>356.16438356164383</v>
      </c>
      <c r="H75" s="144">
        <v>139</v>
      </c>
      <c r="I75" s="144">
        <v>425</v>
      </c>
      <c r="J75" s="144">
        <f t="shared" si="10"/>
        <v>327.05882352941177</v>
      </c>
      <c r="K75" s="144">
        <v>35</v>
      </c>
      <c r="L75" s="144">
        <v>117</v>
      </c>
      <c r="M75" s="144">
        <f t="shared" si="11"/>
        <v>299.14529914529913</v>
      </c>
      <c r="N75" s="144"/>
      <c r="O75" s="144"/>
      <c r="P75" s="144"/>
      <c r="Q75" s="144"/>
      <c r="R75" s="144"/>
      <c r="S75" s="145"/>
    </row>
    <row r="76" spans="1:28">
      <c r="A76" s="146" t="s">
        <v>21</v>
      </c>
      <c r="B76" s="147">
        <v>27.8</v>
      </c>
      <c r="C76" s="147">
        <v>348.7</v>
      </c>
      <c r="D76" s="144">
        <f t="shared" si="8"/>
        <v>79.724691712073408</v>
      </c>
      <c r="E76" s="149">
        <v>0.4</v>
      </c>
      <c r="F76" s="147">
        <v>3</v>
      </c>
      <c r="G76" s="144">
        <f t="shared" si="9"/>
        <v>133.33333333333334</v>
      </c>
      <c r="H76" s="147">
        <v>18</v>
      </c>
      <c r="I76" s="147">
        <v>124</v>
      </c>
      <c r="J76" s="144">
        <f t="shared" si="10"/>
        <v>145.16129032258067</v>
      </c>
      <c r="K76" s="149">
        <v>6.3E-2</v>
      </c>
      <c r="L76" s="149">
        <v>0.79</v>
      </c>
      <c r="M76" s="144">
        <f t="shared" si="11"/>
        <v>79.746835443037966</v>
      </c>
      <c r="N76" s="147"/>
      <c r="O76" s="147"/>
      <c r="P76" s="144"/>
      <c r="Q76" s="147">
        <v>4.5999999999999996</v>
      </c>
      <c r="R76" s="147">
        <v>41.9</v>
      </c>
      <c r="S76" s="145">
        <f>Q76/R76*1000</f>
        <v>109.7852028639618</v>
      </c>
    </row>
    <row r="77" spans="1:28" ht="14.25" thickBot="1">
      <c r="A77" s="150" t="s">
        <v>22</v>
      </c>
      <c r="B77" s="151">
        <v>387.00700000000001</v>
      </c>
      <c r="C77" s="151">
        <v>1930.0889999999999</v>
      </c>
      <c r="D77" s="152">
        <f t="shared" si="8"/>
        <v>200.51251522598182</v>
      </c>
      <c r="E77" s="151">
        <v>69.897000000000006</v>
      </c>
      <c r="F77" s="151">
        <v>204.99100000000001</v>
      </c>
      <c r="G77" s="152">
        <f t="shared" si="9"/>
        <v>340.97594528540276</v>
      </c>
      <c r="H77" s="151">
        <v>184.386</v>
      </c>
      <c r="I77" s="151">
        <v>656.22</v>
      </c>
      <c r="J77" s="152">
        <f t="shared" si="10"/>
        <v>280.98198774801131</v>
      </c>
      <c r="K77" s="151">
        <v>19.478000000000002</v>
      </c>
      <c r="L77" s="151">
        <v>194.77500000000001</v>
      </c>
      <c r="M77" s="152">
        <f t="shared" si="11"/>
        <v>100.00256706456167</v>
      </c>
      <c r="N77" s="151">
        <v>0.89900000000000002</v>
      </c>
      <c r="O77" s="151">
        <v>3.1</v>
      </c>
      <c r="P77" s="152">
        <f>N77/O77*1000</f>
        <v>290</v>
      </c>
      <c r="Q77" s="151"/>
      <c r="R77" s="151"/>
      <c r="S77" s="153"/>
      <c r="Z77" t="s">
        <v>69</v>
      </c>
    </row>
    <row r="78" spans="1:28">
      <c r="A78" s="154" t="s">
        <v>23</v>
      </c>
      <c r="B78" s="155">
        <f>B79+B87</f>
        <v>11825</v>
      </c>
      <c r="C78" s="155">
        <f t="shared" ref="C78:R78" si="12">C79+C87</f>
        <v>65933</v>
      </c>
      <c r="D78" s="156">
        <f t="shared" ref="D78:D91" si="13">ROUND(B78/C78*1000,1)</f>
        <v>179.3</v>
      </c>
      <c r="E78" s="155">
        <f t="shared" si="12"/>
        <v>15987</v>
      </c>
      <c r="F78" s="155">
        <f t="shared" si="12"/>
        <v>31620.6</v>
      </c>
      <c r="G78" s="156">
        <f t="shared" ref="G78:G91" si="14">ROUND(E78/F78*1000,1)</f>
        <v>505.6</v>
      </c>
      <c r="H78" s="155">
        <f t="shared" si="12"/>
        <v>1456</v>
      </c>
      <c r="I78" s="155">
        <f t="shared" si="12"/>
        <v>3874</v>
      </c>
      <c r="J78" s="155">
        <f t="shared" si="12"/>
        <v>375.8</v>
      </c>
      <c r="K78" s="155">
        <f t="shared" si="12"/>
        <v>305</v>
      </c>
      <c r="L78" s="155">
        <f t="shared" si="12"/>
        <v>1198</v>
      </c>
      <c r="M78" s="156">
        <f>ROUND(K78/L78*1000,1)</f>
        <v>254.6</v>
      </c>
      <c r="N78" s="155">
        <f t="shared" si="12"/>
        <v>0</v>
      </c>
      <c r="O78" s="155">
        <f t="shared" si="12"/>
        <v>0</v>
      </c>
      <c r="P78" s="155">
        <f t="shared" si="12"/>
        <v>0</v>
      </c>
      <c r="Q78" s="155">
        <f t="shared" si="12"/>
        <v>793.29200000000003</v>
      </c>
      <c r="R78" s="155">
        <f t="shared" si="12"/>
        <v>3358.39</v>
      </c>
      <c r="S78" s="155">
        <f>ROUND(Q78/R78*1000,1)</f>
        <v>236.2</v>
      </c>
      <c r="T78" s="155"/>
      <c r="U78" s="155"/>
      <c r="V78" s="156"/>
      <c r="W78" s="155">
        <f>W79+W87</f>
        <v>767</v>
      </c>
      <c r="X78" s="155">
        <f>X79+X87</f>
        <v>2439</v>
      </c>
      <c r="Y78" s="156">
        <f t="shared" ref="Y78:Y84" si="15">ROUND(W78/X78*1000,1)</f>
        <v>314.5</v>
      </c>
      <c r="Z78" s="155">
        <f>Z79+Z87</f>
        <v>1700.2919999999999</v>
      </c>
      <c r="AA78" s="155">
        <f>AA79+AA87</f>
        <v>6563.3899999999994</v>
      </c>
      <c r="AB78" s="157">
        <f>ROUND(Z78/AA78*1000,1)</f>
        <v>259.10000000000002</v>
      </c>
    </row>
    <row r="79" spans="1:28">
      <c r="A79" s="158" t="s">
        <v>66</v>
      </c>
      <c r="B79" s="159">
        <f>SUM(B80:B86)</f>
        <v>9135</v>
      </c>
      <c r="C79" s="159">
        <f>SUM(C80:C86)</f>
        <v>51908</v>
      </c>
      <c r="D79" s="160">
        <f t="shared" si="13"/>
        <v>176</v>
      </c>
      <c r="E79" s="159">
        <f>SUM(E80:E86)</f>
        <v>14688</v>
      </c>
      <c r="F79" s="159">
        <f>SUM(F80:F86)</f>
        <v>27555.599999999999</v>
      </c>
      <c r="G79" s="160">
        <f t="shared" si="14"/>
        <v>533</v>
      </c>
      <c r="H79" s="159">
        <f>SUM(H80:H86)</f>
        <v>0</v>
      </c>
      <c r="I79" s="159">
        <f>SUM(I80:I86)</f>
        <v>0</v>
      </c>
      <c r="J79" s="160"/>
      <c r="K79" s="159">
        <f>SUM(K80:K86)</f>
        <v>77</v>
      </c>
      <c r="L79" s="159">
        <f>SUM(L80:L86)</f>
        <v>349</v>
      </c>
      <c r="M79" s="160">
        <f>ROUND(K79/L79*1000,1)</f>
        <v>220.6</v>
      </c>
      <c r="N79" s="159">
        <f>SUM(N80:N86)</f>
        <v>0</v>
      </c>
      <c r="O79" s="159">
        <f>SUM(O80:O86)</f>
        <v>0</v>
      </c>
      <c r="P79" s="159"/>
      <c r="Q79" s="159">
        <f>SUM(Q80:Q86)</f>
        <v>41.292000000000002</v>
      </c>
      <c r="R79" s="159">
        <f>SUM(R80:R86)</f>
        <v>170.39</v>
      </c>
      <c r="S79" s="159">
        <f>ROUND(Q79/R79*1000,1)</f>
        <v>242.3</v>
      </c>
      <c r="T79" s="161"/>
      <c r="U79" s="161"/>
      <c r="V79" s="160"/>
      <c r="W79" s="161">
        <f>SUM(W80:W86)</f>
        <v>767</v>
      </c>
      <c r="X79" s="161">
        <f>SUM(X80:X86)</f>
        <v>2439</v>
      </c>
      <c r="Y79" s="160">
        <f t="shared" si="15"/>
        <v>314.5</v>
      </c>
      <c r="Z79" s="161">
        <f>SUM(Z80:Z86)</f>
        <v>948.29200000000003</v>
      </c>
      <c r="AA79" s="161">
        <f>SUM(AA80:AA86)</f>
        <v>3375.39</v>
      </c>
      <c r="AB79" s="162">
        <f>ROUND(Z79/AA79*1000,1)</f>
        <v>280.89999999999998</v>
      </c>
    </row>
    <row r="80" spans="1:28">
      <c r="A80" s="24" t="s">
        <v>24</v>
      </c>
      <c r="B80" s="163">
        <v>5492</v>
      </c>
      <c r="C80" s="164">
        <v>27032</v>
      </c>
      <c r="D80" s="164">
        <f t="shared" si="13"/>
        <v>203.2</v>
      </c>
      <c r="E80" s="163">
        <v>8092</v>
      </c>
      <c r="F80" s="163">
        <v>12575</v>
      </c>
      <c r="G80" s="164">
        <f t="shared" si="14"/>
        <v>643.5</v>
      </c>
      <c r="H80" s="163"/>
      <c r="I80" s="163"/>
      <c r="J80" s="164"/>
      <c r="K80" s="163"/>
      <c r="L80" s="163"/>
      <c r="M80" s="164"/>
      <c r="N80" s="163"/>
      <c r="O80" s="163"/>
      <c r="P80" s="164"/>
      <c r="Q80" s="163"/>
      <c r="R80" s="163"/>
      <c r="S80" s="165"/>
      <c r="T80" s="163"/>
      <c r="U80" s="163"/>
      <c r="V80" s="164"/>
      <c r="W80" s="163">
        <v>382</v>
      </c>
      <c r="X80" s="163">
        <v>1016</v>
      </c>
      <c r="Y80" s="164">
        <f t="shared" si="15"/>
        <v>376</v>
      </c>
      <c r="Z80" s="163">
        <v>748</v>
      </c>
      <c r="AA80" s="163">
        <v>2441</v>
      </c>
      <c r="AB80" s="164">
        <f>ROUND(Z80/AA80*1000,1)</f>
        <v>306.39999999999998</v>
      </c>
    </row>
    <row r="81" spans="1:28">
      <c r="A81" s="24" t="s">
        <v>25</v>
      </c>
      <c r="B81" s="163">
        <v>339</v>
      </c>
      <c r="C81" s="164">
        <v>4128</v>
      </c>
      <c r="D81" s="164">
        <f t="shared" si="13"/>
        <v>82.1</v>
      </c>
      <c r="E81" s="163">
        <v>363</v>
      </c>
      <c r="F81" s="163">
        <v>2432</v>
      </c>
      <c r="G81" s="164">
        <f t="shared" si="14"/>
        <v>149.30000000000001</v>
      </c>
      <c r="H81" s="163"/>
      <c r="I81" s="163"/>
      <c r="J81" s="164"/>
      <c r="K81" s="163"/>
      <c r="L81" s="163"/>
      <c r="M81" s="164"/>
      <c r="N81" s="166"/>
      <c r="O81" s="166"/>
      <c r="P81" s="166"/>
      <c r="Q81" s="166"/>
      <c r="R81" s="166"/>
      <c r="S81" s="165"/>
      <c r="T81" s="163"/>
      <c r="U81" s="163"/>
      <c r="V81" s="164"/>
      <c r="W81" s="163">
        <v>14</v>
      </c>
      <c r="X81" s="163">
        <v>143</v>
      </c>
      <c r="Y81" s="164">
        <f t="shared" si="15"/>
        <v>97.9</v>
      </c>
      <c r="Z81" s="163"/>
      <c r="AA81" s="163"/>
      <c r="AB81" s="164"/>
    </row>
    <row r="82" spans="1:28">
      <c r="A82" s="24" t="s">
        <v>27</v>
      </c>
      <c r="B82" s="163">
        <v>850</v>
      </c>
      <c r="C82" s="164">
        <v>5345</v>
      </c>
      <c r="D82" s="164">
        <f t="shared" si="13"/>
        <v>159</v>
      </c>
      <c r="E82" s="163">
        <v>1152</v>
      </c>
      <c r="F82" s="163">
        <v>2935</v>
      </c>
      <c r="G82" s="164">
        <f t="shared" si="14"/>
        <v>392.5</v>
      </c>
      <c r="H82" s="163"/>
      <c r="I82" s="163"/>
      <c r="J82" s="164"/>
      <c r="K82" s="163"/>
      <c r="L82" s="163"/>
      <c r="M82" s="164"/>
      <c r="N82" s="163"/>
      <c r="O82" s="163"/>
      <c r="P82" s="163"/>
      <c r="Q82" s="163">
        <v>41</v>
      </c>
      <c r="R82" s="163">
        <v>169</v>
      </c>
      <c r="S82" s="165">
        <f>ROUND(Q82/R82*1000,1)</f>
        <v>242.6</v>
      </c>
      <c r="T82" s="163"/>
      <c r="U82" s="163"/>
      <c r="V82" s="164"/>
      <c r="W82" s="163">
        <v>200</v>
      </c>
      <c r="X82" s="163">
        <v>933</v>
      </c>
      <c r="Y82" s="164">
        <f t="shared" si="15"/>
        <v>214.4</v>
      </c>
      <c r="Z82" s="163">
        <v>200</v>
      </c>
      <c r="AA82" s="163">
        <v>933</v>
      </c>
      <c r="AB82" s="164">
        <f>ROUND(Z82/AA82*1000,1)</f>
        <v>214.4</v>
      </c>
    </row>
    <row r="83" spans="1:28">
      <c r="A83" s="24" t="s">
        <v>26</v>
      </c>
      <c r="B83" s="163">
        <v>573</v>
      </c>
      <c r="C83" s="164">
        <v>4216</v>
      </c>
      <c r="D83" s="164">
        <f t="shared" si="13"/>
        <v>135.9</v>
      </c>
      <c r="E83" s="163">
        <v>721</v>
      </c>
      <c r="F83" s="163">
        <v>3081</v>
      </c>
      <c r="G83" s="164">
        <f t="shared" si="14"/>
        <v>234</v>
      </c>
      <c r="H83" s="163"/>
      <c r="I83" s="163"/>
      <c r="J83" s="164"/>
      <c r="K83" s="163"/>
      <c r="L83" s="163"/>
      <c r="M83" s="164"/>
      <c r="N83" s="163"/>
      <c r="O83" s="163"/>
      <c r="P83" s="163"/>
      <c r="Q83" s="163"/>
      <c r="R83" s="163"/>
      <c r="S83" s="165"/>
      <c r="T83" s="163"/>
      <c r="U83" s="163"/>
      <c r="V83" s="164"/>
      <c r="W83" s="163">
        <v>23</v>
      </c>
      <c r="X83" s="163">
        <v>78</v>
      </c>
      <c r="Y83" s="164">
        <f t="shared" si="15"/>
        <v>294.89999999999998</v>
      </c>
      <c r="Z83" s="163"/>
      <c r="AA83" s="163"/>
      <c r="AB83" s="164"/>
    </row>
    <row r="84" spans="1:28">
      <c r="A84" s="167" t="s">
        <v>28</v>
      </c>
      <c r="B84" s="163">
        <v>1056</v>
      </c>
      <c r="C84" s="164">
        <v>4729</v>
      </c>
      <c r="D84" s="164">
        <f t="shared" si="13"/>
        <v>223.3</v>
      </c>
      <c r="E84" s="163">
        <v>1127</v>
      </c>
      <c r="F84" s="163">
        <v>2153</v>
      </c>
      <c r="G84" s="164">
        <f t="shared" si="14"/>
        <v>523.5</v>
      </c>
      <c r="H84" s="163"/>
      <c r="I84" s="163"/>
      <c r="J84" s="164"/>
      <c r="K84" s="163"/>
      <c r="L84" s="163"/>
      <c r="M84" s="164"/>
      <c r="N84" s="163"/>
      <c r="O84" s="163"/>
      <c r="P84" s="164"/>
      <c r="Q84" s="163"/>
      <c r="R84" s="163"/>
      <c r="S84" s="165"/>
      <c r="T84" s="163"/>
      <c r="U84" s="163"/>
      <c r="V84" s="164"/>
      <c r="W84" s="163">
        <v>148</v>
      </c>
      <c r="X84" s="163">
        <v>269</v>
      </c>
      <c r="Y84" s="164">
        <f t="shared" si="15"/>
        <v>550.20000000000005</v>
      </c>
      <c r="Z84" s="163"/>
      <c r="AA84" s="163"/>
      <c r="AB84" s="164"/>
    </row>
    <row r="85" spans="1:28">
      <c r="A85" s="24" t="s">
        <v>29</v>
      </c>
      <c r="B85" s="163">
        <v>483</v>
      </c>
      <c r="C85" s="164">
        <v>4126</v>
      </c>
      <c r="D85" s="164">
        <f t="shared" si="13"/>
        <v>117.1</v>
      </c>
      <c r="E85" s="163">
        <v>1299</v>
      </c>
      <c r="F85" s="163">
        <v>4090</v>
      </c>
      <c r="G85" s="164">
        <f t="shared" si="14"/>
        <v>317.60000000000002</v>
      </c>
      <c r="H85" s="163"/>
      <c r="I85" s="163"/>
      <c r="J85" s="164"/>
      <c r="K85" s="163">
        <v>53</v>
      </c>
      <c r="L85" s="163">
        <v>248</v>
      </c>
      <c r="M85" s="164">
        <f t="shared" ref="M85:M90" si="16">ROUND(K85/L85*1000,1)</f>
        <v>213.7</v>
      </c>
      <c r="N85" s="163"/>
      <c r="O85" s="163"/>
      <c r="P85" s="163"/>
      <c r="Q85" s="163"/>
      <c r="R85" s="163"/>
      <c r="S85" s="165"/>
      <c r="T85" s="163"/>
      <c r="U85" s="163"/>
      <c r="V85" s="163"/>
      <c r="W85" s="163"/>
      <c r="X85" s="163"/>
      <c r="Y85" s="163"/>
      <c r="Z85" s="163"/>
      <c r="AA85" s="163"/>
      <c r="AB85" s="165"/>
    </row>
    <row r="86" spans="1:28" ht="14.25" thickBot="1">
      <c r="A86" s="168" t="s">
        <v>30</v>
      </c>
      <c r="B86" s="169">
        <v>342</v>
      </c>
      <c r="C86" s="170">
        <v>2332</v>
      </c>
      <c r="D86" s="170">
        <f t="shared" si="13"/>
        <v>146.69999999999999</v>
      </c>
      <c r="E86" s="169">
        <v>1934</v>
      </c>
      <c r="F86" s="169">
        <v>289.60000000000002</v>
      </c>
      <c r="G86" s="170">
        <f t="shared" si="14"/>
        <v>6678.2</v>
      </c>
      <c r="H86" s="169"/>
      <c r="I86" s="169"/>
      <c r="J86" s="170"/>
      <c r="K86" s="169">
        <v>24</v>
      </c>
      <c r="L86" s="169">
        <v>101</v>
      </c>
      <c r="M86" s="170">
        <f t="shared" si="16"/>
        <v>237.6</v>
      </c>
      <c r="N86" s="169"/>
      <c r="O86" s="169"/>
      <c r="P86" s="169"/>
      <c r="Q86" s="169">
        <v>0.29199999999999998</v>
      </c>
      <c r="R86" s="169">
        <v>1.39</v>
      </c>
      <c r="S86" s="171">
        <f>ROUND(Q86/R86*1000,1)</f>
        <v>210.1</v>
      </c>
      <c r="T86" s="169"/>
      <c r="U86" s="169"/>
      <c r="V86" s="169"/>
      <c r="W86" s="169"/>
      <c r="X86" s="169"/>
      <c r="Y86" s="169"/>
      <c r="Z86" s="169">
        <v>0.29199999999999998</v>
      </c>
      <c r="AA86" s="169">
        <v>1.39</v>
      </c>
      <c r="AB86" s="171">
        <f>ROUND(Z86/AA86*1000,1)</f>
        <v>210.1</v>
      </c>
    </row>
    <row r="87" spans="1:28">
      <c r="A87" s="172" t="s">
        <v>31</v>
      </c>
      <c r="B87" s="173">
        <f>SUM(B88:B96)</f>
        <v>2690</v>
      </c>
      <c r="C87" s="173">
        <f>SUM(C88:C96)</f>
        <v>14025</v>
      </c>
      <c r="D87" s="173">
        <f t="shared" si="13"/>
        <v>191.8</v>
      </c>
      <c r="E87" s="173">
        <f>SUM(E88:E96)</f>
        <v>1299</v>
      </c>
      <c r="F87" s="173">
        <f>SUM(F88:F96)</f>
        <v>4065</v>
      </c>
      <c r="G87" s="173">
        <f t="shared" si="14"/>
        <v>319.60000000000002</v>
      </c>
      <c r="H87" s="173">
        <f>SUM(H88:H96)</f>
        <v>1456</v>
      </c>
      <c r="I87" s="173">
        <f>SUM(I88:I96)</f>
        <v>3874</v>
      </c>
      <c r="J87" s="174">
        <f>ROUND(H87/I87*1000,1)</f>
        <v>375.8</v>
      </c>
      <c r="K87" s="173">
        <f>SUM(K88:K96)</f>
        <v>228</v>
      </c>
      <c r="L87" s="173">
        <f>SUM(L88:L96)</f>
        <v>849</v>
      </c>
      <c r="M87" s="173">
        <f t="shared" si="16"/>
        <v>268.60000000000002</v>
      </c>
      <c r="N87" s="173">
        <f>SUM(N88:N96)</f>
        <v>0</v>
      </c>
      <c r="O87" s="173">
        <f>SUM(O88:O96)</f>
        <v>0</v>
      </c>
      <c r="P87" s="173"/>
      <c r="Q87" s="173">
        <f>SUM(Q88:Q96)</f>
        <v>752</v>
      </c>
      <c r="R87" s="173">
        <f>SUM(R88:R96)</f>
        <v>3188</v>
      </c>
      <c r="S87" s="175">
        <f>ROUND(Q87/R87*1000,1)</f>
        <v>235.9</v>
      </c>
      <c r="T87" s="173"/>
      <c r="U87" s="173"/>
      <c r="V87" s="173"/>
      <c r="W87" s="173">
        <f>SUM(W88:W96)</f>
        <v>0</v>
      </c>
      <c r="X87" s="173">
        <f>SUM(X88:X96)</f>
        <v>0</v>
      </c>
      <c r="Y87" s="173">
        <f>SUM(Y88:Y96)</f>
        <v>0</v>
      </c>
      <c r="Z87" s="173">
        <f>SUM(Z88:Z96)</f>
        <v>752</v>
      </c>
      <c r="AA87" s="173">
        <f>SUM(AA88:AA96)</f>
        <v>3188</v>
      </c>
      <c r="AB87" s="175">
        <f>ROUND(Z87/AA87*1000,1)</f>
        <v>235.9</v>
      </c>
    </row>
    <row r="88" spans="1:28">
      <c r="A88" s="176" t="s">
        <v>32</v>
      </c>
      <c r="B88" s="177">
        <v>126</v>
      </c>
      <c r="C88" s="177">
        <v>1494</v>
      </c>
      <c r="D88" s="177">
        <f t="shared" si="13"/>
        <v>84.3</v>
      </c>
      <c r="E88" s="177">
        <v>51</v>
      </c>
      <c r="F88" s="177">
        <v>295</v>
      </c>
      <c r="G88" s="177">
        <f t="shared" si="14"/>
        <v>172.9</v>
      </c>
      <c r="H88" s="177">
        <v>64</v>
      </c>
      <c r="I88" s="177">
        <v>324</v>
      </c>
      <c r="J88" s="177">
        <f>ROUND(H88/I88*1000,1)</f>
        <v>197.5</v>
      </c>
      <c r="K88" s="177">
        <v>29</v>
      </c>
      <c r="L88" s="177">
        <v>208</v>
      </c>
      <c r="M88" s="177">
        <f t="shared" si="16"/>
        <v>139.4</v>
      </c>
      <c r="N88" s="178"/>
      <c r="O88" s="178"/>
      <c r="P88" s="178"/>
      <c r="Q88" s="178"/>
      <c r="R88" s="178"/>
      <c r="S88" s="179"/>
      <c r="T88" s="178"/>
      <c r="U88" s="178"/>
      <c r="V88" s="178"/>
      <c r="W88" s="178"/>
      <c r="X88" s="178"/>
      <c r="Y88" s="178"/>
      <c r="Z88" s="178"/>
      <c r="AA88" s="178"/>
      <c r="AB88" s="179"/>
    </row>
    <row r="89" spans="1:28">
      <c r="A89" s="180" t="s">
        <v>33</v>
      </c>
      <c r="B89" s="177">
        <v>420</v>
      </c>
      <c r="C89" s="177">
        <v>2199</v>
      </c>
      <c r="D89" s="177">
        <f t="shared" si="13"/>
        <v>191</v>
      </c>
      <c r="E89" s="177">
        <v>268</v>
      </c>
      <c r="F89" s="177">
        <v>1058</v>
      </c>
      <c r="G89" s="177">
        <f t="shared" si="14"/>
        <v>253.3</v>
      </c>
      <c r="H89" s="177"/>
      <c r="I89" s="177"/>
      <c r="J89" s="177"/>
      <c r="K89" s="177">
        <v>38</v>
      </c>
      <c r="L89" s="177">
        <v>148</v>
      </c>
      <c r="M89" s="177">
        <f t="shared" si="16"/>
        <v>256.8</v>
      </c>
      <c r="N89" s="177"/>
      <c r="O89" s="177"/>
      <c r="P89" s="177"/>
      <c r="Q89" s="177"/>
      <c r="R89" s="177"/>
      <c r="S89" s="179"/>
      <c r="T89" s="177"/>
      <c r="U89" s="177"/>
      <c r="V89" s="177"/>
      <c r="W89" s="177"/>
      <c r="X89" s="177"/>
      <c r="Y89" s="177"/>
      <c r="Z89" s="177"/>
      <c r="AA89" s="177"/>
      <c r="AB89" s="179"/>
    </row>
    <row r="90" spans="1:28">
      <c r="A90" s="41" t="s">
        <v>34</v>
      </c>
      <c r="B90" s="181">
        <v>208</v>
      </c>
      <c r="C90" s="181">
        <v>1164</v>
      </c>
      <c r="D90" s="177">
        <f t="shared" si="13"/>
        <v>178.7</v>
      </c>
      <c r="E90" s="181">
        <v>163</v>
      </c>
      <c r="F90" s="181">
        <v>356</v>
      </c>
      <c r="G90" s="177">
        <f t="shared" si="14"/>
        <v>457.9</v>
      </c>
      <c r="H90" s="181">
        <v>191</v>
      </c>
      <c r="I90" s="181">
        <v>351</v>
      </c>
      <c r="J90" s="177">
        <f t="shared" ref="J90:J96" si="17">ROUND(H90/I90*1000,1)</f>
        <v>544.20000000000005</v>
      </c>
      <c r="K90" s="181">
        <v>46</v>
      </c>
      <c r="L90" s="181">
        <v>90</v>
      </c>
      <c r="M90" s="177">
        <f t="shared" si="16"/>
        <v>511.1</v>
      </c>
      <c r="N90" s="181"/>
      <c r="O90" s="181"/>
      <c r="P90" s="179"/>
      <c r="Q90" s="181">
        <v>58</v>
      </c>
      <c r="R90" s="181">
        <v>194</v>
      </c>
      <c r="S90" s="179">
        <f>ROUND(Q90/R90*1000,1)</f>
        <v>299</v>
      </c>
      <c r="T90" s="181"/>
      <c r="U90" s="181"/>
      <c r="V90" s="179"/>
      <c r="W90" s="181"/>
      <c r="X90" s="181"/>
      <c r="Y90" s="179"/>
      <c r="Z90" s="181">
        <v>58</v>
      </c>
      <c r="AA90" s="181">
        <v>194</v>
      </c>
      <c r="AB90" s="179">
        <f>ROUND(Z90/AA90*1000,1)</f>
        <v>299</v>
      </c>
    </row>
    <row r="91" spans="1:28">
      <c r="A91" s="176" t="s">
        <v>35</v>
      </c>
      <c r="B91" s="177">
        <v>54</v>
      </c>
      <c r="C91" s="177">
        <v>255</v>
      </c>
      <c r="D91" s="177">
        <f t="shared" si="13"/>
        <v>211.8</v>
      </c>
      <c r="E91" s="177">
        <v>86</v>
      </c>
      <c r="F91" s="177">
        <v>251</v>
      </c>
      <c r="G91" s="177">
        <f t="shared" si="14"/>
        <v>342.6</v>
      </c>
      <c r="H91" s="177">
        <v>9</v>
      </c>
      <c r="I91" s="177">
        <v>20</v>
      </c>
      <c r="J91" s="177">
        <f t="shared" si="17"/>
        <v>450</v>
      </c>
      <c r="K91" s="177"/>
      <c r="L91" s="177"/>
      <c r="M91" s="177"/>
      <c r="N91" s="177"/>
      <c r="O91" s="177"/>
      <c r="P91" s="177"/>
      <c r="Q91" s="177"/>
      <c r="R91" s="177"/>
      <c r="S91" s="179"/>
      <c r="T91" s="177"/>
      <c r="U91" s="177"/>
      <c r="V91" s="177"/>
      <c r="W91" s="177"/>
      <c r="X91" s="177"/>
      <c r="Y91" s="177"/>
      <c r="Z91" s="177"/>
      <c r="AA91" s="177"/>
      <c r="AB91" s="179"/>
    </row>
    <row r="92" spans="1:28">
      <c r="A92" s="176" t="s">
        <v>36</v>
      </c>
      <c r="B92" s="177">
        <v>112</v>
      </c>
      <c r="C92" s="177">
        <v>501</v>
      </c>
      <c r="D92" s="177">
        <f>B92/C92*1000</f>
        <v>223.55289421157684</v>
      </c>
      <c r="E92" s="177">
        <v>33</v>
      </c>
      <c r="F92" s="177">
        <v>116</v>
      </c>
      <c r="G92" s="177">
        <f>E92/F92*1000</f>
        <v>284.48275862068965</v>
      </c>
      <c r="H92" s="177">
        <v>71</v>
      </c>
      <c r="I92" s="177">
        <v>162</v>
      </c>
      <c r="J92" s="177">
        <f t="shared" si="17"/>
        <v>438.3</v>
      </c>
      <c r="K92" s="177">
        <v>3</v>
      </c>
      <c r="L92" s="177">
        <v>14</v>
      </c>
      <c r="M92" s="177">
        <f>K92/L92*1000</f>
        <v>214.28571428571428</v>
      </c>
      <c r="N92" s="177"/>
      <c r="O92" s="177"/>
      <c r="P92" s="177"/>
      <c r="Q92" s="177"/>
      <c r="R92" s="177"/>
      <c r="S92" s="179"/>
      <c r="T92" s="177"/>
      <c r="U92" s="177"/>
      <c r="V92" s="177"/>
      <c r="W92" s="177"/>
      <c r="X92" s="177"/>
      <c r="Y92" s="177"/>
      <c r="Z92" s="177"/>
      <c r="AA92" s="177"/>
      <c r="AB92" s="179"/>
    </row>
    <row r="93" spans="1:28">
      <c r="A93" s="176" t="s">
        <v>37</v>
      </c>
      <c r="B93" s="177">
        <v>695</v>
      </c>
      <c r="C93" s="177">
        <v>2485</v>
      </c>
      <c r="D93" s="177">
        <f>B93/C93*1000</f>
        <v>279.6780684104628</v>
      </c>
      <c r="E93" s="177">
        <v>343</v>
      </c>
      <c r="F93" s="177">
        <v>679</v>
      </c>
      <c r="G93" s="177">
        <f>E93/F93*1000</f>
        <v>505.15463917525773</v>
      </c>
      <c r="H93" s="177">
        <v>381</v>
      </c>
      <c r="I93" s="177">
        <v>743</v>
      </c>
      <c r="J93" s="177">
        <f t="shared" si="17"/>
        <v>512.79999999999995</v>
      </c>
      <c r="K93" s="177">
        <v>37</v>
      </c>
      <c r="L93" s="177">
        <v>78</v>
      </c>
      <c r="M93" s="177">
        <f>K93/L93*1000</f>
        <v>474.35897435897436</v>
      </c>
      <c r="N93" s="177"/>
      <c r="O93" s="177"/>
      <c r="P93" s="177"/>
      <c r="Q93" s="177"/>
      <c r="R93" s="177"/>
      <c r="S93" s="179"/>
      <c r="T93" s="177"/>
      <c r="U93" s="177"/>
      <c r="V93" s="177"/>
      <c r="W93" s="177"/>
      <c r="X93" s="177"/>
      <c r="Y93" s="177"/>
      <c r="Z93" s="177"/>
      <c r="AA93" s="177"/>
      <c r="AB93" s="179"/>
    </row>
    <row r="94" spans="1:28">
      <c r="A94" s="182" t="s">
        <v>38</v>
      </c>
      <c r="B94" s="177">
        <v>214</v>
      </c>
      <c r="C94" s="177">
        <v>2206</v>
      </c>
      <c r="D94" s="177">
        <f>B94/C94*1000</f>
        <v>97.008159564823217</v>
      </c>
      <c r="E94" s="177">
        <v>96</v>
      </c>
      <c r="F94" s="177">
        <v>551</v>
      </c>
      <c r="G94" s="177">
        <f>E94/F94*1000</f>
        <v>174.22867513611615</v>
      </c>
      <c r="H94" s="177">
        <v>134</v>
      </c>
      <c r="I94" s="177">
        <v>581</v>
      </c>
      <c r="J94" s="177">
        <f t="shared" si="17"/>
        <v>230.6</v>
      </c>
      <c r="K94" s="177">
        <v>13</v>
      </c>
      <c r="L94" s="177">
        <v>103</v>
      </c>
      <c r="M94" s="177">
        <f>K94/L94*1000</f>
        <v>126.21359223300971</v>
      </c>
      <c r="N94" s="177"/>
      <c r="O94" s="177"/>
      <c r="P94" s="177"/>
      <c r="Q94" s="177"/>
      <c r="R94" s="177"/>
      <c r="S94" s="179"/>
      <c r="T94" s="177"/>
      <c r="U94" s="177"/>
      <c r="V94" s="177"/>
      <c r="W94" s="177"/>
      <c r="X94" s="177"/>
      <c r="Y94" s="177"/>
      <c r="Z94" s="177"/>
      <c r="AA94" s="177"/>
      <c r="AB94" s="179"/>
    </row>
    <row r="95" spans="1:28">
      <c r="A95" s="176" t="s">
        <v>39</v>
      </c>
      <c r="B95" s="177">
        <v>249</v>
      </c>
      <c r="C95" s="177">
        <v>1335</v>
      </c>
      <c r="D95" s="177">
        <f>B95/C95*1000</f>
        <v>186.51685393258427</v>
      </c>
      <c r="E95" s="177">
        <v>51</v>
      </c>
      <c r="F95" s="177">
        <v>186</v>
      </c>
      <c r="G95" s="177">
        <f>E95/F95*1000</f>
        <v>274.19354838709677</v>
      </c>
      <c r="H95" s="177">
        <v>212</v>
      </c>
      <c r="I95" s="177">
        <v>730</v>
      </c>
      <c r="J95" s="177">
        <f t="shared" si="17"/>
        <v>290.39999999999998</v>
      </c>
      <c r="K95" s="177">
        <v>11</v>
      </c>
      <c r="L95" s="177">
        <v>61</v>
      </c>
      <c r="M95" s="177">
        <f>K95/L95*1000</f>
        <v>180.32786885245903</v>
      </c>
      <c r="N95" s="177">
        <v>0</v>
      </c>
      <c r="O95" s="177">
        <v>0</v>
      </c>
      <c r="P95" s="177"/>
      <c r="Q95" s="177">
        <v>0</v>
      </c>
      <c r="R95" s="177">
        <v>0</v>
      </c>
      <c r="S95" s="179"/>
      <c r="T95" s="177"/>
      <c r="U95" s="177"/>
      <c r="V95" s="177"/>
      <c r="W95" s="177">
        <v>0</v>
      </c>
      <c r="X95" s="177">
        <v>0</v>
      </c>
      <c r="Y95" s="177"/>
      <c r="Z95" s="177">
        <v>0</v>
      </c>
      <c r="AA95" s="177">
        <v>0</v>
      </c>
      <c r="AB95" s="179"/>
    </row>
    <row r="96" spans="1:28" ht="14.25" thickBot="1">
      <c r="A96" s="183" t="s">
        <v>40</v>
      </c>
      <c r="B96" s="184">
        <v>612</v>
      </c>
      <c r="C96" s="184">
        <v>2386</v>
      </c>
      <c r="D96" s="184">
        <f>B96/C96*1000</f>
        <v>256.49622799664712</v>
      </c>
      <c r="E96" s="184">
        <v>208</v>
      </c>
      <c r="F96" s="184">
        <v>573</v>
      </c>
      <c r="G96" s="184">
        <f>E96/F96*1000</f>
        <v>363.00174520069805</v>
      </c>
      <c r="H96" s="184">
        <v>394</v>
      </c>
      <c r="I96" s="184">
        <v>963</v>
      </c>
      <c r="J96" s="184">
        <f t="shared" si="17"/>
        <v>409.1</v>
      </c>
      <c r="K96" s="184">
        <v>51</v>
      </c>
      <c r="L96" s="184">
        <v>147</v>
      </c>
      <c r="M96" s="184">
        <f>K96/L96*1000</f>
        <v>346.9387755102041</v>
      </c>
      <c r="N96" s="184" t="s">
        <v>67</v>
      </c>
      <c r="O96" s="184" t="s">
        <v>67</v>
      </c>
      <c r="P96" s="184"/>
      <c r="Q96" s="184">
        <v>694</v>
      </c>
      <c r="R96" s="184">
        <v>2994</v>
      </c>
      <c r="S96" s="185">
        <f>ROUND(Q96/R96*1000,1)</f>
        <v>231.8</v>
      </c>
      <c r="T96" s="184"/>
      <c r="U96" s="184"/>
      <c r="V96" s="184"/>
      <c r="W96" s="184" t="s">
        <v>68</v>
      </c>
      <c r="X96" s="184" t="s">
        <v>68</v>
      </c>
      <c r="Y96" s="184"/>
      <c r="Z96" s="184">
        <v>694</v>
      </c>
      <c r="AA96" s="184">
        <v>2994</v>
      </c>
      <c r="AB96" s="185">
        <f>ROUND(Z96/AA96*1000,1)</f>
        <v>231.8</v>
      </c>
    </row>
    <row r="97" spans="1:19">
      <c r="A97" s="186" t="s">
        <v>41</v>
      </c>
      <c r="B97" s="187">
        <f>+B98+B105</f>
        <v>9629</v>
      </c>
      <c r="C97" s="187">
        <f>+C98+C105</f>
        <v>73762</v>
      </c>
      <c r="D97" s="188">
        <f>+(D98+D105)/2</f>
        <v>184.60471808183135</v>
      </c>
      <c r="E97" s="187">
        <f>+E98+E105</f>
        <v>5345</v>
      </c>
      <c r="F97" s="187">
        <f>+F98+F105</f>
        <v>13702</v>
      </c>
      <c r="G97" s="188">
        <f>+(G98+G105)/2</f>
        <v>472.75122331429498</v>
      </c>
      <c r="H97" s="187">
        <f>+H98+H105</f>
        <v>5799</v>
      </c>
      <c r="I97" s="187">
        <f>+I98+I105</f>
        <v>20759</v>
      </c>
      <c r="J97" s="188">
        <f>+(J98+J105)/2</f>
        <v>280.79443114407707</v>
      </c>
      <c r="K97" s="187">
        <f>+K98+K105</f>
        <v>3078.5</v>
      </c>
      <c r="L97" s="187">
        <f>+L98+L105</f>
        <v>19475</v>
      </c>
      <c r="M97" s="188">
        <f>+(M98+M105)/2</f>
        <v>201.7984772032209</v>
      </c>
      <c r="N97" s="187">
        <f>+N98+N105</f>
        <v>3177</v>
      </c>
      <c r="O97" s="187">
        <f>+O98+O105</f>
        <v>21328</v>
      </c>
      <c r="P97" s="188">
        <f>+(P98+P105)/2</f>
        <v>275.30829723136929</v>
      </c>
      <c r="Q97" s="187">
        <f>+Q98+Q105</f>
        <v>4534</v>
      </c>
      <c r="R97" s="187">
        <f>+R98+R105</f>
        <v>30531</v>
      </c>
      <c r="S97" s="188">
        <f>+(S98+S105)/2</f>
        <v>78.511615490221516</v>
      </c>
    </row>
    <row r="98" spans="1:19">
      <c r="A98" s="189" t="s">
        <v>42</v>
      </c>
      <c r="B98" s="190">
        <f>+SUM(B99:B104)</f>
        <v>9333</v>
      </c>
      <c r="C98" s="190">
        <f>+SUM(C99:C104)</f>
        <v>71133</v>
      </c>
      <c r="D98" s="190">
        <f>+AVERAGE(D99:D104)</f>
        <v>245.95812490545708</v>
      </c>
      <c r="E98" s="190">
        <f>+SUM(E99:E104)</f>
        <v>5221</v>
      </c>
      <c r="F98" s="190">
        <f>+SUM(F99:F104)</f>
        <v>13122</v>
      </c>
      <c r="G98" s="190">
        <f>+AVERAGE(G99:G104)</f>
        <v>737.63201979932171</v>
      </c>
      <c r="H98" s="190">
        <f>+SUM(H99:H104)</f>
        <v>5583</v>
      </c>
      <c r="I98" s="190">
        <f>+SUM(I99:I104)</f>
        <v>19807</v>
      </c>
      <c r="J98" s="190">
        <f>+AVERAGE(J99:J104)</f>
        <v>297.40936409258796</v>
      </c>
      <c r="K98" s="190">
        <f>+SUM(K99:K104)</f>
        <v>3054</v>
      </c>
      <c r="L98" s="190">
        <f>+SUM(L99:L104)</f>
        <v>19349</v>
      </c>
      <c r="M98" s="190">
        <f>+AVERAGE(M99:M104)</f>
        <v>188.38202227974492</v>
      </c>
      <c r="N98" s="190">
        <f>+SUM(N99:N104)</f>
        <v>3176</v>
      </c>
      <c r="O98" s="190">
        <f>+SUM(O99:O104)</f>
        <v>21325</v>
      </c>
      <c r="P98" s="190">
        <f>+AVERAGE(P99:P104)</f>
        <v>217.2832611294053</v>
      </c>
      <c r="Q98" s="190">
        <f>+SUM(Q99:Q104)</f>
        <v>4534</v>
      </c>
      <c r="R98" s="190">
        <f>+SUM(R99:R104)</f>
        <v>30531</v>
      </c>
      <c r="S98" s="191">
        <f>+AVERAGE(S99:S104)</f>
        <v>157.02323098044303</v>
      </c>
    </row>
    <row r="99" spans="1:19">
      <c r="A99" s="192" t="s">
        <v>43</v>
      </c>
      <c r="B99" s="193">
        <v>4218</v>
      </c>
      <c r="C99" s="193">
        <v>33852</v>
      </c>
      <c r="D99" s="193">
        <f>B99/C99*1000</f>
        <v>124.60120524636653</v>
      </c>
      <c r="E99" s="193">
        <v>1642</v>
      </c>
      <c r="F99" s="193">
        <v>8347</v>
      </c>
      <c r="G99" s="193">
        <f>E99/F99*1000</f>
        <v>196.71738349107466</v>
      </c>
      <c r="H99" s="193">
        <v>2958</v>
      </c>
      <c r="I99" s="193">
        <v>10578</v>
      </c>
      <c r="J99" s="193">
        <f>H99/I99*1000</f>
        <v>279.6369824163358</v>
      </c>
      <c r="K99" s="193">
        <v>329</v>
      </c>
      <c r="L99" s="193">
        <v>2817</v>
      </c>
      <c r="M99" s="193">
        <f t="shared" ref="M99:M104" si="18">K99/L99*1000</f>
        <v>116.79091231806888</v>
      </c>
      <c r="N99" s="193">
        <v>3016</v>
      </c>
      <c r="O99" s="193">
        <v>20642</v>
      </c>
      <c r="P99" s="193">
        <f>N99/O99*1000</f>
        <v>146.10987307431449</v>
      </c>
      <c r="Q99" s="193">
        <v>3016</v>
      </c>
      <c r="R99" s="193">
        <v>20642</v>
      </c>
      <c r="S99" s="194">
        <f>Q99/R99*1000</f>
        <v>146.10987307431449</v>
      </c>
    </row>
    <row r="100" spans="1:19">
      <c r="A100" s="195" t="s">
        <v>44</v>
      </c>
      <c r="B100" s="196">
        <v>1652</v>
      </c>
      <c r="C100" s="196">
        <v>12807</v>
      </c>
      <c r="D100" s="196">
        <v>725</v>
      </c>
      <c r="E100" s="196">
        <v>2710</v>
      </c>
      <c r="F100" s="196">
        <v>1001</v>
      </c>
      <c r="G100" s="196">
        <v>3401</v>
      </c>
      <c r="H100" s="196">
        <v>188</v>
      </c>
      <c r="I100" s="196">
        <v>1262</v>
      </c>
      <c r="J100" s="196">
        <v>150</v>
      </c>
      <c r="K100" s="197">
        <v>2522</v>
      </c>
      <c r="L100" s="197">
        <v>15564</v>
      </c>
      <c r="M100" s="197">
        <f t="shared" si="18"/>
        <v>162.04060652788485</v>
      </c>
      <c r="N100" s="197"/>
      <c r="O100" s="197"/>
      <c r="P100" s="197"/>
      <c r="Q100" s="197"/>
      <c r="R100" s="197"/>
      <c r="S100" s="198"/>
    </row>
    <row r="101" spans="1:19">
      <c r="A101" s="195" t="s">
        <v>45</v>
      </c>
      <c r="B101" s="196">
        <v>2002</v>
      </c>
      <c r="C101" s="196">
        <v>15679</v>
      </c>
      <c r="D101" s="196">
        <v>172</v>
      </c>
      <c r="E101" s="196">
        <v>490</v>
      </c>
      <c r="F101" s="196">
        <v>2022</v>
      </c>
      <c r="G101" s="196">
        <v>225</v>
      </c>
      <c r="H101" s="196">
        <v>1426</v>
      </c>
      <c r="I101" s="196">
        <v>5208</v>
      </c>
      <c r="J101" s="196">
        <v>291</v>
      </c>
      <c r="K101" s="196">
        <v>62</v>
      </c>
      <c r="L101" s="196">
        <v>368</v>
      </c>
      <c r="M101" s="197">
        <f t="shared" si="18"/>
        <v>168.47826086956522</v>
      </c>
      <c r="N101" s="196">
        <v>95</v>
      </c>
      <c r="O101" s="196">
        <v>237</v>
      </c>
      <c r="P101" s="196">
        <v>360</v>
      </c>
      <c r="Q101" s="196">
        <v>1400</v>
      </c>
      <c r="R101" s="196">
        <v>9082</v>
      </c>
      <c r="S101" s="199">
        <v>177</v>
      </c>
    </row>
    <row r="102" spans="1:19">
      <c r="A102" s="195" t="s">
        <v>57</v>
      </c>
      <c r="B102" s="196">
        <v>791</v>
      </c>
      <c r="C102" s="196">
        <v>4037</v>
      </c>
      <c r="D102" s="196">
        <f>ABS(B102*1000/C102)</f>
        <v>195.93757740896706</v>
      </c>
      <c r="E102" s="196">
        <v>156</v>
      </c>
      <c r="F102" s="196">
        <v>747</v>
      </c>
      <c r="G102" s="196">
        <f>ABS(E102*1000/F102)</f>
        <v>208.83534136546186</v>
      </c>
      <c r="H102" s="196">
        <v>508</v>
      </c>
      <c r="I102" s="196">
        <v>1010</v>
      </c>
      <c r="J102" s="196">
        <f>ABS(H102*1000/I102)</f>
        <v>502.97029702970298</v>
      </c>
      <c r="K102" s="196">
        <v>64</v>
      </c>
      <c r="L102" s="196">
        <v>202</v>
      </c>
      <c r="M102" s="197">
        <f t="shared" si="18"/>
        <v>316.83168316831683</v>
      </c>
      <c r="N102" s="197"/>
      <c r="O102" s="197"/>
      <c r="P102" s="197"/>
      <c r="Q102" s="197"/>
      <c r="R102" s="197"/>
      <c r="S102" s="198"/>
    </row>
    <row r="103" spans="1:19">
      <c r="A103" s="200" t="s">
        <v>46</v>
      </c>
      <c r="B103" s="196">
        <v>524</v>
      </c>
      <c r="C103" s="196">
        <v>3253</v>
      </c>
      <c r="D103" s="196">
        <v>161.19999999999999</v>
      </c>
      <c r="E103" s="196">
        <v>185</v>
      </c>
      <c r="F103" s="196">
        <v>741</v>
      </c>
      <c r="G103" s="196">
        <v>250.3</v>
      </c>
      <c r="H103" s="196">
        <v>360</v>
      </c>
      <c r="I103" s="196">
        <v>1201</v>
      </c>
      <c r="J103" s="196">
        <v>299.89999999999998</v>
      </c>
      <c r="K103" s="196">
        <v>58</v>
      </c>
      <c r="L103" s="196">
        <v>228</v>
      </c>
      <c r="M103" s="197">
        <f t="shared" si="18"/>
        <v>254.38596491228071</v>
      </c>
      <c r="N103" s="196"/>
      <c r="O103" s="196"/>
      <c r="P103" s="196"/>
      <c r="Q103" s="201">
        <v>36</v>
      </c>
      <c r="R103" s="201">
        <v>217</v>
      </c>
      <c r="S103" s="202">
        <v>166</v>
      </c>
    </row>
    <row r="104" spans="1:19">
      <c r="A104" s="195" t="s">
        <v>47</v>
      </c>
      <c r="B104" s="196">
        <v>146</v>
      </c>
      <c r="C104" s="196">
        <v>1505</v>
      </c>
      <c r="D104" s="196">
        <f>B104/C104*1000</f>
        <v>97.009966777408636</v>
      </c>
      <c r="E104" s="196">
        <v>38</v>
      </c>
      <c r="F104" s="196">
        <v>264</v>
      </c>
      <c r="G104" s="196">
        <f>E104/F104*1000</f>
        <v>143.93939393939394</v>
      </c>
      <c r="H104" s="196">
        <v>143</v>
      </c>
      <c r="I104" s="196">
        <v>548</v>
      </c>
      <c r="J104" s="196">
        <f>H104/I104*1000</f>
        <v>260.94890510948903</v>
      </c>
      <c r="K104" s="196">
        <v>19</v>
      </c>
      <c r="L104" s="196">
        <v>170</v>
      </c>
      <c r="M104" s="197">
        <f t="shared" si="18"/>
        <v>111.76470588235294</v>
      </c>
      <c r="N104" s="196">
        <v>65</v>
      </c>
      <c r="O104" s="196">
        <v>446</v>
      </c>
      <c r="P104" s="196">
        <f>N104/O104*1000</f>
        <v>145.73991031390136</v>
      </c>
      <c r="Q104" s="196">
        <v>82</v>
      </c>
      <c r="R104" s="196">
        <v>590</v>
      </c>
      <c r="S104" s="199">
        <f>Q104/R104*1000</f>
        <v>138.98305084745763</v>
      </c>
    </row>
    <row r="105" spans="1:19">
      <c r="A105" s="189" t="s">
        <v>48</v>
      </c>
      <c r="B105" s="190">
        <f>+SUM(B106:B113)</f>
        <v>296</v>
      </c>
      <c r="C105" s="190">
        <f>+SUM(C106:C113)</f>
        <v>2629</v>
      </c>
      <c r="D105" s="190">
        <f>+AVERAGE(D106:D113)</f>
        <v>123.25131125820563</v>
      </c>
      <c r="E105" s="190">
        <f>+SUM(E106:E113)</f>
        <v>124</v>
      </c>
      <c r="F105" s="190">
        <f>+SUM(F106:F113)</f>
        <v>580</v>
      </c>
      <c r="G105" s="190">
        <f>+AVERAGE(G106:G113)</f>
        <v>207.8704268292683</v>
      </c>
      <c r="H105" s="190">
        <f>+SUM(H106:H113)</f>
        <v>216</v>
      </c>
      <c r="I105" s="190">
        <f>+SUM(I106:I113)</f>
        <v>952</v>
      </c>
      <c r="J105" s="190">
        <f>+AVERAGE(J106:J113)</f>
        <v>264.17949819556623</v>
      </c>
      <c r="K105" s="190">
        <f>+SUM(K106:K113)</f>
        <v>24.5</v>
      </c>
      <c r="L105" s="190">
        <f>+SUM(L106:L113)</f>
        <v>126</v>
      </c>
      <c r="M105" s="190">
        <f>+AVERAGE(M106:M113)</f>
        <v>215.21493212669685</v>
      </c>
      <c r="N105" s="190">
        <f>+SUM(N106:N113)</f>
        <v>1</v>
      </c>
      <c r="O105" s="190">
        <f>+SUM(O106:O113)</f>
        <v>3</v>
      </c>
      <c r="P105" s="190">
        <f>+AVERAGE(P106:P113)</f>
        <v>333.33333333333331</v>
      </c>
      <c r="Q105" s="190">
        <f>+SUM(Q106:Q113)</f>
        <v>0</v>
      </c>
      <c r="R105" s="190">
        <f>+SUM(R106:R113)</f>
        <v>0</v>
      </c>
      <c r="S105" s="191"/>
    </row>
    <row r="106" spans="1:19">
      <c r="A106" s="195" t="s">
        <v>49</v>
      </c>
      <c r="B106" s="196">
        <v>117</v>
      </c>
      <c r="C106" s="196">
        <v>771</v>
      </c>
      <c r="D106" s="196">
        <v>152</v>
      </c>
      <c r="E106" s="196">
        <v>60</v>
      </c>
      <c r="F106" s="196">
        <v>219</v>
      </c>
      <c r="G106" s="196">
        <v>273</v>
      </c>
      <c r="H106" s="196">
        <v>74</v>
      </c>
      <c r="I106" s="196">
        <v>165</v>
      </c>
      <c r="J106" s="196">
        <v>448</v>
      </c>
      <c r="K106" s="196">
        <v>18</v>
      </c>
      <c r="L106" s="196">
        <v>68</v>
      </c>
      <c r="M106" s="197">
        <f>K106/L106*1000</f>
        <v>264.70588235294116</v>
      </c>
      <c r="N106" s="196"/>
      <c r="O106" s="196"/>
      <c r="P106" s="196"/>
      <c r="Q106" s="196"/>
      <c r="R106" s="196"/>
      <c r="S106" s="199"/>
    </row>
    <row r="107" spans="1:19">
      <c r="A107" s="203" t="s">
        <v>50</v>
      </c>
      <c r="B107" s="197" t="s">
        <v>5</v>
      </c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8"/>
    </row>
    <row r="108" spans="1:19">
      <c r="A108" s="195" t="s">
        <v>51</v>
      </c>
      <c r="B108" s="196">
        <v>73</v>
      </c>
      <c r="C108" s="196">
        <v>399</v>
      </c>
      <c r="D108" s="196">
        <v>183</v>
      </c>
      <c r="E108" s="196">
        <v>35</v>
      </c>
      <c r="F108" s="196">
        <v>119</v>
      </c>
      <c r="G108" s="196">
        <v>294</v>
      </c>
      <c r="H108" s="196">
        <v>37</v>
      </c>
      <c r="I108" s="196">
        <v>137</v>
      </c>
      <c r="J108" s="196">
        <v>270</v>
      </c>
      <c r="K108" s="196">
        <v>0.5</v>
      </c>
      <c r="L108" s="196">
        <v>2</v>
      </c>
      <c r="M108" s="197">
        <f>K108/L108*1000</f>
        <v>250</v>
      </c>
      <c r="N108" s="197"/>
      <c r="O108" s="197"/>
      <c r="P108" s="197"/>
      <c r="Q108" s="197"/>
      <c r="R108" s="197"/>
      <c r="S108" s="198"/>
    </row>
    <row r="109" spans="1:19">
      <c r="A109" s="195" t="s">
        <v>52</v>
      </c>
      <c r="B109" s="196">
        <v>29</v>
      </c>
      <c r="C109" s="196">
        <v>321</v>
      </c>
      <c r="D109" s="196">
        <f>B109/C109*1000</f>
        <v>90.342679127725859</v>
      </c>
      <c r="E109" s="196">
        <v>14</v>
      </c>
      <c r="F109" s="196">
        <v>82</v>
      </c>
      <c r="G109" s="196">
        <f>E109/F109*1000</f>
        <v>170.73170731707319</v>
      </c>
      <c r="H109" s="196">
        <v>22</v>
      </c>
      <c r="I109" s="196">
        <v>121</v>
      </c>
      <c r="J109" s="196">
        <f>H109/I109*1000</f>
        <v>181.81818181818181</v>
      </c>
      <c r="K109" s="196">
        <v>1</v>
      </c>
      <c r="L109" s="196">
        <v>4</v>
      </c>
      <c r="M109" s="197">
        <f>K109/L109*1000</f>
        <v>250</v>
      </c>
      <c r="N109" s="196"/>
      <c r="O109" s="196"/>
      <c r="P109" s="196"/>
      <c r="Q109" s="196"/>
      <c r="R109" s="196"/>
      <c r="S109" s="199"/>
    </row>
    <row r="110" spans="1:19">
      <c r="A110" s="195" t="s">
        <v>53</v>
      </c>
      <c r="B110" s="196" t="s">
        <v>5</v>
      </c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9"/>
    </row>
    <row r="111" spans="1:19">
      <c r="A111" s="195" t="s">
        <v>54</v>
      </c>
      <c r="B111" s="197" t="s">
        <v>5</v>
      </c>
      <c r="C111" s="204"/>
      <c r="D111" s="204"/>
      <c r="E111" s="204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9"/>
    </row>
    <row r="112" spans="1:19">
      <c r="A112" s="205" t="s">
        <v>55</v>
      </c>
      <c r="B112" s="206">
        <v>77</v>
      </c>
      <c r="C112" s="206">
        <v>1138</v>
      </c>
      <c r="D112" s="206">
        <f>B112/C112*1000</f>
        <v>67.662565905096656</v>
      </c>
      <c r="E112" s="206">
        <v>15</v>
      </c>
      <c r="F112" s="206">
        <v>160</v>
      </c>
      <c r="G112" s="206">
        <f>E112/F112*1000</f>
        <v>93.75</v>
      </c>
      <c r="H112" s="206">
        <v>83</v>
      </c>
      <c r="I112" s="206">
        <v>529</v>
      </c>
      <c r="J112" s="206">
        <f>H112/I112*1000</f>
        <v>156.89981096408317</v>
      </c>
      <c r="K112" s="206">
        <v>5</v>
      </c>
      <c r="L112" s="206">
        <v>52</v>
      </c>
      <c r="M112" s="197">
        <f>K112/L112*1000</f>
        <v>96.15384615384616</v>
      </c>
      <c r="N112" s="206">
        <v>1</v>
      </c>
      <c r="O112" s="206">
        <v>3</v>
      </c>
      <c r="P112" s="206">
        <f>N112/O112*1000</f>
        <v>333.33333333333331</v>
      </c>
      <c r="Q112" s="206"/>
      <c r="R112" s="206"/>
      <c r="S112" s="207"/>
    </row>
    <row r="113" spans="1:22" ht="14.25" thickBot="1">
      <c r="A113" s="208" t="s">
        <v>56</v>
      </c>
      <c r="B113" s="209" t="s">
        <v>5</v>
      </c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10"/>
    </row>
    <row r="114" spans="1:22">
      <c r="A114" s="211" t="s">
        <v>70</v>
      </c>
      <c r="B114" s="212">
        <f>SUM(B121,B115)</f>
        <v>6320</v>
      </c>
      <c r="C114" s="212">
        <f t="shared" ref="C114:U114" si="19">SUM(C121,C115)</f>
        <v>57898</v>
      </c>
      <c r="D114" s="212">
        <f>ROUND(B114/C114*1000,0)</f>
        <v>109</v>
      </c>
      <c r="E114" s="212">
        <f t="shared" si="19"/>
        <v>4281</v>
      </c>
      <c r="F114" s="212">
        <f t="shared" si="19"/>
        <v>14674</v>
      </c>
      <c r="G114" s="212">
        <f>ROUND(E114/F114*1000,0)</f>
        <v>292</v>
      </c>
      <c r="H114" s="212">
        <f t="shared" si="19"/>
        <v>4935</v>
      </c>
      <c r="I114" s="212">
        <f t="shared" si="19"/>
        <v>17901</v>
      </c>
      <c r="J114" s="212">
        <f>ROUND(H114/I114*1000,0)</f>
        <v>276</v>
      </c>
      <c r="K114" s="212">
        <f t="shared" si="19"/>
        <v>1731.5</v>
      </c>
      <c r="L114" s="212">
        <f t="shared" si="19"/>
        <v>7807</v>
      </c>
      <c r="M114" s="212">
        <f>ROUND(K114/L114*1000,0)</f>
        <v>222</v>
      </c>
      <c r="N114" s="212">
        <f t="shared" si="19"/>
        <v>64.5</v>
      </c>
      <c r="O114" s="212">
        <f t="shared" si="19"/>
        <v>419.1</v>
      </c>
      <c r="P114" s="212">
        <f>ROUND(N114/O114*1000,0)</f>
        <v>154</v>
      </c>
      <c r="Q114" s="212">
        <f t="shared" si="19"/>
        <v>216.7</v>
      </c>
      <c r="R114" s="212">
        <f t="shared" si="19"/>
        <v>1668</v>
      </c>
      <c r="S114" s="212">
        <f>ROUND(Q114/R114*1000,0)</f>
        <v>130</v>
      </c>
      <c r="T114" s="212">
        <f t="shared" si="19"/>
        <v>1082</v>
      </c>
      <c r="U114" s="212">
        <f t="shared" si="19"/>
        <v>43307</v>
      </c>
      <c r="V114" s="213">
        <f>ROUND(T114/U114*1000,0)</f>
        <v>25</v>
      </c>
    </row>
    <row r="115" spans="1:22">
      <c r="A115" s="214" t="s">
        <v>71</v>
      </c>
      <c r="B115" s="215">
        <f>SUM(B116:B120)</f>
        <v>4980</v>
      </c>
      <c r="C115" s="215">
        <f t="shared" ref="C115:U115" si="20">SUM(C116:C120)</f>
        <v>49395</v>
      </c>
      <c r="D115" s="215">
        <f>ROUND(B115/C115*1000,0)</f>
        <v>101</v>
      </c>
      <c r="E115" s="215">
        <f t="shared" si="20"/>
        <v>3091</v>
      </c>
      <c r="F115" s="215">
        <f t="shared" si="20"/>
        <v>11206</v>
      </c>
      <c r="G115" s="215">
        <f>ROUND(E115/F115*1000,0)</f>
        <v>276</v>
      </c>
      <c r="H115" s="215">
        <f t="shared" si="20"/>
        <v>3852</v>
      </c>
      <c r="I115" s="215">
        <f t="shared" si="20"/>
        <v>14525</v>
      </c>
      <c r="J115" s="215">
        <f>ROUND(H115/I115*1000,0)</f>
        <v>265</v>
      </c>
      <c r="K115" s="215">
        <f t="shared" si="20"/>
        <v>799</v>
      </c>
      <c r="L115" s="215">
        <f t="shared" si="20"/>
        <v>3343</v>
      </c>
      <c r="M115" s="215">
        <f>ROUND(K115/L115*1000,0)</f>
        <v>239</v>
      </c>
      <c r="N115" s="215">
        <f t="shared" si="20"/>
        <v>64.5</v>
      </c>
      <c r="O115" s="215">
        <f t="shared" si="20"/>
        <v>419.1</v>
      </c>
      <c r="P115" s="215">
        <f>ROUND(N115/O115*1000,0)</f>
        <v>154</v>
      </c>
      <c r="Q115" s="215">
        <f t="shared" si="20"/>
        <v>131.69999999999999</v>
      </c>
      <c r="R115" s="215">
        <f t="shared" si="20"/>
        <v>1244</v>
      </c>
      <c r="S115" s="215">
        <f>ROUND(Q115/R115*1000,0)</f>
        <v>106</v>
      </c>
      <c r="T115" s="215">
        <f t="shared" si="20"/>
        <v>1082</v>
      </c>
      <c r="U115" s="215">
        <f t="shared" si="20"/>
        <v>43307</v>
      </c>
      <c r="V115" s="216">
        <f>ROUND(T115/U115*1000,0)</f>
        <v>25</v>
      </c>
    </row>
    <row r="116" spans="1:22">
      <c r="A116" s="217" t="s">
        <v>72</v>
      </c>
      <c r="B116" s="218">
        <v>1480</v>
      </c>
      <c r="C116" s="218">
        <v>13538</v>
      </c>
      <c r="D116" s="218">
        <f>ROUND(B116/C116*1000,0)</f>
        <v>109</v>
      </c>
      <c r="E116" s="218">
        <v>406</v>
      </c>
      <c r="F116" s="218">
        <v>1623</v>
      </c>
      <c r="G116" s="218">
        <f>ROUND(E116/F116*1000,0)</f>
        <v>250</v>
      </c>
      <c r="H116" s="218">
        <v>1929</v>
      </c>
      <c r="I116" s="218">
        <v>7133</v>
      </c>
      <c r="J116" s="218">
        <f>ROUND(H116/I116*1000,0)</f>
        <v>270</v>
      </c>
      <c r="K116" s="218">
        <v>338</v>
      </c>
      <c r="L116" s="218">
        <v>1335</v>
      </c>
      <c r="M116" s="218">
        <f>ROUND(K116/L116*1000,0)</f>
        <v>253</v>
      </c>
      <c r="N116" s="219">
        <v>52</v>
      </c>
      <c r="O116" s="219">
        <v>392</v>
      </c>
      <c r="P116" s="218">
        <f>ROUND(N116/O116*1000,0)</f>
        <v>133</v>
      </c>
      <c r="Q116" s="220"/>
      <c r="R116" s="220"/>
      <c r="S116" s="218"/>
      <c r="T116" s="221"/>
      <c r="U116" s="221"/>
      <c r="V116" s="222"/>
    </row>
    <row r="117" spans="1:22">
      <c r="A117" s="223" t="s">
        <v>73</v>
      </c>
      <c r="B117" s="224">
        <v>1234</v>
      </c>
      <c r="C117" s="224">
        <v>14584</v>
      </c>
      <c r="D117" s="218">
        <f>ROUND(B117/C117*1000,0)</f>
        <v>85</v>
      </c>
      <c r="E117" s="224">
        <v>170</v>
      </c>
      <c r="F117" s="224">
        <v>965</v>
      </c>
      <c r="G117" s="218">
        <f t="shared" ref="G117:G131" si="21">ROUND(E117/F117*1000,0)</f>
        <v>176</v>
      </c>
      <c r="H117" s="224">
        <v>1607</v>
      </c>
      <c r="I117" s="224">
        <v>4916</v>
      </c>
      <c r="J117" s="218">
        <f>ROUND(H117/I117*1000,0)</f>
        <v>327</v>
      </c>
      <c r="K117" s="224">
        <v>286</v>
      </c>
      <c r="L117" s="224">
        <v>1030</v>
      </c>
      <c r="M117" s="218">
        <f>ROUND(K117/L117*1000,0)</f>
        <v>278</v>
      </c>
      <c r="N117" s="224">
        <v>12</v>
      </c>
      <c r="O117" s="224">
        <v>26</v>
      </c>
      <c r="P117" s="218">
        <f>ROUND(N117/O117*1000,0)</f>
        <v>462</v>
      </c>
      <c r="Q117" s="224">
        <v>72</v>
      </c>
      <c r="R117" s="224">
        <v>672</v>
      </c>
      <c r="S117" s="218">
        <f>ROUND(Q117/R117*1000,0)</f>
        <v>107</v>
      </c>
      <c r="T117" s="224">
        <v>1082</v>
      </c>
      <c r="U117" s="224">
        <v>43307</v>
      </c>
      <c r="V117" s="222">
        <f>ROUND(T117/U117*1000,0)</f>
        <v>25</v>
      </c>
    </row>
    <row r="118" spans="1:22">
      <c r="A118" s="223" t="s">
        <v>74</v>
      </c>
      <c r="B118" s="224">
        <v>1485</v>
      </c>
      <c r="C118" s="224">
        <v>14199</v>
      </c>
      <c r="D118" s="218">
        <f t="shared" ref="D118:D134" si="22">ROUND(B118/C118*1000,0)</f>
        <v>105</v>
      </c>
      <c r="E118" s="224">
        <v>2247</v>
      </c>
      <c r="F118" s="224">
        <v>6793</v>
      </c>
      <c r="G118" s="218">
        <f t="shared" si="21"/>
        <v>331</v>
      </c>
      <c r="H118" s="224"/>
      <c r="I118" s="224"/>
      <c r="J118" s="218"/>
      <c r="K118" s="224">
        <v>146</v>
      </c>
      <c r="L118" s="224">
        <v>773</v>
      </c>
      <c r="M118" s="218">
        <f t="shared" ref="M118:M134" si="23">ROUND(K118/L118*1000,0)</f>
        <v>189</v>
      </c>
      <c r="N118" s="224"/>
      <c r="O118" s="224"/>
      <c r="P118" s="218"/>
      <c r="Q118" s="224">
        <v>22</v>
      </c>
      <c r="R118" s="224">
        <v>119</v>
      </c>
      <c r="S118" s="218">
        <f>ROUND(Q118/R118*1000,0)</f>
        <v>185</v>
      </c>
      <c r="T118" s="225"/>
      <c r="U118" s="225"/>
      <c r="V118" s="222"/>
    </row>
    <row r="119" spans="1:22">
      <c r="A119" s="217" t="s">
        <v>75</v>
      </c>
      <c r="B119" s="220">
        <v>242</v>
      </c>
      <c r="C119" s="220">
        <v>1922</v>
      </c>
      <c r="D119" s="218">
        <f t="shared" si="22"/>
        <v>126</v>
      </c>
      <c r="E119" s="220">
        <v>190</v>
      </c>
      <c r="F119" s="220">
        <v>1225</v>
      </c>
      <c r="G119" s="218">
        <f t="shared" si="21"/>
        <v>155</v>
      </c>
      <c r="H119" s="220">
        <v>133</v>
      </c>
      <c r="I119" s="220">
        <v>728</v>
      </c>
      <c r="J119" s="218">
        <f t="shared" ref="J119:J134" si="24">ROUND(H119/I119*1000,0)</f>
        <v>183</v>
      </c>
      <c r="K119" s="220">
        <v>21</v>
      </c>
      <c r="L119" s="220">
        <v>140</v>
      </c>
      <c r="M119" s="218">
        <f t="shared" si="23"/>
        <v>150</v>
      </c>
      <c r="N119" s="220">
        <v>0.5</v>
      </c>
      <c r="O119" s="220">
        <v>1.1000000000000001</v>
      </c>
      <c r="P119" s="218">
        <f>ROUND(N119/O119*1000,0)</f>
        <v>455</v>
      </c>
      <c r="Q119" s="220">
        <v>32</v>
      </c>
      <c r="R119" s="220">
        <v>403</v>
      </c>
      <c r="S119" s="218">
        <f>ROUND(Q119/R119*1000,0)</f>
        <v>79</v>
      </c>
      <c r="T119" s="221"/>
      <c r="U119" s="221"/>
      <c r="V119" s="222"/>
    </row>
    <row r="120" spans="1:22">
      <c r="A120" s="217" t="s">
        <v>76</v>
      </c>
      <c r="B120" s="220">
        <v>539</v>
      </c>
      <c r="C120" s="220">
        <v>5152</v>
      </c>
      <c r="D120" s="218">
        <f t="shared" si="22"/>
        <v>105</v>
      </c>
      <c r="E120" s="220">
        <v>78</v>
      </c>
      <c r="F120" s="220">
        <v>600</v>
      </c>
      <c r="G120" s="218">
        <f t="shared" si="21"/>
        <v>130</v>
      </c>
      <c r="H120" s="220">
        <v>183</v>
      </c>
      <c r="I120" s="220">
        <v>1748</v>
      </c>
      <c r="J120" s="218">
        <f t="shared" si="24"/>
        <v>105</v>
      </c>
      <c r="K120" s="220">
        <v>8</v>
      </c>
      <c r="L120" s="220">
        <v>65</v>
      </c>
      <c r="M120" s="218">
        <f t="shared" si="23"/>
        <v>123</v>
      </c>
      <c r="N120" s="220"/>
      <c r="O120" s="220"/>
      <c r="P120" s="218"/>
      <c r="Q120" s="220">
        <v>5.7</v>
      </c>
      <c r="R120" s="220">
        <v>50</v>
      </c>
      <c r="S120" s="218">
        <f>ROUND(Q120/R120*1000,0)</f>
        <v>114</v>
      </c>
      <c r="T120" s="221"/>
      <c r="U120" s="221"/>
      <c r="V120" s="222"/>
    </row>
    <row r="121" spans="1:22">
      <c r="A121" s="214" t="s">
        <v>77</v>
      </c>
      <c r="B121" s="215">
        <f>SUM(B122:B134)</f>
        <v>1340</v>
      </c>
      <c r="C121" s="215">
        <f t="shared" ref="C121:V121" si="25">SUM(C122:C134)</f>
        <v>8503</v>
      </c>
      <c r="D121" s="215">
        <f>ROUND(B121/C121*1000,0)</f>
        <v>158</v>
      </c>
      <c r="E121" s="215">
        <f t="shared" si="25"/>
        <v>1190</v>
      </c>
      <c r="F121" s="215">
        <f t="shared" si="25"/>
        <v>3468</v>
      </c>
      <c r="G121" s="215">
        <f>ROUND(E121/F121*1000,0)</f>
        <v>343</v>
      </c>
      <c r="H121" s="215">
        <f t="shared" si="25"/>
        <v>1083</v>
      </c>
      <c r="I121" s="215">
        <f t="shared" si="25"/>
        <v>3376</v>
      </c>
      <c r="J121" s="215">
        <f>ROUND(H121/I121*1000,0)</f>
        <v>321</v>
      </c>
      <c r="K121" s="215">
        <f t="shared" si="25"/>
        <v>932.5</v>
      </c>
      <c r="L121" s="215">
        <f t="shared" si="25"/>
        <v>4464</v>
      </c>
      <c r="M121" s="215">
        <f>ROUND(K121/L121*1000,0)</f>
        <v>209</v>
      </c>
      <c r="N121" s="215">
        <f t="shared" si="25"/>
        <v>0</v>
      </c>
      <c r="O121" s="215">
        <f t="shared" si="25"/>
        <v>0</v>
      </c>
      <c r="P121" s="215">
        <f t="shared" si="25"/>
        <v>0</v>
      </c>
      <c r="Q121" s="215">
        <f t="shared" si="25"/>
        <v>85</v>
      </c>
      <c r="R121" s="215">
        <f t="shared" si="25"/>
        <v>424</v>
      </c>
      <c r="S121" s="215">
        <f>ROUND(Q121/R121*1000,0)</f>
        <v>200</v>
      </c>
      <c r="T121" s="215">
        <f t="shared" si="25"/>
        <v>0</v>
      </c>
      <c r="U121" s="215">
        <f t="shared" si="25"/>
        <v>0</v>
      </c>
      <c r="V121" s="216">
        <f t="shared" si="25"/>
        <v>0</v>
      </c>
    </row>
    <row r="122" spans="1:22">
      <c r="A122" s="217" t="s">
        <v>78</v>
      </c>
      <c r="B122" s="220">
        <v>87</v>
      </c>
      <c r="C122" s="220">
        <v>513</v>
      </c>
      <c r="D122" s="218">
        <f>ROUND(B122/C122*1000,0)</f>
        <v>170</v>
      </c>
      <c r="E122" s="220">
        <v>163</v>
      </c>
      <c r="F122" s="220">
        <v>458</v>
      </c>
      <c r="G122" s="218">
        <f>ROUND(E122/F122*1000,0)</f>
        <v>356</v>
      </c>
      <c r="H122" s="220">
        <v>6</v>
      </c>
      <c r="I122" s="220">
        <v>50</v>
      </c>
      <c r="J122" s="218">
        <f>ROUND(H122/I122*1000,0)</f>
        <v>120</v>
      </c>
      <c r="K122" s="220">
        <v>36.299999999999997</v>
      </c>
      <c r="L122" s="220">
        <v>20</v>
      </c>
      <c r="M122" s="218">
        <f>ROUND(K122/L122*1000,0)</f>
        <v>1815</v>
      </c>
      <c r="N122" s="221"/>
      <c r="O122" s="221"/>
      <c r="P122" s="218"/>
      <c r="Q122" s="221"/>
      <c r="R122" s="221"/>
      <c r="S122" s="218"/>
      <c r="T122" s="221"/>
      <c r="U122" s="221"/>
      <c r="V122" s="222"/>
    </row>
    <row r="123" spans="1:22">
      <c r="A123" s="217" t="s">
        <v>79</v>
      </c>
      <c r="B123" s="220">
        <v>45</v>
      </c>
      <c r="C123" s="220">
        <v>369</v>
      </c>
      <c r="D123" s="218">
        <f>ROUND(B123/C123*1000,0)</f>
        <v>122</v>
      </c>
      <c r="E123" s="220">
        <v>35</v>
      </c>
      <c r="F123" s="220">
        <v>132</v>
      </c>
      <c r="G123" s="218">
        <f t="shared" si="21"/>
        <v>265</v>
      </c>
      <c r="H123" s="220">
        <v>20</v>
      </c>
      <c r="I123" s="220">
        <v>71</v>
      </c>
      <c r="J123" s="218">
        <f t="shared" si="24"/>
        <v>282</v>
      </c>
      <c r="K123" s="220">
        <v>3</v>
      </c>
      <c r="L123" s="220">
        <v>11</v>
      </c>
      <c r="M123" s="218">
        <f>ROUND(K123/L123*1000,0)</f>
        <v>273</v>
      </c>
      <c r="N123" s="220"/>
      <c r="O123" s="220"/>
      <c r="P123" s="218"/>
      <c r="Q123" s="220"/>
      <c r="R123" s="220"/>
      <c r="S123" s="218"/>
      <c r="T123" s="221"/>
      <c r="U123" s="221"/>
      <c r="V123" s="222"/>
    </row>
    <row r="124" spans="1:22">
      <c r="A124" s="217" t="s">
        <v>80</v>
      </c>
      <c r="B124" s="220">
        <v>69</v>
      </c>
      <c r="C124" s="220">
        <v>528</v>
      </c>
      <c r="D124" s="218">
        <f t="shared" si="22"/>
        <v>131</v>
      </c>
      <c r="E124" s="220">
        <v>31</v>
      </c>
      <c r="F124" s="220">
        <v>112</v>
      </c>
      <c r="G124" s="218">
        <f t="shared" si="21"/>
        <v>277</v>
      </c>
      <c r="H124" s="220">
        <v>188</v>
      </c>
      <c r="I124" s="220">
        <v>826</v>
      </c>
      <c r="J124" s="218">
        <f t="shared" si="24"/>
        <v>228</v>
      </c>
      <c r="K124" s="220">
        <v>27</v>
      </c>
      <c r="L124" s="220">
        <v>66</v>
      </c>
      <c r="M124" s="218">
        <f t="shared" si="23"/>
        <v>409</v>
      </c>
      <c r="N124" s="220"/>
      <c r="O124" s="220"/>
      <c r="P124" s="218"/>
      <c r="Q124" s="220"/>
      <c r="R124" s="220"/>
      <c r="S124" s="218"/>
      <c r="T124" s="226"/>
      <c r="U124" s="226"/>
      <c r="V124" s="222"/>
    </row>
    <row r="125" spans="1:22">
      <c r="A125" s="217" t="s">
        <v>81</v>
      </c>
      <c r="B125" s="220">
        <v>53</v>
      </c>
      <c r="C125" s="220">
        <v>470</v>
      </c>
      <c r="D125" s="218">
        <f t="shared" si="22"/>
        <v>113</v>
      </c>
      <c r="E125" s="220">
        <v>10</v>
      </c>
      <c r="F125" s="220">
        <v>35</v>
      </c>
      <c r="G125" s="218">
        <f t="shared" si="21"/>
        <v>286</v>
      </c>
      <c r="H125" s="220">
        <v>36</v>
      </c>
      <c r="I125" s="220">
        <v>152</v>
      </c>
      <c r="J125" s="218">
        <f t="shared" si="24"/>
        <v>237</v>
      </c>
      <c r="K125" s="220">
        <v>0.2</v>
      </c>
      <c r="L125" s="220">
        <v>1</v>
      </c>
      <c r="M125" s="218">
        <f t="shared" si="23"/>
        <v>200</v>
      </c>
      <c r="N125" s="220"/>
      <c r="O125" s="220"/>
      <c r="P125" s="218"/>
      <c r="Q125" s="220"/>
      <c r="R125" s="220"/>
      <c r="S125" s="218"/>
      <c r="T125" s="226"/>
      <c r="U125" s="226"/>
      <c r="V125" s="222"/>
    </row>
    <row r="126" spans="1:22">
      <c r="A126" s="217" t="s">
        <v>82</v>
      </c>
      <c r="B126" s="220">
        <v>246</v>
      </c>
      <c r="C126" s="220">
        <v>2346</v>
      </c>
      <c r="D126" s="218">
        <f t="shared" si="22"/>
        <v>105</v>
      </c>
      <c r="E126" s="220">
        <v>65</v>
      </c>
      <c r="F126" s="220">
        <v>237</v>
      </c>
      <c r="G126" s="218">
        <f t="shared" si="21"/>
        <v>274</v>
      </c>
      <c r="H126" s="220">
        <v>166</v>
      </c>
      <c r="I126" s="220">
        <v>386</v>
      </c>
      <c r="J126" s="218">
        <f t="shared" si="24"/>
        <v>430</v>
      </c>
      <c r="K126" s="220">
        <v>28</v>
      </c>
      <c r="L126" s="220">
        <v>81</v>
      </c>
      <c r="M126" s="218">
        <f t="shared" si="23"/>
        <v>346</v>
      </c>
      <c r="N126" s="220"/>
      <c r="O126" s="220"/>
      <c r="P126" s="218"/>
      <c r="Q126" s="220"/>
      <c r="R126" s="220"/>
      <c r="S126" s="218"/>
      <c r="T126" s="221"/>
      <c r="U126" s="221"/>
      <c r="V126" s="222"/>
    </row>
    <row r="127" spans="1:22">
      <c r="A127" s="217" t="s">
        <v>83</v>
      </c>
      <c r="B127" s="220">
        <v>86</v>
      </c>
      <c r="C127" s="220">
        <v>671</v>
      </c>
      <c r="D127" s="218">
        <f t="shared" si="22"/>
        <v>128</v>
      </c>
      <c r="E127" s="220">
        <v>65</v>
      </c>
      <c r="F127" s="220">
        <v>261</v>
      </c>
      <c r="G127" s="218">
        <f t="shared" si="21"/>
        <v>249</v>
      </c>
      <c r="H127" s="220">
        <v>66</v>
      </c>
      <c r="I127" s="220">
        <v>263</v>
      </c>
      <c r="J127" s="218">
        <f t="shared" si="24"/>
        <v>251</v>
      </c>
      <c r="K127" s="220">
        <v>20</v>
      </c>
      <c r="L127" s="220">
        <v>64</v>
      </c>
      <c r="M127" s="218">
        <f t="shared" si="23"/>
        <v>313</v>
      </c>
      <c r="N127" s="220"/>
      <c r="O127" s="220"/>
      <c r="P127" s="218"/>
      <c r="Q127" s="220"/>
      <c r="R127" s="220"/>
      <c r="S127" s="218"/>
      <c r="T127" s="221"/>
      <c r="U127" s="221"/>
      <c r="V127" s="222"/>
    </row>
    <row r="128" spans="1:22">
      <c r="A128" s="217" t="s">
        <v>84</v>
      </c>
      <c r="B128" s="220">
        <v>182</v>
      </c>
      <c r="C128" s="220">
        <v>390</v>
      </c>
      <c r="D128" s="218">
        <f t="shared" si="22"/>
        <v>467</v>
      </c>
      <c r="E128" s="220">
        <v>47</v>
      </c>
      <c r="F128" s="220">
        <v>449</v>
      </c>
      <c r="G128" s="218">
        <f t="shared" si="21"/>
        <v>105</v>
      </c>
      <c r="H128" s="220">
        <v>155</v>
      </c>
      <c r="I128" s="220">
        <v>173</v>
      </c>
      <c r="J128" s="218">
        <f t="shared" si="24"/>
        <v>896</v>
      </c>
      <c r="K128" s="220">
        <v>54</v>
      </c>
      <c r="L128" s="220">
        <v>165</v>
      </c>
      <c r="M128" s="218">
        <f t="shared" si="23"/>
        <v>327</v>
      </c>
      <c r="N128" s="220"/>
      <c r="O128" s="220"/>
      <c r="P128" s="218"/>
      <c r="Q128" s="220"/>
      <c r="R128" s="220"/>
      <c r="S128" s="218"/>
      <c r="T128" s="221"/>
      <c r="U128" s="221"/>
      <c r="V128" s="222"/>
    </row>
    <row r="129" spans="1:22">
      <c r="A129" s="217" t="s">
        <v>85</v>
      </c>
      <c r="B129" s="224">
        <v>82</v>
      </c>
      <c r="C129" s="224">
        <v>516</v>
      </c>
      <c r="D129" s="218">
        <f t="shared" si="22"/>
        <v>159</v>
      </c>
      <c r="E129" s="224">
        <v>429</v>
      </c>
      <c r="F129" s="220">
        <v>699</v>
      </c>
      <c r="G129" s="218">
        <f t="shared" si="21"/>
        <v>614</v>
      </c>
      <c r="H129" s="220">
        <v>13</v>
      </c>
      <c r="I129" s="220">
        <v>19</v>
      </c>
      <c r="J129" s="218">
        <f t="shared" si="24"/>
        <v>684</v>
      </c>
      <c r="K129" s="220">
        <v>641</v>
      </c>
      <c r="L129" s="224">
        <v>3753</v>
      </c>
      <c r="M129" s="218">
        <f t="shared" si="23"/>
        <v>171</v>
      </c>
      <c r="N129" s="221"/>
      <c r="O129" s="221"/>
      <c r="P129" s="218"/>
      <c r="Q129" s="221"/>
      <c r="R129" s="221"/>
      <c r="S129" s="218"/>
      <c r="T129" s="221"/>
      <c r="U129" s="221"/>
      <c r="V129" s="222"/>
    </row>
    <row r="130" spans="1:22">
      <c r="A130" s="217" t="s">
        <v>86</v>
      </c>
      <c r="B130" s="220">
        <v>89</v>
      </c>
      <c r="C130" s="220">
        <v>647</v>
      </c>
      <c r="D130" s="218">
        <f t="shared" si="22"/>
        <v>138</v>
      </c>
      <c r="E130" s="220">
        <v>175</v>
      </c>
      <c r="F130" s="220">
        <v>574</v>
      </c>
      <c r="G130" s="218">
        <f t="shared" si="21"/>
        <v>305</v>
      </c>
      <c r="H130" s="220">
        <v>96</v>
      </c>
      <c r="I130" s="220">
        <v>327</v>
      </c>
      <c r="J130" s="218">
        <f t="shared" si="24"/>
        <v>294</v>
      </c>
      <c r="K130" s="220">
        <v>25</v>
      </c>
      <c r="L130" s="220">
        <v>83</v>
      </c>
      <c r="M130" s="218">
        <f t="shared" si="23"/>
        <v>301</v>
      </c>
      <c r="N130" s="220"/>
      <c r="O130" s="220"/>
      <c r="P130" s="218"/>
      <c r="Q130" s="220"/>
      <c r="R130" s="220"/>
      <c r="S130" s="218"/>
      <c r="T130" s="221"/>
      <c r="U130" s="221"/>
      <c r="V130" s="222"/>
    </row>
    <row r="131" spans="1:22">
      <c r="A131" s="217" t="s">
        <v>87</v>
      </c>
      <c r="B131" s="220">
        <v>94</v>
      </c>
      <c r="C131" s="220">
        <v>412</v>
      </c>
      <c r="D131" s="218">
        <f t="shared" si="22"/>
        <v>228</v>
      </c>
      <c r="E131" s="220">
        <v>59</v>
      </c>
      <c r="F131" s="220">
        <v>125</v>
      </c>
      <c r="G131" s="218">
        <f t="shared" si="21"/>
        <v>472</v>
      </c>
      <c r="H131" s="220">
        <v>74</v>
      </c>
      <c r="I131" s="220">
        <v>203</v>
      </c>
      <c r="J131" s="218">
        <f t="shared" si="24"/>
        <v>365</v>
      </c>
      <c r="K131" s="220">
        <v>37</v>
      </c>
      <c r="L131" s="220">
        <v>75</v>
      </c>
      <c r="M131" s="218">
        <f t="shared" si="23"/>
        <v>493</v>
      </c>
      <c r="N131" s="220"/>
      <c r="O131" s="220"/>
      <c r="P131" s="218"/>
      <c r="Q131" s="220"/>
      <c r="R131" s="220"/>
      <c r="S131" s="218"/>
      <c r="T131" s="221"/>
      <c r="U131" s="221"/>
      <c r="V131" s="222"/>
    </row>
    <row r="132" spans="1:22">
      <c r="A132" s="217" t="s">
        <v>88</v>
      </c>
      <c r="B132" s="220">
        <v>100</v>
      </c>
      <c r="C132" s="220">
        <v>491</v>
      </c>
      <c r="D132" s="218">
        <f t="shared" si="22"/>
        <v>204</v>
      </c>
      <c r="E132" s="220"/>
      <c r="F132" s="220"/>
      <c r="G132" s="218"/>
      <c r="H132" s="220">
        <v>121</v>
      </c>
      <c r="I132" s="220">
        <v>471</v>
      </c>
      <c r="J132" s="218">
        <f t="shared" si="24"/>
        <v>257</v>
      </c>
      <c r="K132" s="220">
        <v>10</v>
      </c>
      <c r="L132" s="220">
        <v>25</v>
      </c>
      <c r="M132" s="218">
        <f t="shared" si="23"/>
        <v>400</v>
      </c>
      <c r="N132" s="220"/>
      <c r="O132" s="220"/>
      <c r="P132" s="218"/>
      <c r="Q132" s="220"/>
      <c r="R132" s="220"/>
      <c r="S132" s="218"/>
      <c r="T132" s="221"/>
      <c r="U132" s="221"/>
      <c r="V132" s="222"/>
    </row>
    <row r="133" spans="1:22">
      <c r="A133" s="217" t="s">
        <v>89</v>
      </c>
      <c r="B133" s="220">
        <v>105</v>
      </c>
      <c r="C133" s="220">
        <v>696</v>
      </c>
      <c r="D133" s="218">
        <f t="shared" si="22"/>
        <v>151</v>
      </c>
      <c r="E133" s="220">
        <v>48</v>
      </c>
      <c r="F133" s="220">
        <v>251</v>
      </c>
      <c r="G133" s="218">
        <f>ROUND(E133/F133*1000,0)</f>
        <v>191</v>
      </c>
      <c r="H133" s="220">
        <v>45</v>
      </c>
      <c r="I133" s="220">
        <v>215</v>
      </c>
      <c r="J133" s="218">
        <f t="shared" si="24"/>
        <v>209</v>
      </c>
      <c r="K133" s="220">
        <v>13</v>
      </c>
      <c r="L133" s="220">
        <v>48</v>
      </c>
      <c r="M133" s="218">
        <f t="shared" si="23"/>
        <v>271</v>
      </c>
      <c r="N133" s="220"/>
      <c r="O133" s="220"/>
      <c r="P133" s="218"/>
      <c r="Q133" s="220">
        <v>85</v>
      </c>
      <c r="R133" s="220">
        <v>424</v>
      </c>
      <c r="S133" s="218">
        <f>ROUND(Q133/R133*1000,0)</f>
        <v>200</v>
      </c>
      <c r="T133" s="221"/>
      <c r="U133" s="221"/>
      <c r="V133" s="222"/>
    </row>
    <row r="134" spans="1:22" ht="14.25" thickBot="1">
      <c r="A134" s="227" t="s">
        <v>90</v>
      </c>
      <c r="B134" s="228">
        <v>102</v>
      </c>
      <c r="C134" s="228">
        <v>454</v>
      </c>
      <c r="D134" s="229">
        <f t="shared" si="22"/>
        <v>225</v>
      </c>
      <c r="E134" s="228">
        <v>63</v>
      </c>
      <c r="F134" s="228">
        <v>135</v>
      </c>
      <c r="G134" s="229">
        <f>ROUND(E134/F134*1000,0)</f>
        <v>467</v>
      </c>
      <c r="H134" s="228">
        <v>97</v>
      </c>
      <c r="I134" s="228">
        <v>220</v>
      </c>
      <c r="J134" s="229">
        <f t="shared" si="24"/>
        <v>441</v>
      </c>
      <c r="K134" s="228">
        <v>38</v>
      </c>
      <c r="L134" s="228">
        <v>72</v>
      </c>
      <c r="M134" s="229">
        <f t="shared" si="23"/>
        <v>528</v>
      </c>
      <c r="N134" s="230"/>
      <c r="O134" s="230"/>
      <c r="P134" s="229"/>
      <c r="Q134" s="230"/>
      <c r="R134" s="230"/>
      <c r="S134" s="229"/>
      <c r="T134" s="230"/>
      <c r="U134" s="230"/>
      <c r="V134" s="231"/>
    </row>
    <row r="135" spans="1:22">
      <c r="A135" s="232" t="s">
        <v>1743</v>
      </c>
      <c r="B135" s="233">
        <f>SUM(B136:B137)</f>
        <v>13448.240329999999</v>
      </c>
      <c r="C135" s="233">
        <f>SUM(C136:C137)</f>
        <v>103985.38900000001</v>
      </c>
      <c r="D135" s="233">
        <f t="shared" ref="D135:D149" si="26">B135/C135*1000</f>
        <v>129.32817253777833</v>
      </c>
      <c r="E135" s="233">
        <f>SUM(E136:E137)</f>
        <v>8954.7828700000009</v>
      </c>
      <c r="F135" s="233">
        <f>SUM(F136:F137)</f>
        <v>31231.87</v>
      </c>
      <c r="G135" s="233">
        <f>E135/F135*1000</f>
        <v>286.71939496418247</v>
      </c>
      <c r="H135" s="233">
        <f>SUM(H136:H137)</f>
        <v>7701.5262400000001</v>
      </c>
      <c r="I135" s="233">
        <f>SUM(I136:I137)</f>
        <v>21311.467000000001</v>
      </c>
      <c r="J135" s="233">
        <f>H135/I135*1000</f>
        <v>361.37945079050638</v>
      </c>
      <c r="K135" s="233">
        <f>SUM(K136:K137)</f>
        <v>2335.5831200000002</v>
      </c>
      <c r="L135" s="233">
        <f>SUM(L136:L137)</f>
        <v>7965.2480000000005</v>
      </c>
      <c r="M135" s="233">
        <f>K135/L135*1000</f>
        <v>293.22164482512034</v>
      </c>
      <c r="N135" s="233">
        <f>SUM(N136:N137)</f>
        <v>966.26764000000003</v>
      </c>
      <c r="O135" s="233">
        <f>SUM(O136:O137)</f>
        <v>1426.4639999999999</v>
      </c>
      <c r="P135" s="233">
        <f>N135/O135*1000</f>
        <v>677.38662875473904</v>
      </c>
      <c r="Q135" s="233">
        <f>SUM(Q136:Q137)</f>
        <v>20085.079999999998</v>
      </c>
      <c r="R135" s="233">
        <f>SUM(R136:R137)</f>
        <v>93162.78899999999</v>
      </c>
      <c r="S135" s="234">
        <f>Q135/R135*1000</f>
        <v>215.59122709389905</v>
      </c>
      <c r="T135" s="233">
        <f>SUM(T136:T137)</f>
        <v>346</v>
      </c>
      <c r="U135" s="233">
        <f>SUM(U136:U137)</f>
        <v>2191</v>
      </c>
      <c r="V135" s="235">
        <f>T135/U135*1000</f>
        <v>157.91875855773617</v>
      </c>
    </row>
    <row r="136" spans="1:22">
      <c r="A136" s="236" t="s">
        <v>1674</v>
      </c>
      <c r="B136" s="237">
        <f>SUM(B138:B147)</f>
        <v>12542.8</v>
      </c>
      <c r="C136" s="237">
        <f>SUM(C138:C147)</f>
        <v>96032.6</v>
      </c>
      <c r="D136" s="237">
        <f t="shared" si="26"/>
        <v>130.60981375074712</v>
      </c>
      <c r="E136" s="237">
        <f>SUM(E138:E147)</f>
        <v>8705.1</v>
      </c>
      <c r="F136" s="237">
        <f>SUM(F138:F147)</f>
        <v>30118.3</v>
      </c>
      <c r="G136" s="237">
        <f>E136/F136*1000</f>
        <v>289.03025735184258</v>
      </c>
      <c r="H136" s="237">
        <f>SUM(H138:H147)</f>
        <v>7122</v>
      </c>
      <c r="I136" s="237">
        <f>SUM(I138:I147)</f>
        <v>18904</v>
      </c>
      <c r="J136" s="237">
        <f>H136/I136*1000</f>
        <v>376.74566229369447</v>
      </c>
      <c r="K136" s="237">
        <f>SUM(K138:K147)</f>
        <v>2107.4</v>
      </c>
      <c r="L136" s="237">
        <f>SUM(L138:L147)</f>
        <v>6547.6</v>
      </c>
      <c r="M136" s="237">
        <f>K136/L136*1000</f>
        <v>321.8583908607734</v>
      </c>
      <c r="N136" s="237">
        <f>SUM(N138:N147)</f>
        <v>860</v>
      </c>
      <c r="O136" s="237">
        <f>SUM(O138:O147)</f>
        <v>1085</v>
      </c>
      <c r="P136" s="237">
        <f>N136/O136*1000</f>
        <v>792.62672811059906</v>
      </c>
      <c r="Q136" s="237">
        <f>SUM(Q138:Q147)</f>
        <v>19238.099999999999</v>
      </c>
      <c r="R136" s="237">
        <f>SUM(R138:R147)</f>
        <v>87864.4</v>
      </c>
      <c r="S136" s="238">
        <f>Q136/R136*1000</f>
        <v>218.95215809816034</v>
      </c>
      <c r="T136" s="239">
        <v>346</v>
      </c>
      <c r="U136" s="237">
        <v>2191</v>
      </c>
      <c r="V136" s="238">
        <f>T136/U136*1000</f>
        <v>157.91875855773617</v>
      </c>
    </row>
    <row r="137" spans="1:22">
      <c r="A137" s="240" t="s">
        <v>1616</v>
      </c>
      <c r="B137" s="241">
        <f>SUM(B148:B160)</f>
        <v>905.44033000000002</v>
      </c>
      <c r="C137" s="241">
        <f>SUM(C148:C160)</f>
        <v>7952.7889999999998</v>
      </c>
      <c r="D137" s="241">
        <f t="shared" si="26"/>
        <v>113.85192414887408</v>
      </c>
      <c r="E137" s="241">
        <f>SUM(E148:E160)</f>
        <v>249.68287000000001</v>
      </c>
      <c r="F137" s="241">
        <f>SUM(F148:F160)</f>
        <v>1113.57</v>
      </c>
      <c r="G137" s="241">
        <f>E137/F137*1000</f>
        <v>224.21838770800221</v>
      </c>
      <c r="H137" s="241">
        <f>SUM(H148:H160)</f>
        <v>579.52623999999992</v>
      </c>
      <c r="I137" s="241">
        <f>SUM(I148:I160)</f>
        <v>2407.4669999999996</v>
      </c>
      <c r="J137" s="241">
        <f>H137/I137*1000</f>
        <v>240.72032555378743</v>
      </c>
      <c r="K137" s="241">
        <f>SUM(K148:K160)</f>
        <v>228.18312</v>
      </c>
      <c r="L137" s="241">
        <f>SUM(L148:L160)</f>
        <v>1417.6480000000001</v>
      </c>
      <c r="M137" s="241">
        <f>K137/L137*1000</f>
        <v>160.95894044219719</v>
      </c>
      <c r="N137" s="241">
        <f>SUM(N148:N160)</f>
        <v>106.26764</v>
      </c>
      <c r="O137" s="241">
        <f>SUM(O148:O160)</f>
        <v>341.464</v>
      </c>
      <c r="P137" s="241">
        <f>N137/O137*1000</f>
        <v>311.21184077970156</v>
      </c>
      <c r="Q137" s="241">
        <f>SUM(Q148:Q160)</f>
        <v>846.98</v>
      </c>
      <c r="R137" s="241">
        <f>SUM(R148:R160)</f>
        <v>5298.3890000000001</v>
      </c>
      <c r="S137" s="242">
        <f>Q137/R137*1000</f>
        <v>159.85613740327483</v>
      </c>
      <c r="T137" s="241"/>
      <c r="U137" s="241"/>
      <c r="V137" s="243"/>
    </row>
    <row r="138" spans="1:22">
      <c r="A138" s="244" t="s">
        <v>1744</v>
      </c>
      <c r="B138" s="245">
        <v>1790</v>
      </c>
      <c r="C138" s="245">
        <v>22765</v>
      </c>
      <c r="D138" s="245">
        <f t="shared" si="26"/>
        <v>78.629475071381506</v>
      </c>
      <c r="E138" s="245">
        <v>794</v>
      </c>
      <c r="F138" s="245">
        <v>6578</v>
      </c>
      <c r="G138" s="245">
        <v>120.7</v>
      </c>
      <c r="H138" s="245">
        <v>2183</v>
      </c>
      <c r="I138" s="245">
        <v>6327</v>
      </c>
      <c r="J138" s="245">
        <v>345</v>
      </c>
      <c r="K138" s="245">
        <v>510</v>
      </c>
      <c r="L138" s="245">
        <v>2221</v>
      </c>
      <c r="M138" s="245">
        <v>229.6</v>
      </c>
      <c r="N138" s="246"/>
      <c r="O138" s="246"/>
      <c r="P138" s="246"/>
      <c r="Q138" s="246">
        <v>1223</v>
      </c>
      <c r="R138" s="246">
        <v>9323</v>
      </c>
      <c r="S138" s="247">
        <v>131.19999999999999</v>
      </c>
      <c r="T138" s="248"/>
      <c r="U138" s="249"/>
      <c r="V138" s="250"/>
    </row>
    <row r="139" spans="1:22">
      <c r="A139" s="244" t="s">
        <v>1745</v>
      </c>
      <c r="B139" s="251">
        <v>1863</v>
      </c>
      <c r="C139" s="251">
        <v>10617</v>
      </c>
      <c r="D139" s="251">
        <f t="shared" si="26"/>
        <v>175.47329754167845</v>
      </c>
      <c r="E139" s="251">
        <v>729</v>
      </c>
      <c r="F139" s="251">
        <v>1750</v>
      </c>
      <c r="G139" s="251">
        <v>416</v>
      </c>
      <c r="H139" s="251">
        <v>2994</v>
      </c>
      <c r="I139" s="251">
        <v>5382</v>
      </c>
      <c r="J139" s="251">
        <v>556</v>
      </c>
      <c r="K139" s="251">
        <v>598</v>
      </c>
      <c r="L139" s="251">
        <v>1087</v>
      </c>
      <c r="M139" s="251">
        <v>550</v>
      </c>
      <c r="N139" s="246"/>
      <c r="O139" s="246"/>
      <c r="P139" s="246"/>
      <c r="Q139" s="251">
        <v>309</v>
      </c>
      <c r="R139" s="251">
        <v>1038</v>
      </c>
      <c r="S139" s="252">
        <v>298</v>
      </c>
      <c r="T139" s="248"/>
      <c r="U139" s="249"/>
      <c r="V139" s="250"/>
    </row>
    <row r="140" spans="1:22">
      <c r="A140" s="244" t="s">
        <v>1746</v>
      </c>
      <c r="B140" s="245">
        <v>750.8</v>
      </c>
      <c r="C140" s="245">
        <v>5234.6000000000004</v>
      </c>
      <c r="D140" s="245">
        <f t="shared" si="26"/>
        <v>143.43025255033811</v>
      </c>
      <c r="E140" s="245">
        <v>988.1</v>
      </c>
      <c r="F140" s="245">
        <v>2885.3</v>
      </c>
      <c r="G140" s="245">
        <f t="shared" ref="G140:G147" si="27">E140/F140*1000</f>
        <v>342.4600561466745</v>
      </c>
      <c r="H140" s="246"/>
      <c r="I140" s="246"/>
      <c r="J140" s="246"/>
      <c r="K140" s="245">
        <v>188.4</v>
      </c>
      <c r="L140" s="245">
        <v>384.6</v>
      </c>
      <c r="M140" s="245">
        <f>K140/L140*1000</f>
        <v>489.85959438377535</v>
      </c>
      <c r="N140" s="246"/>
      <c r="O140" s="246"/>
      <c r="P140" s="246"/>
      <c r="Q140" s="245">
        <v>890.1</v>
      </c>
      <c r="R140" s="245">
        <v>4556.3999999999996</v>
      </c>
      <c r="S140" s="253">
        <f>Q140/R140*1000</f>
        <v>195.35159336318148</v>
      </c>
      <c r="T140" s="248"/>
      <c r="U140" s="249"/>
      <c r="V140" s="250"/>
    </row>
    <row r="141" spans="1:22">
      <c r="A141" s="244" t="s">
        <v>1747</v>
      </c>
      <c r="B141" s="245">
        <v>627</v>
      </c>
      <c r="C141" s="245">
        <v>6748</v>
      </c>
      <c r="D141" s="245">
        <f t="shared" si="26"/>
        <v>92.916419679905161</v>
      </c>
      <c r="E141" s="245">
        <v>475</v>
      </c>
      <c r="F141" s="245">
        <v>2028</v>
      </c>
      <c r="G141" s="245">
        <f t="shared" si="27"/>
        <v>234.22090729783037</v>
      </c>
      <c r="H141" s="245">
        <v>706</v>
      </c>
      <c r="I141" s="245">
        <v>2410</v>
      </c>
      <c r="J141" s="245">
        <f>H141/I141*1000</f>
        <v>292.94605809128632</v>
      </c>
      <c r="K141" s="245">
        <v>131</v>
      </c>
      <c r="L141" s="245">
        <v>849</v>
      </c>
      <c r="M141" s="245">
        <f t="shared" ref="M141:M146" si="28">K141/L141*1000</f>
        <v>154.29917550058892</v>
      </c>
      <c r="N141" s="245">
        <v>1</v>
      </c>
      <c r="O141" s="245">
        <v>1</v>
      </c>
      <c r="P141" s="245">
        <f>N141/O141*1000</f>
        <v>1000</v>
      </c>
      <c r="Q141" s="245">
        <v>8</v>
      </c>
      <c r="R141" s="245">
        <v>54</v>
      </c>
      <c r="S141" s="253">
        <f>Q141/R141*1000</f>
        <v>148.14814814814815</v>
      </c>
      <c r="T141" s="248"/>
      <c r="U141" s="249"/>
      <c r="V141" s="250"/>
    </row>
    <row r="142" spans="1:22">
      <c r="A142" s="244" t="s">
        <v>1748</v>
      </c>
      <c r="B142" s="251">
        <v>3016</v>
      </c>
      <c r="C142" s="251">
        <v>23868</v>
      </c>
      <c r="D142" s="245">
        <f t="shared" si="26"/>
        <v>126.36165577342048</v>
      </c>
      <c r="E142" s="251">
        <v>2389</v>
      </c>
      <c r="F142" s="251">
        <v>8582</v>
      </c>
      <c r="G142" s="245">
        <f t="shared" si="27"/>
        <v>278.37333954789096</v>
      </c>
      <c r="H142" s="245">
        <v>157</v>
      </c>
      <c r="I142" s="245">
        <v>507</v>
      </c>
      <c r="J142" s="245">
        <f>H142/I142*1000</f>
        <v>309.66469428007895</v>
      </c>
      <c r="K142" s="245">
        <v>12</v>
      </c>
      <c r="L142" s="245">
        <v>56</v>
      </c>
      <c r="M142" s="245">
        <f t="shared" si="28"/>
        <v>214.28571428571428</v>
      </c>
      <c r="N142" s="251">
        <v>859</v>
      </c>
      <c r="O142" s="251">
        <v>1084</v>
      </c>
      <c r="P142" s="245">
        <f>N142/O142*1000</f>
        <v>792.43542435424354</v>
      </c>
      <c r="Q142" s="251">
        <v>16710</v>
      </c>
      <c r="R142" s="251">
        <v>72591</v>
      </c>
      <c r="S142" s="253">
        <f>Q142/R142*1000</f>
        <v>230.19382568086951</v>
      </c>
      <c r="T142" s="254">
        <v>346</v>
      </c>
      <c r="U142" s="246">
        <v>2191</v>
      </c>
      <c r="V142" s="247">
        <f>T142/U142*1000</f>
        <v>157.91875855773617</v>
      </c>
    </row>
    <row r="143" spans="1:22">
      <c r="A143" s="244" t="s">
        <v>1749</v>
      </c>
      <c r="B143" s="245">
        <v>816</v>
      </c>
      <c r="C143" s="251">
        <v>5172</v>
      </c>
      <c r="D143" s="245">
        <f t="shared" si="26"/>
        <v>157.77262180974478</v>
      </c>
      <c r="E143" s="245">
        <v>58</v>
      </c>
      <c r="F143" s="245">
        <v>307</v>
      </c>
      <c r="G143" s="245">
        <f t="shared" si="27"/>
        <v>188.92508143322476</v>
      </c>
      <c r="H143" s="245">
        <v>546</v>
      </c>
      <c r="I143" s="251">
        <v>2143</v>
      </c>
      <c r="J143" s="245">
        <f>H143/I143*1000</f>
        <v>254.78301446570228</v>
      </c>
      <c r="K143" s="245">
        <v>220</v>
      </c>
      <c r="L143" s="245">
        <v>537</v>
      </c>
      <c r="M143" s="245">
        <f t="shared" si="28"/>
        <v>409.68342644320302</v>
      </c>
      <c r="N143" s="246"/>
      <c r="O143" s="246"/>
      <c r="P143" s="246"/>
      <c r="Q143" s="246"/>
      <c r="R143" s="246"/>
      <c r="S143" s="247"/>
      <c r="T143" s="248"/>
      <c r="U143" s="249"/>
      <c r="V143" s="250"/>
    </row>
    <row r="144" spans="1:22">
      <c r="A144" s="244" t="s">
        <v>1750</v>
      </c>
      <c r="B144" s="245">
        <v>385</v>
      </c>
      <c r="C144" s="245">
        <v>3392</v>
      </c>
      <c r="D144" s="245">
        <f t="shared" si="26"/>
        <v>113.50235849056604</v>
      </c>
      <c r="E144" s="245">
        <v>55</v>
      </c>
      <c r="F144" s="245">
        <v>378</v>
      </c>
      <c r="G144" s="245">
        <f t="shared" si="27"/>
        <v>145.50264550264549</v>
      </c>
      <c r="H144" s="245">
        <v>286</v>
      </c>
      <c r="I144" s="245">
        <v>1060</v>
      </c>
      <c r="J144" s="245">
        <f>H144/I144*1000</f>
        <v>269.81132075471697</v>
      </c>
      <c r="K144" s="245">
        <v>60</v>
      </c>
      <c r="L144" s="245">
        <v>391</v>
      </c>
      <c r="M144" s="245">
        <f t="shared" si="28"/>
        <v>153.45268542199489</v>
      </c>
      <c r="N144" s="246"/>
      <c r="O144" s="246"/>
      <c r="P144" s="246"/>
      <c r="Q144" s="246"/>
      <c r="R144" s="246"/>
      <c r="S144" s="247"/>
      <c r="T144" s="248"/>
      <c r="U144" s="249"/>
      <c r="V144" s="250"/>
    </row>
    <row r="145" spans="1:22">
      <c r="A145" s="244" t="s">
        <v>1751</v>
      </c>
      <c r="B145" s="245">
        <v>514</v>
      </c>
      <c r="C145" s="245">
        <v>3075</v>
      </c>
      <c r="D145" s="245">
        <f t="shared" si="26"/>
        <v>167.15447154471545</v>
      </c>
      <c r="E145" s="245">
        <v>366</v>
      </c>
      <c r="F145" s="245">
        <v>1661</v>
      </c>
      <c r="G145" s="245">
        <f t="shared" si="27"/>
        <v>220.34918723660445</v>
      </c>
      <c r="H145" s="245">
        <v>99</v>
      </c>
      <c r="I145" s="245">
        <v>276</v>
      </c>
      <c r="J145" s="245">
        <f>H145/I145*1000</f>
        <v>358.695652173913</v>
      </c>
      <c r="K145" s="245">
        <v>3</v>
      </c>
      <c r="L145" s="245">
        <v>16</v>
      </c>
      <c r="M145" s="245">
        <f t="shared" si="28"/>
        <v>187.5</v>
      </c>
      <c r="N145" s="246"/>
      <c r="O145" s="246"/>
      <c r="P145" s="246"/>
      <c r="Q145" s="246"/>
      <c r="R145" s="246"/>
      <c r="S145" s="247"/>
      <c r="T145" s="248"/>
      <c r="U145" s="249"/>
      <c r="V145" s="250"/>
    </row>
    <row r="146" spans="1:22">
      <c r="A146" s="244" t="s">
        <v>1752</v>
      </c>
      <c r="B146" s="245">
        <v>249</v>
      </c>
      <c r="C146" s="245">
        <v>2744</v>
      </c>
      <c r="D146" s="245">
        <f t="shared" si="26"/>
        <v>90.743440233236143</v>
      </c>
      <c r="E146" s="245">
        <v>97</v>
      </c>
      <c r="F146" s="245">
        <v>783</v>
      </c>
      <c r="G146" s="245">
        <f t="shared" si="27"/>
        <v>123.88250319284802</v>
      </c>
      <c r="H146" s="245">
        <v>151</v>
      </c>
      <c r="I146" s="245">
        <v>799</v>
      </c>
      <c r="J146" s="245">
        <v>189</v>
      </c>
      <c r="K146" s="245">
        <v>23</v>
      </c>
      <c r="L146" s="245">
        <v>174</v>
      </c>
      <c r="M146" s="245">
        <f t="shared" si="28"/>
        <v>132.18390804597701</v>
      </c>
      <c r="N146" s="246"/>
      <c r="O146" s="246"/>
      <c r="P146" s="246"/>
      <c r="Q146" s="246"/>
      <c r="R146" s="246"/>
      <c r="S146" s="247"/>
      <c r="T146" s="248"/>
      <c r="U146" s="249"/>
      <c r="V146" s="250"/>
    </row>
    <row r="147" spans="1:22">
      <c r="A147" s="244" t="s">
        <v>1753</v>
      </c>
      <c r="B147" s="245">
        <v>2532</v>
      </c>
      <c r="C147" s="245">
        <v>12417</v>
      </c>
      <c r="D147" s="251">
        <f t="shared" si="26"/>
        <v>203.91398888620441</v>
      </c>
      <c r="E147" s="251">
        <v>2754</v>
      </c>
      <c r="F147" s="251">
        <v>5166</v>
      </c>
      <c r="G147" s="251">
        <f t="shared" si="27"/>
        <v>533.10104529616717</v>
      </c>
      <c r="H147" s="246"/>
      <c r="I147" s="246"/>
      <c r="J147" s="246"/>
      <c r="K147" s="251">
        <v>362</v>
      </c>
      <c r="L147" s="251">
        <v>832</v>
      </c>
      <c r="M147" s="251">
        <f>K147/L147*1000</f>
        <v>435.09615384615387</v>
      </c>
      <c r="N147" s="246"/>
      <c r="O147" s="246"/>
      <c r="P147" s="246"/>
      <c r="Q147" s="251">
        <v>98</v>
      </c>
      <c r="R147" s="251">
        <v>302</v>
      </c>
      <c r="S147" s="252">
        <f>Q147/R147*1000</f>
        <v>324.50331125827813</v>
      </c>
      <c r="T147" s="248"/>
      <c r="U147" s="249"/>
      <c r="V147" s="250"/>
    </row>
    <row r="148" spans="1:22">
      <c r="A148" s="244" t="s">
        <v>1754</v>
      </c>
      <c r="B148" s="246" t="s">
        <v>1694</v>
      </c>
      <c r="C148" s="246"/>
      <c r="D148" s="246"/>
      <c r="E148" s="246"/>
      <c r="F148" s="246"/>
      <c r="G148" s="246"/>
      <c r="H148" s="246"/>
      <c r="I148" s="246"/>
      <c r="J148" s="246"/>
      <c r="K148" s="246"/>
      <c r="L148" s="246"/>
      <c r="M148" s="246"/>
      <c r="N148" s="246"/>
      <c r="O148" s="246"/>
      <c r="P148" s="246"/>
      <c r="Q148" s="246"/>
      <c r="R148" s="246"/>
      <c r="S148" s="247"/>
      <c r="T148" s="248"/>
      <c r="U148" s="249"/>
      <c r="V148" s="250"/>
    </row>
    <row r="149" spans="1:22">
      <c r="A149" s="244" t="s">
        <v>1755</v>
      </c>
      <c r="B149" s="245">
        <v>91</v>
      </c>
      <c r="C149" s="245">
        <f>701+142</f>
        <v>843</v>
      </c>
      <c r="D149" s="251">
        <f t="shared" si="26"/>
        <v>107.94780545670226</v>
      </c>
      <c r="E149" s="245">
        <v>141</v>
      </c>
      <c r="F149" s="245">
        <f>532+42</f>
        <v>574</v>
      </c>
      <c r="G149" s="251">
        <f>E149/F149*1000</f>
        <v>245.64459930313589</v>
      </c>
      <c r="H149" s="246"/>
      <c r="I149" s="246"/>
      <c r="J149" s="246"/>
      <c r="K149" s="245">
        <v>19</v>
      </c>
      <c r="L149" s="245">
        <f>53+13</f>
        <v>66</v>
      </c>
      <c r="M149" s="245">
        <f>K149/L149*1000</f>
        <v>287.87878787878788</v>
      </c>
      <c r="N149" s="246"/>
      <c r="O149" s="246"/>
      <c r="P149" s="246"/>
      <c r="Q149" s="246"/>
      <c r="R149" s="246"/>
      <c r="S149" s="247"/>
      <c r="T149" s="248"/>
      <c r="U149" s="249"/>
      <c r="V149" s="250"/>
    </row>
    <row r="150" spans="1:22">
      <c r="A150" s="244" t="s">
        <v>1756</v>
      </c>
      <c r="B150" s="246" t="s">
        <v>1694</v>
      </c>
      <c r="C150" s="246"/>
      <c r="D150" s="246"/>
      <c r="E150" s="246"/>
      <c r="F150" s="246"/>
      <c r="G150" s="246"/>
      <c r="H150" s="246"/>
      <c r="I150" s="246"/>
      <c r="J150" s="246"/>
      <c r="K150" s="246"/>
      <c r="L150" s="246"/>
      <c r="M150" s="246"/>
      <c r="N150" s="246"/>
      <c r="O150" s="246"/>
      <c r="P150" s="246"/>
      <c r="Q150" s="246"/>
      <c r="R150" s="246"/>
      <c r="S150" s="247"/>
      <c r="T150" s="248"/>
      <c r="U150" s="249"/>
      <c r="V150" s="250"/>
    </row>
    <row r="151" spans="1:22">
      <c r="A151" s="244" t="s">
        <v>1757</v>
      </c>
      <c r="B151" s="246" t="s">
        <v>1694</v>
      </c>
      <c r="C151" s="246"/>
      <c r="D151" s="246"/>
      <c r="E151" s="246"/>
      <c r="F151" s="246"/>
      <c r="G151" s="246"/>
      <c r="H151" s="246"/>
      <c r="I151" s="246"/>
      <c r="J151" s="246"/>
      <c r="K151" s="246"/>
      <c r="L151" s="246"/>
      <c r="M151" s="246"/>
      <c r="N151" s="246"/>
      <c r="O151" s="246"/>
      <c r="P151" s="246"/>
      <c r="Q151" s="246"/>
      <c r="R151" s="246"/>
      <c r="S151" s="247"/>
      <c r="T151" s="248"/>
      <c r="U151" s="249"/>
      <c r="V151" s="250"/>
    </row>
    <row r="152" spans="1:22">
      <c r="A152" s="244" t="s">
        <v>1758</v>
      </c>
      <c r="B152" s="245">
        <v>74</v>
      </c>
      <c r="C152" s="245">
        <v>800</v>
      </c>
      <c r="D152" s="245">
        <f>B152/C152*1000</f>
        <v>92.5</v>
      </c>
      <c r="E152" s="245">
        <v>20</v>
      </c>
      <c r="F152" s="245">
        <v>85</v>
      </c>
      <c r="G152" s="245">
        <f>E152/F152*1000</f>
        <v>235.29411764705881</v>
      </c>
      <c r="H152" s="245">
        <v>105</v>
      </c>
      <c r="I152" s="245">
        <v>531</v>
      </c>
      <c r="J152" s="245">
        <f>H152/I152*1000</f>
        <v>197.74011299435028</v>
      </c>
      <c r="K152" s="245">
        <v>48</v>
      </c>
      <c r="L152" s="245">
        <v>252</v>
      </c>
      <c r="M152" s="245">
        <f>K152/L152*1000</f>
        <v>190.47619047619045</v>
      </c>
      <c r="N152" s="245"/>
      <c r="O152" s="245"/>
      <c r="P152" s="245"/>
      <c r="Q152" s="245">
        <v>19</v>
      </c>
      <c r="R152" s="245">
        <v>175</v>
      </c>
      <c r="S152" s="253">
        <f>Q152/R152*1000</f>
        <v>108.57142857142857</v>
      </c>
      <c r="T152" s="248"/>
      <c r="U152" s="249"/>
      <c r="V152" s="250"/>
    </row>
    <row r="153" spans="1:22">
      <c r="A153" s="244" t="s">
        <v>1759</v>
      </c>
      <c r="B153" s="245">
        <v>62</v>
      </c>
      <c r="C153" s="245">
        <v>767</v>
      </c>
      <c r="D153" s="245">
        <f>B153/C153*1000</f>
        <v>80.834419817470661</v>
      </c>
      <c r="E153" s="246"/>
      <c r="F153" s="246"/>
      <c r="G153" s="246"/>
      <c r="H153" s="245">
        <v>82</v>
      </c>
      <c r="I153" s="245">
        <v>485</v>
      </c>
      <c r="J153" s="245">
        <f>H153/I153*1000</f>
        <v>169.0721649484536</v>
      </c>
      <c r="K153" s="245">
        <v>26</v>
      </c>
      <c r="L153" s="245">
        <v>78</v>
      </c>
      <c r="M153" s="245">
        <f>K153/L153*1000</f>
        <v>333.33333333333331</v>
      </c>
      <c r="N153" s="246"/>
      <c r="O153" s="246"/>
      <c r="P153" s="246"/>
      <c r="Q153" s="245">
        <v>45</v>
      </c>
      <c r="R153" s="245">
        <v>237</v>
      </c>
      <c r="S153" s="253">
        <f>Q153/R153*1000</f>
        <v>189.87341772151899</v>
      </c>
      <c r="T153" s="248"/>
      <c r="U153" s="249"/>
      <c r="V153" s="250"/>
    </row>
    <row r="154" spans="1:22">
      <c r="A154" s="244" t="s">
        <v>1760</v>
      </c>
      <c r="B154" s="245">
        <v>83</v>
      </c>
      <c r="C154" s="245">
        <v>403</v>
      </c>
      <c r="D154" s="245">
        <f>B154/C154*1000</f>
        <v>205.95533498759306</v>
      </c>
      <c r="E154" s="245">
        <v>32</v>
      </c>
      <c r="F154" s="245">
        <v>111</v>
      </c>
      <c r="G154" s="245">
        <f>E154/F154*1000</f>
        <v>288.2882882882883</v>
      </c>
      <c r="H154" s="245">
        <v>96</v>
      </c>
      <c r="I154" s="245">
        <v>308</v>
      </c>
      <c r="J154" s="245">
        <f>H154/I154*1000</f>
        <v>311.68831168831167</v>
      </c>
      <c r="K154" s="245">
        <v>5</v>
      </c>
      <c r="L154" s="245">
        <v>16</v>
      </c>
      <c r="M154" s="245">
        <f>K154/L154*1000</f>
        <v>312.5</v>
      </c>
      <c r="N154" s="246"/>
      <c r="O154" s="246"/>
      <c r="P154" s="246"/>
      <c r="Q154" s="246"/>
      <c r="R154" s="246"/>
      <c r="S154" s="247"/>
      <c r="T154" s="248"/>
      <c r="U154" s="249"/>
      <c r="V154" s="250"/>
    </row>
    <row r="155" spans="1:22">
      <c r="A155" s="244" t="s">
        <v>1761</v>
      </c>
      <c r="B155" s="246" t="s">
        <v>1694</v>
      </c>
      <c r="C155" s="246"/>
      <c r="D155" s="246"/>
      <c r="E155" s="246"/>
      <c r="F155" s="246"/>
      <c r="G155" s="246"/>
      <c r="H155" s="246"/>
      <c r="I155" s="246"/>
      <c r="J155" s="246"/>
      <c r="K155" s="246"/>
      <c r="L155" s="246"/>
      <c r="M155" s="246"/>
      <c r="N155" s="246"/>
      <c r="O155" s="246"/>
      <c r="P155" s="246"/>
      <c r="Q155" s="246"/>
      <c r="R155" s="246"/>
      <c r="S155" s="247"/>
      <c r="T155" s="248"/>
      <c r="U155" s="249"/>
      <c r="V155" s="250"/>
    </row>
    <row r="156" spans="1:22">
      <c r="A156" s="244" t="s">
        <v>1762</v>
      </c>
      <c r="B156" s="246">
        <v>546.44033000000002</v>
      </c>
      <c r="C156" s="246">
        <v>4557.7889999999998</v>
      </c>
      <c r="D156" s="245">
        <f>B156/C156*1000</f>
        <v>119.89153732215337</v>
      </c>
      <c r="E156" s="246">
        <v>38.682870000000001</v>
      </c>
      <c r="F156" s="246">
        <v>201.57</v>
      </c>
      <c r="G156" s="245">
        <f>E156/F156*1000</f>
        <v>191.90787319541599</v>
      </c>
      <c r="H156" s="246">
        <v>295.84623999999997</v>
      </c>
      <c r="I156" s="246">
        <v>1077.4669999999999</v>
      </c>
      <c r="J156" s="245">
        <f>H156/I156*1000</f>
        <v>274.57568538061957</v>
      </c>
      <c r="K156" s="246">
        <v>6.1831199999999997</v>
      </c>
      <c r="L156" s="246">
        <v>39.647999999999996</v>
      </c>
      <c r="M156" s="245">
        <f>K156/L156*1000</f>
        <v>155.95036319612592</v>
      </c>
      <c r="N156" s="246">
        <v>70.26764</v>
      </c>
      <c r="O156" s="246">
        <v>122.464</v>
      </c>
      <c r="P156" s="245">
        <f>N156/O156*1000</f>
        <v>573.7820094068461</v>
      </c>
      <c r="Q156" s="246">
        <v>782.88</v>
      </c>
      <c r="R156" s="246">
        <v>4884.6890000000003</v>
      </c>
      <c r="S156" s="245">
        <f>Q156/R156*1000</f>
        <v>160.27223022796332</v>
      </c>
      <c r="T156" s="248"/>
      <c r="U156" s="249"/>
      <c r="V156" s="250"/>
    </row>
    <row r="157" spans="1:22">
      <c r="A157" s="244" t="s">
        <v>1763</v>
      </c>
      <c r="B157" s="246" t="s">
        <v>1694</v>
      </c>
      <c r="C157" s="246"/>
      <c r="D157" s="246"/>
      <c r="E157" s="246"/>
      <c r="F157" s="246"/>
      <c r="G157" s="246"/>
      <c r="H157" s="246"/>
      <c r="I157" s="246"/>
      <c r="J157" s="246"/>
      <c r="K157" s="246"/>
      <c r="L157" s="246"/>
      <c r="M157" s="246"/>
      <c r="N157" s="246"/>
      <c r="O157" s="246"/>
      <c r="P157" s="246"/>
      <c r="Q157" s="246"/>
      <c r="R157" s="246"/>
      <c r="S157" s="247"/>
      <c r="T157" s="248"/>
      <c r="U157" s="249"/>
      <c r="V157" s="250"/>
    </row>
    <row r="158" spans="1:22">
      <c r="A158" s="244" t="s">
        <v>1764</v>
      </c>
      <c r="B158" s="246" t="s">
        <v>1694</v>
      </c>
      <c r="C158" s="246"/>
      <c r="D158" s="246"/>
      <c r="E158" s="246"/>
      <c r="F158" s="246"/>
      <c r="G158" s="246"/>
      <c r="H158" s="246"/>
      <c r="I158" s="246"/>
      <c r="J158" s="246"/>
      <c r="K158" s="246"/>
      <c r="L158" s="246"/>
      <c r="M158" s="246"/>
      <c r="N158" s="246"/>
      <c r="O158" s="246"/>
      <c r="P158" s="246"/>
      <c r="Q158" s="246"/>
      <c r="R158" s="246"/>
      <c r="S158" s="247"/>
      <c r="T158" s="248"/>
      <c r="U158" s="249"/>
      <c r="V158" s="250"/>
    </row>
    <row r="159" spans="1:22">
      <c r="A159" s="244" t="s">
        <v>1765</v>
      </c>
      <c r="B159" s="245">
        <v>49</v>
      </c>
      <c r="C159" s="245">
        <v>582</v>
      </c>
      <c r="D159" s="245">
        <f>B159/C159*1000</f>
        <v>84.192439862542955</v>
      </c>
      <c r="E159" s="245">
        <v>18</v>
      </c>
      <c r="F159" s="245">
        <v>142</v>
      </c>
      <c r="G159" s="245">
        <f>E159/F159*1000</f>
        <v>126.76056338028168</v>
      </c>
      <c r="H159" s="245">
        <v>0.68</v>
      </c>
      <c r="I159" s="245">
        <v>6</v>
      </c>
      <c r="J159" s="245">
        <f>H159/I159*1000</f>
        <v>113.33333333333334</v>
      </c>
      <c r="K159" s="245">
        <v>124</v>
      </c>
      <c r="L159" s="245">
        <v>966</v>
      </c>
      <c r="M159" s="245">
        <f>K159/L159*1000</f>
        <v>128.36438923395445</v>
      </c>
      <c r="N159" s="245">
        <v>36</v>
      </c>
      <c r="O159" s="245">
        <v>219</v>
      </c>
      <c r="P159" s="245">
        <f>N159/O159*1000</f>
        <v>164.38356164383561</v>
      </c>
      <c r="Q159" s="245">
        <v>0.1</v>
      </c>
      <c r="R159" s="245">
        <v>1.7</v>
      </c>
      <c r="S159" s="245">
        <f>Q159/R159*1000</f>
        <v>58.82352941176471</v>
      </c>
      <c r="T159" s="248"/>
      <c r="U159" s="249"/>
      <c r="V159" s="250"/>
    </row>
    <row r="160" spans="1:22">
      <c r="A160" s="255" t="s">
        <v>1766</v>
      </c>
      <c r="B160" s="256" t="s">
        <v>1694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7"/>
      <c r="T160" s="258"/>
      <c r="U160" s="259"/>
      <c r="V160" s="260"/>
    </row>
    <row r="161" spans="1:19">
      <c r="A161" s="261" t="s">
        <v>91</v>
      </c>
      <c r="B161" s="262">
        <f>SUM(B162:B181)</f>
        <v>20688.950809999998</v>
      </c>
      <c r="C161" s="262">
        <f>SUM(C162:C181)</f>
        <v>146895.84</v>
      </c>
      <c r="D161" s="262">
        <f t="shared" ref="D161:D181" si="29">(B161/C161)*1000</f>
        <v>140.84095785149532</v>
      </c>
      <c r="E161" s="262">
        <f>SUM(E162:E181)</f>
        <v>8231.0700199999992</v>
      </c>
      <c r="F161" s="262">
        <f>SUM(F162:F181)</f>
        <v>27182.719000000001</v>
      </c>
      <c r="G161" s="262">
        <f t="shared" ref="G161:G166" si="30">E161/F161*1000</f>
        <v>302.80524990895867</v>
      </c>
      <c r="H161" s="262">
        <f>SUM(H162:H181)</f>
        <v>12972.71336</v>
      </c>
      <c r="I161" s="262">
        <f>SUM(I162:I181)</f>
        <v>43914.877</v>
      </c>
      <c r="J161" s="262">
        <f>H161/I161*1000</f>
        <v>295.40589081007784</v>
      </c>
      <c r="K161" s="262">
        <f>SUM(K162:K181)</f>
        <v>3613.7435499999992</v>
      </c>
      <c r="L161" s="262">
        <f>SUM(L162:L181)</f>
        <v>16985.198</v>
      </c>
      <c r="M161" s="262">
        <f>K161/L161*1000</f>
        <v>212.75839999039158</v>
      </c>
      <c r="N161" s="262">
        <f>SUM(N162:N181)</f>
        <v>0</v>
      </c>
      <c r="O161" s="262">
        <f>SUM(O162:O181)</f>
        <v>0</v>
      </c>
      <c r="P161" s="262"/>
      <c r="Q161" s="262">
        <f>SUM(Q162:Q181)</f>
        <v>8701.4</v>
      </c>
      <c r="R161" s="262">
        <f>SUM(R162:R181)</f>
        <v>40433</v>
      </c>
      <c r="S161" s="262">
        <f t="shared" ref="S161:S169" si="31">Q161/R161*1000</f>
        <v>215.20540152845447</v>
      </c>
    </row>
    <row r="162" spans="1:19">
      <c r="A162" s="5" t="s">
        <v>92</v>
      </c>
      <c r="B162" s="263">
        <v>5866</v>
      </c>
      <c r="C162" s="263">
        <v>33249</v>
      </c>
      <c r="D162" s="263">
        <f t="shared" si="29"/>
        <v>176.42635868747934</v>
      </c>
      <c r="E162" s="263">
        <v>4957</v>
      </c>
      <c r="F162" s="263">
        <v>12924</v>
      </c>
      <c r="G162" s="263">
        <f t="shared" si="30"/>
        <v>383.54998452491492</v>
      </c>
      <c r="H162" s="264"/>
      <c r="I162" s="264"/>
      <c r="J162" s="263"/>
      <c r="K162" s="263">
        <v>718</v>
      </c>
      <c r="L162" s="263">
        <v>2099</v>
      </c>
      <c r="M162" s="263">
        <f t="shared" ref="M162:M181" si="32">K162/L162*1000</f>
        <v>342.06765126250593</v>
      </c>
      <c r="N162" s="264"/>
      <c r="O162" s="264"/>
      <c r="P162" s="264"/>
      <c r="Q162" s="263">
        <v>5292</v>
      </c>
      <c r="R162" s="263">
        <v>19599</v>
      </c>
      <c r="S162" s="263">
        <f t="shared" si="31"/>
        <v>270.01377621307211</v>
      </c>
    </row>
    <row r="163" spans="1:19">
      <c r="A163" s="5" t="s">
        <v>93</v>
      </c>
      <c r="B163" s="263">
        <v>3301</v>
      </c>
      <c r="C163" s="263">
        <v>22148</v>
      </c>
      <c r="D163" s="263">
        <f t="shared" si="29"/>
        <v>149.04280296189273</v>
      </c>
      <c r="E163" s="263">
        <v>803</v>
      </c>
      <c r="F163" s="263">
        <v>3647</v>
      </c>
      <c r="G163" s="263">
        <f t="shared" si="30"/>
        <v>220.18097066081711</v>
      </c>
      <c r="H163" s="263">
        <v>1898</v>
      </c>
      <c r="I163" s="263">
        <v>8428</v>
      </c>
      <c r="J163" s="263">
        <f t="shared" ref="J163:J172" si="33">H163/I163*1000</f>
        <v>225.20170859041292</v>
      </c>
      <c r="K163" s="263">
        <v>464</v>
      </c>
      <c r="L163" s="263">
        <v>2721</v>
      </c>
      <c r="M163" s="263">
        <f t="shared" si="32"/>
        <v>170.52554208011762</v>
      </c>
      <c r="N163" s="263"/>
      <c r="O163" s="263"/>
      <c r="P163" s="263"/>
      <c r="Q163" s="263">
        <v>464</v>
      </c>
      <c r="R163" s="263">
        <v>2721</v>
      </c>
      <c r="S163" s="263">
        <f t="shared" si="31"/>
        <v>170.52554208011762</v>
      </c>
    </row>
    <row r="164" spans="1:19">
      <c r="A164" s="5" t="s">
        <v>94</v>
      </c>
      <c r="B164" s="263">
        <v>2403</v>
      </c>
      <c r="C164" s="263">
        <v>19282</v>
      </c>
      <c r="D164" s="263">
        <f t="shared" si="29"/>
        <v>124.62400165957888</v>
      </c>
      <c r="E164" s="263">
        <v>712</v>
      </c>
      <c r="F164" s="263">
        <v>1976</v>
      </c>
      <c r="G164" s="263">
        <f t="shared" si="30"/>
        <v>360.32388663967612</v>
      </c>
      <c r="H164" s="263">
        <v>2881</v>
      </c>
      <c r="I164" s="263">
        <v>9198</v>
      </c>
      <c r="J164" s="263">
        <f t="shared" si="33"/>
        <v>313.22026527505983</v>
      </c>
      <c r="K164" s="263">
        <v>333</v>
      </c>
      <c r="L164" s="263">
        <v>2530</v>
      </c>
      <c r="M164" s="263">
        <f t="shared" si="32"/>
        <v>131.62055335968378</v>
      </c>
      <c r="N164" s="263"/>
      <c r="O164" s="263"/>
      <c r="P164" s="263"/>
      <c r="Q164" s="263">
        <v>1227</v>
      </c>
      <c r="R164" s="263">
        <v>8412</v>
      </c>
      <c r="S164" s="263">
        <f t="shared" si="31"/>
        <v>145.86305278174035</v>
      </c>
    </row>
    <row r="165" spans="1:19">
      <c r="A165" s="5" t="s">
        <v>95</v>
      </c>
      <c r="B165" s="263">
        <v>902</v>
      </c>
      <c r="C165" s="263">
        <v>9396</v>
      </c>
      <c r="D165" s="263">
        <f t="shared" si="29"/>
        <v>95.99829714772244</v>
      </c>
      <c r="E165" s="263">
        <v>270</v>
      </c>
      <c r="F165" s="263">
        <v>1223</v>
      </c>
      <c r="G165" s="263">
        <f t="shared" si="30"/>
        <v>220.76860179885526</v>
      </c>
      <c r="H165" s="263">
        <v>634</v>
      </c>
      <c r="I165" s="263">
        <v>2567</v>
      </c>
      <c r="J165" s="263">
        <f t="shared" si="33"/>
        <v>246.98091156992598</v>
      </c>
      <c r="K165" s="263">
        <v>158</v>
      </c>
      <c r="L165" s="263">
        <v>829</v>
      </c>
      <c r="M165" s="263">
        <f t="shared" si="32"/>
        <v>190.59107358262966</v>
      </c>
      <c r="N165" s="263"/>
      <c r="O165" s="263"/>
      <c r="P165" s="263"/>
      <c r="Q165" s="263">
        <v>20</v>
      </c>
      <c r="R165" s="263">
        <v>112</v>
      </c>
      <c r="S165" s="263">
        <f t="shared" si="31"/>
        <v>178.57142857142858</v>
      </c>
    </row>
    <row r="166" spans="1:19">
      <c r="A166" s="5" t="s">
        <v>96</v>
      </c>
      <c r="B166" s="263">
        <v>584</v>
      </c>
      <c r="C166" s="263">
        <v>5699</v>
      </c>
      <c r="D166" s="263">
        <f t="shared" si="29"/>
        <v>102.47411826636252</v>
      </c>
      <c r="E166" s="263">
        <v>193</v>
      </c>
      <c r="F166" s="263">
        <v>1203</v>
      </c>
      <c r="G166" s="263">
        <f t="shared" si="30"/>
        <v>160.43225270157939</v>
      </c>
      <c r="H166" s="263">
        <v>609</v>
      </c>
      <c r="I166" s="263">
        <v>1893</v>
      </c>
      <c r="J166" s="263">
        <f t="shared" si="33"/>
        <v>321.71156893819335</v>
      </c>
      <c r="K166" s="263">
        <v>171</v>
      </c>
      <c r="L166" s="263">
        <v>900</v>
      </c>
      <c r="M166" s="263">
        <f t="shared" si="32"/>
        <v>190</v>
      </c>
      <c r="N166" s="263">
        <v>0</v>
      </c>
      <c r="O166" s="263">
        <v>0</v>
      </c>
      <c r="P166" s="263"/>
      <c r="Q166" s="263">
        <v>37</v>
      </c>
      <c r="R166" s="263">
        <v>246</v>
      </c>
      <c r="S166" s="263">
        <f t="shared" si="31"/>
        <v>150.40650406504065</v>
      </c>
    </row>
    <row r="167" spans="1:19">
      <c r="A167" s="5" t="s">
        <v>97</v>
      </c>
      <c r="B167" s="263">
        <v>723</v>
      </c>
      <c r="C167" s="263">
        <v>4031</v>
      </c>
      <c r="D167" s="263">
        <f t="shared" si="29"/>
        <v>179.35996030761598</v>
      </c>
      <c r="E167" s="264"/>
      <c r="F167" s="264"/>
      <c r="G167" s="263"/>
      <c r="H167" s="263">
        <v>745</v>
      </c>
      <c r="I167" s="263">
        <v>2717</v>
      </c>
      <c r="J167" s="263">
        <f t="shared" si="33"/>
        <v>274.19948472580052</v>
      </c>
      <c r="K167" s="263">
        <v>125</v>
      </c>
      <c r="L167" s="263">
        <v>551</v>
      </c>
      <c r="M167" s="263">
        <f t="shared" si="32"/>
        <v>226.86025408348456</v>
      </c>
      <c r="N167" s="263"/>
      <c r="O167" s="263"/>
      <c r="P167" s="263"/>
      <c r="Q167" s="263">
        <v>55</v>
      </c>
      <c r="R167" s="263">
        <v>313</v>
      </c>
      <c r="S167" s="263">
        <f t="shared" si="31"/>
        <v>175.71884984025559</v>
      </c>
    </row>
    <row r="168" spans="1:19">
      <c r="A168" s="265" t="s">
        <v>98</v>
      </c>
      <c r="B168" s="263">
        <v>4285</v>
      </c>
      <c r="C168" s="263">
        <v>24016</v>
      </c>
      <c r="D168" s="263">
        <f t="shared" si="29"/>
        <v>178.42271818787475</v>
      </c>
      <c r="E168" s="266"/>
      <c r="F168" s="266"/>
      <c r="G168" s="266"/>
      <c r="H168" s="263">
        <v>4157</v>
      </c>
      <c r="I168" s="263">
        <v>9695</v>
      </c>
      <c r="J168" s="263">
        <f t="shared" si="33"/>
        <v>428.77772047447138</v>
      </c>
      <c r="K168" s="263">
        <v>819</v>
      </c>
      <c r="L168" s="263">
        <v>2647</v>
      </c>
      <c r="M168" s="263">
        <f t="shared" si="32"/>
        <v>309.40687570834905</v>
      </c>
      <c r="N168" s="266"/>
      <c r="O168" s="266"/>
      <c r="P168" s="266"/>
      <c r="Q168" s="263">
        <v>505</v>
      </c>
      <c r="R168" s="263">
        <v>1749</v>
      </c>
      <c r="S168" s="263">
        <f t="shared" si="31"/>
        <v>288.73642081189251</v>
      </c>
    </row>
    <row r="169" spans="1:19">
      <c r="A169" s="265" t="s">
        <v>99</v>
      </c>
      <c r="B169" s="263">
        <v>505</v>
      </c>
      <c r="C169" s="263">
        <v>4139</v>
      </c>
      <c r="D169" s="263">
        <f t="shared" si="29"/>
        <v>122.01014737859387</v>
      </c>
      <c r="E169" s="263">
        <v>146</v>
      </c>
      <c r="F169" s="263">
        <v>682</v>
      </c>
      <c r="G169" s="263">
        <f t="shared" ref="G169:G179" si="34">E169/F169*1000</f>
        <v>214.07624633431087</v>
      </c>
      <c r="H169" s="263">
        <v>456</v>
      </c>
      <c r="I169" s="263">
        <v>1324</v>
      </c>
      <c r="J169" s="263">
        <f t="shared" si="33"/>
        <v>344.41087613293053</v>
      </c>
      <c r="K169" s="263">
        <v>114</v>
      </c>
      <c r="L169" s="263">
        <v>661</v>
      </c>
      <c r="M169" s="263">
        <f t="shared" si="32"/>
        <v>172.46596066565809</v>
      </c>
      <c r="N169" s="263"/>
      <c r="O169" s="263"/>
      <c r="P169" s="263"/>
      <c r="Q169" s="263">
        <v>89</v>
      </c>
      <c r="R169" s="263">
        <v>466</v>
      </c>
      <c r="S169" s="263">
        <f t="shared" si="31"/>
        <v>190.98712446351931</v>
      </c>
    </row>
    <row r="170" spans="1:19">
      <c r="A170" s="5" t="s">
        <v>100</v>
      </c>
      <c r="B170" s="263">
        <v>641</v>
      </c>
      <c r="C170" s="263">
        <v>8405.2999999999993</v>
      </c>
      <c r="D170" s="263">
        <f t="shared" si="29"/>
        <v>76.261406493521946</v>
      </c>
      <c r="E170" s="263">
        <v>88.5</v>
      </c>
      <c r="F170" s="263">
        <v>442.2</v>
      </c>
      <c r="G170" s="263">
        <f t="shared" si="34"/>
        <v>200.13568521031209</v>
      </c>
      <c r="H170" s="263">
        <v>760.06</v>
      </c>
      <c r="I170" s="263">
        <v>3258</v>
      </c>
      <c r="J170" s="263">
        <f t="shared" si="33"/>
        <v>233.2903621853898</v>
      </c>
      <c r="K170" s="263">
        <v>79.7</v>
      </c>
      <c r="L170" s="263">
        <v>722.3</v>
      </c>
      <c r="M170" s="263">
        <f t="shared" si="32"/>
        <v>110.34196317319675</v>
      </c>
      <c r="N170" s="263"/>
      <c r="O170" s="263"/>
      <c r="P170" s="263"/>
      <c r="Q170" s="263"/>
      <c r="R170" s="263"/>
      <c r="S170" s="263"/>
    </row>
    <row r="171" spans="1:19">
      <c r="A171" s="267" t="s">
        <v>101</v>
      </c>
      <c r="B171" s="263">
        <v>587</v>
      </c>
      <c r="C171" s="263">
        <v>8218</v>
      </c>
      <c r="D171" s="263">
        <f t="shared" si="29"/>
        <v>71.428571428571431</v>
      </c>
      <c r="E171" s="263">
        <v>785</v>
      </c>
      <c r="F171" s="263">
        <v>3308</v>
      </c>
      <c r="G171" s="263">
        <f t="shared" si="34"/>
        <v>237.30350665054414</v>
      </c>
      <c r="H171" s="263">
        <v>79</v>
      </c>
      <c r="I171" s="263">
        <v>791</v>
      </c>
      <c r="J171" s="263">
        <f t="shared" si="33"/>
        <v>99.873577749683946</v>
      </c>
      <c r="K171" s="263">
        <v>188</v>
      </c>
      <c r="L171" s="263">
        <v>881</v>
      </c>
      <c r="M171" s="263">
        <f t="shared" si="32"/>
        <v>213.3938706015891</v>
      </c>
      <c r="N171" s="263"/>
      <c r="O171" s="263"/>
      <c r="P171" s="263"/>
      <c r="Q171" s="263">
        <v>957</v>
      </c>
      <c r="R171" s="263">
        <v>6310</v>
      </c>
      <c r="S171" s="263">
        <f>Q171/R171*1000</f>
        <v>151.66402535657687</v>
      </c>
    </row>
    <row r="172" spans="1:19">
      <c r="A172" s="5" t="s">
        <v>102</v>
      </c>
      <c r="B172" s="263">
        <v>40</v>
      </c>
      <c r="C172" s="263">
        <v>444</v>
      </c>
      <c r="D172" s="263">
        <f t="shared" si="29"/>
        <v>90.090090090090087</v>
      </c>
      <c r="E172" s="263">
        <v>18</v>
      </c>
      <c r="F172" s="263">
        <v>106</v>
      </c>
      <c r="G172" s="263">
        <f t="shared" si="34"/>
        <v>169.81132075471697</v>
      </c>
      <c r="H172" s="263">
        <v>46</v>
      </c>
      <c r="I172" s="263">
        <v>253</v>
      </c>
      <c r="J172" s="263">
        <f t="shared" si="33"/>
        <v>181.81818181818181</v>
      </c>
      <c r="K172" s="263">
        <v>21</v>
      </c>
      <c r="L172" s="263">
        <v>95</v>
      </c>
      <c r="M172" s="263">
        <f t="shared" si="32"/>
        <v>221.05263157894737</v>
      </c>
      <c r="N172" s="263"/>
      <c r="O172" s="263"/>
      <c r="P172" s="263"/>
      <c r="Q172" s="263"/>
      <c r="R172" s="263"/>
      <c r="S172" s="263"/>
    </row>
    <row r="173" spans="1:19">
      <c r="A173" s="5" t="s">
        <v>103</v>
      </c>
      <c r="B173" s="263">
        <v>129</v>
      </c>
      <c r="C173" s="263">
        <v>862</v>
      </c>
      <c r="D173" s="263">
        <f t="shared" si="29"/>
        <v>149.65197215777263</v>
      </c>
      <c r="E173" s="263">
        <v>66</v>
      </c>
      <c r="F173" s="263">
        <v>414</v>
      </c>
      <c r="G173" s="263">
        <f t="shared" si="34"/>
        <v>159.42028985507244</v>
      </c>
      <c r="H173" s="263"/>
      <c r="I173" s="263"/>
      <c r="J173" s="263" t="s">
        <v>104</v>
      </c>
      <c r="K173" s="263">
        <v>1</v>
      </c>
      <c r="L173" s="263">
        <v>8</v>
      </c>
      <c r="M173" s="263">
        <f t="shared" si="32"/>
        <v>125</v>
      </c>
      <c r="N173" s="263"/>
      <c r="O173" s="263"/>
      <c r="P173" s="263"/>
      <c r="Q173" s="263"/>
      <c r="R173" s="263"/>
      <c r="S173" s="263"/>
    </row>
    <row r="174" spans="1:19">
      <c r="A174" s="5" t="s">
        <v>105</v>
      </c>
      <c r="B174" s="263">
        <v>191</v>
      </c>
      <c r="C174" s="263">
        <v>1429</v>
      </c>
      <c r="D174" s="263">
        <f t="shared" si="29"/>
        <v>133.65990202939119</v>
      </c>
      <c r="E174" s="263">
        <v>43</v>
      </c>
      <c r="F174" s="263">
        <v>285</v>
      </c>
      <c r="G174" s="263">
        <f t="shared" si="34"/>
        <v>150.87719298245614</v>
      </c>
      <c r="H174" s="263">
        <v>228</v>
      </c>
      <c r="I174" s="263">
        <v>830</v>
      </c>
      <c r="J174" s="263">
        <f t="shared" ref="J174:J181" si="35">H174/I174*1000</f>
        <v>274.69879518072287</v>
      </c>
      <c r="K174" s="263">
        <v>248</v>
      </c>
      <c r="L174" s="263">
        <v>1297</v>
      </c>
      <c r="M174" s="263">
        <f t="shared" si="32"/>
        <v>191.21048573631458</v>
      </c>
      <c r="N174" s="266"/>
      <c r="O174" s="266"/>
      <c r="P174" s="266"/>
      <c r="Q174" s="266">
        <v>1</v>
      </c>
      <c r="R174" s="266">
        <v>4</v>
      </c>
      <c r="S174" s="266">
        <f>Q174/R174*1000</f>
        <v>250</v>
      </c>
    </row>
    <row r="175" spans="1:19">
      <c r="A175" s="268" t="s">
        <v>106</v>
      </c>
      <c r="B175" s="263">
        <v>118.35599999999999</v>
      </c>
      <c r="C175" s="263">
        <v>985</v>
      </c>
      <c r="D175" s="263">
        <f t="shared" si="29"/>
        <v>120.15837563451775</v>
      </c>
      <c r="E175" s="263">
        <v>48.173999999999999</v>
      </c>
      <c r="F175" s="263">
        <v>179</v>
      </c>
      <c r="G175" s="263">
        <f t="shared" si="34"/>
        <v>269.12849162011173</v>
      </c>
      <c r="H175" s="263">
        <v>102.084</v>
      </c>
      <c r="I175" s="263">
        <v>449</v>
      </c>
      <c r="J175" s="263">
        <f t="shared" si="35"/>
        <v>227.358574610245</v>
      </c>
      <c r="K175" s="263">
        <v>60.548000000000002</v>
      </c>
      <c r="L175" s="263">
        <v>230</v>
      </c>
      <c r="M175" s="263">
        <f t="shared" si="32"/>
        <v>263.25217391304352</v>
      </c>
      <c r="N175" s="264"/>
      <c r="O175" s="264"/>
      <c r="P175" s="264"/>
      <c r="Q175" s="264"/>
      <c r="R175" s="264"/>
      <c r="S175" s="264"/>
    </row>
    <row r="176" spans="1:19">
      <c r="A176" s="5" t="s">
        <v>107</v>
      </c>
      <c r="B176" s="263">
        <v>26</v>
      </c>
      <c r="C176" s="263">
        <v>473</v>
      </c>
      <c r="D176" s="263">
        <f t="shared" si="29"/>
        <v>54.968287526427062</v>
      </c>
      <c r="E176" s="263">
        <v>12</v>
      </c>
      <c r="F176" s="263">
        <v>162</v>
      </c>
      <c r="G176" s="263">
        <f t="shared" si="34"/>
        <v>74.074074074074076</v>
      </c>
      <c r="H176" s="263">
        <v>21</v>
      </c>
      <c r="I176" s="263">
        <v>230</v>
      </c>
      <c r="J176" s="263">
        <f t="shared" si="35"/>
        <v>91.304347826086953</v>
      </c>
      <c r="K176" s="263">
        <v>4</v>
      </c>
      <c r="L176" s="263">
        <v>32</v>
      </c>
      <c r="M176" s="263">
        <f t="shared" si="32"/>
        <v>125</v>
      </c>
      <c r="N176" s="266"/>
      <c r="O176" s="266"/>
      <c r="P176" s="266"/>
      <c r="Q176" s="266"/>
      <c r="R176" s="266"/>
      <c r="S176" s="266"/>
    </row>
    <row r="177" spans="1:19">
      <c r="A177" s="5" t="s">
        <v>108</v>
      </c>
      <c r="B177" s="263">
        <v>56</v>
      </c>
      <c r="C177" s="263">
        <f>281.9+93.4</f>
        <v>375.29999999999995</v>
      </c>
      <c r="D177" s="263">
        <f t="shared" si="29"/>
        <v>149.21396216360247</v>
      </c>
      <c r="E177" s="263">
        <f>12.5+4.4</f>
        <v>16.899999999999999</v>
      </c>
      <c r="F177" s="263">
        <v>88</v>
      </c>
      <c r="G177" s="263">
        <f t="shared" si="34"/>
        <v>192.04545454545453</v>
      </c>
      <c r="H177" s="263">
        <f>18.8+5.7</f>
        <v>24.5</v>
      </c>
      <c r="I177" s="263">
        <v>128</v>
      </c>
      <c r="J177" s="263">
        <f t="shared" si="35"/>
        <v>191.40625</v>
      </c>
      <c r="K177" s="263">
        <v>7.6</v>
      </c>
      <c r="L177" s="263">
        <v>44</v>
      </c>
      <c r="M177" s="263">
        <f t="shared" si="32"/>
        <v>172.72727272727272</v>
      </c>
      <c r="N177" s="266"/>
      <c r="O177" s="266"/>
      <c r="P177" s="266"/>
      <c r="Q177" s="266"/>
      <c r="R177" s="266"/>
      <c r="S177" s="266"/>
    </row>
    <row r="178" spans="1:19">
      <c r="A178" s="5" t="s">
        <v>109</v>
      </c>
      <c r="B178" s="263">
        <v>14.6</v>
      </c>
      <c r="C178" s="263">
        <v>266.7</v>
      </c>
      <c r="D178" s="263">
        <f t="shared" si="29"/>
        <v>54.743157105361831</v>
      </c>
      <c r="E178" s="263">
        <v>11.7</v>
      </c>
      <c r="F178" s="263">
        <v>109.4</v>
      </c>
      <c r="G178" s="263">
        <f t="shared" si="34"/>
        <v>106.9469835466179</v>
      </c>
      <c r="H178" s="263">
        <v>18</v>
      </c>
      <c r="I178" s="263">
        <v>174.1</v>
      </c>
      <c r="J178" s="263">
        <f t="shared" si="35"/>
        <v>103.38885697874785</v>
      </c>
      <c r="K178" s="263">
        <v>0.7</v>
      </c>
      <c r="L178" s="263">
        <v>9.5</v>
      </c>
      <c r="M178" s="263">
        <f t="shared" si="32"/>
        <v>73.68421052631578</v>
      </c>
      <c r="N178" s="263"/>
      <c r="O178" s="263"/>
      <c r="P178" s="263"/>
      <c r="Q178" s="263"/>
      <c r="R178" s="263"/>
      <c r="S178" s="263"/>
    </row>
    <row r="179" spans="1:19">
      <c r="A179" s="5" t="s">
        <v>110</v>
      </c>
      <c r="B179" s="263">
        <v>50</v>
      </c>
      <c r="C179" s="263">
        <v>846</v>
      </c>
      <c r="D179" s="263">
        <f t="shared" si="29"/>
        <v>59.101654846335698</v>
      </c>
      <c r="E179" s="263">
        <v>25</v>
      </c>
      <c r="F179" s="263">
        <v>210</v>
      </c>
      <c r="G179" s="263">
        <f t="shared" si="34"/>
        <v>119.04761904761904</v>
      </c>
      <c r="H179" s="263">
        <v>54</v>
      </c>
      <c r="I179" s="263">
        <v>377</v>
      </c>
      <c r="J179" s="263">
        <f t="shared" si="35"/>
        <v>143.23607427055703</v>
      </c>
      <c r="K179" s="263">
        <v>22</v>
      </c>
      <c r="L179" s="263">
        <v>265</v>
      </c>
      <c r="M179" s="263">
        <f t="shared" si="32"/>
        <v>83.018867924528294</v>
      </c>
      <c r="N179" s="266"/>
      <c r="O179" s="266"/>
      <c r="P179" s="266"/>
      <c r="Q179" s="263">
        <v>0.4</v>
      </c>
      <c r="R179" s="263">
        <v>6</v>
      </c>
      <c r="S179" s="263">
        <f>Q179/R179*1000</f>
        <v>66.666666666666671</v>
      </c>
    </row>
    <row r="180" spans="1:19">
      <c r="A180" s="5" t="s">
        <v>111</v>
      </c>
      <c r="B180" s="263">
        <v>196</v>
      </c>
      <c r="C180" s="263">
        <v>1952</v>
      </c>
      <c r="D180" s="263">
        <f t="shared" si="29"/>
        <v>100.40983606557377</v>
      </c>
      <c r="E180" s="263"/>
      <c r="F180" s="263"/>
      <c r="G180" s="263">
        <f>E180/H180*1000</f>
        <v>0</v>
      </c>
      <c r="H180" s="263">
        <v>212</v>
      </c>
      <c r="I180" s="263">
        <v>1353</v>
      </c>
      <c r="J180" s="263">
        <f t="shared" si="35"/>
        <v>156.68883961566888</v>
      </c>
      <c r="K180" s="263">
        <v>56</v>
      </c>
      <c r="L180" s="263">
        <v>316</v>
      </c>
      <c r="M180" s="263">
        <f t="shared" si="32"/>
        <v>177.21518987341773</v>
      </c>
      <c r="N180" s="263"/>
      <c r="O180" s="263"/>
      <c r="P180" s="263"/>
      <c r="Q180" s="263">
        <v>54</v>
      </c>
      <c r="R180" s="263">
        <v>495</v>
      </c>
      <c r="S180" s="263">
        <f>Q180/R180*1000</f>
        <v>109.09090909090908</v>
      </c>
    </row>
    <row r="181" spans="1:19">
      <c r="A181" s="5" t="s">
        <v>112</v>
      </c>
      <c r="B181" s="263">
        <v>70.994810000000001</v>
      </c>
      <c r="C181" s="263">
        <v>679.54</v>
      </c>
      <c r="D181" s="263">
        <f t="shared" si="29"/>
        <v>104.47480648674104</v>
      </c>
      <c r="E181" s="263">
        <v>35.796019999999999</v>
      </c>
      <c r="F181" s="263">
        <v>224.119</v>
      </c>
      <c r="G181" s="263">
        <f>E181/F181*1000</f>
        <v>159.71881009642198</v>
      </c>
      <c r="H181" s="263">
        <v>48.069360000000003</v>
      </c>
      <c r="I181" s="263">
        <v>249.77699999999999</v>
      </c>
      <c r="J181" s="263">
        <f t="shared" si="35"/>
        <v>192.44910460130438</v>
      </c>
      <c r="K181" s="263">
        <v>23.195550000000001</v>
      </c>
      <c r="L181" s="263">
        <v>147.398</v>
      </c>
      <c r="M181" s="263">
        <f t="shared" si="32"/>
        <v>157.3667892373031</v>
      </c>
      <c r="N181" s="263"/>
      <c r="O181" s="263"/>
      <c r="P181" s="263"/>
      <c r="Q181" s="263"/>
      <c r="R181" s="263"/>
      <c r="S181" s="263"/>
    </row>
    <row r="182" spans="1:19">
      <c r="A182" s="276" t="s">
        <v>1989</v>
      </c>
    </row>
    <row r="183" spans="1:19">
      <c r="A183" s="269" t="s">
        <v>113</v>
      </c>
      <c r="B183" s="270">
        <v>3334</v>
      </c>
      <c r="C183" s="270">
        <v>20803</v>
      </c>
      <c r="D183" s="270">
        <f>B183/C183*1000</f>
        <v>160.26534634427728</v>
      </c>
      <c r="E183" s="270">
        <v>1445</v>
      </c>
      <c r="F183" s="270">
        <v>4001</v>
      </c>
      <c r="G183" s="270">
        <f>E183/F183*1000</f>
        <v>361.15971007248186</v>
      </c>
      <c r="H183" s="270">
        <v>4676</v>
      </c>
      <c r="I183" s="270">
        <v>8445</v>
      </c>
      <c r="J183" s="270">
        <f>H183/I183*1000</f>
        <v>553.70041444641799</v>
      </c>
      <c r="K183" s="270">
        <v>751</v>
      </c>
      <c r="L183" s="270">
        <v>2720</v>
      </c>
      <c r="M183" s="271">
        <f>K183/L183*1000</f>
        <v>276.10294117647061</v>
      </c>
      <c r="Q183" s="270">
        <v>6</v>
      </c>
      <c r="R183" s="270">
        <v>24</v>
      </c>
      <c r="S183" s="272">
        <f>Q183/R183*1000</f>
        <v>250</v>
      </c>
    </row>
    <row r="184" spans="1:19">
      <c r="A184" s="273" t="s">
        <v>114</v>
      </c>
      <c r="B184" s="274">
        <f>SUM(B185:B186)</f>
        <v>751</v>
      </c>
      <c r="C184" s="274">
        <f>SUM(C185:C186)</f>
        <v>5634</v>
      </c>
      <c r="D184" s="275">
        <f>B184/C184*1000</f>
        <v>133.29783457578984</v>
      </c>
      <c r="E184" s="274">
        <f>SUM(E185:E186)</f>
        <v>41</v>
      </c>
      <c r="F184" s="274">
        <f>SUM(F185:F186)</f>
        <v>218</v>
      </c>
      <c r="G184" s="274">
        <f>E184/F184*1000</f>
        <v>188.07339449541286</v>
      </c>
      <c r="H184" s="274">
        <f>SUM(H185:H186)</f>
        <v>1365</v>
      </c>
      <c r="I184" s="274">
        <f>SUM(I185:I186)</f>
        <v>3794</v>
      </c>
      <c r="J184" s="275">
        <f>H184/I184*1000</f>
        <v>359.77859778597787</v>
      </c>
      <c r="K184" s="274">
        <f>SUM(K185:K186)</f>
        <v>183</v>
      </c>
      <c r="L184" s="274">
        <f>SUM(L185:L186)</f>
        <v>896</v>
      </c>
      <c r="M184" s="272">
        <f>K184/L184*1000</f>
        <v>204.24107142857142</v>
      </c>
      <c r="Q184" s="274"/>
      <c r="R184" s="274"/>
      <c r="S184" s="272"/>
    </row>
    <row r="185" spans="1:19">
      <c r="A185" s="273" t="s">
        <v>115</v>
      </c>
      <c r="B185" s="274">
        <v>615</v>
      </c>
      <c r="C185" s="274">
        <v>4638</v>
      </c>
      <c r="D185" s="275">
        <f>B185/C185*1000</f>
        <v>132.60025873221215</v>
      </c>
      <c r="E185" s="274"/>
      <c r="F185" s="274"/>
      <c r="G185" s="275"/>
      <c r="H185" s="274">
        <v>1311</v>
      </c>
      <c r="I185" s="274">
        <v>3608</v>
      </c>
      <c r="J185" s="275">
        <f>H185/I185*1000</f>
        <v>363.35920177383588</v>
      </c>
      <c r="K185" s="274">
        <v>141</v>
      </c>
      <c r="L185" s="274">
        <v>773</v>
      </c>
      <c r="M185" s="272">
        <f>K185/L185*1000</f>
        <v>182.40620957309184</v>
      </c>
      <c r="Q185" s="274">
        <v>141</v>
      </c>
      <c r="R185" s="274">
        <v>773</v>
      </c>
      <c r="S185" s="272">
        <f>Q185/R185*1000</f>
        <v>182.40620957309184</v>
      </c>
    </row>
    <row r="186" spans="1:19">
      <c r="A186" s="273" t="s">
        <v>116</v>
      </c>
      <c r="B186" s="275">
        <v>136</v>
      </c>
      <c r="C186" s="275">
        <v>996</v>
      </c>
      <c r="D186" s="275">
        <f>B186/C186*1000</f>
        <v>136.54618473895582</v>
      </c>
      <c r="E186" s="275">
        <v>41</v>
      </c>
      <c r="F186" s="275">
        <v>218</v>
      </c>
      <c r="G186" s="275">
        <f>E186/F186*1000</f>
        <v>188.07339449541286</v>
      </c>
      <c r="H186" s="275">
        <v>54</v>
      </c>
      <c r="I186" s="275">
        <v>186</v>
      </c>
      <c r="J186" s="275">
        <f>H186/I186*1000</f>
        <v>290.32258064516134</v>
      </c>
      <c r="K186" s="275">
        <v>42</v>
      </c>
      <c r="L186" s="275">
        <v>123</v>
      </c>
      <c r="M186" s="272">
        <f>K186/L186*1000</f>
        <v>341.46341463414637</v>
      </c>
      <c r="Q186" s="275">
        <v>42</v>
      </c>
      <c r="R186" s="275">
        <v>123</v>
      </c>
      <c r="S186" s="272">
        <f>Q186/R186*1000</f>
        <v>341.46341463414637</v>
      </c>
    </row>
  </sheetData>
  <mergeCells count="9">
    <mergeCell ref="A6:A7"/>
    <mergeCell ref="Q5:S5"/>
    <mergeCell ref="A1:XFD1"/>
    <mergeCell ref="B5:D5"/>
    <mergeCell ref="E5:G5"/>
    <mergeCell ref="H5:J5"/>
    <mergeCell ref="N5:P5"/>
    <mergeCell ref="K5:M5"/>
    <mergeCell ref="A3:B3"/>
  </mergeCells>
  <phoneticPr fontId="3" type="noConversion"/>
  <pageMargins left="0.75" right="0.64" top="1" bottom="1" header="0.5" footer="0.5"/>
  <pageSetup paperSize="9" scale="80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J25"/>
  <sheetViews>
    <sheetView view="pageBreakPreview" zoomScale="85" zoomScaleNormal="85" zoomScaleSheetLayoutView="85" workbookViewId="0">
      <selection activeCell="A3" sqref="A3:XFD3"/>
    </sheetView>
  </sheetViews>
  <sheetFormatPr defaultColWidth="8.33203125" defaultRowHeight="13.5"/>
  <cols>
    <col min="1" max="1" width="11.6640625" customWidth="1"/>
  </cols>
  <sheetData>
    <row r="1" spans="1:36" ht="12" customHeight="1">
      <c r="A1" s="19"/>
      <c r="B1" s="19"/>
      <c r="C1" s="19"/>
      <c r="D1" s="19"/>
      <c r="E1" s="19"/>
      <c r="F1" s="19"/>
      <c r="G1" s="19"/>
      <c r="H1" s="19"/>
      <c r="I1" s="19"/>
    </row>
    <row r="2" spans="1:36" s="1024" customFormat="1" ht="26.25" customHeight="1">
      <c r="A2" s="1957" t="s">
        <v>9230</v>
      </c>
      <c r="B2" s="1957"/>
      <c r="C2" s="1957"/>
      <c r="D2" s="1957"/>
      <c r="E2" s="1957"/>
      <c r="F2" s="1957"/>
      <c r="G2" s="1957"/>
    </row>
    <row r="3" spans="1:36" s="1024" customFormat="1" ht="25.5" customHeight="1" thickBot="1">
      <c r="A3" s="1025"/>
      <c r="B3" s="1025"/>
      <c r="C3" s="1025"/>
    </row>
    <row r="4" spans="1:36" s="1024" customFormat="1" ht="21.75" customHeight="1">
      <c r="A4" s="1026" t="s">
        <v>1516</v>
      </c>
      <c r="B4" s="1844" t="s">
        <v>8727</v>
      </c>
      <c r="C4" s="1955"/>
      <c r="D4" s="1953" t="s">
        <v>1518</v>
      </c>
      <c r="E4" s="1953"/>
      <c r="F4" s="1953"/>
      <c r="G4" s="1953" t="s">
        <v>1519</v>
      </c>
      <c r="H4" s="1953"/>
      <c r="I4" s="1953"/>
      <c r="J4" s="1953" t="s">
        <v>1520</v>
      </c>
      <c r="K4" s="1953"/>
      <c r="L4" s="1953"/>
      <c r="M4" s="1953" t="s">
        <v>1521</v>
      </c>
      <c r="N4" s="1953"/>
      <c r="O4" s="1953"/>
      <c r="P4" s="1953" t="s">
        <v>59</v>
      </c>
      <c r="Q4" s="1953"/>
      <c r="R4" s="1953"/>
      <c r="S4" s="1953" t="s">
        <v>7670</v>
      </c>
      <c r="T4" s="1953"/>
      <c r="U4" s="1953"/>
      <c r="V4" s="1953" t="s">
        <v>7671</v>
      </c>
      <c r="W4" s="1953"/>
      <c r="X4" s="1953"/>
      <c r="Y4" s="1953" t="s">
        <v>8752</v>
      </c>
      <c r="Z4" s="1953"/>
      <c r="AA4" s="1953"/>
      <c r="AB4" s="1953" t="s">
        <v>8754</v>
      </c>
      <c r="AC4" s="1953"/>
      <c r="AD4" s="1953"/>
      <c r="AE4" s="1953" t="s">
        <v>8753</v>
      </c>
      <c r="AF4" s="1953"/>
      <c r="AG4" s="1956"/>
      <c r="AH4" s="1953" t="s">
        <v>453</v>
      </c>
      <c r="AI4" s="1953"/>
      <c r="AJ4" s="1954"/>
    </row>
    <row r="5" spans="1:36" s="1024" customFormat="1" ht="21.95" customHeight="1">
      <c r="A5" s="1951" t="s">
        <v>1517</v>
      </c>
      <c r="B5" s="1059" t="s">
        <v>1522</v>
      </c>
      <c r="C5" s="1059" t="s">
        <v>1524</v>
      </c>
      <c r="D5" s="1056" t="s">
        <v>1522</v>
      </c>
      <c r="E5" s="1056" t="s">
        <v>1524</v>
      </c>
      <c r="F5" s="1056" t="s">
        <v>1526</v>
      </c>
      <c r="G5" s="1056" t="s">
        <v>1522</v>
      </c>
      <c r="H5" s="1056" t="s">
        <v>1524</v>
      </c>
      <c r="I5" s="1056" t="s">
        <v>1526</v>
      </c>
      <c r="J5" s="1056" t="s">
        <v>1522</v>
      </c>
      <c r="K5" s="1056" t="s">
        <v>1524</v>
      </c>
      <c r="L5" s="1056" t="s">
        <v>1526</v>
      </c>
      <c r="M5" s="1056" t="s">
        <v>1522</v>
      </c>
      <c r="N5" s="1056" t="s">
        <v>1524</v>
      </c>
      <c r="O5" s="1056" t="s">
        <v>1526</v>
      </c>
      <c r="P5" s="1056" t="s">
        <v>1522</v>
      </c>
      <c r="Q5" s="1056" t="s">
        <v>1524</v>
      </c>
      <c r="R5" s="1056" t="s">
        <v>1526</v>
      </c>
      <c r="S5" s="1056" t="s">
        <v>1522</v>
      </c>
      <c r="T5" s="1056" t="s">
        <v>1524</v>
      </c>
      <c r="U5" s="1056" t="s">
        <v>1526</v>
      </c>
      <c r="V5" s="1056" t="s">
        <v>1522</v>
      </c>
      <c r="W5" s="1056" t="s">
        <v>1524</v>
      </c>
      <c r="X5" s="1056" t="s">
        <v>1526</v>
      </c>
      <c r="Y5" s="1056" t="s">
        <v>1522</v>
      </c>
      <c r="Z5" s="1056" t="s">
        <v>1524</v>
      </c>
      <c r="AA5" s="1056" t="s">
        <v>1526</v>
      </c>
      <c r="AB5" s="1056" t="s">
        <v>1522</v>
      </c>
      <c r="AC5" s="1056" t="s">
        <v>1524</v>
      </c>
      <c r="AD5" s="1056" t="s">
        <v>1526</v>
      </c>
      <c r="AE5" s="1056" t="s">
        <v>1522</v>
      </c>
      <c r="AF5" s="1056" t="s">
        <v>1524</v>
      </c>
      <c r="AG5" s="1091" t="s">
        <v>1526</v>
      </c>
      <c r="AH5" s="1056" t="s">
        <v>1522</v>
      </c>
      <c r="AI5" s="1056" t="s">
        <v>1524</v>
      </c>
      <c r="AJ5" s="1027" t="s">
        <v>1526</v>
      </c>
    </row>
    <row r="6" spans="1:36" s="1024" customFormat="1" ht="21.95" customHeight="1">
      <c r="A6" s="1952"/>
      <c r="B6" s="1059" t="s">
        <v>1523</v>
      </c>
      <c r="C6" s="1059" t="s">
        <v>1525</v>
      </c>
      <c r="D6" s="1056" t="s">
        <v>1523</v>
      </c>
      <c r="E6" s="1056" t="s">
        <v>1525</v>
      </c>
      <c r="F6" s="1056" t="s">
        <v>1527</v>
      </c>
      <c r="G6" s="1056" t="s">
        <v>1523</v>
      </c>
      <c r="H6" s="1056" t="s">
        <v>1525</v>
      </c>
      <c r="I6" s="1056" t="s">
        <v>1527</v>
      </c>
      <c r="J6" s="1056" t="s">
        <v>1523</v>
      </c>
      <c r="K6" s="1056" t="s">
        <v>1525</v>
      </c>
      <c r="L6" s="1056" t="s">
        <v>1527</v>
      </c>
      <c r="M6" s="1056" t="s">
        <v>1523</v>
      </c>
      <c r="N6" s="1056" t="s">
        <v>1525</v>
      </c>
      <c r="O6" s="1056" t="s">
        <v>1527</v>
      </c>
      <c r="P6" s="1056" t="s">
        <v>1523</v>
      </c>
      <c r="Q6" s="1056" t="s">
        <v>1525</v>
      </c>
      <c r="R6" s="1056" t="s">
        <v>1527</v>
      </c>
      <c r="S6" s="1056" t="s">
        <v>1523</v>
      </c>
      <c r="T6" s="1056" t="s">
        <v>1525</v>
      </c>
      <c r="U6" s="1056" t="s">
        <v>1527</v>
      </c>
      <c r="V6" s="1056" t="s">
        <v>1523</v>
      </c>
      <c r="W6" s="1056" t="s">
        <v>1525</v>
      </c>
      <c r="X6" s="1056" t="s">
        <v>1527</v>
      </c>
      <c r="Y6" s="1056" t="s">
        <v>1523</v>
      </c>
      <c r="Z6" s="1056" t="s">
        <v>1525</v>
      </c>
      <c r="AA6" s="1056" t="s">
        <v>1527</v>
      </c>
      <c r="AB6" s="1056" t="s">
        <v>1523</v>
      </c>
      <c r="AC6" s="1056" t="s">
        <v>1525</v>
      </c>
      <c r="AD6" s="1056" t="s">
        <v>1527</v>
      </c>
      <c r="AE6" s="1056" t="s">
        <v>1523</v>
      </c>
      <c r="AF6" s="1056" t="s">
        <v>1525</v>
      </c>
      <c r="AG6" s="1091" t="s">
        <v>1527</v>
      </c>
      <c r="AH6" s="1056" t="s">
        <v>1523</v>
      </c>
      <c r="AI6" s="1056" t="s">
        <v>1525</v>
      </c>
      <c r="AJ6" s="1027" t="s">
        <v>1527</v>
      </c>
    </row>
    <row r="7" spans="1:36" s="1401" customFormat="1" ht="35.25" customHeight="1">
      <c r="A7" s="1360" t="s">
        <v>9228</v>
      </c>
      <c r="B7" s="1396">
        <f t="shared" ref="B7:C7" si="0">D7+G7+J7+M7+P7+S7+V7+Y7+AB7+AE7+AH7</f>
        <v>22895</v>
      </c>
      <c r="C7" s="1396">
        <f t="shared" si="0"/>
        <v>50103</v>
      </c>
      <c r="D7" s="1397">
        <v>10268</v>
      </c>
      <c r="E7" s="1398">
        <v>32005</v>
      </c>
      <c r="F7" s="1396">
        <f>IF(ISERROR(D7/E7*1000),0,D7/E7*1000)</f>
        <v>320.82487111388849</v>
      </c>
      <c r="G7" s="1397"/>
      <c r="H7" s="1397"/>
      <c r="I7" s="1396">
        <f>IF(ISERROR(G7/H7*1000),0,G7/H7*1000)</f>
        <v>0</v>
      </c>
      <c r="J7" s="1397"/>
      <c r="K7" s="1397"/>
      <c r="L7" s="1396">
        <f>IF(ISERROR(J7/K7*1000),0,J7/K7*1000)</f>
        <v>0</v>
      </c>
      <c r="M7" s="1397"/>
      <c r="N7" s="1397"/>
      <c r="O7" s="1396">
        <f>IF(ISERROR(M7/N7*1000),0,M7/N7*1000)</f>
        <v>0</v>
      </c>
      <c r="P7" s="1397">
        <v>1155</v>
      </c>
      <c r="Q7" s="1397">
        <v>2414</v>
      </c>
      <c r="R7" s="1396">
        <f>IF(ISERROR(P7/Q7*1000),0,P7/Q7*1000)</f>
        <v>478.45898922949459</v>
      </c>
      <c r="S7" s="1397"/>
      <c r="T7" s="1397"/>
      <c r="U7" s="1396">
        <f>IF(ISERROR(S7/T7*1000),0,S7/T7*1000)</f>
        <v>0</v>
      </c>
      <c r="V7" s="1397">
        <v>1678</v>
      </c>
      <c r="W7" s="1397">
        <v>2837</v>
      </c>
      <c r="X7" s="1396">
        <f>IF(ISERROR(V7/W7*1000),0,V7/W7*1000)</f>
        <v>591.46986253084242</v>
      </c>
      <c r="Y7" s="1397"/>
      <c r="Z7" s="1397"/>
      <c r="AA7" s="1396">
        <f>IF(ISERROR(Y7/Z7*1000),0,Y7/Z7*1000)</f>
        <v>0</v>
      </c>
      <c r="AB7" s="1397"/>
      <c r="AC7" s="1397"/>
      <c r="AD7" s="1396">
        <f>IF(ISERROR(AB7/AC7*1000),0,AB7/AC7*1000)</f>
        <v>0</v>
      </c>
      <c r="AE7" s="1397">
        <v>9794</v>
      </c>
      <c r="AF7" s="1397">
        <v>12847</v>
      </c>
      <c r="AG7" s="1399">
        <f>IF(ISERROR(AE7/AF7*1000),0,AE7/AF7*1000)</f>
        <v>762.35697049894918</v>
      </c>
      <c r="AH7" s="1397"/>
      <c r="AI7" s="1397"/>
      <c r="AJ7" s="1400">
        <f>IF(ISERROR(AH7/AI7*1000),0,AH7/AI7*1000)</f>
        <v>0</v>
      </c>
    </row>
    <row r="25" spans="5:5">
      <c r="E25" s="1395"/>
    </row>
  </sheetData>
  <mergeCells count="14">
    <mergeCell ref="AH4:AJ4"/>
    <mergeCell ref="B4:C4"/>
    <mergeCell ref="AB4:AD4"/>
    <mergeCell ref="AE4:AG4"/>
    <mergeCell ref="A2:G2"/>
    <mergeCell ref="A5:A6"/>
    <mergeCell ref="D4:F4"/>
    <mergeCell ref="G4:I4"/>
    <mergeCell ref="J4:L4"/>
    <mergeCell ref="Y4:AA4"/>
    <mergeCell ref="M4:O4"/>
    <mergeCell ref="S4:U4"/>
    <mergeCell ref="V4:X4"/>
    <mergeCell ref="P4:R4"/>
  </mergeCells>
  <phoneticPr fontId="3" type="noConversion"/>
  <pageMargins left="0.75" right="0.64" top="1" bottom="1" header="0.5" footer="0.5"/>
  <pageSetup paperSize="9" scale="65" orientation="landscape" r:id="rId1"/>
  <headerFooter alignWithMargins="0"/>
  <colBreaks count="1" manualBreakCount="1">
    <brk id="18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12"/>
  <sheetViews>
    <sheetView view="pageBreakPreview" zoomScale="85" zoomScaleNormal="80" zoomScaleSheetLayoutView="85" workbookViewId="0">
      <selection activeCell="A4" sqref="A4:XFD5"/>
    </sheetView>
  </sheetViews>
  <sheetFormatPr defaultColWidth="11" defaultRowHeight="12"/>
  <cols>
    <col min="1" max="1" width="12.109375" style="3" bestFit="1" customWidth="1"/>
    <col min="2" max="9" width="12.109375" style="3" customWidth="1"/>
    <col min="10" max="16384" width="11" style="3"/>
  </cols>
  <sheetData>
    <row r="2" spans="1:17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0"/>
      <c r="M2" s="921"/>
      <c r="N2" s="921"/>
      <c r="O2" s="921"/>
      <c r="P2" s="920"/>
      <c r="Q2" s="920"/>
    </row>
    <row r="3" spans="1:17" s="925" customFormat="1" ht="27.75" customHeight="1">
      <c r="A3" s="1597" t="s">
        <v>9231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3"/>
      <c r="M3" s="924"/>
      <c r="N3" s="924"/>
      <c r="O3" s="924"/>
      <c r="P3" s="923"/>
      <c r="Q3" s="923"/>
    </row>
    <row r="4" spans="1:17" s="925" customFormat="1" ht="27.75" customHeight="1">
      <c r="A4" s="1137"/>
      <c r="B4" s="1136"/>
      <c r="C4" s="1136"/>
      <c r="D4" s="1136"/>
      <c r="E4" s="1136"/>
      <c r="F4" s="923"/>
      <c r="G4" s="924"/>
      <c r="H4" s="924"/>
      <c r="I4" s="924"/>
      <c r="J4" s="924"/>
      <c r="K4" s="924"/>
      <c r="L4" s="923"/>
      <c r="M4" s="924"/>
      <c r="N4" s="924"/>
      <c r="O4" s="924"/>
      <c r="P4" s="923"/>
      <c r="Q4" s="923"/>
    </row>
    <row r="5" spans="1:17" s="925" customFormat="1" ht="27.75" customHeight="1">
      <c r="A5" s="1137"/>
      <c r="B5" s="1137"/>
      <c r="C5" s="1136"/>
      <c r="D5" s="1136"/>
      <c r="E5" s="1136"/>
      <c r="F5" s="923"/>
      <c r="G5" s="924"/>
      <c r="H5" s="924"/>
      <c r="I5" s="924"/>
      <c r="J5" s="924"/>
      <c r="K5" s="924"/>
      <c r="L5" s="923"/>
      <c r="M5" s="924"/>
      <c r="N5" s="924"/>
      <c r="O5" s="924"/>
      <c r="P5" s="923"/>
      <c r="Q5" s="923"/>
    </row>
    <row r="6" spans="1:17" ht="28.5" customHeight="1" thickBot="1">
      <c r="H6" s="1970" t="s">
        <v>1489</v>
      </c>
      <c r="I6" s="1970"/>
    </row>
    <row r="7" spans="1:17" ht="27" customHeight="1">
      <c r="A7" s="1963" t="s">
        <v>7672</v>
      </c>
      <c r="B7" s="1966" t="s">
        <v>7673</v>
      </c>
      <c r="C7" s="1967"/>
      <c r="D7" s="1961" t="s">
        <v>7676</v>
      </c>
      <c r="E7" s="1961"/>
      <c r="F7" s="1961"/>
      <c r="G7" s="1961"/>
      <c r="H7" s="1961"/>
      <c r="I7" s="1962"/>
      <c r="J7" s="1958"/>
      <c r="K7" s="1958"/>
    </row>
    <row r="8" spans="1:17" ht="29.25" customHeight="1">
      <c r="A8" s="1964"/>
      <c r="B8" s="1968"/>
      <c r="C8" s="1969"/>
      <c r="D8" s="1959" t="s">
        <v>7674</v>
      </c>
      <c r="E8" s="1959"/>
      <c r="F8" s="1959" t="s">
        <v>7677</v>
      </c>
      <c r="G8" s="1959"/>
      <c r="H8" s="1959" t="s">
        <v>7678</v>
      </c>
      <c r="I8" s="1960"/>
      <c r="J8" s="1958"/>
      <c r="K8" s="1958"/>
    </row>
    <row r="9" spans="1:17" ht="27" customHeight="1" thickBot="1">
      <c r="A9" s="1965"/>
      <c r="B9" s="1028" t="s">
        <v>7675</v>
      </c>
      <c r="C9" s="1028" t="s">
        <v>8789</v>
      </c>
      <c r="D9" s="1028" t="s">
        <v>7675</v>
      </c>
      <c r="E9" s="1028" t="s">
        <v>8789</v>
      </c>
      <c r="F9" s="1028" t="s">
        <v>7675</v>
      </c>
      <c r="G9" s="1028" t="s">
        <v>8789</v>
      </c>
      <c r="H9" s="1028" t="s">
        <v>7675</v>
      </c>
      <c r="I9" s="1051" t="s">
        <v>8789</v>
      </c>
      <c r="J9" s="1052"/>
      <c r="K9" s="1052"/>
    </row>
    <row r="10" spans="1:17" ht="27.75" customHeight="1">
      <c r="A10" s="1029" t="s">
        <v>9227</v>
      </c>
      <c r="B10" s="1023">
        <v>66</v>
      </c>
      <c r="C10" s="1353">
        <v>3148</v>
      </c>
      <c r="D10" s="1030">
        <f>SUM(F10,H10)</f>
        <v>66</v>
      </c>
      <c r="E10" s="1030">
        <f>SUM(G10,I10)</f>
        <v>3148</v>
      </c>
      <c r="F10" s="626">
        <v>66</v>
      </c>
      <c r="G10" s="626">
        <v>3148</v>
      </c>
      <c r="H10" s="626"/>
      <c r="I10" s="627"/>
      <c r="J10" s="8"/>
      <c r="K10" s="8"/>
    </row>
    <row r="11" spans="1:17" ht="27.75" customHeight="1">
      <c r="A11" s="1029"/>
      <c r="B11" s="1023"/>
      <c r="C11" s="1023"/>
      <c r="D11" s="1030">
        <f t="shared" ref="D11:D12" si="0">SUM(F11,H11)</f>
        <v>0</v>
      </c>
      <c r="E11" s="1030">
        <f t="shared" ref="E11:E12" si="1">SUM(G11,I11)</f>
        <v>0</v>
      </c>
      <c r="F11" s="626"/>
      <c r="G11" s="626"/>
      <c r="H11" s="626"/>
      <c r="I11" s="627"/>
      <c r="J11" s="8"/>
      <c r="K11" s="8"/>
    </row>
    <row r="12" spans="1:17" ht="27.75" customHeight="1">
      <c r="A12" s="1029"/>
      <c r="B12" s="1023"/>
      <c r="C12" s="1023"/>
      <c r="D12" s="1030">
        <f t="shared" si="0"/>
        <v>0</v>
      </c>
      <c r="E12" s="1030">
        <f t="shared" si="1"/>
        <v>0</v>
      </c>
      <c r="F12" s="626"/>
      <c r="G12" s="626"/>
      <c r="H12" s="626"/>
      <c r="I12" s="627"/>
      <c r="J12" s="8"/>
      <c r="K12" s="8"/>
    </row>
  </sheetData>
  <mergeCells count="11">
    <mergeCell ref="J7:K7"/>
    <mergeCell ref="J8:K8"/>
    <mergeCell ref="A2:E2"/>
    <mergeCell ref="A3:E3"/>
    <mergeCell ref="F8:G8"/>
    <mergeCell ref="H8:I8"/>
    <mergeCell ref="D7:I7"/>
    <mergeCell ref="A7:A9"/>
    <mergeCell ref="B7:C8"/>
    <mergeCell ref="D8:E8"/>
    <mergeCell ref="H6:I6"/>
  </mergeCells>
  <phoneticPr fontId="3" type="noConversion"/>
  <conditionalFormatting sqref="A10:I12">
    <cfRule type="expression" dxfId="276" priority="7" stopIfTrue="1">
      <formula>OR(RIGHT($A10,3)="특별시",RIGHT($A10,3)="광역시",RIGHT($A10,1)="도",$A10="전국")</formula>
    </cfRule>
  </conditionalFormatting>
  <pageMargins left="0.47244094488188981" right="0.43307086614173229" top="0.98425196850393704" bottom="0.98425196850393704" header="0.51181102362204722" footer="0.5118110236220472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L384"/>
  <sheetViews>
    <sheetView workbookViewId="0">
      <selection sqref="A1:IV1"/>
    </sheetView>
  </sheetViews>
  <sheetFormatPr defaultColWidth="3.88671875" defaultRowHeight="12"/>
  <cols>
    <col min="1" max="1" width="10.33203125" style="2" customWidth="1"/>
    <col min="2" max="2" width="17.5546875" style="894" customWidth="1"/>
    <col min="3" max="3" width="14.44140625" style="3" bestFit="1" customWidth="1"/>
    <col min="4" max="4" width="16.33203125" style="3" customWidth="1"/>
    <col min="5" max="5" width="13.33203125" style="3" bestFit="1" customWidth="1"/>
    <col min="6" max="10" width="10.5546875" style="3" bestFit="1" customWidth="1"/>
    <col min="11" max="11" width="10.6640625" style="3" bestFit="1" customWidth="1"/>
    <col min="12" max="12" width="8.77734375" style="3" bestFit="1" customWidth="1"/>
    <col min="13" max="16384" width="3.88671875" style="3"/>
  </cols>
  <sheetData>
    <row r="1" spans="1:12" s="1949" customFormat="1" ht="19.5" customHeight="1">
      <c r="A1" s="1949" t="s">
        <v>1512</v>
      </c>
    </row>
    <row r="2" spans="1:12" s="1971" customFormat="1" ht="14.25" customHeight="1">
      <c r="A2" s="1971" t="s">
        <v>1550</v>
      </c>
    </row>
    <row r="3" spans="1:12" ht="14.25" customHeight="1" thickBot="1"/>
    <row r="4" spans="1:12" s="2" customFormat="1" ht="23.25" customHeight="1">
      <c r="A4" s="1972" t="s">
        <v>1455</v>
      </c>
      <c r="B4" s="1974" t="s">
        <v>1494</v>
      </c>
      <c r="C4" s="1976" t="s">
        <v>1552</v>
      </c>
      <c r="D4" s="1976" t="s">
        <v>1551</v>
      </c>
      <c r="E4" s="1976" t="s">
        <v>1553</v>
      </c>
      <c r="F4" s="1978"/>
      <c r="G4" s="1978"/>
      <c r="H4" s="1978"/>
      <c r="I4" s="1978"/>
      <c r="J4" s="1978"/>
      <c r="K4" s="1978"/>
      <c r="L4" s="1979" t="s">
        <v>1554</v>
      </c>
    </row>
    <row r="5" spans="1:12" s="2" customFormat="1" ht="26.25" customHeight="1" thickBot="1">
      <c r="A5" s="1973"/>
      <c r="B5" s="1975"/>
      <c r="C5" s="1977"/>
      <c r="D5" s="1977"/>
      <c r="E5" s="285" t="s">
        <v>1403</v>
      </c>
      <c r="F5" s="285" t="s">
        <v>1558</v>
      </c>
      <c r="G5" s="285" t="s">
        <v>1555</v>
      </c>
      <c r="H5" s="285" t="s">
        <v>1556</v>
      </c>
      <c r="I5" s="285" t="s">
        <v>1559</v>
      </c>
      <c r="J5" s="285" t="s">
        <v>1557</v>
      </c>
      <c r="K5" s="285" t="s">
        <v>1404</v>
      </c>
      <c r="L5" s="1980"/>
    </row>
    <row r="6" spans="1:12" ht="26.25" customHeight="1">
      <c r="A6" s="296">
        <v>2006</v>
      </c>
      <c r="B6" s="342">
        <f>SUM(B7,B12,B22,B29,B37,B40,B43,B50,B136,B163,B199,B233,B256,B301,B341,B379)</f>
        <v>344</v>
      </c>
      <c r="C6" s="60">
        <f>SUM(C7,C12,C22,C29,C37,C40,C43,C50,C136,C163,C199,C233,C256,C301,C341,C379)</f>
        <v>23114595</v>
      </c>
      <c r="D6" s="60">
        <f>SUM(D7,D12,D22,D29,D37,D40,D43,D50,D136,D163,D199,D233,D256,D301,D341,D379)</f>
        <v>18060395.100456521</v>
      </c>
      <c r="E6" s="60">
        <f>SUM(F6:K6)</f>
        <v>1270571.4563972603</v>
      </c>
      <c r="F6" s="60">
        <f t="shared" ref="F6:K6" si="0">SUM(F7,F12,F22,F29,F37,F40,F43,F50,F136,F163,F199,F233,F256,F301,F341,F379)</f>
        <v>117813.27249315065</v>
      </c>
      <c r="G6" s="60">
        <f t="shared" si="0"/>
        <v>119779.98054794519</v>
      </c>
      <c r="H6" s="60">
        <f t="shared" si="0"/>
        <v>257247.96</v>
      </c>
      <c r="I6" s="60">
        <f t="shared" si="0"/>
        <v>110525.08349315068</v>
      </c>
      <c r="J6" s="60">
        <f t="shared" si="0"/>
        <v>43533.858767123282</v>
      </c>
      <c r="K6" s="60">
        <f t="shared" si="0"/>
        <v>621671.30109589046</v>
      </c>
      <c r="L6" s="61">
        <f t="shared" ref="L6:L69" si="1">(E6/D6)*100</f>
        <v>7.0351254738892361</v>
      </c>
    </row>
    <row r="7" spans="1:12" ht="26.25" customHeight="1">
      <c r="A7" s="316" t="s">
        <v>1586</v>
      </c>
      <c r="B7" s="335">
        <f>COUNTA(B8:B11)</f>
        <v>4</v>
      </c>
      <c r="C7" s="63">
        <f>SUM(C8:C11)</f>
        <v>5810000</v>
      </c>
      <c r="D7" s="63">
        <f t="shared" ref="D7:K7" si="2">SUM(D8:D11)</f>
        <v>4863469</v>
      </c>
      <c r="E7" s="63">
        <f>SUM(F7:K7)</f>
        <v>80807.312328767133</v>
      </c>
      <c r="F7" s="63">
        <f t="shared" si="2"/>
        <v>7490.953424657534</v>
      </c>
      <c r="G7" s="63">
        <f t="shared" si="2"/>
        <v>3083.2465753424658</v>
      </c>
      <c r="H7" s="63">
        <f t="shared" si="2"/>
        <v>0</v>
      </c>
      <c r="I7" s="63">
        <f t="shared" si="2"/>
        <v>0</v>
      </c>
      <c r="J7" s="63">
        <f t="shared" si="2"/>
        <v>2742.6027397260273</v>
      </c>
      <c r="K7" s="63">
        <f t="shared" si="2"/>
        <v>67490.509589041103</v>
      </c>
      <c r="L7" s="64">
        <f t="shared" si="1"/>
        <v>1.6615159329434841</v>
      </c>
    </row>
    <row r="8" spans="1:12" ht="26.25" customHeight="1">
      <c r="A8" s="316"/>
      <c r="B8" s="319" t="s">
        <v>1993</v>
      </c>
      <c r="C8" s="65">
        <v>1710000</v>
      </c>
      <c r="D8" s="65">
        <v>1438917</v>
      </c>
      <c r="E8" s="65">
        <f t="shared" ref="E8:E71" si="3">SUM(F8:K8)</f>
        <v>13402</v>
      </c>
      <c r="F8" s="65">
        <v>138</v>
      </c>
      <c r="G8" s="626" t="s">
        <v>1588</v>
      </c>
      <c r="H8" s="626" t="s">
        <v>1588</v>
      </c>
      <c r="I8" s="626" t="s">
        <v>1588</v>
      </c>
      <c r="J8" s="626" t="s">
        <v>1588</v>
      </c>
      <c r="K8" s="65">
        <v>13264</v>
      </c>
      <c r="L8" s="64">
        <f t="shared" si="1"/>
        <v>0.93139493104883753</v>
      </c>
    </row>
    <row r="9" spans="1:12" ht="26.25" customHeight="1">
      <c r="A9" s="320"/>
      <c r="B9" s="319" t="s">
        <v>1994</v>
      </c>
      <c r="C9" s="65">
        <v>1100000</v>
      </c>
      <c r="D9" s="65">
        <v>869582</v>
      </c>
      <c r="E9" s="65">
        <f t="shared" si="3"/>
        <v>26888</v>
      </c>
      <c r="F9" s="626" t="s">
        <v>1588</v>
      </c>
      <c r="G9" s="65">
        <v>45</v>
      </c>
      <c r="H9" s="626" t="s">
        <v>1588</v>
      </c>
      <c r="I9" s="626" t="s">
        <v>1588</v>
      </c>
      <c r="J9" s="626" t="s">
        <v>1588</v>
      </c>
      <c r="K9" s="65">
        <v>26843</v>
      </c>
      <c r="L9" s="64">
        <f t="shared" si="1"/>
        <v>3.0920603232357617</v>
      </c>
    </row>
    <row r="10" spans="1:12" ht="26.25" customHeight="1">
      <c r="A10" s="320"/>
      <c r="B10" s="319" t="s">
        <v>1995</v>
      </c>
      <c r="C10" s="65">
        <v>2000000</v>
      </c>
      <c r="D10" s="65">
        <v>1700807</v>
      </c>
      <c r="E10" s="65">
        <f t="shared" si="3"/>
        <v>27093</v>
      </c>
      <c r="F10" s="626" t="s">
        <v>1588</v>
      </c>
      <c r="G10" s="626" t="s">
        <v>1588</v>
      </c>
      <c r="H10" s="626" t="s">
        <v>1588</v>
      </c>
      <c r="I10" s="626" t="s">
        <v>1588</v>
      </c>
      <c r="J10" s="626" t="s">
        <v>1588</v>
      </c>
      <c r="K10" s="65">
        <v>27093</v>
      </c>
      <c r="L10" s="64">
        <f t="shared" si="1"/>
        <v>1.5929496997601729</v>
      </c>
    </row>
    <row r="11" spans="1:12" ht="26.25" customHeight="1">
      <c r="A11" s="321"/>
      <c r="B11" s="319" t="s">
        <v>1996</v>
      </c>
      <c r="C11" s="65">
        <v>1000000</v>
      </c>
      <c r="D11" s="65">
        <v>854163</v>
      </c>
      <c r="E11" s="63">
        <f t="shared" si="3"/>
        <v>13424.312328767124</v>
      </c>
      <c r="F11" s="65">
        <f>(213866+2469962)/365</f>
        <v>7352.953424657534</v>
      </c>
      <c r="G11" s="65">
        <f>(788400+315360+5200)/365</f>
        <v>3038.2465753424658</v>
      </c>
      <c r="H11" s="632" t="s">
        <v>1588</v>
      </c>
      <c r="I11" s="632" t="s">
        <v>1588</v>
      </c>
      <c r="J11" s="65">
        <f>(1001050)/365</f>
        <v>2742.6027397260273</v>
      </c>
      <c r="K11" s="65">
        <f>(35136+65700+5200)/365</f>
        <v>290.50958904109586</v>
      </c>
      <c r="L11" s="64">
        <f t="shared" si="1"/>
        <v>1.5716335557460488</v>
      </c>
    </row>
    <row r="12" spans="1:12" ht="26.25" customHeight="1">
      <c r="A12" s="299" t="s">
        <v>1785</v>
      </c>
      <c r="B12" s="336">
        <f>COUNTA(B13:B21)</f>
        <v>9</v>
      </c>
      <c r="C12" s="65">
        <f>SUM(C13:C21)</f>
        <v>1904000</v>
      </c>
      <c r="D12" s="63">
        <f>SUM(D13:D21)</f>
        <v>1341222</v>
      </c>
      <c r="E12" s="65">
        <f t="shared" si="3"/>
        <v>67190.828767123283</v>
      </c>
      <c r="F12" s="63">
        <f t="shared" ref="F12:K12" si="4">SUM(F13:F21)</f>
        <v>11734.569863013698</v>
      </c>
      <c r="G12" s="63">
        <f t="shared" si="4"/>
        <v>505.25479452054793</v>
      </c>
      <c r="H12" s="63">
        <f t="shared" si="4"/>
        <v>35620</v>
      </c>
      <c r="I12" s="63">
        <f t="shared" si="4"/>
        <v>0</v>
      </c>
      <c r="J12" s="63">
        <f t="shared" si="4"/>
        <v>4199.5260273972599</v>
      </c>
      <c r="K12" s="63">
        <f t="shared" si="4"/>
        <v>15131.478082191779</v>
      </c>
      <c r="L12" s="64">
        <f t="shared" si="1"/>
        <v>5.0096724305986093</v>
      </c>
    </row>
    <row r="13" spans="1:12" ht="26.25" customHeight="1">
      <c r="A13" s="298"/>
      <c r="B13" s="322" t="s">
        <v>2107</v>
      </c>
      <c r="C13" s="65">
        <v>550000</v>
      </c>
      <c r="D13" s="63">
        <f>251896+216850</f>
        <v>468746</v>
      </c>
      <c r="E13" s="63">
        <f t="shared" si="3"/>
        <v>7801.4520547945203</v>
      </c>
      <c r="F13" s="63">
        <f>395500/365</f>
        <v>1083.5616438356165</v>
      </c>
      <c r="G13" s="63">
        <v>0</v>
      </c>
      <c r="H13" s="65">
        <v>0</v>
      </c>
      <c r="I13" s="63">
        <v>0</v>
      </c>
      <c r="J13" s="63">
        <v>0</v>
      </c>
      <c r="K13" s="63">
        <f>2452030/365</f>
        <v>6717.8904109589039</v>
      </c>
      <c r="L13" s="64">
        <f t="shared" si="1"/>
        <v>1.6643239739207418</v>
      </c>
    </row>
    <row r="14" spans="1:12" ht="26.25" customHeight="1">
      <c r="A14" s="299"/>
      <c r="B14" s="322" t="s">
        <v>130</v>
      </c>
      <c r="C14" s="65">
        <v>615000</v>
      </c>
      <c r="D14" s="63">
        <v>379347</v>
      </c>
      <c r="E14" s="63">
        <f t="shared" si="3"/>
        <v>6770</v>
      </c>
      <c r="F14" s="63">
        <v>255</v>
      </c>
      <c r="G14" s="632" t="s">
        <v>1588</v>
      </c>
      <c r="H14" s="626" t="s">
        <v>1588</v>
      </c>
      <c r="I14" s="632" t="s">
        <v>1588</v>
      </c>
      <c r="J14" s="632" t="s">
        <v>1588</v>
      </c>
      <c r="K14" s="63">
        <v>6515</v>
      </c>
      <c r="L14" s="64">
        <f t="shared" si="1"/>
        <v>1.7846457201454078</v>
      </c>
    </row>
    <row r="15" spans="1:12" ht="26.25" customHeight="1">
      <c r="A15" s="299"/>
      <c r="B15" s="322" t="s">
        <v>2038</v>
      </c>
      <c r="C15" s="65">
        <v>340000</v>
      </c>
      <c r="D15" s="63">
        <v>325250</v>
      </c>
      <c r="E15" s="63">
        <f t="shared" si="3"/>
        <v>3619.8767123287671</v>
      </c>
      <c r="F15" s="63">
        <f>17085/365</f>
        <v>46.80821917808219</v>
      </c>
      <c r="G15" s="63">
        <f>1553/365</f>
        <v>4.2547945205479456</v>
      </c>
      <c r="H15" s="65">
        <v>0</v>
      </c>
      <c r="I15" s="63">
        <v>0</v>
      </c>
      <c r="J15" s="63">
        <f>(1313120/365)-F15-G15</f>
        <v>3546.5260273972603</v>
      </c>
      <c r="K15" s="63">
        <f>8135/365</f>
        <v>22.287671232876711</v>
      </c>
      <c r="L15" s="64">
        <f t="shared" si="1"/>
        <v>1.1129521021764079</v>
      </c>
    </row>
    <row r="16" spans="1:12" ht="26.25" customHeight="1">
      <c r="A16" s="299"/>
      <c r="B16" s="322" t="s">
        <v>131</v>
      </c>
      <c r="C16" s="65">
        <v>80000</v>
      </c>
      <c r="D16" s="63">
        <v>49351</v>
      </c>
      <c r="E16" s="63">
        <f t="shared" si="3"/>
        <v>923.9</v>
      </c>
      <c r="F16" s="63">
        <v>61.9</v>
      </c>
      <c r="G16" s="632" t="s">
        <v>1588</v>
      </c>
      <c r="H16" s="626" t="s">
        <v>1588</v>
      </c>
      <c r="I16" s="632" t="s">
        <v>1588</v>
      </c>
      <c r="J16" s="632" t="s">
        <v>1588</v>
      </c>
      <c r="K16" s="63">
        <v>862</v>
      </c>
      <c r="L16" s="64">
        <f t="shared" si="1"/>
        <v>1.8720998561326012</v>
      </c>
    </row>
    <row r="17" spans="1:12" ht="26.25" customHeight="1">
      <c r="A17" s="299"/>
      <c r="B17" s="322" t="s">
        <v>132</v>
      </c>
      <c r="C17" s="65">
        <v>24000</v>
      </c>
      <c r="D17" s="63">
        <v>3479</v>
      </c>
      <c r="E17" s="63">
        <f t="shared" si="3"/>
        <v>61.599999999999994</v>
      </c>
      <c r="F17" s="63">
        <v>12.3</v>
      </c>
      <c r="G17" s="632" t="s">
        <v>1588</v>
      </c>
      <c r="H17" s="626" t="s">
        <v>1588</v>
      </c>
      <c r="I17" s="632" t="s">
        <v>1588</v>
      </c>
      <c r="J17" s="632" t="s">
        <v>1588</v>
      </c>
      <c r="K17" s="63">
        <v>49.3</v>
      </c>
      <c r="L17" s="64">
        <f t="shared" si="1"/>
        <v>1.7706237424547282</v>
      </c>
    </row>
    <row r="18" spans="1:12" ht="26.25" customHeight="1">
      <c r="A18" s="299"/>
      <c r="B18" s="323" t="s">
        <v>2468</v>
      </c>
      <c r="C18" s="65">
        <v>65000</v>
      </c>
      <c r="D18" s="63">
        <v>37130</v>
      </c>
      <c r="E18" s="63">
        <f t="shared" si="3"/>
        <v>37130</v>
      </c>
      <c r="F18" s="63">
        <v>1165</v>
      </c>
      <c r="G18" s="632" t="s">
        <v>1588</v>
      </c>
      <c r="H18" s="65">
        <v>35620</v>
      </c>
      <c r="I18" s="632" t="s">
        <v>1588</v>
      </c>
      <c r="J18" s="63">
        <v>300</v>
      </c>
      <c r="K18" s="63">
        <v>45</v>
      </c>
      <c r="L18" s="64">
        <f t="shared" si="1"/>
        <v>100</v>
      </c>
    </row>
    <row r="19" spans="1:12" ht="26.25" customHeight="1">
      <c r="A19" s="299"/>
      <c r="B19" s="322" t="s">
        <v>2250</v>
      </c>
      <c r="C19" s="65">
        <v>15000</v>
      </c>
      <c r="D19" s="63">
        <v>5599</v>
      </c>
      <c r="E19" s="63">
        <f t="shared" si="3"/>
        <v>444</v>
      </c>
      <c r="F19" s="63">
        <v>36</v>
      </c>
      <c r="G19" s="632" t="s">
        <v>1588</v>
      </c>
      <c r="H19" s="626" t="s">
        <v>1588</v>
      </c>
      <c r="I19" s="632" t="s">
        <v>1588</v>
      </c>
      <c r="J19" s="63">
        <v>353</v>
      </c>
      <c r="K19" s="63">
        <v>55</v>
      </c>
      <c r="L19" s="64">
        <f t="shared" si="1"/>
        <v>7.9299874977674589</v>
      </c>
    </row>
    <row r="20" spans="1:12" ht="26.25" customHeight="1">
      <c r="A20" s="299"/>
      <c r="B20" s="322" t="s">
        <v>2146</v>
      </c>
      <c r="C20" s="65">
        <v>120000</v>
      </c>
      <c r="D20" s="65">
        <v>38200</v>
      </c>
      <c r="E20" s="65">
        <f t="shared" si="3"/>
        <v>10347</v>
      </c>
      <c r="F20" s="65">
        <v>8990</v>
      </c>
      <c r="G20" s="65">
        <v>492</v>
      </c>
      <c r="H20" s="626" t="s">
        <v>1588</v>
      </c>
      <c r="I20" s="626" t="s">
        <v>1588</v>
      </c>
      <c r="J20" s="626" t="s">
        <v>1588</v>
      </c>
      <c r="K20" s="65">
        <v>865</v>
      </c>
      <c r="L20" s="64">
        <f t="shared" si="1"/>
        <v>27.086387434554975</v>
      </c>
    </row>
    <row r="21" spans="1:12" ht="26.25" customHeight="1">
      <c r="A21" s="299"/>
      <c r="B21" s="322" t="s">
        <v>133</v>
      </c>
      <c r="C21" s="65">
        <v>95000</v>
      </c>
      <c r="D21" s="65">
        <v>34120</v>
      </c>
      <c r="E21" s="63">
        <f t="shared" si="3"/>
        <v>93</v>
      </c>
      <c r="F21" s="63">
        <v>84</v>
      </c>
      <c r="G21" s="63">
        <v>9</v>
      </c>
      <c r="H21" s="626" t="s">
        <v>1588</v>
      </c>
      <c r="I21" s="632" t="s">
        <v>1588</v>
      </c>
      <c r="J21" s="632" t="s">
        <v>1588</v>
      </c>
      <c r="K21" s="632" t="s">
        <v>1588</v>
      </c>
      <c r="L21" s="64">
        <f t="shared" si="1"/>
        <v>0.27256740914419697</v>
      </c>
    </row>
    <row r="22" spans="1:12" ht="26.25" customHeight="1">
      <c r="A22" s="280" t="s">
        <v>1971</v>
      </c>
      <c r="B22" s="880">
        <f>COUNTA(B23:B28)</f>
        <v>6</v>
      </c>
      <c r="C22" s="63">
        <f>SUM(C23:C28)</f>
        <v>1862000</v>
      </c>
      <c r="D22" s="63">
        <f>SUM(D23:D28)</f>
        <v>1242909</v>
      </c>
      <c r="E22" s="63">
        <f t="shared" si="3"/>
        <v>208254.9</v>
      </c>
      <c r="F22" s="63">
        <f t="shared" ref="F22:K22" si="5">SUM(F23:F28)</f>
        <v>185.1</v>
      </c>
      <c r="G22" s="63">
        <f t="shared" si="5"/>
        <v>433.8</v>
      </c>
      <c r="H22" s="63">
        <f t="shared" si="5"/>
        <v>99114</v>
      </c>
      <c r="I22" s="63">
        <f t="shared" si="5"/>
        <v>0</v>
      </c>
      <c r="J22" s="63">
        <f t="shared" si="5"/>
        <v>0</v>
      </c>
      <c r="K22" s="63">
        <f t="shared" si="5"/>
        <v>108522</v>
      </c>
      <c r="L22" s="64">
        <f t="shared" si="1"/>
        <v>16.755442272925851</v>
      </c>
    </row>
    <row r="23" spans="1:12" ht="26.25" customHeight="1">
      <c r="A23" s="299"/>
      <c r="B23" s="322" t="s">
        <v>2195</v>
      </c>
      <c r="C23" s="63">
        <v>400000</v>
      </c>
      <c r="D23" s="63">
        <v>242192</v>
      </c>
      <c r="E23" s="63">
        <f t="shared" si="3"/>
        <v>54756</v>
      </c>
      <c r="F23" s="632" t="s">
        <v>1588</v>
      </c>
      <c r="G23" s="63">
        <v>26</v>
      </c>
      <c r="H23" s="632" t="s">
        <v>1588</v>
      </c>
      <c r="I23" s="632" t="s">
        <v>1588</v>
      </c>
      <c r="J23" s="632" t="s">
        <v>1588</v>
      </c>
      <c r="K23" s="63">
        <v>54730</v>
      </c>
      <c r="L23" s="64">
        <f t="shared" si="1"/>
        <v>22.608508951575608</v>
      </c>
    </row>
    <row r="24" spans="1:12" ht="26.25" customHeight="1">
      <c r="A24" s="299"/>
      <c r="B24" s="322" t="s">
        <v>2250</v>
      </c>
      <c r="C24" s="63">
        <v>520000</v>
      </c>
      <c r="D24" s="63">
        <v>374368</v>
      </c>
      <c r="E24" s="63">
        <f t="shared" si="3"/>
        <v>17145</v>
      </c>
      <c r="F24" s="63">
        <v>164</v>
      </c>
      <c r="G24" s="63">
        <v>347</v>
      </c>
      <c r="H24" s="632" t="s">
        <v>1588</v>
      </c>
      <c r="I24" s="632" t="s">
        <v>1588</v>
      </c>
      <c r="J24" s="632" t="s">
        <v>1588</v>
      </c>
      <c r="K24" s="63">
        <v>16634</v>
      </c>
      <c r="L24" s="64">
        <f t="shared" si="1"/>
        <v>4.5797183519958971</v>
      </c>
    </row>
    <row r="25" spans="1:12" ht="26.25" customHeight="1">
      <c r="A25" s="299"/>
      <c r="B25" s="322" t="s">
        <v>1787</v>
      </c>
      <c r="C25" s="63">
        <v>680000</v>
      </c>
      <c r="D25" s="63">
        <v>466963</v>
      </c>
      <c r="E25" s="63">
        <f t="shared" si="3"/>
        <v>98437</v>
      </c>
      <c r="F25" s="632" t="s">
        <v>1588</v>
      </c>
      <c r="G25" s="63">
        <v>24</v>
      </c>
      <c r="H25" s="63">
        <v>75334</v>
      </c>
      <c r="I25" s="632" t="s">
        <v>1588</v>
      </c>
      <c r="J25" s="632" t="s">
        <v>1588</v>
      </c>
      <c r="K25" s="63">
        <v>23079</v>
      </c>
      <c r="L25" s="64">
        <f t="shared" si="1"/>
        <v>21.080256894015157</v>
      </c>
    </row>
    <row r="26" spans="1:12" ht="26.25" customHeight="1">
      <c r="A26" s="299"/>
      <c r="B26" s="322" t="s">
        <v>320</v>
      </c>
      <c r="C26" s="63">
        <v>170000</v>
      </c>
      <c r="D26" s="63">
        <v>104845</v>
      </c>
      <c r="E26" s="63">
        <f t="shared" si="3"/>
        <v>10715</v>
      </c>
      <c r="F26" s="63">
        <v>18</v>
      </c>
      <c r="G26" s="63">
        <v>18</v>
      </c>
      <c r="H26" s="632" t="s">
        <v>1588</v>
      </c>
      <c r="I26" s="632" t="s">
        <v>1588</v>
      </c>
      <c r="J26" s="632" t="s">
        <v>1588</v>
      </c>
      <c r="K26" s="63">
        <v>10679</v>
      </c>
      <c r="L26" s="64">
        <f t="shared" si="1"/>
        <v>10.219848347560685</v>
      </c>
    </row>
    <row r="27" spans="1:12" ht="26.25" customHeight="1">
      <c r="A27" s="299"/>
      <c r="B27" s="322" t="s">
        <v>2033</v>
      </c>
      <c r="C27" s="63">
        <v>45000</v>
      </c>
      <c r="D27" s="63">
        <v>25054</v>
      </c>
      <c r="E27" s="63">
        <f t="shared" si="3"/>
        <v>23792</v>
      </c>
      <c r="F27" s="63">
        <v>2</v>
      </c>
      <c r="G27" s="63">
        <v>10</v>
      </c>
      <c r="H27" s="63">
        <v>23780</v>
      </c>
      <c r="I27" s="632" t="s">
        <v>1588</v>
      </c>
      <c r="J27" s="632" t="s">
        <v>1588</v>
      </c>
      <c r="K27" s="632" t="s">
        <v>1588</v>
      </c>
      <c r="L27" s="64">
        <f t="shared" si="1"/>
        <v>94.962880178813762</v>
      </c>
    </row>
    <row r="28" spans="1:12" ht="26.25" customHeight="1">
      <c r="A28" s="300"/>
      <c r="B28" s="322" t="s">
        <v>321</v>
      </c>
      <c r="C28" s="63">
        <v>47000</v>
      </c>
      <c r="D28" s="63">
        <v>29487</v>
      </c>
      <c r="E28" s="63">
        <f t="shared" si="3"/>
        <v>3409.9</v>
      </c>
      <c r="F28" s="63">
        <v>1.1000000000000001</v>
      </c>
      <c r="G28" s="63">
        <v>8.8000000000000007</v>
      </c>
      <c r="H28" s="632" t="s">
        <v>1588</v>
      </c>
      <c r="I28" s="632" t="s">
        <v>1588</v>
      </c>
      <c r="J28" s="632" t="s">
        <v>1588</v>
      </c>
      <c r="K28" s="63">
        <v>3400</v>
      </c>
      <c r="L28" s="64">
        <f t="shared" si="1"/>
        <v>11.564079085698783</v>
      </c>
    </row>
    <row r="29" spans="1:12" ht="26.25" customHeight="1">
      <c r="A29" s="300" t="s">
        <v>1791</v>
      </c>
      <c r="B29" s="336">
        <f>COUNTA(B30:B36)</f>
        <v>7</v>
      </c>
      <c r="C29" s="63">
        <f>SUM(C30:C36)</f>
        <v>737000</v>
      </c>
      <c r="D29" s="63">
        <f>SUM(D30:D36)</f>
        <v>661432</v>
      </c>
      <c r="E29" s="63">
        <f t="shared" si="3"/>
        <v>148197.6</v>
      </c>
      <c r="F29" s="63">
        <f t="shared" ref="F29:K29" si="6">SUM(F30:F36)</f>
        <v>23148.7</v>
      </c>
      <c r="G29" s="63">
        <f t="shared" si="6"/>
        <v>69207.199999999997</v>
      </c>
      <c r="H29" s="63">
        <f t="shared" si="6"/>
        <v>0</v>
      </c>
      <c r="I29" s="63">
        <f t="shared" si="6"/>
        <v>2228</v>
      </c>
      <c r="J29" s="63">
        <f t="shared" si="6"/>
        <v>30389</v>
      </c>
      <c r="K29" s="63">
        <f t="shared" si="6"/>
        <v>23224.7</v>
      </c>
      <c r="L29" s="64">
        <f t="shared" si="1"/>
        <v>22.40556852405085</v>
      </c>
    </row>
    <row r="30" spans="1:12" ht="26.25" customHeight="1">
      <c r="A30" s="298"/>
      <c r="B30" s="290" t="s">
        <v>2376</v>
      </c>
      <c r="C30" s="63">
        <v>350000</v>
      </c>
      <c r="D30" s="63">
        <v>279253</v>
      </c>
      <c r="E30" s="65">
        <f t="shared" si="3"/>
        <v>59555</v>
      </c>
      <c r="F30" s="65">
        <v>8795</v>
      </c>
      <c r="G30" s="65">
        <v>615</v>
      </c>
      <c r="H30" s="632" t="s">
        <v>1588</v>
      </c>
      <c r="I30" s="632" t="s">
        <v>1588</v>
      </c>
      <c r="J30" s="65">
        <v>28407</v>
      </c>
      <c r="K30" s="65">
        <v>21738</v>
      </c>
      <c r="L30" s="64">
        <f t="shared" si="1"/>
        <v>21.32653901659069</v>
      </c>
    </row>
    <row r="31" spans="1:12" ht="26.25" customHeight="1">
      <c r="A31" s="299"/>
      <c r="B31" s="290" t="s">
        <v>134</v>
      </c>
      <c r="C31" s="63">
        <v>240000</v>
      </c>
      <c r="D31" s="63">
        <v>287742</v>
      </c>
      <c r="E31" s="65">
        <f t="shared" si="3"/>
        <v>82843</v>
      </c>
      <c r="F31" s="65">
        <v>14263</v>
      </c>
      <c r="G31" s="65">
        <v>68580</v>
      </c>
      <c r="H31" s="632" t="s">
        <v>1588</v>
      </c>
      <c r="I31" s="632" t="s">
        <v>1588</v>
      </c>
      <c r="J31" s="626" t="s">
        <v>1588</v>
      </c>
      <c r="K31" s="626" t="s">
        <v>1588</v>
      </c>
      <c r="L31" s="64">
        <f t="shared" si="1"/>
        <v>28.790722244232679</v>
      </c>
    </row>
    <row r="32" spans="1:12" ht="26.25" customHeight="1">
      <c r="A32" s="299"/>
      <c r="B32" s="290" t="s">
        <v>2086</v>
      </c>
      <c r="C32" s="63">
        <v>12000</v>
      </c>
      <c r="D32" s="63">
        <v>4976</v>
      </c>
      <c r="E32" s="65">
        <f t="shared" si="3"/>
        <v>310</v>
      </c>
      <c r="F32" s="626" t="s">
        <v>1588</v>
      </c>
      <c r="G32" s="65">
        <v>12.2</v>
      </c>
      <c r="H32" s="632" t="s">
        <v>1588</v>
      </c>
      <c r="I32" s="632" t="s">
        <v>1588</v>
      </c>
      <c r="J32" s="626" t="s">
        <v>1588</v>
      </c>
      <c r="K32" s="65">
        <v>297.8</v>
      </c>
      <c r="L32" s="64">
        <f t="shared" si="1"/>
        <v>6.229903536977492</v>
      </c>
    </row>
    <row r="33" spans="1:12" ht="26.25" customHeight="1">
      <c r="A33" s="299"/>
      <c r="B33" s="290" t="s">
        <v>2377</v>
      </c>
      <c r="C33" s="63">
        <v>9000</v>
      </c>
      <c r="D33" s="63">
        <v>7379</v>
      </c>
      <c r="E33" s="65">
        <f t="shared" si="3"/>
        <v>309</v>
      </c>
      <c r="F33" s="65">
        <v>11</v>
      </c>
      <c r="G33" s="626" t="s">
        <v>1588</v>
      </c>
      <c r="H33" s="632" t="s">
        <v>1588</v>
      </c>
      <c r="I33" s="63">
        <v>220</v>
      </c>
      <c r="J33" s="626" t="s">
        <v>1588</v>
      </c>
      <c r="K33" s="65">
        <v>78</v>
      </c>
      <c r="L33" s="64">
        <f t="shared" si="1"/>
        <v>4.1875592898766776</v>
      </c>
    </row>
    <row r="34" spans="1:12" ht="26.25" customHeight="1">
      <c r="A34" s="299"/>
      <c r="B34" s="290" t="s">
        <v>2085</v>
      </c>
      <c r="C34" s="63">
        <v>70000</v>
      </c>
      <c r="D34" s="63">
        <v>55938</v>
      </c>
      <c r="E34" s="65">
        <f t="shared" si="3"/>
        <v>2461</v>
      </c>
      <c r="F34" s="65">
        <v>5</v>
      </c>
      <c r="G34" s="626" t="s">
        <v>1588</v>
      </c>
      <c r="H34" s="632" t="s">
        <v>1588</v>
      </c>
      <c r="I34" s="63">
        <v>2008</v>
      </c>
      <c r="J34" s="626" t="s">
        <v>1588</v>
      </c>
      <c r="K34" s="65">
        <v>448</v>
      </c>
      <c r="L34" s="64">
        <f t="shared" si="1"/>
        <v>4.3995137473631516</v>
      </c>
    </row>
    <row r="35" spans="1:12" ht="26.25" customHeight="1">
      <c r="A35" s="299"/>
      <c r="B35" s="290" t="s">
        <v>135</v>
      </c>
      <c r="C35" s="63">
        <v>30000</v>
      </c>
      <c r="D35" s="63">
        <v>6257</v>
      </c>
      <c r="E35" s="65">
        <f t="shared" si="3"/>
        <v>13.6</v>
      </c>
      <c r="F35" s="65">
        <v>8.6999999999999993</v>
      </c>
      <c r="G35" s="626" t="s">
        <v>1588</v>
      </c>
      <c r="H35" s="632" t="s">
        <v>1588</v>
      </c>
      <c r="I35" s="632" t="s">
        <v>1588</v>
      </c>
      <c r="J35" s="626" t="s">
        <v>1588</v>
      </c>
      <c r="K35" s="65">
        <v>4.9000000000000004</v>
      </c>
      <c r="L35" s="64">
        <f t="shared" si="1"/>
        <v>0.21735656065206965</v>
      </c>
    </row>
    <row r="36" spans="1:12" ht="26.25" customHeight="1">
      <c r="A36" s="299"/>
      <c r="B36" s="290" t="s">
        <v>136</v>
      </c>
      <c r="C36" s="63">
        <v>26000</v>
      </c>
      <c r="D36" s="63">
        <v>19887</v>
      </c>
      <c r="E36" s="65">
        <f t="shared" si="3"/>
        <v>2706</v>
      </c>
      <c r="F36" s="65">
        <v>66</v>
      </c>
      <c r="G36" s="626" t="s">
        <v>1588</v>
      </c>
      <c r="H36" s="632" t="s">
        <v>1588</v>
      </c>
      <c r="I36" s="632" t="s">
        <v>1588</v>
      </c>
      <c r="J36" s="65">
        <v>1982</v>
      </c>
      <c r="K36" s="65">
        <v>658</v>
      </c>
      <c r="L36" s="64">
        <f t="shared" si="1"/>
        <v>13.606878865590588</v>
      </c>
    </row>
    <row r="37" spans="1:12" ht="26.25" customHeight="1">
      <c r="A37" s="298" t="s">
        <v>1798</v>
      </c>
      <c r="B37" s="336">
        <f>COUNTA(B38:B39)</f>
        <v>2</v>
      </c>
      <c r="C37" s="63">
        <f>C38+C39</f>
        <v>720000</v>
      </c>
      <c r="D37" s="63">
        <f>D38+D39</f>
        <v>635831</v>
      </c>
      <c r="E37" s="65">
        <f t="shared" si="3"/>
        <v>21057.863013698632</v>
      </c>
      <c r="F37" s="65">
        <f t="shared" ref="F37:K37" si="7">SUM(F38:F39)</f>
        <v>1142.4657534246576</v>
      </c>
      <c r="G37" s="65">
        <f t="shared" si="7"/>
        <v>689</v>
      </c>
      <c r="H37" s="65">
        <f t="shared" si="7"/>
        <v>0</v>
      </c>
      <c r="I37" s="65">
        <f t="shared" si="7"/>
        <v>0</v>
      </c>
      <c r="J37" s="65">
        <f t="shared" si="7"/>
        <v>1275</v>
      </c>
      <c r="K37" s="65">
        <f t="shared" si="7"/>
        <v>17951.397260273974</v>
      </c>
      <c r="L37" s="64">
        <f t="shared" si="1"/>
        <v>3.3118647901248339</v>
      </c>
    </row>
    <row r="38" spans="1:12" ht="26.25" customHeight="1">
      <c r="A38" s="298"/>
      <c r="B38" s="323" t="s">
        <v>137</v>
      </c>
      <c r="C38" s="63">
        <v>600000</v>
      </c>
      <c r="D38" s="63">
        <v>532335</v>
      </c>
      <c r="E38" s="65">
        <f t="shared" si="3"/>
        <v>18213</v>
      </c>
      <c r="F38" s="626" t="s">
        <v>1588</v>
      </c>
      <c r="G38" s="65">
        <v>689</v>
      </c>
      <c r="H38" s="626" t="s">
        <v>1588</v>
      </c>
      <c r="I38" s="626" t="s">
        <v>1588</v>
      </c>
      <c r="J38" s="626" t="s">
        <v>1588</v>
      </c>
      <c r="K38" s="65">
        <v>17524</v>
      </c>
      <c r="L38" s="64">
        <f t="shared" si="1"/>
        <v>3.4213418242272251</v>
      </c>
    </row>
    <row r="39" spans="1:12" ht="26.25" customHeight="1">
      <c r="A39" s="300"/>
      <c r="B39" s="323" t="s">
        <v>138</v>
      </c>
      <c r="C39" s="63">
        <v>120000</v>
      </c>
      <c r="D39" s="63">
        <v>103496</v>
      </c>
      <c r="E39" s="65">
        <f t="shared" si="3"/>
        <v>2844.8630136986303</v>
      </c>
      <c r="F39" s="65">
        <v>1142.4657534246576</v>
      </c>
      <c r="G39" s="626" t="s">
        <v>1588</v>
      </c>
      <c r="H39" s="626" t="s">
        <v>1588</v>
      </c>
      <c r="I39" s="626" t="s">
        <v>1588</v>
      </c>
      <c r="J39" s="65">
        <v>1275</v>
      </c>
      <c r="K39" s="65">
        <v>427.39726027397262</v>
      </c>
      <c r="L39" s="64">
        <f t="shared" si="1"/>
        <v>2.7487661491252129</v>
      </c>
    </row>
    <row r="40" spans="1:12" ht="26.25" customHeight="1">
      <c r="A40" s="300" t="s">
        <v>1972</v>
      </c>
      <c r="B40" s="336">
        <f>COUNTA(B41:B42)</f>
        <v>2</v>
      </c>
      <c r="C40" s="63">
        <f t="shared" ref="C40:L40" si="8">SUM(C41:C42)</f>
        <v>901000</v>
      </c>
      <c r="D40" s="63">
        <f t="shared" si="8"/>
        <v>622243</v>
      </c>
      <c r="E40" s="65">
        <f t="shared" si="8"/>
        <v>8960</v>
      </c>
      <c r="F40" s="65">
        <f t="shared" si="8"/>
        <v>0</v>
      </c>
      <c r="G40" s="65">
        <f t="shared" si="8"/>
        <v>0</v>
      </c>
      <c r="H40" s="65">
        <f t="shared" si="8"/>
        <v>0</v>
      </c>
      <c r="I40" s="65">
        <f t="shared" si="8"/>
        <v>0</v>
      </c>
      <c r="J40" s="65">
        <f t="shared" si="8"/>
        <v>0</v>
      </c>
      <c r="K40" s="65">
        <f t="shared" si="8"/>
        <v>8960</v>
      </c>
      <c r="L40" s="64">
        <f t="shared" si="8"/>
        <v>1.4406233268430251</v>
      </c>
    </row>
    <row r="41" spans="1:12" ht="26.25" customHeight="1">
      <c r="A41" s="300"/>
      <c r="B41" s="290" t="s">
        <v>2379</v>
      </c>
      <c r="C41" s="65">
        <v>900000</v>
      </c>
      <c r="D41" s="65">
        <v>621953</v>
      </c>
      <c r="E41" s="65">
        <f>SUM(F41:K41)</f>
        <v>8960</v>
      </c>
      <c r="F41" s="626" t="s">
        <v>1588</v>
      </c>
      <c r="G41" s="626" t="s">
        <v>1588</v>
      </c>
      <c r="H41" s="626" t="s">
        <v>1588</v>
      </c>
      <c r="I41" s="626" t="s">
        <v>1588</v>
      </c>
      <c r="J41" s="626" t="s">
        <v>1588</v>
      </c>
      <c r="K41" s="65">
        <v>8960</v>
      </c>
      <c r="L41" s="64">
        <f>(E41/D41)*100</f>
        <v>1.4406233268430251</v>
      </c>
    </row>
    <row r="42" spans="1:12" ht="26.25" customHeight="1">
      <c r="A42" s="280"/>
      <c r="B42" s="448" t="s">
        <v>465</v>
      </c>
      <c r="C42" s="65">
        <v>1000</v>
      </c>
      <c r="D42" s="65">
        <v>290</v>
      </c>
      <c r="E42" s="65">
        <f t="shared" si="3"/>
        <v>0</v>
      </c>
      <c r="F42" s="626">
        <v>0</v>
      </c>
      <c r="G42" s="626">
        <v>0</v>
      </c>
      <c r="H42" s="626">
        <v>0</v>
      </c>
      <c r="I42" s="626">
        <v>0</v>
      </c>
      <c r="J42" s="626">
        <v>0</v>
      </c>
      <c r="K42" s="65">
        <v>0</v>
      </c>
      <c r="L42" s="64">
        <f t="shared" si="1"/>
        <v>0</v>
      </c>
    </row>
    <row r="43" spans="1:12" ht="26.25" customHeight="1">
      <c r="A43" s="298" t="s">
        <v>1973</v>
      </c>
      <c r="B43" s="336">
        <f>COUNTA(B44:B49)</f>
        <v>6</v>
      </c>
      <c r="C43" s="63">
        <f>SUM(C44:C49)</f>
        <v>596600</v>
      </c>
      <c r="D43" s="63">
        <f>SUM(D44:D49)</f>
        <v>408404</v>
      </c>
      <c r="E43" s="63">
        <f t="shared" si="3"/>
        <v>16220.4</v>
      </c>
      <c r="F43" s="63">
        <f t="shared" ref="F43:K43" si="9">SUM(F44:F49)</f>
        <v>5381.9</v>
      </c>
      <c r="G43" s="63">
        <f t="shared" si="9"/>
        <v>968.4</v>
      </c>
      <c r="H43" s="63">
        <f t="shared" si="9"/>
        <v>0</v>
      </c>
      <c r="I43" s="63">
        <f t="shared" si="9"/>
        <v>4212.5</v>
      </c>
      <c r="J43" s="63">
        <f t="shared" si="9"/>
        <v>0</v>
      </c>
      <c r="K43" s="63">
        <f t="shared" si="9"/>
        <v>5657.6</v>
      </c>
      <c r="L43" s="64">
        <f t="shared" si="1"/>
        <v>3.971655517575734</v>
      </c>
    </row>
    <row r="44" spans="1:12" ht="26.25" customHeight="1">
      <c r="A44" s="298"/>
      <c r="B44" s="322" t="s">
        <v>2089</v>
      </c>
      <c r="C44" s="65">
        <v>250000</v>
      </c>
      <c r="D44" s="65">
        <v>235356</v>
      </c>
      <c r="E44" s="63">
        <f t="shared" si="3"/>
        <v>5872</v>
      </c>
      <c r="F44" s="63">
        <v>4004</v>
      </c>
      <c r="G44" s="63">
        <v>729</v>
      </c>
      <c r="H44" s="632" t="s">
        <v>1588</v>
      </c>
      <c r="I44" s="632" t="s">
        <v>1588</v>
      </c>
      <c r="J44" s="632" t="s">
        <v>1588</v>
      </c>
      <c r="K44" s="63">
        <v>1139</v>
      </c>
      <c r="L44" s="64">
        <f t="shared" si="1"/>
        <v>2.4949438297727697</v>
      </c>
    </row>
    <row r="45" spans="1:12" ht="26.25" customHeight="1">
      <c r="A45" s="299"/>
      <c r="B45" s="322" t="s">
        <v>2091</v>
      </c>
      <c r="C45" s="63">
        <v>150000</v>
      </c>
      <c r="D45" s="63">
        <v>69835</v>
      </c>
      <c r="E45" s="63">
        <f t="shared" si="3"/>
        <v>998</v>
      </c>
      <c r="F45" s="63">
        <v>646</v>
      </c>
      <c r="G45" s="632" t="s">
        <v>1588</v>
      </c>
      <c r="H45" s="632" t="s">
        <v>1588</v>
      </c>
      <c r="I45" s="632" t="s">
        <v>1588</v>
      </c>
      <c r="J45" s="632" t="s">
        <v>1588</v>
      </c>
      <c r="K45" s="63">
        <v>352</v>
      </c>
      <c r="L45" s="64">
        <f t="shared" si="1"/>
        <v>1.429082838118422</v>
      </c>
    </row>
    <row r="46" spans="1:12" ht="26.25" customHeight="1">
      <c r="A46" s="299"/>
      <c r="B46" s="322" t="s">
        <v>139</v>
      </c>
      <c r="C46" s="63">
        <v>32000</v>
      </c>
      <c r="D46" s="63">
        <v>31403</v>
      </c>
      <c r="E46" s="63">
        <f t="shared" si="3"/>
        <v>4118</v>
      </c>
      <c r="F46" s="63">
        <v>452</v>
      </c>
      <c r="G46" s="632" t="s">
        <v>1588</v>
      </c>
      <c r="H46" s="632" t="s">
        <v>1588</v>
      </c>
      <c r="I46" s="63">
        <v>3157</v>
      </c>
      <c r="J46" s="632" t="s">
        <v>1588</v>
      </c>
      <c r="K46" s="63">
        <v>509</v>
      </c>
      <c r="L46" s="64">
        <f t="shared" si="1"/>
        <v>13.113396809222049</v>
      </c>
    </row>
    <row r="47" spans="1:12" ht="26.25" customHeight="1">
      <c r="A47" s="299"/>
      <c r="B47" s="322" t="s">
        <v>2097</v>
      </c>
      <c r="C47" s="63">
        <v>4600</v>
      </c>
      <c r="D47" s="63">
        <v>1492</v>
      </c>
      <c r="E47" s="63">
        <f t="shared" si="3"/>
        <v>79</v>
      </c>
      <c r="F47" s="63">
        <v>55</v>
      </c>
      <c r="G47" s="632" t="s">
        <v>1588</v>
      </c>
      <c r="H47" s="632" t="s">
        <v>1588</v>
      </c>
      <c r="I47" s="632" t="s">
        <v>1588</v>
      </c>
      <c r="J47" s="632" t="s">
        <v>1588</v>
      </c>
      <c r="K47" s="63">
        <v>24</v>
      </c>
      <c r="L47" s="64">
        <f t="shared" si="1"/>
        <v>5.2949061662198389</v>
      </c>
    </row>
    <row r="48" spans="1:12" ht="26.25" customHeight="1">
      <c r="A48" s="299"/>
      <c r="B48" s="322" t="s">
        <v>2094</v>
      </c>
      <c r="C48" s="63">
        <v>60000</v>
      </c>
      <c r="D48" s="63">
        <v>19234</v>
      </c>
      <c r="E48" s="63">
        <f t="shared" si="3"/>
        <v>1166.3999999999999</v>
      </c>
      <c r="F48" s="63">
        <v>29.9</v>
      </c>
      <c r="G48" s="63">
        <v>39.4</v>
      </c>
      <c r="H48" s="632" t="s">
        <v>1588</v>
      </c>
      <c r="I48" s="63">
        <v>1055.5</v>
      </c>
      <c r="J48" s="632" t="s">
        <v>1588</v>
      </c>
      <c r="K48" s="63">
        <v>41.6</v>
      </c>
      <c r="L48" s="64">
        <f t="shared" si="1"/>
        <v>6.0642612041177077</v>
      </c>
    </row>
    <row r="49" spans="1:12" ht="26.25" customHeight="1">
      <c r="A49" s="300"/>
      <c r="B49" s="322" t="s">
        <v>2099</v>
      </c>
      <c r="C49" s="63">
        <v>100000</v>
      </c>
      <c r="D49" s="63">
        <v>51084</v>
      </c>
      <c r="E49" s="63">
        <f t="shared" si="3"/>
        <v>3987</v>
      </c>
      <c r="F49" s="63">
        <v>195</v>
      </c>
      <c r="G49" s="63">
        <v>200</v>
      </c>
      <c r="H49" s="632" t="s">
        <v>1588</v>
      </c>
      <c r="I49" s="632" t="s">
        <v>1588</v>
      </c>
      <c r="J49" s="632" t="s">
        <v>1588</v>
      </c>
      <c r="K49" s="63">
        <v>3592</v>
      </c>
      <c r="L49" s="64">
        <f t="shared" si="1"/>
        <v>7.8047921071176889</v>
      </c>
    </row>
    <row r="50" spans="1:12" ht="26.25" customHeight="1">
      <c r="A50" s="321" t="s">
        <v>1808</v>
      </c>
      <c r="B50" s="337">
        <f>B51+B115</f>
        <v>82</v>
      </c>
      <c r="C50" s="65">
        <f>C51+C115</f>
        <v>5007500</v>
      </c>
      <c r="D50" s="277">
        <f>D51+D115</f>
        <v>3858927.0305152279</v>
      </c>
      <c r="E50" s="65">
        <f t="shared" si="3"/>
        <v>299599.27824657538</v>
      </c>
      <c r="F50" s="65">
        <f t="shared" ref="F50:K50" si="10">F51+F115</f>
        <v>20536.07399999999</v>
      </c>
      <c r="G50" s="65">
        <f t="shared" si="10"/>
        <v>18290</v>
      </c>
      <c r="H50" s="65">
        <f t="shared" si="10"/>
        <v>65393</v>
      </c>
      <c r="I50" s="65">
        <f t="shared" si="10"/>
        <v>22519.876712328769</v>
      </c>
      <c r="J50" s="65">
        <f t="shared" si="10"/>
        <v>2697.1</v>
      </c>
      <c r="K50" s="65">
        <f t="shared" si="10"/>
        <v>170163.22753424663</v>
      </c>
      <c r="L50" s="66">
        <f t="shared" si="1"/>
        <v>7.763797446218466</v>
      </c>
    </row>
    <row r="51" spans="1:12" ht="26.25" customHeight="1">
      <c r="A51" s="71" t="s">
        <v>1674</v>
      </c>
      <c r="B51" s="337">
        <f>COUNTA(B52:B114)</f>
        <v>62</v>
      </c>
      <c r="C51" s="65">
        <f t="shared" ref="C51:K51" si="11">SUM(C52:C114)</f>
        <v>4929350</v>
      </c>
      <c r="D51" s="277">
        <f t="shared" si="11"/>
        <v>3787800.0305152279</v>
      </c>
      <c r="E51" s="65">
        <f t="shared" si="3"/>
        <v>296207.77824657538</v>
      </c>
      <c r="F51" s="65">
        <f t="shared" si="11"/>
        <v>19946.27399999999</v>
      </c>
      <c r="G51" s="65">
        <f t="shared" si="11"/>
        <v>18290</v>
      </c>
      <c r="H51" s="65">
        <f t="shared" si="11"/>
        <v>65393</v>
      </c>
      <c r="I51" s="65">
        <f t="shared" si="11"/>
        <v>22226.876712328769</v>
      </c>
      <c r="J51" s="65">
        <f t="shared" si="11"/>
        <v>2697.1</v>
      </c>
      <c r="K51" s="65">
        <f t="shared" si="11"/>
        <v>167654.52753424662</v>
      </c>
      <c r="L51" s="66">
        <f t="shared" si="1"/>
        <v>7.8200479397082718</v>
      </c>
    </row>
    <row r="52" spans="1:12" ht="26.25" customHeight="1">
      <c r="A52" s="71" t="s">
        <v>1809</v>
      </c>
      <c r="B52" s="289" t="s">
        <v>2188</v>
      </c>
      <c r="C52" s="65">
        <v>520000</v>
      </c>
      <c r="D52" s="65">
        <v>391864</v>
      </c>
      <c r="E52" s="65">
        <f t="shared" si="3"/>
        <v>22557</v>
      </c>
      <c r="F52" s="626" t="s">
        <v>1588</v>
      </c>
      <c r="G52" s="626" t="s">
        <v>1588</v>
      </c>
      <c r="H52" s="626" t="s">
        <v>1588</v>
      </c>
      <c r="I52" s="65">
        <v>5688</v>
      </c>
      <c r="J52" s="626" t="s">
        <v>1588</v>
      </c>
      <c r="K52" s="65">
        <v>16869</v>
      </c>
      <c r="L52" s="66">
        <f t="shared" si="1"/>
        <v>5.7563338301043219</v>
      </c>
    </row>
    <row r="53" spans="1:12" ht="26.25" customHeight="1">
      <c r="A53" s="316" t="s">
        <v>1810</v>
      </c>
      <c r="B53" s="289" t="s">
        <v>2019</v>
      </c>
      <c r="C53" s="65">
        <v>435000</v>
      </c>
      <c r="D53" s="65">
        <v>411979</v>
      </c>
      <c r="E53" s="65">
        <f t="shared" si="3"/>
        <v>2737</v>
      </c>
      <c r="F53" s="65">
        <v>1142</v>
      </c>
      <c r="G53" s="65">
        <v>1595</v>
      </c>
      <c r="H53" s="626" t="s">
        <v>1588</v>
      </c>
      <c r="I53" s="626" t="s">
        <v>1588</v>
      </c>
      <c r="J53" s="626" t="s">
        <v>1588</v>
      </c>
      <c r="K53" s="626" t="s">
        <v>1588</v>
      </c>
      <c r="L53" s="66">
        <f t="shared" si="1"/>
        <v>0.66435425106619517</v>
      </c>
    </row>
    <row r="54" spans="1:12" ht="26.25" customHeight="1">
      <c r="A54" s="316" t="s">
        <v>1988</v>
      </c>
      <c r="B54" s="319" t="s">
        <v>2202</v>
      </c>
      <c r="C54" s="65">
        <v>270000</v>
      </c>
      <c r="D54" s="65">
        <v>194578</v>
      </c>
      <c r="E54" s="65">
        <f t="shared" si="3"/>
        <v>18888</v>
      </c>
      <c r="F54" s="65">
        <v>3650</v>
      </c>
      <c r="G54" s="65">
        <v>4734</v>
      </c>
      <c r="H54" s="626" t="s">
        <v>1588</v>
      </c>
      <c r="I54" s="626" t="s">
        <v>1588</v>
      </c>
      <c r="J54" s="626" t="s">
        <v>1588</v>
      </c>
      <c r="K54" s="65">
        <v>10504</v>
      </c>
      <c r="L54" s="66">
        <f t="shared" si="1"/>
        <v>9.7071611384637517</v>
      </c>
    </row>
    <row r="55" spans="1:12" ht="26.25" customHeight="1">
      <c r="A55" s="320"/>
      <c r="B55" s="319" t="s">
        <v>140</v>
      </c>
      <c r="C55" s="65">
        <v>30000</v>
      </c>
      <c r="D55" s="65">
        <v>12843</v>
      </c>
      <c r="E55" s="65">
        <f t="shared" si="3"/>
        <v>1620</v>
      </c>
      <c r="F55" s="65">
        <v>5</v>
      </c>
      <c r="G55" s="65">
        <v>1300</v>
      </c>
      <c r="H55" s="626" t="s">
        <v>1588</v>
      </c>
      <c r="I55" s="626" t="s">
        <v>1588</v>
      </c>
      <c r="J55" s="626" t="s">
        <v>1588</v>
      </c>
      <c r="K55" s="65">
        <v>315</v>
      </c>
      <c r="L55" s="66">
        <f t="shared" si="1"/>
        <v>12.613875262789067</v>
      </c>
    </row>
    <row r="56" spans="1:12" ht="26.25" customHeight="1">
      <c r="A56" s="316" t="s">
        <v>1812</v>
      </c>
      <c r="B56" s="324" t="s">
        <v>2446</v>
      </c>
      <c r="C56" s="65">
        <v>900000</v>
      </c>
      <c r="D56" s="65">
        <v>783218</v>
      </c>
      <c r="E56" s="65">
        <f t="shared" si="3"/>
        <v>105056</v>
      </c>
      <c r="F56" s="65">
        <v>194</v>
      </c>
      <c r="G56" s="65">
        <v>449</v>
      </c>
      <c r="H56" s="65">
        <v>24678</v>
      </c>
      <c r="I56" s="65">
        <v>0</v>
      </c>
      <c r="J56" s="65">
        <v>759</v>
      </c>
      <c r="K56" s="65">
        <v>78976</v>
      </c>
      <c r="L56" s="66">
        <f t="shared" si="1"/>
        <v>13.413379161357375</v>
      </c>
    </row>
    <row r="57" spans="1:12" ht="26.25" customHeight="1">
      <c r="A57" s="320"/>
      <c r="B57" s="324" t="s">
        <v>141</v>
      </c>
      <c r="C57" s="65">
        <v>50000</v>
      </c>
      <c r="D57" s="65">
        <v>29092</v>
      </c>
      <c r="E57" s="65">
        <f t="shared" si="3"/>
        <v>9926</v>
      </c>
      <c r="F57" s="65">
        <v>4</v>
      </c>
      <c r="G57" s="65">
        <v>0</v>
      </c>
      <c r="H57" s="65">
        <v>8932</v>
      </c>
      <c r="I57" s="65">
        <v>0</v>
      </c>
      <c r="J57" s="65">
        <v>0</v>
      </c>
      <c r="K57" s="65">
        <v>990</v>
      </c>
      <c r="L57" s="66">
        <f t="shared" si="1"/>
        <v>34.11934552454283</v>
      </c>
    </row>
    <row r="58" spans="1:12" ht="26.25" customHeight="1">
      <c r="A58" s="316" t="s">
        <v>1813</v>
      </c>
      <c r="B58" s="319" t="s">
        <v>142</v>
      </c>
      <c r="C58" s="65">
        <v>300000</v>
      </c>
      <c r="D58" s="65">
        <v>181214.8</v>
      </c>
      <c r="E58" s="65">
        <f t="shared" si="3"/>
        <v>5712</v>
      </c>
      <c r="F58" s="65">
        <v>5712</v>
      </c>
      <c r="G58" s="626" t="s">
        <v>1588</v>
      </c>
      <c r="H58" s="626" t="s">
        <v>1588</v>
      </c>
      <c r="I58" s="626" t="s">
        <v>1588</v>
      </c>
      <c r="J58" s="626" t="s">
        <v>1588</v>
      </c>
      <c r="K58" s="626" t="s">
        <v>1588</v>
      </c>
      <c r="L58" s="66">
        <f t="shared" si="1"/>
        <v>3.1520604277354836</v>
      </c>
    </row>
    <row r="59" spans="1:12" ht="26.25" customHeight="1">
      <c r="A59" s="320"/>
      <c r="B59" s="325" t="s">
        <v>143</v>
      </c>
      <c r="C59" s="65">
        <v>300000</v>
      </c>
      <c r="D59" s="65">
        <v>188945.01643835616</v>
      </c>
      <c r="E59" s="65">
        <f t="shared" si="3"/>
        <v>14791</v>
      </c>
      <c r="F59" s="65">
        <v>906</v>
      </c>
      <c r="G59" s="626" t="s">
        <v>1588</v>
      </c>
      <c r="H59" s="65">
        <v>13885</v>
      </c>
      <c r="I59" s="626" t="s">
        <v>1588</v>
      </c>
      <c r="J59" s="626" t="s">
        <v>1588</v>
      </c>
      <c r="K59" s="626" t="s">
        <v>1588</v>
      </c>
      <c r="L59" s="66">
        <f t="shared" si="1"/>
        <v>7.8282032936420967</v>
      </c>
    </row>
    <row r="60" spans="1:12" ht="26.25" customHeight="1">
      <c r="A60" s="317" t="s">
        <v>144</v>
      </c>
      <c r="B60" s="882" t="s">
        <v>2208</v>
      </c>
      <c r="C60" s="315">
        <v>395000</v>
      </c>
      <c r="D60" s="277">
        <v>282277</v>
      </c>
      <c r="E60" s="277">
        <f t="shared" si="3"/>
        <v>15011</v>
      </c>
      <c r="F60" s="799" t="s">
        <v>1588</v>
      </c>
      <c r="G60" s="799" t="s">
        <v>1588</v>
      </c>
      <c r="H60" s="799" t="s">
        <v>1588</v>
      </c>
      <c r="I60" s="799" t="s">
        <v>1588</v>
      </c>
      <c r="J60" s="799" t="s">
        <v>1588</v>
      </c>
      <c r="K60" s="277">
        <v>15011</v>
      </c>
      <c r="L60" s="66">
        <f t="shared" si="1"/>
        <v>5.3178261069800232</v>
      </c>
    </row>
    <row r="61" spans="1:12" ht="26.25" customHeight="1">
      <c r="A61" s="326"/>
      <c r="B61" s="883"/>
      <c r="C61" s="315">
        <v>149000</v>
      </c>
      <c r="D61" s="277">
        <v>97513</v>
      </c>
      <c r="E61" s="277">
        <f t="shared" si="3"/>
        <v>2876</v>
      </c>
      <c r="F61" s="277">
        <v>187</v>
      </c>
      <c r="G61" s="277">
        <v>306</v>
      </c>
      <c r="H61" s="799" t="s">
        <v>1588</v>
      </c>
      <c r="I61" s="799" t="s">
        <v>1588</v>
      </c>
      <c r="J61" s="799" t="s">
        <v>1588</v>
      </c>
      <c r="K61" s="277">
        <v>2383</v>
      </c>
      <c r="L61" s="66">
        <f t="shared" si="1"/>
        <v>2.9493503430311856</v>
      </c>
    </row>
    <row r="62" spans="1:12" ht="26.25" customHeight="1">
      <c r="A62" s="318"/>
      <c r="B62" s="327" t="s">
        <v>145</v>
      </c>
      <c r="C62" s="277">
        <v>3000</v>
      </c>
      <c r="D62" s="277">
        <v>453</v>
      </c>
      <c r="E62" s="277">
        <f t="shared" si="3"/>
        <v>65</v>
      </c>
      <c r="F62" s="277">
        <v>65</v>
      </c>
      <c r="G62" s="799" t="s">
        <v>1588</v>
      </c>
      <c r="H62" s="799" t="s">
        <v>1588</v>
      </c>
      <c r="I62" s="799" t="s">
        <v>1588</v>
      </c>
      <c r="J62" s="799" t="s">
        <v>1588</v>
      </c>
      <c r="K62" s="799" t="s">
        <v>1588</v>
      </c>
      <c r="L62" s="66">
        <f t="shared" si="1"/>
        <v>14.348785871964681</v>
      </c>
    </row>
    <row r="63" spans="1:12" ht="26.25" customHeight="1">
      <c r="A63" s="320" t="s">
        <v>1815</v>
      </c>
      <c r="B63" s="797" t="s">
        <v>2212</v>
      </c>
      <c r="C63" s="65">
        <v>50000</v>
      </c>
      <c r="D63" s="65">
        <v>27814</v>
      </c>
      <c r="E63" s="65">
        <f t="shared" si="3"/>
        <v>2748</v>
      </c>
      <c r="F63" s="626" t="s">
        <v>1588</v>
      </c>
      <c r="G63" s="626" t="s">
        <v>1588</v>
      </c>
      <c r="H63" s="65">
        <v>1333</v>
      </c>
      <c r="I63" s="626" t="s">
        <v>1588</v>
      </c>
      <c r="J63" s="626" t="s">
        <v>1588</v>
      </c>
      <c r="K63" s="65">
        <v>1415</v>
      </c>
      <c r="L63" s="66">
        <f t="shared" si="1"/>
        <v>9.8799165887682463</v>
      </c>
    </row>
    <row r="64" spans="1:12" ht="26.25" customHeight="1">
      <c r="A64" s="326"/>
      <c r="B64" s="797" t="s">
        <v>509</v>
      </c>
      <c r="C64" s="65">
        <v>35000</v>
      </c>
      <c r="D64" s="65">
        <v>16715</v>
      </c>
      <c r="E64" s="65">
        <f t="shared" si="3"/>
        <v>8274.2999999999993</v>
      </c>
      <c r="F64" s="65">
        <v>315.3</v>
      </c>
      <c r="G64" s="65">
        <v>5044</v>
      </c>
      <c r="H64" s="626" t="s">
        <v>1588</v>
      </c>
      <c r="I64" s="626" t="s">
        <v>1588</v>
      </c>
      <c r="J64" s="626" t="s">
        <v>1588</v>
      </c>
      <c r="K64" s="65">
        <v>2915</v>
      </c>
      <c r="L64" s="66">
        <f t="shared" si="1"/>
        <v>49.50224349386778</v>
      </c>
    </row>
    <row r="65" spans="1:12" ht="26.25" customHeight="1">
      <c r="A65" s="321"/>
      <c r="B65" s="797" t="s">
        <v>2210</v>
      </c>
      <c r="C65" s="65">
        <v>48000</v>
      </c>
      <c r="D65" s="65">
        <v>45280</v>
      </c>
      <c r="E65" s="65">
        <f t="shared" si="3"/>
        <v>1500</v>
      </c>
      <c r="F65" s="65">
        <v>600</v>
      </c>
      <c r="G65" s="626" t="s">
        <v>1588</v>
      </c>
      <c r="H65" s="626" t="s">
        <v>1588</v>
      </c>
      <c r="I65" s="626" t="s">
        <v>1588</v>
      </c>
      <c r="J65" s="626" t="s">
        <v>1588</v>
      </c>
      <c r="K65" s="65">
        <v>900</v>
      </c>
      <c r="L65" s="66">
        <f t="shared" si="1"/>
        <v>3.3127208480565371</v>
      </c>
    </row>
    <row r="66" spans="1:12" ht="26.25" customHeight="1">
      <c r="A66" s="320" t="s">
        <v>1817</v>
      </c>
      <c r="B66" s="289" t="s">
        <v>2213</v>
      </c>
      <c r="C66" s="65">
        <v>200000</v>
      </c>
      <c r="D66" s="65">
        <v>155890</v>
      </c>
      <c r="E66" s="65">
        <f t="shared" si="3"/>
        <v>11300</v>
      </c>
      <c r="F66" s="65">
        <v>1030</v>
      </c>
      <c r="G66" s="626" t="s">
        <v>1588</v>
      </c>
      <c r="H66" s="626" t="s">
        <v>1588</v>
      </c>
      <c r="I66" s="626" t="s">
        <v>1588</v>
      </c>
      <c r="J66" s="626" t="s">
        <v>1588</v>
      </c>
      <c r="K66" s="65">
        <v>10270</v>
      </c>
      <c r="L66" s="66">
        <f t="shared" si="1"/>
        <v>7.2487010071204061</v>
      </c>
    </row>
    <row r="67" spans="1:12" ht="26.25" customHeight="1">
      <c r="A67" s="316" t="s">
        <v>1818</v>
      </c>
      <c r="B67" s="319" t="s">
        <v>148</v>
      </c>
      <c r="C67" s="65">
        <v>25000</v>
      </c>
      <c r="D67" s="65">
        <v>18608</v>
      </c>
      <c r="E67" s="65">
        <f t="shared" si="3"/>
        <v>2156.1643835616437</v>
      </c>
      <c r="F67" s="626" t="s">
        <v>1588</v>
      </c>
      <c r="G67" s="626" t="s">
        <v>1588</v>
      </c>
      <c r="H67" s="626" t="s">
        <v>1588</v>
      </c>
      <c r="I67" s="626" t="s">
        <v>1588</v>
      </c>
      <c r="J67" s="626" t="s">
        <v>1588</v>
      </c>
      <c r="K67" s="65">
        <v>2156.1643835616437</v>
      </c>
      <c r="L67" s="66">
        <f t="shared" si="1"/>
        <v>11.58729784803119</v>
      </c>
    </row>
    <row r="68" spans="1:12" ht="26.25" customHeight="1">
      <c r="A68" s="320"/>
      <c r="B68" s="319" t="s">
        <v>149</v>
      </c>
      <c r="C68" s="65">
        <v>18000</v>
      </c>
      <c r="D68" s="68">
        <v>12882.640081394011</v>
      </c>
      <c r="E68" s="65">
        <f t="shared" si="3"/>
        <v>1172.6027397260275</v>
      </c>
      <c r="F68" s="626" t="s">
        <v>1588</v>
      </c>
      <c r="G68" s="626" t="s">
        <v>1588</v>
      </c>
      <c r="H68" s="626" t="s">
        <v>1588</v>
      </c>
      <c r="I68" s="626" t="s">
        <v>1588</v>
      </c>
      <c r="J68" s="626" t="s">
        <v>1588</v>
      </c>
      <c r="K68" s="65">
        <v>1172.6027397260275</v>
      </c>
      <c r="L68" s="66">
        <f t="shared" si="1"/>
        <v>9.1021928138750106</v>
      </c>
    </row>
    <row r="69" spans="1:12" ht="26.25" customHeight="1">
      <c r="A69" s="320"/>
      <c r="B69" s="319" t="s">
        <v>150</v>
      </c>
      <c r="C69" s="68">
        <v>200</v>
      </c>
      <c r="D69" s="68">
        <v>256.18454307424474</v>
      </c>
      <c r="E69" s="65">
        <f t="shared" si="3"/>
        <v>15.342465753424657</v>
      </c>
      <c r="F69" s="626" t="s">
        <v>1588</v>
      </c>
      <c r="G69" s="626" t="s">
        <v>1588</v>
      </c>
      <c r="H69" s="626" t="s">
        <v>1588</v>
      </c>
      <c r="I69" s="65">
        <v>8.7671232876712324</v>
      </c>
      <c r="J69" s="626" t="s">
        <v>1588</v>
      </c>
      <c r="K69" s="65">
        <v>6.5753424657534243</v>
      </c>
      <c r="L69" s="66">
        <f t="shared" si="1"/>
        <v>5.988833506234708</v>
      </c>
    </row>
    <row r="70" spans="1:12" ht="26.25" customHeight="1">
      <c r="A70" s="320"/>
      <c r="B70" s="328" t="s">
        <v>151</v>
      </c>
      <c r="C70" s="68">
        <v>250</v>
      </c>
      <c r="D70" s="68">
        <v>247.21240262573608</v>
      </c>
      <c r="E70" s="65">
        <f t="shared" si="3"/>
        <v>15.068493150684931</v>
      </c>
      <c r="F70" s="626" t="s">
        <v>1588</v>
      </c>
      <c r="G70" s="626" t="s">
        <v>1588</v>
      </c>
      <c r="H70" s="626" t="s">
        <v>1588</v>
      </c>
      <c r="I70" s="65">
        <v>8.493150684931507</v>
      </c>
      <c r="J70" s="626" t="s">
        <v>1588</v>
      </c>
      <c r="K70" s="65">
        <v>6.5753424657534243</v>
      </c>
      <c r="L70" s="66">
        <f t="shared" ref="L70:L133" si="12">(E70/D70)*100</f>
        <v>6.0953629310814463</v>
      </c>
    </row>
    <row r="71" spans="1:12" ht="26.25" customHeight="1">
      <c r="A71" s="320"/>
      <c r="B71" s="328" t="s">
        <v>152</v>
      </c>
      <c r="C71" s="68">
        <v>200</v>
      </c>
      <c r="D71" s="68">
        <v>199.52908365335381</v>
      </c>
      <c r="E71" s="65">
        <f t="shared" si="3"/>
        <v>18.904109589041099</v>
      </c>
      <c r="F71" s="626" t="s">
        <v>1588</v>
      </c>
      <c r="G71" s="626" t="s">
        <v>1588</v>
      </c>
      <c r="H71" s="626" t="s">
        <v>1588</v>
      </c>
      <c r="I71" s="65">
        <v>9.8630136986301373</v>
      </c>
      <c r="J71" s="626" t="s">
        <v>1588</v>
      </c>
      <c r="K71" s="65">
        <v>9.0410958904109595</v>
      </c>
      <c r="L71" s="66">
        <f t="shared" si="12"/>
        <v>9.4743629564718574</v>
      </c>
    </row>
    <row r="72" spans="1:12" ht="26.25" customHeight="1">
      <c r="A72" s="320"/>
      <c r="B72" s="328" t="s">
        <v>153</v>
      </c>
      <c r="C72" s="68">
        <v>200</v>
      </c>
      <c r="D72" s="68">
        <v>122.45965296998206</v>
      </c>
      <c r="E72" s="65">
        <f t="shared" ref="E72:E135" si="13">SUM(F72:K72)</f>
        <v>15.068493150684933</v>
      </c>
      <c r="F72" s="626" t="s">
        <v>1588</v>
      </c>
      <c r="G72" s="626" t="s">
        <v>1588</v>
      </c>
      <c r="H72" s="626" t="s">
        <v>1588</v>
      </c>
      <c r="I72" s="65">
        <v>6.0273972602739727</v>
      </c>
      <c r="J72" s="626" t="s">
        <v>1588</v>
      </c>
      <c r="K72" s="65">
        <v>9.0410958904109595</v>
      </c>
      <c r="L72" s="66">
        <f t="shared" si="12"/>
        <v>12.304863508292483</v>
      </c>
    </row>
    <row r="73" spans="1:12" ht="26.25" customHeight="1">
      <c r="A73" s="320"/>
      <c r="B73" s="328" t="s">
        <v>154</v>
      </c>
      <c r="C73" s="68">
        <v>200</v>
      </c>
      <c r="D73" s="68">
        <v>109.49638908090117</v>
      </c>
      <c r="E73" s="65">
        <f t="shared" si="13"/>
        <v>12.876712328767123</v>
      </c>
      <c r="F73" s="626" t="s">
        <v>1588</v>
      </c>
      <c r="G73" s="626" t="s">
        <v>1588</v>
      </c>
      <c r="H73" s="626" t="s">
        <v>1588</v>
      </c>
      <c r="I73" s="65">
        <v>3.8356164383561642</v>
      </c>
      <c r="J73" s="626" t="s">
        <v>1588</v>
      </c>
      <c r="K73" s="65">
        <v>9.0410958904109595</v>
      </c>
      <c r="L73" s="66">
        <f t="shared" si="12"/>
        <v>11.759942439063623</v>
      </c>
    </row>
    <row r="74" spans="1:12" ht="26.25" customHeight="1">
      <c r="A74" s="320"/>
      <c r="B74" s="328" t="s">
        <v>155</v>
      </c>
      <c r="C74" s="68">
        <v>200</v>
      </c>
      <c r="D74" s="68">
        <v>138.68105504352278</v>
      </c>
      <c r="E74" s="65">
        <f t="shared" si="13"/>
        <v>13.698630136986303</v>
      </c>
      <c r="F74" s="626" t="s">
        <v>1588</v>
      </c>
      <c r="G74" s="626" t="s">
        <v>1588</v>
      </c>
      <c r="H74" s="626" t="s">
        <v>1588</v>
      </c>
      <c r="I74" s="65">
        <v>4.6575342465753424</v>
      </c>
      <c r="J74" s="626" t="s">
        <v>1588</v>
      </c>
      <c r="K74" s="65">
        <v>9.0410958904109595</v>
      </c>
      <c r="L74" s="66">
        <f t="shared" si="12"/>
        <v>9.8777948672853775</v>
      </c>
    </row>
    <row r="75" spans="1:12" ht="26.25" customHeight="1">
      <c r="A75" s="320"/>
      <c r="B75" s="328" t="s">
        <v>156</v>
      </c>
      <c r="C75" s="68">
        <v>650</v>
      </c>
      <c r="D75" s="68">
        <v>328.45883369978884</v>
      </c>
      <c r="E75" s="65">
        <f t="shared" si="13"/>
        <v>20.273972602739725</v>
      </c>
      <c r="F75" s="626" t="s">
        <v>1588</v>
      </c>
      <c r="G75" s="626" t="s">
        <v>1588</v>
      </c>
      <c r="H75" s="626" t="s">
        <v>1588</v>
      </c>
      <c r="I75" s="65">
        <v>11.232876712328768</v>
      </c>
      <c r="J75" s="626" t="s">
        <v>1588</v>
      </c>
      <c r="K75" s="65">
        <v>9.0410958904109595</v>
      </c>
      <c r="L75" s="66">
        <f t="shared" si="12"/>
        <v>6.1724546648272289</v>
      </c>
    </row>
    <row r="76" spans="1:12" ht="26.25" customHeight="1">
      <c r="A76" s="320"/>
      <c r="B76" s="319" t="s">
        <v>2216</v>
      </c>
      <c r="C76" s="68">
        <v>80000</v>
      </c>
      <c r="D76" s="68">
        <v>82580.552035330256</v>
      </c>
      <c r="E76" s="65">
        <f t="shared" si="13"/>
        <v>2836</v>
      </c>
      <c r="F76" s="626" t="s">
        <v>1588</v>
      </c>
      <c r="G76" s="626" t="s">
        <v>1588</v>
      </c>
      <c r="H76" s="626" t="s">
        <v>1588</v>
      </c>
      <c r="I76" s="626" t="s">
        <v>1588</v>
      </c>
      <c r="J76" s="626" t="s">
        <v>1588</v>
      </c>
      <c r="K76" s="65">
        <v>2836</v>
      </c>
      <c r="L76" s="66">
        <f t="shared" si="12"/>
        <v>3.4342226227631416</v>
      </c>
    </row>
    <row r="77" spans="1:12" ht="26.25" customHeight="1">
      <c r="A77" s="316" t="s">
        <v>322</v>
      </c>
      <c r="B77" s="319" t="s">
        <v>2021</v>
      </c>
      <c r="C77" s="65">
        <v>75000</v>
      </c>
      <c r="D77" s="65">
        <v>38585</v>
      </c>
      <c r="E77" s="65">
        <f t="shared" si="13"/>
        <v>2357.5342465753424</v>
      </c>
      <c r="F77" s="626" t="s">
        <v>1588</v>
      </c>
      <c r="G77" s="626" t="s">
        <v>1588</v>
      </c>
      <c r="H77" s="626" t="s">
        <v>1588</v>
      </c>
      <c r="I77" s="626" t="s">
        <v>1588</v>
      </c>
      <c r="J77" s="626" t="s">
        <v>1588</v>
      </c>
      <c r="K77" s="65">
        <f>860500/365</f>
        <v>2357.5342465753424</v>
      </c>
      <c r="L77" s="66">
        <f t="shared" si="12"/>
        <v>6.1099760180778606</v>
      </c>
    </row>
    <row r="78" spans="1:12" ht="26.25" customHeight="1">
      <c r="A78" s="320"/>
      <c r="B78" s="319" t="s">
        <v>157</v>
      </c>
      <c r="C78" s="65">
        <v>65000</v>
      </c>
      <c r="D78" s="65">
        <v>40350</v>
      </c>
      <c r="E78" s="65">
        <f t="shared" si="13"/>
        <v>9873</v>
      </c>
      <c r="F78" s="65">
        <v>15</v>
      </c>
      <c r="G78" s="626" t="s">
        <v>1588</v>
      </c>
      <c r="H78" s="626" t="s">
        <v>1588</v>
      </c>
      <c r="I78" s="65">
        <v>4219</v>
      </c>
      <c r="J78" s="626" t="s">
        <v>1588</v>
      </c>
      <c r="K78" s="65">
        <v>5639</v>
      </c>
      <c r="L78" s="66">
        <f t="shared" si="12"/>
        <v>24.468401486988846</v>
      </c>
    </row>
    <row r="79" spans="1:12" ht="26.25" customHeight="1">
      <c r="A79" s="320"/>
      <c r="B79" s="328" t="s">
        <v>2022</v>
      </c>
      <c r="C79" s="68">
        <v>40000</v>
      </c>
      <c r="D79" s="68">
        <v>22458</v>
      </c>
      <c r="E79" s="65">
        <f t="shared" si="13"/>
        <v>1851.6</v>
      </c>
      <c r="F79" s="65">
        <v>126</v>
      </c>
      <c r="G79" s="626" t="s">
        <v>1588</v>
      </c>
      <c r="H79" s="626" t="s">
        <v>1588</v>
      </c>
      <c r="I79" s="626" t="s">
        <v>1588</v>
      </c>
      <c r="J79" s="65">
        <v>345.6</v>
      </c>
      <c r="K79" s="65">
        <v>1380</v>
      </c>
      <c r="L79" s="66">
        <f t="shared" si="12"/>
        <v>8.2447234838364949</v>
      </c>
    </row>
    <row r="80" spans="1:12" ht="26.25" customHeight="1">
      <c r="A80" s="321"/>
      <c r="B80" s="319" t="s">
        <v>158</v>
      </c>
      <c r="C80" s="65">
        <v>10000</v>
      </c>
      <c r="D80" s="65">
        <v>6393</v>
      </c>
      <c r="E80" s="65">
        <f t="shared" si="13"/>
        <v>1719.4</v>
      </c>
      <c r="F80" s="65">
        <v>116.8</v>
      </c>
      <c r="G80" s="626" t="s">
        <v>1588</v>
      </c>
      <c r="H80" s="626" t="s">
        <v>1588</v>
      </c>
      <c r="I80" s="65">
        <v>1063</v>
      </c>
      <c r="J80" s="626" t="s">
        <v>1588</v>
      </c>
      <c r="K80" s="65">
        <v>539.6</v>
      </c>
      <c r="L80" s="66">
        <f t="shared" si="12"/>
        <v>26.895041451587677</v>
      </c>
    </row>
    <row r="81" spans="1:12" ht="26.25" customHeight="1">
      <c r="A81" s="320" t="s">
        <v>1823</v>
      </c>
      <c r="B81" s="289" t="s">
        <v>323</v>
      </c>
      <c r="C81" s="65">
        <v>279000</v>
      </c>
      <c r="D81" s="65">
        <v>212416</v>
      </c>
      <c r="E81" s="65">
        <f t="shared" si="13"/>
        <v>715.08</v>
      </c>
      <c r="F81" s="65">
        <v>643.57000000000005</v>
      </c>
      <c r="G81" s="65">
        <v>0</v>
      </c>
      <c r="H81" s="65">
        <v>0</v>
      </c>
      <c r="I81" s="65">
        <v>0</v>
      </c>
      <c r="J81" s="65">
        <v>0</v>
      </c>
      <c r="K81" s="65">
        <v>71.510000000000005</v>
      </c>
      <c r="L81" s="66">
        <f t="shared" si="12"/>
        <v>0.336641307622778</v>
      </c>
    </row>
    <row r="82" spans="1:12" ht="26.25" customHeight="1">
      <c r="A82" s="316" t="s">
        <v>1825</v>
      </c>
      <c r="B82" s="319" t="s">
        <v>159</v>
      </c>
      <c r="C82" s="65">
        <v>22000</v>
      </c>
      <c r="D82" s="65">
        <v>3679</v>
      </c>
      <c r="E82" s="65">
        <f t="shared" si="13"/>
        <v>356</v>
      </c>
      <c r="F82" s="65">
        <v>356</v>
      </c>
      <c r="G82" s="626" t="s">
        <v>1588</v>
      </c>
      <c r="H82" s="626" t="s">
        <v>1588</v>
      </c>
      <c r="I82" s="626" t="s">
        <v>1588</v>
      </c>
      <c r="J82" s="626" t="s">
        <v>1588</v>
      </c>
      <c r="K82" s="626" t="s">
        <v>1588</v>
      </c>
      <c r="L82" s="66">
        <f t="shared" si="12"/>
        <v>9.6765425387333508</v>
      </c>
    </row>
    <row r="83" spans="1:12" ht="26.25" customHeight="1">
      <c r="A83" s="320"/>
      <c r="B83" s="319" t="s">
        <v>160</v>
      </c>
      <c r="C83" s="65">
        <v>8000</v>
      </c>
      <c r="D83" s="65">
        <v>3281</v>
      </c>
      <c r="E83" s="65">
        <f t="shared" si="13"/>
        <v>1111</v>
      </c>
      <c r="F83" s="65">
        <v>178</v>
      </c>
      <c r="G83" s="626" t="s">
        <v>1588</v>
      </c>
      <c r="H83" s="65">
        <v>933</v>
      </c>
      <c r="I83" s="626" t="s">
        <v>1588</v>
      </c>
      <c r="J83" s="626" t="s">
        <v>1588</v>
      </c>
      <c r="K83" s="626" t="s">
        <v>1588</v>
      </c>
      <c r="L83" s="66">
        <f t="shared" si="12"/>
        <v>33.861627552575435</v>
      </c>
    </row>
    <row r="84" spans="1:12" ht="26.25" customHeight="1">
      <c r="A84" s="320"/>
      <c r="B84" s="319" t="s">
        <v>161</v>
      </c>
      <c r="C84" s="65">
        <v>8000</v>
      </c>
      <c r="D84" s="65">
        <v>1774</v>
      </c>
      <c r="E84" s="65">
        <f t="shared" si="13"/>
        <v>178</v>
      </c>
      <c r="F84" s="65">
        <v>178</v>
      </c>
      <c r="G84" s="626" t="s">
        <v>1588</v>
      </c>
      <c r="H84" s="626" t="s">
        <v>1588</v>
      </c>
      <c r="I84" s="626" t="s">
        <v>1588</v>
      </c>
      <c r="J84" s="626" t="s">
        <v>1588</v>
      </c>
      <c r="K84" s="626" t="s">
        <v>1588</v>
      </c>
      <c r="L84" s="66">
        <f t="shared" si="12"/>
        <v>10.033821871476889</v>
      </c>
    </row>
    <row r="85" spans="1:12" ht="26.25" customHeight="1">
      <c r="A85" s="316" t="s">
        <v>1826</v>
      </c>
      <c r="B85" s="319" t="s">
        <v>162</v>
      </c>
      <c r="C85" s="65">
        <v>27000</v>
      </c>
      <c r="D85" s="65">
        <v>20453</v>
      </c>
      <c r="E85" s="65">
        <f t="shared" si="13"/>
        <v>1084</v>
      </c>
      <c r="F85" s="65">
        <v>100</v>
      </c>
      <c r="G85" s="626" t="s">
        <v>1588</v>
      </c>
      <c r="H85" s="65">
        <v>600</v>
      </c>
      <c r="I85" s="626" t="s">
        <v>1588</v>
      </c>
      <c r="J85" s="626" t="s">
        <v>1588</v>
      </c>
      <c r="K85" s="65">
        <v>384</v>
      </c>
      <c r="L85" s="66">
        <f t="shared" si="12"/>
        <v>5.2999559966753038</v>
      </c>
    </row>
    <row r="86" spans="1:12" ht="26.25" customHeight="1">
      <c r="A86" s="320"/>
      <c r="B86" s="319" t="s">
        <v>163</v>
      </c>
      <c r="C86" s="65">
        <v>2000</v>
      </c>
      <c r="D86" s="65">
        <v>1228</v>
      </c>
      <c r="E86" s="65">
        <f t="shared" si="13"/>
        <v>33.6</v>
      </c>
      <c r="F86" s="65">
        <v>1.6</v>
      </c>
      <c r="G86" s="626" t="s">
        <v>1588</v>
      </c>
      <c r="H86" s="65">
        <v>32</v>
      </c>
      <c r="I86" s="626" t="s">
        <v>1588</v>
      </c>
      <c r="J86" s="626" t="s">
        <v>1588</v>
      </c>
      <c r="K86" s="626" t="s">
        <v>1588</v>
      </c>
      <c r="L86" s="66">
        <f t="shared" si="12"/>
        <v>2.7361563517915308</v>
      </c>
    </row>
    <row r="87" spans="1:12" ht="26.25" customHeight="1">
      <c r="A87" s="320"/>
      <c r="B87" s="319" t="s">
        <v>164</v>
      </c>
      <c r="C87" s="65">
        <v>16000</v>
      </c>
      <c r="D87" s="65">
        <v>9097</v>
      </c>
      <c r="E87" s="65">
        <f t="shared" si="13"/>
        <v>1110</v>
      </c>
      <c r="F87" s="65">
        <v>193</v>
      </c>
      <c r="G87" s="65">
        <v>47</v>
      </c>
      <c r="H87" s="626" t="s">
        <v>1588</v>
      </c>
      <c r="I87" s="626" t="s">
        <v>1588</v>
      </c>
      <c r="J87" s="626" t="s">
        <v>1588</v>
      </c>
      <c r="K87" s="65">
        <v>870</v>
      </c>
      <c r="L87" s="66">
        <f t="shared" si="12"/>
        <v>12.201824777399143</v>
      </c>
    </row>
    <row r="88" spans="1:12" ht="26.25" customHeight="1">
      <c r="A88" s="316" t="s">
        <v>1829</v>
      </c>
      <c r="B88" s="319" t="s">
        <v>2221</v>
      </c>
      <c r="C88" s="65">
        <v>30000</v>
      </c>
      <c r="D88" s="65">
        <v>26721</v>
      </c>
      <c r="E88" s="65">
        <f t="shared" si="13"/>
        <v>580</v>
      </c>
      <c r="F88" s="65">
        <v>510</v>
      </c>
      <c r="G88" s="626" t="s">
        <v>1588</v>
      </c>
      <c r="H88" s="626" t="s">
        <v>1588</v>
      </c>
      <c r="I88" s="626" t="s">
        <v>1588</v>
      </c>
      <c r="J88" s="626" t="s">
        <v>1588</v>
      </c>
      <c r="K88" s="65">
        <v>70</v>
      </c>
      <c r="L88" s="66">
        <f t="shared" si="12"/>
        <v>2.1705774484487859</v>
      </c>
    </row>
    <row r="89" spans="1:12" ht="26.25" customHeight="1">
      <c r="A89" s="320"/>
      <c r="B89" s="319" t="s">
        <v>1831</v>
      </c>
      <c r="C89" s="65">
        <v>10000</v>
      </c>
      <c r="D89" s="65">
        <v>6162</v>
      </c>
      <c r="E89" s="65">
        <f t="shared" si="13"/>
        <v>20</v>
      </c>
      <c r="F89" s="65">
        <v>20</v>
      </c>
      <c r="G89" s="626" t="s">
        <v>1588</v>
      </c>
      <c r="H89" s="626" t="s">
        <v>1588</v>
      </c>
      <c r="I89" s="626" t="s">
        <v>1588</v>
      </c>
      <c r="J89" s="626" t="s">
        <v>1588</v>
      </c>
      <c r="K89" s="626" t="s">
        <v>1588</v>
      </c>
      <c r="L89" s="66">
        <f t="shared" si="12"/>
        <v>0.32456994482310936</v>
      </c>
    </row>
    <row r="90" spans="1:12" ht="26.25" customHeight="1">
      <c r="A90" s="321"/>
      <c r="B90" s="322" t="s">
        <v>165</v>
      </c>
      <c r="C90" s="65">
        <v>2000</v>
      </c>
      <c r="D90" s="65">
        <v>1020</v>
      </c>
      <c r="E90" s="63">
        <f t="shared" si="13"/>
        <v>20</v>
      </c>
      <c r="F90" s="63">
        <v>10</v>
      </c>
      <c r="G90" s="632" t="s">
        <v>1588</v>
      </c>
      <c r="H90" s="632" t="s">
        <v>1588</v>
      </c>
      <c r="I90" s="632" t="s">
        <v>1588</v>
      </c>
      <c r="J90" s="632" t="s">
        <v>1588</v>
      </c>
      <c r="K90" s="63">
        <v>10</v>
      </c>
      <c r="L90" s="64">
        <f t="shared" si="12"/>
        <v>1.9607843137254901</v>
      </c>
    </row>
    <row r="91" spans="1:12" ht="26.25" customHeight="1">
      <c r="A91" s="321" t="s">
        <v>1832</v>
      </c>
      <c r="B91" s="289" t="s">
        <v>2223</v>
      </c>
      <c r="C91" s="65">
        <v>160000</v>
      </c>
      <c r="D91" s="65">
        <v>147159</v>
      </c>
      <c r="E91" s="65">
        <f t="shared" si="13"/>
        <v>25600</v>
      </c>
      <c r="F91" s="626" t="s">
        <v>1588</v>
      </c>
      <c r="G91" s="65">
        <v>4800</v>
      </c>
      <c r="H91" s="65">
        <v>15000</v>
      </c>
      <c r="I91" s="626" t="s">
        <v>1588</v>
      </c>
      <c r="J91" s="65">
        <v>1560</v>
      </c>
      <c r="K91" s="65">
        <v>4240</v>
      </c>
      <c r="L91" s="66">
        <f t="shared" si="12"/>
        <v>17.39614974279521</v>
      </c>
    </row>
    <row r="92" spans="1:12" ht="26.25" customHeight="1">
      <c r="A92" s="316" t="s">
        <v>1833</v>
      </c>
      <c r="B92" s="289" t="s">
        <v>2226</v>
      </c>
      <c r="C92" s="65">
        <v>40000</v>
      </c>
      <c r="D92" s="65">
        <v>33802</v>
      </c>
      <c r="E92" s="65">
        <f t="shared" si="13"/>
        <v>562.56399999999996</v>
      </c>
      <c r="F92" s="65">
        <v>558.404</v>
      </c>
      <c r="G92" s="626" t="s">
        <v>1588</v>
      </c>
      <c r="H92" s="626" t="s">
        <v>1588</v>
      </c>
      <c r="I92" s="626" t="s">
        <v>1588</v>
      </c>
      <c r="J92" s="626" t="s">
        <v>1588</v>
      </c>
      <c r="K92" s="65">
        <v>4.16</v>
      </c>
      <c r="L92" s="66">
        <f t="shared" si="12"/>
        <v>1.6642920537246315</v>
      </c>
    </row>
    <row r="93" spans="1:12" ht="26.25" customHeight="1">
      <c r="A93" s="316" t="s">
        <v>1834</v>
      </c>
      <c r="B93" s="319" t="s">
        <v>166</v>
      </c>
      <c r="C93" s="65">
        <v>16000</v>
      </c>
      <c r="D93" s="65">
        <v>15441</v>
      </c>
      <c r="E93" s="65">
        <f t="shared" si="13"/>
        <v>626</v>
      </c>
      <c r="F93" s="626" t="s">
        <v>1588</v>
      </c>
      <c r="G93" s="626" t="s">
        <v>1588</v>
      </c>
      <c r="H93" s="626" t="s">
        <v>1588</v>
      </c>
      <c r="I93" s="626" t="s">
        <v>1588</v>
      </c>
      <c r="J93" s="626" t="s">
        <v>1588</v>
      </c>
      <c r="K93" s="65">
        <v>626</v>
      </c>
      <c r="L93" s="66">
        <f t="shared" si="12"/>
        <v>4.0541415711417654</v>
      </c>
    </row>
    <row r="94" spans="1:12" ht="26.25" customHeight="1">
      <c r="A94" s="320"/>
      <c r="B94" s="319" t="s">
        <v>2229</v>
      </c>
      <c r="C94" s="65">
        <v>1500</v>
      </c>
      <c r="D94" s="65">
        <v>1255</v>
      </c>
      <c r="E94" s="65">
        <f t="shared" si="13"/>
        <v>534.79999999999995</v>
      </c>
      <c r="F94" s="626" t="s">
        <v>1588</v>
      </c>
      <c r="G94" s="626" t="s">
        <v>1588</v>
      </c>
      <c r="H94" s="626" t="s">
        <v>1588</v>
      </c>
      <c r="I94" s="626" t="s">
        <v>1588</v>
      </c>
      <c r="J94" s="626" t="s">
        <v>1588</v>
      </c>
      <c r="K94" s="65">
        <v>534.79999999999995</v>
      </c>
      <c r="L94" s="66">
        <f t="shared" si="12"/>
        <v>42.613545816733058</v>
      </c>
    </row>
    <row r="95" spans="1:12" ht="26.25" customHeight="1">
      <c r="A95" s="320"/>
      <c r="B95" s="319" t="s">
        <v>2232</v>
      </c>
      <c r="C95" s="65">
        <v>4000</v>
      </c>
      <c r="D95" s="65">
        <v>2673</v>
      </c>
      <c r="E95" s="65">
        <f t="shared" si="13"/>
        <v>156.1</v>
      </c>
      <c r="F95" s="65">
        <v>30.1</v>
      </c>
      <c r="G95" s="626" t="s">
        <v>1588</v>
      </c>
      <c r="H95" s="626" t="s">
        <v>1588</v>
      </c>
      <c r="I95" s="626" t="s">
        <v>1588</v>
      </c>
      <c r="J95" s="626" t="s">
        <v>1588</v>
      </c>
      <c r="K95" s="65">
        <v>126</v>
      </c>
      <c r="L95" s="66">
        <f t="shared" si="12"/>
        <v>5.8398802843247282</v>
      </c>
    </row>
    <row r="96" spans="1:12" ht="26.25" customHeight="1">
      <c r="A96" s="320"/>
      <c r="B96" s="319" t="s">
        <v>167</v>
      </c>
      <c r="C96" s="65">
        <v>15000</v>
      </c>
      <c r="D96" s="65">
        <v>11967</v>
      </c>
      <c r="E96" s="65">
        <f t="shared" si="13"/>
        <v>996.4</v>
      </c>
      <c r="F96" s="65">
        <v>20</v>
      </c>
      <c r="G96" s="626" t="s">
        <v>1588</v>
      </c>
      <c r="H96" s="626" t="s">
        <v>1588</v>
      </c>
      <c r="I96" s="626" t="s">
        <v>1588</v>
      </c>
      <c r="J96" s="626" t="s">
        <v>1588</v>
      </c>
      <c r="K96" s="65">
        <v>976.4</v>
      </c>
      <c r="L96" s="66">
        <f t="shared" si="12"/>
        <v>8.3262304671179077</v>
      </c>
    </row>
    <row r="97" spans="1:12" ht="26.25" customHeight="1">
      <c r="A97" s="320"/>
      <c r="B97" s="319" t="s">
        <v>168</v>
      </c>
      <c r="C97" s="65">
        <v>1200</v>
      </c>
      <c r="D97" s="65">
        <v>1074</v>
      </c>
      <c r="E97" s="65">
        <f t="shared" si="13"/>
        <v>45.800000000000004</v>
      </c>
      <c r="F97" s="65">
        <v>1.1000000000000001</v>
      </c>
      <c r="G97" s="626" t="s">
        <v>1588</v>
      </c>
      <c r="H97" s="626" t="s">
        <v>1588</v>
      </c>
      <c r="I97" s="626" t="s">
        <v>1588</v>
      </c>
      <c r="J97" s="626" t="s">
        <v>1588</v>
      </c>
      <c r="K97" s="65">
        <v>44.7</v>
      </c>
      <c r="L97" s="66">
        <f t="shared" si="12"/>
        <v>4.2644320297951586</v>
      </c>
    </row>
    <row r="98" spans="1:12" ht="26.25" customHeight="1">
      <c r="A98" s="316" t="s">
        <v>1835</v>
      </c>
      <c r="B98" s="319" t="s">
        <v>169</v>
      </c>
      <c r="C98" s="68">
        <v>25000</v>
      </c>
      <c r="D98" s="68">
        <v>23947</v>
      </c>
      <c r="E98" s="65">
        <f t="shared" si="13"/>
        <v>32.5</v>
      </c>
      <c r="F98" s="65">
        <v>4.0999999999999996</v>
      </c>
      <c r="G98" s="65">
        <v>11</v>
      </c>
      <c r="H98" s="626" t="s">
        <v>1588</v>
      </c>
      <c r="I98" s="626" t="s">
        <v>1588</v>
      </c>
      <c r="J98" s="626" t="s">
        <v>1588</v>
      </c>
      <c r="K98" s="65">
        <v>17.399999999999999</v>
      </c>
      <c r="L98" s="66">
        <f t="shared" si="12"/>
        <v>0.13571637365849584</v>
      </c>
    </row>
    <row r="99" spans="1:12" ht="26.25" customHeight="1">
      <c r="A99" s="320"/>
      <c r="B99" s="319" t="s">
        <v>124</v>
      </c>
      <c r="C99" s="68">
        <v>25000</v>
      </c>
      <c r="D99" s="68">
        <v>23080</v>
      </c>
      <c r="E99" s="65">
        <f t="shared" si="13"/>
        <v>345.40000000000003</v>
      </c>
      <c r="F99" s="65">
        <v>7.1</v>
      </c>
      <c r="G99" s="626" t="s">
        <v>1588</v>
      </c>
      <c r="H99" s="626" t="s">
        <v>1588</v>
      </c>
      <c r="I99" s="626" t="s">
        <v>1588</v>
      </c>
      <c r="J99" s="626" t="s">
        <v>1588</v>
      </c>
      <c r="K99" s="65">
        <v>338.3</v>
      </c>
      <c r="L99" s="66">
        <f t="shared" si="12"/>
        <v>1.4965337954939344</v>
      </c>
    </row>
    <row r="100" spans="1:12" ht="26.25" customHeight="1">
      <c r="A100" s="320"/>
      <c r="B100" s="319" t="s">
        <v>170</v>
      </c>
      <c r="C100" s="68">
        <v>20000</v>
      </c>
      <c r="D100" s="68">
        <v>15163</v>
      </c>
      <c r="E100" s="65">
        <f t="shared" si="13"/>
        <v>1362.7</v>
      </c>
      <c r="F100" s="65">
        <v>1</v>
      </c>
      <c r="G100" s="626" t="s">
        <v>1588</v>
      </c>
      <c r="H100" s="626" t="s">
        <v>1588</v>
      </c>
      <c r="I100" s="626" t="s">
        <v>1588</v>
      </c>
      <c r="J100" s="626" t="s">
        <v>1588</v>
      </c>
      <c r="K100" s="65">
        <v>1361.7</v>
      </c>
      <c r="L100" s="66">
        <f t="shared" si="12"/>
        <v>8.9870078480511779</v>
      </c>
    </row>
    <row r="101" spans="1:12" ht="26.25" customHeight="1">
      <c r="A101" s="320"/>
      <c r="B101" s="319" t="s">
        <v>171</v>
      </c>
      <c r="C101" s="68">
        <v>500</v>
      </c>
      <c r="D101" s="68">
        <v>506</v>
      </c>
      <c r="E101" s="65">
        <f t="shared" si="13"/>
        <v>87.100000000000009</v>
      </c>
      <c r="F101" s="65">
        <v>8.1999999999999993</v>
      </c>
      <c r="G101" s="626" t="s">
        <v>1588</v>
      </c>
      <c r="H101" s="626" t="s">
        <v>1588</v>
      </c>
      <c r="I101" s="626" t="s">
        <v>1588</v>
      </c>
      <c r="J101" s="626" t="s">
        <v>1588</v>
      </c>
      <c r="K101" s="65">
        <v>78.900000000000006</v>
      </c>
      <c r="L101" s="66">
        <f t="shared" si="12"/>
        <v>17.213438735177867</v>
      </c>
    </row>
    <row r="102" spans="1:12" ht="26.25" customHeight="1">
      <c r="A102" s="320"/>
      <c r="B102" s="319" t="s">
        <v>172</v>
      </c>
      <c r="C102" s="68">
        <v>1250</v>
      </c>
      <c r="D102" s="68">
        <v>1328</v>
      </c>
      <c r="E102" s="65">
        <f t="shared" si="13"/>
        <v>25.1</v>
      </c>
      <c r="F102" s="65">
        <v>4</v>
      </c>
      <c r="G102" s="626" t="s">
        <v>1588</v>
      </c>
      <c r="H102" s="626" t="s">
        <v>1588</v>
      </c>
      <c r="I102" s="626" t="s">
        <v>1588</v>
      </c>
      <c r="J102" s="626" t="s">
        <v>1588</v>
      </c>
      <c r="K102" s="65">
        <v>21.1</v>
      </c>
      <c r="L102" s="66">
        <f t="shared" si="12"/>
        <v>1.8900602409638554</v>
      </c>
    </row>
    <row r="103" spans="1:12" ht="26.25" customHeight="1">
      <c r="A103" s="320"/>
      <c r="B103" s="319" t="s">
        <v>173</v>
      </c>
      <c r="C103" s="68">
        <v>1900</v>
      </c>
      <c r="D103" s="68">
        <v>719</v>
      </c>
      <c r="E103" s="65">
        <f t="shared" si="13"/>
        <v>2.8</v>
      </c>
      <c r="F103" s="65">
        <v>0.8</v>
      </c>
      <c r="G103" s="626" t="s">
        <v>1588</v>
      </c>
      <c r="H103" s="626" t="s">
        <v>1588</v>
      </c>
      <c r="I103" s="626" t="s">
        <v>1588</v>
      </c>
      <c r="J103" s="626" t="s">
        <v>1588</v>
      </c>
      <c r="K103" s="626">
        <v>2</v>
      </c>
      <c r="L103" s="66">
        <f t="shared" si="12"/>
        <v>0.38942976356050069</v>
      </c>
    </row>
    <row r="104" spans="1:12" ht="26.25" customHeight="1">
      <c r="A104" s="320"/>
      <c r="B104" s="319" t="s">
        <v>174</v>
      </c>
      <c r="C104" s="68">
        <v>150</v>
      </c>
      <c r="D104" s="68">
        <v>81</v>
      </c>
      <c r="E104" s="65">
        <f t="shared" si="13"/>
        <v>0.5</v>
      </c>
      <c r="F104" s="65">
        <v>0.5</v>
      </c>
      <c r="G104" s="626" t="s">
        <v>1588</v>
      </c>
      <c r="H104" s="626" t="s">
        <v>1588</v>
      </c>
      <c r="I104" s="626" t="s">
        <v>1588</v>
      </c>
      <c r="J104" s="626" t="s">
        <v>1588</v>
      </c>
      <c r="K104" s="626" t="s">
        <v>1588</v>
      </c>
      <c r="L104" s="66">
        <f t="shared" si="12"/>
        <v>0.61728395061728392</v>
      </c>
    </row>
    <row r="105" spans="1:12" ht="26.25" customHeight="1">
      <c r="A105" s="320"/>
      <c r="B105" s="319" t="s">
        <v>175</v>
      </c>
      <c r="C105" s="68">
        <v>1200</v>
      </c>
      <c r="D105" s="68">
        <v>420</v>
      </c>
      <c r="E105" s="65">
        <f t="shared" si="13"/>
        <v>48</v>
      </c>
      <c r="F105" s="65">
        <v>0.6</v>
      </c>
      <c r="G105" s="626" t="s">
        <v>1588</v>
      </c>
      <c r="H105" s="626" t="s">
        <v>1588</v>
      </c>
      <c r="I105" s="626" t="s">
        <v>1588</v>
      </c>
      <c r="J105" s="626" t="s">
        <v>1588</v>
      </c>
      <c r="K105" s="65">
        <v>47.4</v>
      </c>
      <c r="L105" s="66">
        <f t="shared" si="12"/>
        <v>11.428571428571429</v>
      </c>
    </row>
    <row r="106" spans="1:12" ht="26.25" customHeight="1">
      <c r="A106" s="320"/>
      <c r="B106" s="319" t="s">
        <v>176</v>
      </c>
      <c r="C106" s="68">
        <v>2000</v>
      </c>
      <c r="D106" s="68">
        <v>2043</v>
      </c>
      <c r="E106" s="65">
        <f t="shared" si="13"/>
        <v>133.80000000000001</v>
      </c>
      <c r="F106" s="626" t="s">
        <v>1588</v>
      </c>
      <c r="G106" s="626" t="s">
        <v>1588</v>
      </c>
      <c r="H106" s="626" t="s">
        <v>1588</v>
      </c>
      <c r="I106" s="626" t="s">
        <v>1588</v>
      </c>
      <c r="J106" s="626" t="s">
        <v>1588</v>
      </c>
      <c r="K106" s="65">
        <v>133.80000000000001</v>
      </c>
      <c r="L106" s="66">
        <f t="shared" si="12"/>
        <v>6.549192364170338</v>
      </c>
    </row>
    <row r="107" spans="1:12" ht="26.25" customHeight="1">
      <c r="A107" s="320"/>
      <c r="B107" s="319" t="s">
        <v>177</v>
      </c>
      <c r="C107" s="68">
        <v>250</v>
      </c>
      <c r="D107" s="68">
        <v>248</v>
      </c>
      <c r="E107" s="65">
        <f t="shared" si="13"/>
        <v>1.6</v>
      </c>
      <c r="F107" s="65">
        <v>1.6</v>
      </c>
      <c r="G107" s="626" t="s">
        <v>1588</v>
      </c>
      <c r="H107" s="626" t="s">
        <v>1588</v>
      </c>
      <c r="I107" s="626" t="s">
        <v>1588</v>
      </c>
      <c r="J107" s="626" t="s">
        <v>1588</v>
      </c>
      <c r="K107" s="626" t="s">
        <v>1588</v>
      </c>
      <c r="L107" s="66">
        <f t="shared" si="12"/>
        <v>0.64516129032258063</v>
      </c>
    </row>
    <row r="108" spans="1:12" ht="26.25" customHeight="1">
      <c r="A108" s="321"/>
      <c r="B108" s="319" t="s">
        <v>178</v>
      </c>
      <c r="C108" s="68">
        <v>7000</v>
      </c>
      <c r="D108" s="68">
        <v>7796</v>
      </c>
      <c r="E108" s="65">
        <f t="shared" si="13"/>
        <v>390.1</v>
      </c>
      <c r="F108" s="65">
        <v>5.5</v>
      </c>
      <c r="G108" s="626" t="s">
        <v>1588</v>
      </c>
      <c r="H108" s="626" t="s">
        <v>1588</v>
      </c>
      <c r="I108" s="626" t="s">
        <v>1588</v>
      </c>
      <c r="J108" s="65">
        <v>32.5</v>
      </c>
      <c r="K108" s="65">
        <v>352.1</v>
      </c>
      <c r="L108" s="66">
        <f t="shared" si="12"/>
        <v>5.0038481272447415</v>
      </c>
    </row>
    <row r="109" spans="1:12" ht="26.25" customHeight="1">
      <c r="A109" s="321" t="s">
        <v>1837</v>
      </c>
      <c r="B109" s="289" t="s">
        <v>2237</v>
      </c>
      <c r="C109" s="65">
        <v>17500</v>
      </c>
      <c r="D109" s="65">
        <v>17793</v>
      </c>
      <c r="E109" s="65">
        <f t="shared" si="13"/>
        <v>76</v>
      </c>
      <c r="F109" s="626" t="s">
        <v>1588</v>
      </c>
      <c r="G109" s="626" t="s">
        <v>1588</v>
      </c>
      <c r="H109" s="626" t="s">
        <v>1588</v>
      </c>
      <c r="I109" s="626" t="s">
        <v>1588</v>
      </c>
      <c r="J109" s="626" t="s">
        <v>1588</v>
      </c>
      <c r="K109" s="65">
        <v>76</v>
      </c>
      <c r="L109" s="66">
        <f t="shared" si="12"/>
        <v>0.42713426628449386</v>
      </c>
    </row>
    <row r="110" spans="1:12" ht="26.25" customHeight="1">
      <c r="A110" s="316" t="s">
        <v>1840</v>
      </c>
      <c r="B110" s="289" t="s">
        <v>179</v>
      </c>
      <c r="C110" s="68">
        <v>10000</v>
      </c>
      <c r="D110" s="68">
        <v>11514</v>
      </c>
      <c r="E110" s="68">
        <f t="shared" si="13"/>
        <v>11514</v>
      </c>
      <c r="F110" s="68">
        <v>310</v>
      </c>
      <c r="G110" s="801" t="s">
        <v>1588</v>
      </c>
      <c r="H110" s="801" t="s">
        <v>1588</v>
      </c>
      <c r="I110" s="68">
        <v>11204</v>
      </c>
      <c r="J110" s="801" t="s">
        <v>1588</v>
      </c>
      <c r="K110" s="801" t="s">
        <v>1588</v>
      </c>
      <c r="L110" s="66">
        <f t="shared" si="12"/>
        <v>100</v>
      </c>
    </row>
    <row r="111" spans="1:12" ht="26.25" customHeight="1">
      <c r="A111" s="71" t="s">
        <v>1841</v>
      </c>
      <c r="B111" s="319" t="s">
        <v>1599</v>
      </c>
      <c r="C111" s="65">
        <v>3000</v>
      </c>
      <c r="D111" s="65">
        <v>2045</v>
      </c>
      <c r="E111" s="65">
        <f t="shared" si="13"/>
        <v>89</v>
      </c>
      <c r="F111" s="65">
        <v>6</v>
      </c>
      <c r="G111" s="65">
        <v>4</v>
      </c>
      <c r="H111" s="65">
        <v>0</v>
      </c>
      <c r="I111" s="65">
        <v>0</v>
      </c>
      <c r="J111" s="65">
        <v>0</v>
      </c>
      <c r="K111" s="65">
        <v>79</v>
      </c>
      <c r="L111" s="66">
        <f t="shared" si="12"/>
        <v>4.3520782396088018</v>
      </c>
    </row>
    <row r="112" spans="1:12" ht="26.25" customHeight="1">
      <c r="A112" s="321" t="s">
        <v>1842</v>
      </c>
      <c r="B112" s="289" t="s">
        <v>2240</v>
      </c>
      <c r="C112" s="65">
        <v>57000</v>
      </c>
      <c r="D112" s="65">
        <v>54712</v>
      </c>
      <c r="E112" s="65">
        <f t="shared" si="13"/>
        <v>277</v>
      </c>
      <c r="F112" s="626" t="s">
        <v>1588</v>
      </c>
      <c r="G112" s="626" t="s">
        <v>1588</v>
      </c>
      <c r="H112" s="626" t="s">
        <v>1588</v>
      </c>
      <c r="I112" s="626" t="s">
        <v>1588</v>
      </c>
      <c r="J112" s="626" t="s">
        <v>1588</v>
      </c>
      <c r="K112" s="65">
        <v>277</v>
      </c>
      <c r="L112" s="66">
        <f t="shared" si="12"/>
        <v>0.50628746892820586</v>
      </c>
    </row>
    <row r="113" spans="1:12" ht="26.25" customHeight="1">
      <c r="A113" s="71" t="s">
        <v>1975</v>
      </c>
      <c r="B113" s="289" t="s">
        <v>1845</v>
      </c>
      <c r="C113" s="65">
        <v>86000</v>
      </c>
      <c r="D113" s="65">
        <v>64000</v>
      </c>
      <c r="E113" s="65">
        <f t="shared" si="13"/>
        <v>2655</v>
      </c>
      <c r="F113" s="65">
        <v>2655</v>
      </c>
      <c r="G113" s="626" t="s">
        <v>1588</v>
      </c>
      <c r="H113" s="626" t="s">
        <v>1588</v>
      </c>
      <c r="I113" s="626" t="s">
        <v>1588</v>
      </c>
      <c r="J113" s="626" t="s">
        <v>1588</v>
      </c>
      <c r="K113" s="626" t="s">
        <v>1588</v>
      </c>
      <c r="L113" s="66">
        <f t="shared" si="12"/>
        <v>4.1484375</v>
      </c>
    </row>
    <row r="114" spans="1:12" ht="26.25" customHeight="1">
      <c r="A114" s="71" t="s">
        <v>2246</v>
      </c>
      <c r="B114" s="289" t="s">
        <v>2252</v>
      </c>
      <c r="C114" s="65">
        <v>30000</v>
      </c>
      <c r="D114" s="65">
        <v>20268</v>
      </c>
      <c r="E114" s="65">
        <f t="shared" si="13"/>
        <v>299</v>
      </c>
      <c r="F114" s="65">
        <v>74</v>
      </c>
      <c r="G114" s="626" t="s">
        <v>1588</v>
      </c>
      <c r="H114" s="626" t="s">
        <v>1588</v>
      </c>
      <c r="I114" s="626" t="s">
        <v>1588</v>
      </c>
      <c r="J114" s="626" t="s">
        <v>1588</v>
      </c>
      <c r="K114" s="65">
        <v>225</v>
      </c>
      <c r="L114" s="66">
        <f t="shared" si="12"/>
        <v>1.4752318926386423</v>
      </c>
    </row>
    <row r="115" spans="1:12" ht="26.25" customHeight="1">
      <c r="A115" s="316" t="s">
        <v>1616</v>
      </c>
      <c r="B115" s="335">
        <f>COUNTA(B116:B135)</f>
        <v>20</v>
      </c>
      <c r="C115" s="65">
        <f t="shared" ref="C115:K115" si="14">SUM(C116:C135)</f>
        <v>78150</v>
      </c>
      <c r="D115" s="65">
        <f t="shared" si="14"/>
        <v>71127</v>
      </c>
      <c r="E115" s="65">
        <f t="shared" si="13"/>
        <v>3391.5</v>
      </c>
      <c r="F115" s="65">
        <f t="shared" si="14"/>
        <v>589.79999999999995</v>
      </c>
      <c r="G115" s="65">
        <f t="shared" si="14"/>
        <v>0</v>
      </c>
      <c r="H115" s="65">
        <f t="shared" si="14"/>
        <v>0</v>
      </c>
      <c r="I115" s="65">
        <f t="shared" si="14"/>
        <v>293</v>
      </c>
      <c r="J115" s="65">
        <f t="shared" si="14"/>
        <v>0</v>
      </c>
      <c r="K115" s="65">
        <f t="shared" si="14"/>
        <v>2508.6999999999998</v>
      </c>
      <c r="L115" s="66">
        <f t="shared" si="12"/>
        <v>4.7682314732801894</v>
      </c>
    </row>
    <row r="116" spans="1:12" ht="26.25" customHeight="1">
      <c r="A116" s="316" t="s">
        <v>1843</v>
      </c>
      <c r="B116" s="319" t="s">
        <v>324</v>
      </c>
      <c r="C116" s="68">
        <v>15000</v>
      </c>
      <c r="D116" s="68">
        <v>12987</v>
      </c>
      <c r="E116" s="68">
        <f t="shared" si="13"/>
        <v>250</v>
      </c>
      <c r="F116" s="68">
        <v>14</v>
      </c>
      <c r="G116" s="801" t="s">
        <v>1588</v>
      </c>
      <c r="H116" s="801" t="s">
        <v>1588</v>
      </c>
      <c r="I116" s="801" t="s">
        <v>1588</v>
      </c>
      <c r="J116" s="801" t="s">
        <v>1588</v>
      </c>
      <c r="K116" s="68">
        <v>236</v>
      </c>
      <c r="L116" s="66">
        <f t="shared" si="12"/>
        <v>1.9250019250019248</v>
      </c>
    </row>
    <row r="117" spans="1:12" ht="26.25" customHeight="1">
      <c r="A117" s="320"/>
      <c r="B117" s="319" t="s">
        <v>2060</v>
      </c>
      <c r="C117" s="68">
        <v>800</v>
      </c>
      <c r="D117" s="68">
        <v>674</v>
      </c>
      <c r="E117" s="68">
        <f t="shared" si="13"/>
        <v>30</v>
      </c>
      <c r="F117" s="68">
        <v>6</v>
      </c>
      <c r="G117" s="801" t="s">
        <v>1588</v>
      </c>
      <c r="H117" s="801" t="s">
        <v>1588</v>
      </c>
      <c r="I117" s="801" t="s">
        <v>1588</v>
      </c>
      <c r="J117" s="801" t="s">
        <v>1588</v>
      </c>
      <c r="K117" s="68">
        <v>24</v>
      </c>
      <c r="L117" s="66">
        <f t="shared" si="12"/>
        <v>4.4510385756676563</v>
      </c>
    </row>
    <row r="118" spans="1:12" ht="26.25" customHeight="1">
      <c r="A118" s="320"/>
      <c r="B118" s="319" t="s">
        <v>325</v>
      </c>
      <c r="C118" s="68">
        <v>500</v>
      </c>
      <c r="D118" s="68">
        <v>241</v>
      </c>
      <c r="E118" s="68">
        <f t="shared" si="13"/>
        <v>8</v>
      </c>
      <c r="F118" s="801" t="s">
        <v>1588</v>
      </c>
      <c r="G118" s="801" t="s">
        <v>1588</v>
      </c>
      <c r="H118" s="801" t="s">
        <v>1588</v>
      </c>
      <c r="I118" s="801" t="s">
        <v>1588</v>
      </c>
      <c r="J118" s="801" t="s">
        <v>1588</v>
      </c>
      <c r="K118" s="68">
        <v>8</v>
      </c>
      <c r="L118" s="66">
        <f t="shared" si="12"/>
        <v>3.3195020746887969</v>
      </c>
    </row>
    <row r="119" spans="1:12" ht="26.25" customHeight="1">
      <c r="A119" s="320"/>
      <c r="B119" s="319" t="s">
        <v>326</v>
      </c>
      <c r="C119" s="68">
        <v>3000</v>
      </c>
      <c r="D119" s="68">
        <v>992</v>
      </c>
      <c r="E119" s="68">
        <f t="shared" si="13"/>
        <v>15</v>
      </c>
      <c r="F119" s="801" t="s">
        <v>1588</v>
      </c>
      <c r="G119" s="801" t="s">
        <v>1588</v>
      </c>
      <c r="H119" s="801" t="s">
        <v>1588</v>
      </c>
      <c r="I119" s="801" t="s">
        <v>1588</v>
      </c>
      <c r="J119" s="801" t="s">
        <v>1588</v>
      </c>
      <c r="K119" s="68">
        <v>15</v>
      </c>
      <c r="L119" s="66">
        <f t="shared" si="12"/>
        <v>1.5120967741935485</v>
      </c>
    </row>
    <row r="120" spans="1:12" ht="26.25" customHeight="1">
      <c r="A120" s="320"/>
      <c r="B120" s="319" t="s">
        <v>327</v>
      </c>
      <c r="C120" s="68">
        <v>700</v>
      </c>
      <c r="D120" s="68">
        <v>351</v>
      </c>
      <c r="E120" s="68">
        <f t="shared" si="13"/>
        <v>18</v>
      </c>
      <c r="F120" s="801" t="s">
        <v>1588</v>
      </c>
      <c r="G120" s="801" t="s">
        <v>1588</v>
      </c>
      <c r="H120" s="801" t="s">
        <v>1588</v>
      </c>
      <c r="I120" s="801" t="s">
        <v>1588</v>
      </c>
      <c r="J120" s="801" t="s">
        <v>1588</v>
      </c>
      <c r="K120" s="68">
        <v>18</v>
      </c>
      <c r="L120" s="66">
        <f t="shared" si="12"/>
        <v>5.1282051282051277</v>
      </c>
    </row>
    <row r="121" spans="1:12" ht="26.25" customHeight="1">
      <c r="A121" s="320"/>
      <c r="B121" s="319" t="s">
        <v>328</v>
      </c>
      <c r="C121" s="68">
        <v>850</v>
      </c>
      <c r="D121" s="68">
        <v>724</v>
      </c>
      <c r="E121" s="68">
        <f t="shared" si="13"/>
        <v>36</v>
      </c>
      <c r="F121" s="801" t="s">
        <v>1588</v>
      </c>
      <c r="G121" s="801" t="s">
        <v>1588</v>
      </c>
      <c r="H121" s="801" t="s">
        <v>1588</v>
      </c>
      <c r="I121" s="801" t="s">
        <v>1588</v>
      </c>
      <c r="J121" s="801" t="s">
        <v>1588</v>
      </c>
      <c r="K121" s="68">
        <v>36</v>
      </c>
      <c r="L121" s="66">
        <f t="shared" si="12"/>
        <v>4.972375690607735</v>
      </c>
    </row>
    <row r="122" spans="1:12" ht="26.25" customHeight="1">
      <c r="A122" s="316" t="s">
        <v>1844</v>
      </c>
      <c r="B122" s="319" t="s">
        <v>2251</v>
      </c>
      <c r="C122" s="68">
        <v>13000</v>
      </c>
      <c r="D122" s="68">
        <v>11128</v>
      </c>
      <c r="E122" s="65">
        <f t="shared" si="13"/>
        <v>396</v>
      </c>
      <c r="F122" s="65">
        <v>179</v>
      </c>
      <c r="G122" s="626" t="s">
        <v>1588</v>
      </c>
      <c r="H122" s="626" t="s">
        <v>1588</v>
      </c>
      <c r="I122" s="626" t="s">
        <v>1588</v>
      </c>
      <c r="J122" s="626" t="s">
        <v>1588</v>
      </c>
      <c r="K122" s="65">
        <v>217</v>
      </c>
      <c r="L122" s="66">
        <f t="shared" si="12"/>
        <v>3.5585909417685122</v>
      </c>
    </row>
    <row r="123" spans="1:12" ht="26.25" customHeight="1">
      <c r="A123" s="320"/>
      <c r="B123" s="319" t="s">
        <v>329</v>
      </c>
      <c r="C123" s="68">
        <v>1900</v>
      </c>
      <c r="D123" s="68">
        <v>1579</v>
      </c>
      <c r="E123" s="65">
        <f t="shared" si="13"/>
        <v>329</v>
      </c>
      <c r="F123" s="65">
        <v>61</v>
      </c>
      <c r="G123" s="626" t="s">
        <v>1588</v>
      </c>
      <c r="H123" s="626" t="s">
        <v>1588</v>
      </c>
      <c r="I123" s="65">
        <v>268</v>
      </c>
      <c r="J123" s="626" t="s">
        <v>1588</v>
      </c>
      <c r="K123" s="626" t="s">
        <v>1588</v>
      </c>
      <c r="L123" s="66">
        <f t="shared" si="12"/>
        <v>20.835972134262189</v>
      </c>
    </row>
    <row r="124" spans="1:12" ht="26.25" customHeight="1">
      <c r="A124" s="320"/>
      <c r="B124" s="319" t="s">
        <v>330</v>
      </c>
      <c r="C124" s="68">
        <v>2600</v>
      </c>
      <c r="D124" s="68">
        <v>2449</v>
      </c>
      <c r="E124" s="65">
        <f t="shared" si="13"/>
        <v>15</v>
      </c>
      <c r="F124" s="65">
        <v>15</v>
      </c>
      <c r="G124" s="626" t="s">
        <v>1588</v>
      </c>
      <c r="H124" s="626" t="s">
        <v>1588</v>
      </c>
      <c r="I124" s="626" t="s">
        <v>1588</v>
      </c>
      <c r="J124" s="626" t="s">
        <v>1588</v>
      </c>
      <c r="K124" s="626" t="s">
        <v>1588</v>
      </c>
      <c r="L124" s="66">
        <f t="shared" si="12"/>
        <v>0.6124948958758677</v>
      </c>
    </row>
    <row r="125" spans="1:12" ht="26.25" customHeight="1">
      <c r="A125" s="320"/>
      <c r="B125" s="319" t="s">
        <v>331</v>
      </c>
      <c r="C125" s="68">
        <v>300</v>
      </c>
      <c r="D125" s="68">
        <v>130</v>
      </c>
      <c r="E125" s="65">
        <f t="shared" si="13"/>
        <v>22</v>
      </c>
      <c r="F125" s="626" t="s">
        <v>1588</v>
      </c>
      <c r="G125" s="626" t="s">
        <v>1588</v>
      </c>
      <c r="H125" s="626" t="s">
        <v>1588</v>
      </c>
      <c r="I125" s="65">
        <v>22</v>
      </c>
      <c r="J125" s="626" t="s">
        <v>1588</v>
      </c>
      <c r="K125" s="626" t="s">
        <v>1588</v>
      </c>
      <c r="L125" s="66">
        <f t="shared" si="12"/>
        <v>16.923076923076923</v>
      </c>
    </row>
    <row r="126" spans="1:12" ht="26.25" customHeight="1">
      <c r="A126" s="320"/>
      <c r="B126" s="319" t="s">
        <v>332</v>
      </c>
      <c r="C126" s="68">
        <v>3600</v>
      </c>
      <c r="D126" s="68">
        <v>3012</v>
      </c>
      <c r="E126" s="65">
        <f t="shared" si="13"/>
        <v>1100</v>
      </c>
      <c r="F126" s="626" t="s">
        <v>1588</v>
      </c>
      <c r="G126" s="626" t="s">
        <v>1588</v>
      </c>
      <c r="H126" s="626" t="s">
        <v>1588</v>
      </c>
      <c r="I126" s="626" t="s">
        <v>1588</v>
      </c>
      <c r="J126" s="626" t="s">
        <v>1588</v>
      </c>
      <c r="K126" s="65">
        <v>1100</v>
      </c>
      <c r="L126" s="66">
        <f t="shared" si="12"/>
        <v>36.520584329349269</v>
      </c>
    </row>
    <row r="127" spans="1:12" ht="26.25" customHeight="1">
      <c r="A127" s="320"/>
      <c r="B127" s="319" t="s">
        <v>333</v>
      </c>
      <c r="C127" s="68">
        <v>900</v>
      </c>
      <c r="D127" s="68">
        <v>609</v>
      </c>
      <c r="E127" s="65">
        <f t="shared" si="13"/>
        <v>50</v>
      </c>
      <c r="F127" s="65">
        <v>50</v>
      </c>
      <c r="G127" s="626" t="s">
        <v>1588</v>
      </c>
      <c r="H127" s="626" t="s">
        <v>1588</v>
      </c>
      <c r="I127" s="626" t="s">
        <v>1588</v>
      </c>
      <c r="J127" s="626" t="s">
        <v>1588</v>
      </c>
      <c r="K127" s="626" t="s">
        <v>1588</v>
      </c>
      <c r="L127" s="66">
        <f t="shared" si="12"/>
        <v>8.2101806239737272</v>
      </c>
    </row>
    <row r="128" spans="1:12" ht="26.25" customHeight="1">
      <c r="A128" s="320"/>
      <c r="B128" s="319" t="s">
        <v>334</v>
      </c>
      <c r="C128" s="68">
        <v>1000</v>
      </c>
      <c r="D128" s="68">
        <v>550</v>
      </c>
      <c r="E128" s="65">
        <f t="shared" si="13"/>
        <v>2</v>
      </c>
      <c r="F128" s="65">
        <v>1</v>
      </c>
      <c r="G128" s="626" t="s">
        <v>1588</v>
      </c>
      <c r="H128" s="626" t="s">
        <v>1588</v>
      </c>
      <c r="I128" s="626" t="s">
        <v>1588</v>
      </c>
      <c r="J128" s="626" t="s">
        <v>1588</v>
      </c>
      <c r="K128" s="65">
        <v>1</v>
      </c>
      <c r="L128" s="66">
        <f t="shared" si="12"/>
        <v>0.36363636363636365</v>
      </c>
    </row>
    <row r="129" spans="1:12" ht="26.25" customHeight="1">
      <c r="A129" s="316" t="s">
        <v>1847</v>
      </c>
      <c r="B129" s="319" t="s">
        <v>2029</v>
      </c>
      <c r="C129" s="65">
        <v>6500</v>
      </c>
      <c r="D129" s="65">
        <v>7801</v>
      </c>
      <c r="E129" s="63">
        <f t="shared" si="13"/>
        <v>334</v>
      </c>
      <c r="F129" s="63">
        <v>28</v>
      </c>
      <c r="G129" s="632" t="s">
        <v>1588</v>
      </c>
      <c r="H129" s="632" t="s">
        <v>1588</v>
      </c>
      <c r="I129" s="632" t="s">
        <v>1588</v>
      </c>
      <c r="J129" s="632" t="s">
        <v>1588</v>
      </c>
      <c r="K129" s="63">
        <v>306</v>
      </c>
      <c r="L129" s="64">
        <f t="shared" si="12"/>
        <v>4.2815023714908351</v>
      </c>
    </row>
    <row r="130" spans="1:12" ht="26.25" customHeight="1">
      <c r="A130" s="320"/>
      <c r="B130" s="319" t="s">
        <v>2030</v>
      </c>
      <c r="C130" s="65">
        <v>6200</v>
      </c>
      <c r="D130" s="65">
        <v>4738</v>
      </c>
      <c r="E130" s="63">
        <f t="shared" si="13"/>
        <v>238</v>
      </c>
      <c r="F130" s="63">
        <v>19</v>
      </c>
      <c r="G130" s="632" t="s">
        <v>1588</v>
      </c>
      <c r="H130" s="632" t="s">
        <v>1588</v>
      </c>
      <c r="I130" s="632" t="s">
        <v>1588</v>
      </c>
      <c r="J130" s="632" t="s">
        <v>1588</v>
      </c>
      <c r="K130" s="63">
        <v>219</v>
      </c>
      <c r="L130" s="64">
        <f t="shared" si="12"/>
        <v>5.0232165470662729</v>
      </c>
    </row>
    <row r="131" spans="1:12" ht="26.25" customHeight="1">
      <c r="A131" s="320"/>
      <c r="B131" s="319" t="s">
        <v>1600</v>
      </c>
      <c r="C131" s="65">
        <v>1300</v>
      </c>
      <c r="D131" s="65">
        <v>891</v>
      </c>
      <c r="E131" s="63">
        <f t="shared" si="13"/>
        <v>14</v>
      </c>
      <c r="F131" s="63">
        <v>14</v>
      </c>
      <c r="G131" s="632" t="s">
        <v>1588</v>
      </c>
      <c r="H131" s="632" t="s">
        <v>1588</v>
      </c>
      <c r="I131" s="632" t="s">
        <v>1588</v>
      </c>
      <c r="J131" s="632" t="s">
        <v>1588</v>
      </c>
      <c r="K131" s="632" t="s">
        <v>1588</v>
      </c>
      <c r="L131" s="64">
        <f t="shared" si="12"/>
        <v>1.5712682379349048</v>
      </c>
    </row>
    <row r="132" spans="1:12" ht="26.25" customHeight="1">
      <c r="A132" s="320"/>
      <c r="B132" s="319" t="s">
        <v>181</v>
      </c>
      <c r="C132" s="65">
        <v>1000</v>
      </c>
      <c r="D132" s="65">
        <v>249</v>
      </c>
      <c r="E132" s="63">
        <f t="shared" si="13"/>
        <v>0.5</v>
      </c>
      <c r="F132" s="63">
        <v>0.5</v>
      </c>
      <c r="G132" s="632" t="s">
        <v>1588</v>
      </c>
      <c r="H132" s="632" t="s">
        <v>1588</v>
      </c>
      <c r="I132" s="632" t="s">
        <v>1588</v>
      </c>
      <c r="J132" s="632" t="s">
        <v>1588</v>
      </c>
      <c r="K132" s="632" t="s">
        <v>1588</v>
      </c>
      <c r="L132" s="64">
        <f t="shared" si="12"/>
        <v>0.20080321285140559</v>
      </c>
    </row>
    <row r="133" spans="1:12" ht="26.25" customHeight="1">
      <c r="A133" s="320"/>
      <c r="B133" s="319" t="s">
        <v>182</v>
      </c>
      <c r="C133" s="65">
        <v>5000</v>
      </c>
      <c r="D133" s="65">
        <v>3320</v>
      </c>
      <c r="E133" s="63">
        <f t="shared" si="13"/>
        <v>49</v>
      </c>
      <c r="F133" s="63">
        <v>11.3</v>
      </c>
      <c r="G133" s="632" t="s">
        <v>1588</v>
      </c>
      <c r="H133" s="632" t="s">
        <v>1588</v>
      </c>
      <c r="I133" s="632" t="s">
        <v>1588</v>
      </c>
      <c r="J133" s="632" t="s">
        <v>1588</v>
      </c>
      <c r="K133" s="63">
        <v>37.700000000000003</v>
      </c>
      <c r="L133" s="64">
        <f t="shared" si="12"/>
        <v>1.4759036144578312</v>
      </c>
    </row>
    <row r="134" spans="1:12" ht="26.25" customHeight="1">
      <c r="A134" s="316" t="s">
        <v>1848</v>
      </c>
      <c r="B134" s="319" t="s">
        <v>183</v>
      </c>
      <c r="C134" s="65">
        <v>12000</v>
      </c>
      <c r="D134" s="65">
        <v>16538</v>
      </c>
      <c r="E134" s="65">
        <f t="shared" si="13"/>
        <v>423</v>
      </c>
      <c r="F134" s="65">
        <v>164</v>
      </c>
      <c r="G134" s="626" t="s">
        <v>1588</v>
      </c>
      <c r="H134" s="626" t="s">
        <v>1588</v>
      </c>
      <c r="I134" s="65">
        <v>3</v>
      </c>
      <c r="J134" s="626" t="s">
        <v>1588</v>
      </c>
      <c r="K134" s="65">
        <v>256</v>
      </c>
      <c r="L134" s="66">
        <f t="shared" ref="L134:L204" si="15">(E134/D134)*100</f>
        <v>2.5577457975571409</v>
      </c>
    </row>
    <row r="135" spans="1:12" ht="26.25" customHeight="1">
      <c r="A135" s="321"/>
      <c r="B135" s="319" t="s">
        <v>184</v>
      </c>
      <c r="C135" s="65">
        <v>2000</v>
      </c>
      <c r="D135" s="65">
        <v>2164</v>
      </c>
      <c r="E135" s="65">
        <f t="shared" si="13"/>
        <v>62</v>
      </c>
      <c r="F135" s="65">
        <v>27</v>
      </c>
      <c r="G135" s="626" t="s">
        <v>1588</v>
      </c>
      <c r="H135" s="626" t="s">
        <v>1588</v>
      </c>
      <c r="I135" s="626" t="s">
        <v>1588</v>
      </c>
      <c r="J135" s="626" t="s">
        <v>1588</v>
      </c>
      <c r="K135" s="65">
        <v>35</v>
      </c>
      <c r="L135" s="66">
        <f t="shared" si="15"/>
        <v>2.865064695009242</v>
      </c>
    </row>
    <row r="136" spans="1:12" ht="26.25" customHeight="1">
      <c r="A136" s="300" t="s">
        <v>1849</v>
      </c>
      <c r="B136" s="336">
        <f>B137+B149</f>
        <v>23</v>
      </c>
      <c r="C136" s="63">
        <f>C137+C149</f>
        <v>565000</v>
      </c>
      <c r="D136" s="63">
        <f>D137+D149</f>
        <v>434602</v>
      </c>
      <c r="E136" s="63">
        <f t="shared" ref="E136:E199" si="16">SUM(F136:K136)</f>
        <v>53298.737260273971</v>
      </c>
      <c r="F136" s="63">
        <f t="shared" ref="F136:K136" si="17">F137+F149</f>
        <v>4887.7694520547939</v>
      </c>
      <c r="G136" s="63">
        <f t="shared" si="17"/>
        <v>1669.6791780821918</v>
      </c>
      <c r="H136" s="63">
        <f t="shared" si="17"/>
        <v>1529</v>
      </c>
      <c r="I136" s="63">
        <f t="shared" si="17"/>
        <v>0</v>
      </c>
      <c r="J136" s="63">
        <f t="shared" si="17"/>
        <v>0</v>
      </c>
      <c r="K136" s="63">
        <f t="shared" si="17"/>
        <v>45212.288630136987</v>
      </c>
      <c r="L136" s="64">
        <f t="shared" si="15"/>
        <v>12.263803954025516</v>
      </c>
    </row>
    <row r="137" spans="1:12" ht="26.25" customHeight="1">
      <c r="A137" s="298" t="s">
        <v>1674</v>
      </c>
      <c r="B137" s="336">
        <f>COUNTA(B138:B148)</f>
        <v>10</v>
      </c>
      <c r="C137" s="63">
        <f>SUM(C138:C148)</f>
        <v>510200</v>
      </c>
      <c r="D137" s="63">
        <f>SUM(D138:D148)</f>
        <v>397785</v>
      </c>
      <c r="E137" s="63">
        <f t="shared" si="16"/>
        <v>49604.480000000003</v>
      </c>
      <c r="F137" s="63">
        <f t="shared" ref="F137:K137" si="18">SUM(F138:F148)</f>
        <v>3671.24</v>
      </c>
      <c r="G137" s="63">
        <f t="shared" si="18"/>
        <v>499.05</v>
      </c>
      <c r="H137" s="63">
        <f t="shared" si="18"/>
        <v>1529</v>
      </c>
      <c r="I137" s="63">
        <f t="shared" si="18"/>
        <v>0</v>
      </c>
      <c r="J137" s="63">
        <f t="shared" si="18"/>
        <v>0</v>
      </c>
      <c r="K137" s="63">
        <f t="shared" si="18"/>
        <v>43905.19</v>
      </c>
      <c r="L137" s="64">
        <f t="shared" si="15"/>
        <v>12.470173586233772</v>
      </c>
    </row>
    <row r="138" spans="1:12" ht="26.25" customHeight="1">
      <c r="A138" s="298" t="s">
        <v>1850</v>
      </c>
      <c r="B138" s="322" t="s">
        <v>2384</v>
      </c>
      <c r="C138" s="63">
        <v>150000</v>
      </c>
      <c r="D138" s="63">
        <v>121775</v>
      </c>
      <c r="E138" s="63">
        <f t="shared" si="16"/>
        <v>12382</v>
      </c>
      <c r="F138" s="63">
        <v>2606</v>
      </c>
      <c r="G138" s="63">
        <v>0</v>
      </c>
      <c r="H138" s="63">
        <v>0</v>
      </c>
      <c r="I138" s="63">
        <v>0</v>
      </c>
      <c r="J138" s="63">
        <v>0</v>
      </c>
      <c r="K138" s="63">
        <v>9776</v>
      </c>
      <c r="L138" s="64">
        <f t="shared" si="15"/>
        <v>10.167932662697599</v>
      </c>
    </row>
    <row r="139" spans="1:12" ht="26.25" customHeight="1">
      <c r="A139" s="299"/>
      <c r="B139" s="322" t="s">
        <v>2119</v>
      </c>
      <c r="C139" s="63">
        <v>4000</v>
      </c>
      <c r="D139" s="63">
        <v>724</v>
      </c>
      <c r="E139" s="63">
        <f t="shared" si="16"/>
        <v>9.23</v>
      </c>
      <c r="F139" s="63">
        <v>6.04</v>
      </c>
      <c r="G139" s="63">
        <v>0</v>
      </c>
      <c r="H139" s="63">
        <v>0</v>
      </c>
      <c r="I139" s="63">
        <v>0</v>
      </c>
      <c r="J139" s="63">
        <v>0</v>
      </c>
      <c r="K139" s="63">
        <v>3.19</v>
      </c>
      <c r="L139" s="64">
        <f t="shared" si="15"/>
        <v>1.2748618784530386</v>
      </c>
    </row>
    <row r="140" spans="1:12" ht="26.25" customHeight="1">
      <c r="A140" s="300"/>
      <c r="B140" s="895" t="s">
        <v>1601</v>
      </c>
      <c r="C140" s="63">
        <v>1900</v>
      </c>
      <c r="D140" s="63">
        <v>349</v>
      </c>
      <c r="E140" s="63">
        <f t="shared" si="16"/>
        <v>0</v>
      </c>
      <c r="F140" s="63">
        <v>0</v>
      </c>
      <c r="G140" s="63">
        <v>0</v>
      </c>
      <c r="H140" s="63">
        <v>0</v>
      </c>
      <c r="I140" s="63">
        <v>0</v>
      </c>
      <c r="J140" s="63">
        <v>0</v>
      </c>
      <c r="K140" s="63">
        <v>0</v>
      </c>
      <c r="L140" s="64">
        <f t="shared" si="15"/>
        <v>0</v>
      </c>
    </row>
    <row r="141" spans="1:12" ht="26.25" customHeight="1">
      <c r="A141" s="884" t="s">
        <v>1851</v>
      </c>
      <c r="B141" s="888" t="s">
        <v>339</v>
      </c>
      <c r="C141" s="886">
        <v>130000</v>
      </c>
      <c r="D141" s="63">
        <v>116777</v>
      </c>
      <c r="E141" s="63">
        <f t="shared" si="16"/>
        <v>384</v>
      </c>
      <c r="F141" s="63">
        <v>384</v>
      </c>
      <c r="G141" s="632" t="s">
        <v>1588</v>
      </c>
      <c r="H141" s="632" t="s">
        <v>1588</v>
      </c>
      <c r="I141" s="632" t="s">
        <v>1588</v>
      </c>
      <c r="J141" s="632" t="s">
        <v>1588</v>
      </c>
      <c r="K141" s="632" t="s">
        <v>1588</v>
      </c>
      <c r="L141" s="64">
        <f t="shared" si="15"/>
        <v>0.32883187613999332</v>
      </c>
    </row>
    <row r="142" spans="1:12" ht="26.25" customHeight="1">
      <c r="A142" s="885"/>
      <c r="B142" s="887"/>
      <c r="C142" s="886">
        <v>30000</v>
      </c>
      <c r="D142" s="63">
        <v>28225</v>
      </c>
      <c r="E142" s="63">
        <f t="shared" si="16"/>
        <v>28227.54</v>
      </c>
      <c r="F142" s="63">
        <v>8.49</v>
      </c>
      <c r="G142" s="63">
        <v>172.05</v>
      </c>
      <c r="H142" s="632" t="s">
        <v>1588</v>
      </c>
      <c r="I142" s="632" t="s">
        <v>1588</v>
      </c>
      <c r="J142" s="632" t="s">
        <v>1588</v>
      </c>
      <c r="K142" s="63">
        <v>28047</v>
      </c>
      <c r="L142" s="64">
        <f t="shared" si="15"/>
        <v>100.0089991142604</v>
      </c>
    </row>
    <row r="143" spans="1:12" ht="26.25" customHeight="1">
      <c r="A143" s="298" t="s">
        <v>1852</v>
      </c>
      <c r="B143" s="887" t="s">
        <v>2386</v>
      </c>
      <c r="C143" s="63">
        <v>75000</v>
      </c>
      <c r="D143" s="63">
        <v>26003</v>
      </c>
      <c r="E143" s="63">
        <f t="shared" si="16"/>
        <v>3575</v>
      </c>
      <c r="F143" s="63">
        <v>62</v>
      </c>
      <c r="G143" s="63">
        <v>80</v>
      </c>
      <c r="H143" s="632" t="s">
        <v>1588</v>
      </c>
      <c r="I143" s="632" t="s">
        <v>1588</v>
      </c>
      <c r="J143" s="632" t="s">
        <v>1588</v>
      </c>
      <c r="K143" s="63">
        <v>3433</v>
      </c>
      <c r="L143" s="64">
        <f t="shared" si="15"/>
        <v>13.748413644579472</v>
      </c>
    </row>
    <row r="144" spans="1:12" ht="26.25" customHeight="1">
      <c r="A144" s="300"/>
      <c r="B144" s="290" t="s">
        <v>1998</v>
      </c>
      <c r="C144" s="63">
        <v>12000</v>
      </c>
      <c r="D144" s="63">
        <v>1712</v>
      </c>
      <c r="E144" s="63">
        <f t="shared" si="16"/>
        <v>1711.71</v>
      </c>
      <c r="F144" s="63">
        <v>2.71</v>
      </c>
      <c r="G144" s="632" t="s">
        <v>1588</v>
      </c>
      <c r="H144" s="63">
        <v>1529</v>
      </c>
      <c r="I144" s="632" t="s">
        <v>1588</v>
      </c>
      <c r="J144" s="632" t="s">
        <v>1588</v>
      </c>
      <c r="K144" s="63">
        <v>180</v>
      </c>
      <c r="L144" s="64">
        <f>(E144/D144)*100</f>
        <v>99.983060747663558</v>
      </c>
    </row>
    <row r="145" spans="1:12" ht="26.25" customHeight="1">
      <c r="A145" s="280" t="s">
        <v>1854</v>
      </c>
      <c r="B145" s="290" t="s">
        <v>1854</v>
      </c>
      <c r="C145" s="63">
        <v>30000</v>
      </c>
      <c r="D145" s="63">
        <v>28225</v>
      </c>
      <c r="E145" s="63">
        <f t="shared" si="16"/>
        <v>0</v>
      </c>
      <c r="F145" s="632" t="s">
        <v>1588</v>
      </c>
      <c r="G145" s="632" t="s">
        <v>1588</v>
      </c>
      <c r="H145" s="632" t="s">
        <v>1588</v>
      </c>
      <c r="I145" s="632" t="s">
        <v>1588</v>
      </c>
      <c r="J145" s="632" t="s">
        <v>1588</v>
      </c>
      <c r="K145" s="632" t="s">
        <v>1588</v>
      </c>
      <c r="L145" s="64">
        <f>(E145/D145)*100</f>
        <v>0</v>
      </c>
    </row>
    <row r="146" spans="1:12" ht="26.25" customHeight="1">
      <c r="A146" s="280" t="s">
        <v>1855</v>
      </c>
      <c r="B146" s="290" t="s">
        <v>185</v>
      </c>
      <c r="C146" s="63">
        <v>46000</v>
      </c>
      <c r="D146" s="63">
        <v>47000</v>
      </c>
      <c r="E146" s="63">
        <f t="shared" si="16"/>
        <v>1663</v>
      </c>
      <c r="F146" s="63">
        <v>538</v>
      </c>
      <c r="G146" s="63">
        <v>247</v>
      </c>
      <c r="H146" s="632" t="s">
        <v>1588</v>
      </c>
      <c r="I146" s="632" t="s">
        <v>1588</v>
      </c>
      <c r="J146" s="632" t="s">
        <v>1588</v>
      </c>
      <c r="K146" s="63">
        <v>878</v>
      </c>
      <c r="L146" s="64">
        <f t="shared" si="15"/>
        <v>3.5382978723404257</v>
      </c>
    </row>
    <row r="147" spans="1:12" ht="26.25" customHeight="1">
      <c r="A147" s="299" t="s">
        <v>1976</v>
      </c>
      <c r="B147" s="290" t="s">
        <v>2389</v>
      </c>
      <c r="C147" s="63">
        <v>25000</v>
      </c>
      <c r="D147" s="63">
        <v>22948</v>
      </c>
      <c r="E147" s="63">
        <f t="shared" si="16"/>
        <v>1633</v>
      </c>
      <c r="F147" s="63">
        <v>60</v>
      </c>
      <c r="G147" s="632" t="s">
        <v>1588</v>
      </c>
      <c r="H147" s="632" t="s">
        <v>1588</v>
      </c>
      <c r="I147" s="632" t="s">
        <v>1588</v>
      </c>
      <c r="J147" s="632" t="s">
        <v>1588</v>
      </c>
      <c r="K147" s="63">
        <v>1573</v>
      </c>
      <c r="L147" s="64">
        <f t="shared" si="15"/>
        <v>7.1160885480216134</v>
      </c>
    </row>
    <row r="148" spans="1:12" ht="26.25" customHeight="1">
      <c r="A148" s="300"/>
      <c r="B148" s="290" t="s">
        <v>186</v>
      </c>
      <c r="C148" s="63">
        <v>6300</v>
      </c>
      <c r="D148" s="63">
        <v>4047</v>
      </c>
      <c r="E148" s="63">
        <f t="shared" si="16"/>
        <v>19</v>
      </c>
      <c r="F148" s="63">
        <v>4</v>
      </c>
      <c r="G148" s="632" t="s">
        <v>1588</v>
      </c>
      <c r="H148" s="632" t="s">
        <v>1588</v>
      </c>
      <c r="I148" s="632" t="s">
        <v>1588</v>
      </c>
      <c r="J148" s="632" t="s">
        <v>1588</v>
      </c>
      <c r="K148" s="63">
        <v>15</v>
      </c>
      <c r="L148" s="64">
        <f t="shared" si="15"/>
        <v>0.46948356807511737</v>
      </c>
    </row>
    <row r="149" spans="1:12" ht="26.25" customHeight="1">
      <c r="A149" s="300" t="s">
        <v>1616</v>
      </c>
      <c r="B149" s="336">
        <f>COUNTA(B150:B162)</f>
        <v>13</v>
      </c>
      <c r="C149" s="63">
        <f t="shared" ref="C149:K149" si="19">SUM(C150:C162)</f>
        <v>54800</v>
      </c>
      <c r="D149" s="63">
        <f t="shared" si="19"/>
        <v>36817</v>
      </c>
      <c r="E149" s="63">
        <f t="shared" si="16"/>
        <v>3694.2572602739724</v>
      </c>
      <c r="F149" s="63">
        <f t="shared" si="19"/>
        <v>1216.5294520547945</v>
      </c>
      <c r="G149" s="63">
        <f t="shared" si="19"/>
        <v>1170.6291780821919</v>
      </c>
      <c r="H149" s="63">
        <f t="shared" si="19"/>
        <v>0</v>
      </c>
      <c r="I149" s="63">
        <f t="shared" si="19"/>
        <v>0</v>
      </c>
      <c r="J149" s="63">
        <f t="shared" si="19"/>
        <v>0</v>
      </c>
      <c r="K149" s="63">
        <f t="shared" si="19"/>
        <v>1307.0986301369862</v>
      </c>
      <c r="L149" s="64">
        <f t="shared" si="15"/>
        <v>10.034107233815826</v>
      </c>
    </row>
    <row r="150" spans="1:12" ht="26.25" customHeight="1">
      <c r="A150" s="282" t="s">
        <v>1856</v>
      </c>
      <c r="B150" s="297" t="s">
        <v>187</v>
      </c>
      <c r="C150" s="277">
        <v>11000</v>
      </c>
      <c r="D150" s="277">
        <v>11641</v>
      </c>
      <c r="E150" s="277">
        <f t="shared" si="16"/>
        <v>642</v>
      </c>
      <c r="F150" s="277">
        <v>417</v>
      </c>
      <c r="G150" s="277">
        <v>0</v>
      </c>
      <c r="H150" s="277">
        <v>0</v>
      </c>
      <c r="I150" s="277">
        <v>0</v>
      </c>
      <c r="J150" s="277">
        <v>0</v>
      </c>
      <c r="K150" s="277">
        <v>225</v>
      </c>
      <c r="L150" s="301">
        <f t="shared" si="15"/>
        <v>5.5149901211236152</v>
      </c>
    </row>
    <row r="151" spans="1:12" ht="26.25" customHeight="1">
      <c r="A151" s="299" t="s">
        <v>1857</v>
      </c>
      <c r="B151" s="290" t="s">
        <v>188</v>
      </c>
      <c r="C151" s="63">
        <v>7200</v>
      </c>
      <c r="D151" s="63">
        <v>5792</v>
      </c>
      <c r="E151" s="63">
        <f t="shared" si="16"/>
        <v>330</v>
      </c>
      <c r="F151" s="63">
        <v>106</v>
      </c>
      <c r="G151" s="63">
        <v>100</v>
      </c>
      <c r="H151" s="632" t="s">
        <v>1588</v>
      </c>
      <c r="I151" s="632" t="s">
        <v>1588</v>
      </c>
      <c r="J151" s="632" t="s">
        <v>1588</v>
      </c>
      <c r="K151" s="63">
        <v>124</v>
      </c>
      <c r="L151" s="64">
        <f t="shared" si="15"/>
        <v>5.6975138121546962</v>
      </c>
    </row>
    <row r="152" spans="1:12" ht="26.25" customHeight="1">
      <c r="A152" s="300"/>
      <c r="B152" s="290" t="s">
        <v>189</v>
      </c>
      <c r="C152" s="63">
        <v>1500</v>
      </c>
      <c r="D152" s="63">
        <v>1229</v>
      </c>
      <c r="E152" s="63">
        <f t="shared" si="16"/>
        <v>68.3</v>
      </c>
      <c r="F152" s="63">
        <v>38.299999999999997</v>
      </c>
      <c r="G152" s="63">
        <v>30</v>
      </c>
      <c r="H152" s="632" t="s">
        <v>1588</v>
      </c>
      <c r="I152" s="632" t="s">
        <v>1588</v>
      </c>
      <c r="J152" s="632" t="s">
        <v>1588</v>
      </c>
      <c r="K152" s="632" t="s">
        <v>1588</v>
      </c>
      <c r="L152" s="64">
        <f t="shared" si="15"/>
        <v>5.557363710333604</v>
      </c>
    </row>
    <row r="153" spans="1:12" ht="26.25" customHeight="1">
      <c r="A153" s="298" t="s">
        <v>1863</v>
      </c>
      <c r="B153" s="290" t="s">
        <v>335</v>
      </c>
      <c r="C153" s="63">
        <v>6000</v>
      </c>
      <c r="D153" s="63">
        <v>2656</v>
      </c>
      <c r="E153" s="63">
        <f t="shared" si="16"/>
        <v>358</v>
      </c>
      <c r="F153" s="63">
        <v>54</v>
      </c>
      <c r="G153" s="63">
        <v>41</v>
      </c>
      <c r="H153" s="632" t="s">
        <v>1588</v>
      </c>
      <c r="I153" s="632" t="s">
        <v>1588</v>
      </c>
      <c r="J153" s="632" t="s">
        <v>1588</v>
      </c>
      <c r="K153" s="63">
        <v>263</v>
      </c>
      <c r="L153" s="64">
        <f t="shared" si="15"/>
        <v>13.478915662650603</v>
      </c>
    </row>
    <row r="154" spans="1:12" ht="26.25" customHeight="1">
      <c r="A154" s="446" t="s">
        <v>1864</v>
      </c>
      <c r="B154" s="790" t="s">
        <v>7574</v>
      </c>
      <c r="C154" s="63">
        <v>4200</v>
      </c>
      <c r="D154" s="63">
        <v>3133</v>
      </c>
      <c r="E154" s="63">
        <f t="shared" si="16"/>
        <v>0</v>
      </c>
      <c r="F154" s="63">
        <v>0</v>
      </c>
      <c r="G154" s="63">
        <v>0</v>
      </c>
      <c r="H154" s="632">
        <v>0</v>
      </c>
      <c r="I154" s="632">
        <v>0</v>
      </c>
      <c r="J154" s="632">
        <v>0</v>
      </c>
      <c r="K154" s="63">
        <v>0</v>
      </c>
      <c r="L154" s="64">
        <f t="shared" si="15"/>
        <v>0</v>
      </c>
    </row>
    <row r="155" spans="1:12" ht="26.25" customHeight="1">
      <c r="A155" s="792"/>
      <c r="B155" s="790" t="s">
        <v>847</v>
      </c>
      <c r="C155" s="63">
        <v>2500</v>
      </c>
      <c r="D155" s="63">
        <v>1275</v>
      </c>
      <c r="E155" s="63">
        <f t="shared" si="16"/>
        <v>0</v>
      </c>
      <c r="F155" s="63">
        <v>0</v>
      </c>
      <c r="G155" s="63">
        <v>0</v>
      </c>
      <c r="H155" s="632">
        <v>0</v>
      </c>
      <c r="I155" s="632">
        <v>0</v>
      </c>
      <c r="J155" s="632">
        <v>0</v>
      </c>
      <c r="K155" s="63">
        <v>0</v>
      </c>
      <c r="L155" s="64">
        <f t="shared" si="15"/>
        <v>0</v>
      </c>
    </row>
    <row r="156" spans="1:12" ht="26.25" customHeight="1">
      <c r="A156" s="299" t="s">
        <v>1605</v>
      </c>
      <c r="B156" s="290" t="s">
        <v>190</v>
      </c>
      <c r="C156" s="63">
        <v>1000</v>
      </c>
      <c r="D156" s="63">
        <v>767</v>
      </c>
      <c r="E156" s="63">
        <f t="shared" si="16"/>
        <v>766.96</v>
      </c>
      <c r="F156" s="63">
        <v>27.45</v>
      </c>
      <c r="G156" s="63">
        <v>739.51</v>
      </c>
      <c r="H156" s="63">
        <v>0</v>
      </c>
      <c r="I156" s="63">
        <v>0</v>
      </c>
      <c r="J156" s="63">
        <v>0</v>
      </c>
      <c r="K156" s="63">
        <v>0</v>
      </c>
      <c r="L156" s="64">
        <f t="shared" si="15"/>
        <v>99.994784876140812</v>
      </c>
    </row>
    <row r="157" spans="1:12" ht="26.25" customHeight="1">
      <c r="A157" s="298" t="s">
        <v>1608</v>
      </c>
      <c r="B157" s="322" t="s">
        <v>2391</v>
      </c>
      <c r="C157" s="63">
        <v>2600</v>
      </c>
      <c r="D157" s="63">
        <v>1729</v>
      </c>
      <c r="E157" s="63">
        <f t="shared" si="16"/>
        <v>227.39726027397259</v>
      </c>
      <c r="F157" s="63">
        <f>2000/365</f>
        <v>5.4794520547945202</v>
      </c>
      <c r="G157" s="63">
        <f>76000/365</f>
        <v>208.21917808219177</v>
      </c>
      <c r="H157" s="63">
        <v>0</v>
      </c>
      <c r="I157" s="63">
        <v>0</v>
      </c>
      <c r="J157" s="63">
        <v>0</v>
      </c>
      <c r="K157" s="63">
        <f>5000/365</f>
        <v>13.698630136986301</v>
      </c>
      <c r="L157" s="64">
        <f t="shared" si="15"/>
        <v>13.151952589587774</v>
      </c>
    </row>
    <row r="158" spans="1:12" ht="26.25" customHeight="1">
      <c r="A158" s="300"/>
      <c r="B158" s="790" t="s">
        <v>466</v>
      </c>
      <c r="C158" s="63">
        <v>1700</v>
      </c>
      <c r="D158" s="63">
        <v>615</v>
      </c>
      <c r="E158" s="63">
        <v>0</v>
      </c>
      <c r="F158" s="63">
        <v>0</v>
      </c>
      <c r="G158" s="63">
        <v>0</v>
      </c>
      <c r="H158" s="63">
        <v>0</v>
      </c>
      <c r="I158" s="63">
        <v>0</v>
      </c>
      <c r="J158" s="63">
        <v>0</v>
      </c>
      <c r="K158" s="63">
        <v>0</v>
      </c>
      <c r="L158" s="64">
        <f t="shared" si="15"/>
        <v>0</v>
      </c>
    </row>
    <row r="159" spans="1:12" ht="26.25" customHeight="1">
      <c r="A159" s="299" t="s">
        <v>1609</v>
      </c>
      <c r="B159" s="290" t="s">
        <v>336</v>
      </c>
      <c r="C159" s="65">
        <v>2500</v>
      </c>
      <c r="D159" s="65">
        <v>1940</v>
      </c>
      <c r="E159" s="63">
        <f t="shared" si="16"/>
        <v>216.1</v>
      </c>
      <c r="F159" s="63">
        <v>13.5</v>
      </c>
      <c r="G159" s="63">
        <v>2</v>
      </c>
      <c r="H159" s="302">
        <v>0</v>
      </c>
      <c r="I159" s="63">
        <v>0</v>
      </c>
      <c r="J159" s="63">
        <v>0</v>
      </c>
      <c r="K159" s="63">
        <v>200.6</v>
      </c>
      <c r="L159" s="64">
        <f t="shared" si="15"/>
        <v>11.13917525773196</v>
      </c>
    </row>
    <row r="160" spans="1:12" ht="26.25" customHeight="1">
      <c r="A160" s="299"/>
      <c r="B160" s="290" t="s">
        <v>337</v>
      </c>
      <c r="C160" s="63">
        <v>5000</v>
      </c>
      <c r="D160" s="63">
        <v>1740</v>
      </c>
      <c r="E160" s="63">
        <f t="shared" si="16"/>
        <v>205.5</v>
      </c>
      <c r="F160" s="63">
        <v>54.8</v>
      </c>
      <c r="G160" s="63">
        <v>49.9</v>
      </c>
      <c r="H160" s="63">
        <v>0</v>
      </c>
      <c r="I160" s="63">
        <v>0</v>
      </c>
      <c r="J160" s="63">
        <v>0</v>
      </c>
      <c r="K160" s="63">
        <v>100.8</v>
      </c>
      <c r="L160" s="64">
        <f t="shared" si="15"/>
        <v>11.810344827586206</v>
      </c>
    </row>
    <row r="161" spans="1:12" ht="26.25" customHeight="1">
      <c r="A161" s="298" t="s">
        <v>1610</v>
      </c>
      <c r="B161" s="322" t="s">
        <v>2031</v>
      </c>
      <c r="C161" s="63">
        <v>9000</v>
      </c>
      <c r="D161" s="63">
        <v>4150</v>
      </c>
      <c r="E161" s="63">
        <f t="shared" si="16"/>
        <v>880</v>
      </c>
      <c r="F161" s="63">
        <v>500</v>
      </c>
      <c r="G161" s="632" t="s">
        <v>1588</v>
      </c>
      <c r="H161" s="632" t="s">
        <v>1588</v>
      </c>
      <c r="I161" s="632" t="s">
        <v>1588</v>
      </c>
      <c r="J161" s="632" t="s">
        <v>1588</v>
      </c>
      <c r="K161" s="63">
        <v>380</v>
      </c>
      <c r="L161" s="64">
        <f t="shared" si="15"/>
        <v>21.204819277108435</v>
      </c>
    </row>
    <row r="162" spans="1:12" ht="26.25" customHeight="1">
      <c r="A162" s="300"/>
      <c r="B162" s="790" t="s">
        <v>7575</v>
      </c>
      <c r="C162" s="63">
        <v>600</v>
      </c>
      <c r="D162" s="63">
        <v>150</v>
      </c>
      <c r="E162" s="63">
        <f t="shared" si="16"/>
        <v>0</v>
      </c>
      <c r="F162" s="63">
        <v>0</v>
      </c>
      <c r="G162" s="632">
        <v>0</v>
      </c>
      <c r="H162" s="632">
        <v>0</v>
      </c>
      <c r="I162" s="632">
        <v>0</v>
      </c>
      <c r="J162" s="632">
        <v>0</v>
      </c>
      <c r="K162" s="63">
        <v>0</v>
      </c>
      <c r="L162" s="64">
        <f t="shared" si="15"/>
        <v>0</v>
      </c>
    </row>
    <row r="163" spans="1:12" ht="26.25" customHeight="1">
      <c r="A163" s="321" t="s">
        <v>1977</v>
      </c>
      <c r="B163" s="335">
        <f>B164+B173</f>
        <v>33</v>
      </c>
      <c r="C163" s="65">
        <f t="shared" ref="C163:K163" si="20">C164+C173</f>
        <v>550630</v>
      </c>
      <c r="D163" s="65">
        <f t="shared" si="20"/>
        <v>485325</v>
      </c>
      <c r="E163" s="65">
        <f t="shared" si="16"/>
        <v>35621.520000000004</v>
      </c>
      <c r="F163" s="65">
        <f t="shared" si="20"/>
        <v>1803.1200000000001</v>
      </c>
      <c r="G163" s="65">
        <f t="shared" si="20"/>
        <v>1804.06</v>
      </c>
      <c r="H163" s="65">
        <f t="shared" si="20"/>
        <v>10126.959999999999</v>
      </c>
      <c r="I163" s="65">
        <f t="shared" si="20"/>
        <v>2573.1999999999998</v>
      </c>
      <c r="J163" s="65">
        <f t="shared" si="20"/>
        <v>0</v>
      </c>
      <c r="K163" s="65">
        <f t="shared" si="20"/>
        <v>19314.18</v>
      </c>
      <c r="L163" s="66">
        <f t="shared" si="15"/>
        <v>7.3397249265955811</v>
      </c>
    </row>
    <row r="164" spans="1:12" ht="26.25" customHeight="1">
      <c r="A164" s="71" t="s">
        <v>1674</v>
      </c>
      <c r="B164" s="335">
        <f>COUNTA(B165:B172)</f>
        <v>8</v>
      </c>
      <c r="C164" s="65">
        <f t="shared" ref="C164:K164" si="21">SUM(C165:C172)</f>
        <v>446900</v>
      </c>
      <c r="D164" s="65">
        <f t="shared" si="21"/>
        <v>392655</v>
      </c>
      <c r="E164" s="65">
        <f t="shared" si="16"/>
        <v>16427.3</v>
      </c>
      <c r="F164" s="65">
        <f t="shared" si="21"/>
        <v>96.7</v>
      </c>
      <c r="G164" s="65">
        <f t="shared" si="21"/>
        <v>52.1</v>
      </c>
      <c r="H164" s="65">
        <f t="shared" si="21"/>
        <v>0</v>
      </c>
      <c r="I164" s="65">
        <f t="shared" si="21"/>
        <v>0</v>
      </c>
      <c r="J164" s="65">
        <f t="shared" si="21"/>
        <v>0</v>
      </c>
      <c r="K164" s="65">
        <f t="shared" si="21"/>
        <v>16278.5</v>
      </c>
      <c r="L164" s="66">
        <f t="shared" si="15"/>
        <v>4.1836472221161065</v>
      </c>
    </row>
    <row r="165" spans="1:12" ht="26.25" customHeight="1">
      <c r="A165" s="316" t="s">
        <v>1611</v>
      </c>
      <c r="B165" s="289" t="s">
        <v>191</v>
      </c>
      <c r="C165" s="65">
        <v>280000</v>
      </c>
      <c r="D165" s="65">
        <v>275295</v>
      </c>
      <c r="E165" s="65">
        <f t="shared" si="16"/>
        <v>5610</v>
      </c>
      <c r="F165" s="626" t="s">
        <v>1588</v>
      </c>
      <c r="G165" s="626" t="s">
        <v>1588</v>
      </c>
      <c r="H165" s="626" t="s">
        <v>1588</v>
      </c>
      <c r="I165" s="626" t="s">
        <v>1588</v>
      </c>
      <c r="J165" s="626" t="s">
        <v>1588</v>
      </c>
      <c r="K165" s="65">
        <v>5610</v>
      </c>
      <c r="L165" s="66">
        <f t="shared" si="15"/>
        <v>2.0378139813654443</v>
      </c>
    </row>
    <row r="166" spans="1:12" ht="26.25" customHeight="1">
      <c r="A166" s="316" t="s">
        <v>1612</v>
      </c>
      <c r="B166" s="319" t="s">
        <v>192</v>
      </c>
      <c r="C166" s="65">
        <v>75000</v>
      </c>
      <c r="D166" s="65">
        <v>54455</v>
      </c>
      <c r="E166" s="65">
        <f t="shared" si="16"/>
        <v>1100.8</v>
      </c>
      <c r="F166" s="65">
        <v>68.5</v>
      </c>
      <c r="G166" s="65">
        <v>52.1</v>
      </c>
      <c r="H166" s="626" t="s">
        <v>1588</v>
      </c>
      <c r="I166" s="626" t="s">
        <v>1588</v>
      </c>
      <c r="J166" s="626" t="s">
        <v>1588</v>
      </c>
      <c r="K166" s="65">
        <v>980.2</v>
      </c>
      <c r="L166" s="66">
        <f t="shared" si="15"/>
        <v>2.0214856303369753</v>
      </c>
    </row>
    <row r="167" spans="1:12" ht="26.25" customHeight="1">
      <c r="A167" s="320"/>
      <c r="B167" s="319" t="s">
        <v>193</v>
      </c>
      <c r="C167" s="65">
        <v>14000</v>
      </c>
      <c r="D167" s="65">
        <v>6680</v>
      </c>
      <c r="E167" s="65">
        <f t="shared" si="16"/>
        <v>6680</v>
      </c>
      <c r="F167" s="65">
        <v>19</v>
      </c>
      <c r="G167" s="626" t="s">
        <v>1588</v>
      </c>
      <c r="H167" s="626" t="s">
        <v>1588</v>
      </c>
      <c r="I167" s="626" t="s">
        <v>1588</v>
      </c>
      <c r="J167" s="626" t="s">
        <v>1588</v>
      </c>
      <c r="K167" s="65">
        <v>6661</v>
      </c>
      <c r="L167" s="66">
        <f t="shared" si="15"/>
        <v>100</v>
      </c>
    </row>
    <row r="168" spans="1:12" ht="26.25" customHeight="1">
      <c r="A168" s="320"/>
      <c r="B168" s="319" t="s">
        <v>194</v>
      </c>
      <c r="C168" s="65">
        <v>900</v>
      </c>
      <c r="D168" s="65">
        <v>345</v>
      </c>
      <c r="E168" s="65">
        <f t="shared" si="16"/>
        <v>11</v>
      </c>
      <c r="F168" s="65">
        <v>6</v>
      </c>
      <c r="G168" s="626" t="s">
        <v>1588</v>
      </c>
      <c r="H168" s="626" t="s">
        <v>1588</v>
      </c>
      <c r="I168" s="626" t="s">
        <v>1588</v>
      </c>
      <c r="J168" s="626" t="s">
        <v>1588</v>
      </c>
      <c r="K168" s="65">
        <v>5</v>
      </c>
      <c r="L168" s="66">
        <f t="shared" si="15"/>
        <v>3.1884057971014492</v>
      </c>
    </row>
    <row r="169" spans="1:12" ht="26.25" customHeight="1">
      <c r="A169" s="320"/>
      <c r="B169" s="319" t="s">
        <v>195</v>
      </c>
      <c r="C169" s="65">
        <v>1800</v>
      </c>
      <c r="D169" s="65">
        <v>784</v>
      </c>
      <c r="E169" s="65">
        <f t="shared" si="16"/>
        <v>6</v>
      </c>
      <c r="F169" s="65">
        <v>3</v>
      </c>
      <c r="G169" s="626" t="s">
        <v>1588</v>
      </c>
      <c r="H169" s="626" t="s">
        <v>1588</v>
      </c>
      <c r="I169" s="626" t="s">
        <v>1588</v>
      </c>
      <c r="J169" s="626" t="s">
        <v>1588</v>
      </c>
      <c r="K169" s="65">
        <v>3</v>
      </c>
      <c r="L169" s="66">
        <f t="shared" si="15"/>
        <v>0.76530612244897955</v>
      </c>
    </row>
    <row r="170" spans="1:12" ht="26.25" customHeight="1">
      <c r="A170" s="320"/>
      <c r="B170" s="319" t="s">
        <v>196</v>
      </c>
      <c r="C170" s="65">
        <v>4000</v>
      </c>
      <c r="D170" s="65">
        <v>794</v>
      </c>
      <c r="E170" s="65">
        <f t="shared" si="16"/>
        <v>3.5</v>
      </c>
      <c r="F170" s="65">
        <v>0.2</v>
      </c>
      <c r="G170" s="626" t="s">
        <v>1588</v>
      </c>
      <c r="H170" s="626" t="s">
        <v>1588</v>
      </c>
      <c r="I170" s="626" t="s">
        <v>1588</v>
      </c>
      <c r="J170" s="626" t="s">
        <v>1588</v>
      </c>
      <c r="K170" s="65">
        <v>3.3</v>
      </c>
      <c r="L170" s="66">
        <f t="shared" si="15"/>
        <v>0.44080604534005041</v>
      </c>
    </row>
    <row r="171" spans="1:12" ht="26.25" customHeight="1">
      <c r="A171" s="316" t="s">
        <v>1614</v>
      </c>
      <c r="B171" s="319" t="s">
        <v>197</v>
      </c>
      <c r="C171" s="65">
        <v>70000</v>
      </c>
      <c r="D171" s="65">
        <v>53376</v>
      </c>
      <c r="E171" s="65">
        <f t="shared" si="16"/>
        <v>3016</v>
      </c>
      <c r="F171" s="626" t="s">
        <v>1588</v>
      </c>
      <c r="G171" s="626" t="s">
        <v>1588</v>
      </c>
      <c r="H171" s="626" t="s">
        <v>1588</v>
      </c>
      <c r="I171" s="626" t="s">
        <v>1588</v>
      </c>
      <c r="J171" s="626" t="s">
        <v>1588</v>
      </c>
      <c r="K171" s="65">
        <v>3016</v>
      </c>
      <c r="L171" s="66">
        <f t="shared" si="15"/>
        <v>5.6504796163069546</v>
      </c>
    </row>
    <row r="172" spans="1:12" ht="26.25" customHeight="1">
      <c r="A172" s="321"/>
      <c r="B172" s="797" t="s">
        <v>7576</v>
      </c>
      <c r="C172" s="65">
        <v>1200</v>
      </c>
      <c r="D172" s="65">
        <v>926</v>
      </c>
      <c r="E172" s="65">
        <f t="shared" si="16"/>
        <v>0</v>
      </c>
      <c r="F172" s="626">
        <v>0</v>
      </c>
      <c r="G172" s="626">
        <v>0</v>
      </c>
      <c r="H172" s="626">
        <v>0</v>
      </c>
      <c r="I172" s="626">
        <v>0</v>
      </c>
      <c r="J172" s="626">
        <v>0</v>
      </c>
      <c r="K172" s="65">
        <v>0</v>
      </c>
      <c r="L172" s="66">
        <f t="shared" si="15"/>
        <v>0</v>
      </c>
    </row>
    <row r="173" spans="1:12" ht="26.25" customHeight="1">
      <c r="A173" s="321" t="s">
        <v>1616</v>
      </c>
      <c r="B173" s="338">
        <f>COUNTA(B174:B198)</f>
        <v>25</v>
      </c>
      <c r="C173" s="65">
        <f t="shared" ref="C173:K173" si="22">SUM(C174:C198)</f>
        <v>103730</v>
      </c>
      <c r="D173" s="65">
        <f t="shared" si="22"/>
        <v>92670</v>
      </c>
      <c r="E173" s="65">
        <f t="shared" si="16"/>
        <v>19194.22</v>
      </c>
      <c r="F173" s="65">
        <f t="shared" si="22"/>
        <v>1706.42</v>
      </c>
      <c r="G173" s="65">
        <f t="shared" si="22"/>
        <v>1751.96</v>
      </c>
      <c r="H173" s="65">
        <f t="shared" si="22"/>
        <v>10126.959999999999</v>
      </c>
      <c r="I173" s="65">
        <f t="shared" si="22"/>
        <v>2573.1999999999998</v>
      </c>
      <c r="J173" s="65">
        <f t="shared" si="22"/>
        <v>0</v>
      </c>
      <c r="K173" s="65">
        <f t="shared" si="22"/>
        <v>3035.6800000000003</v>
      </c>
      <c r="L173" s="66">
        <f t="shared" si="15"/>
        <v>20.712441998489265</v>
      </c>
    </row>
    <row r="174" spans="1:12" ht="26.25" customHeight="1">
      <c r="A174" s="320" t="s">
        <v>1617</v>
      </c>
      <c r="B174" s="319" t="s">
        <v>198</v>
      </c>
      <c r="C174" s="65">
        <v>8000</v>
      </c>
      <c r="D174" s="65">
        <v>3835</v>
      </c>
      <c r="E174" s="65">
        <f t="shared" si="16"/>
        <v>1440</v>
      </c>
      <c r="F174" s="626" t="s">
        <v>1588</v>
      </c>
      <c r="G174" s="65">
        <v>1440</v>
      </c>
      <c r="H174" s="626" t="s">
        <v>1588</v>
      </c>
      <c r="I174" s="626" t="s">
        <v>1588</v>
      </c>
      <c r="J174" s="626" t="s">
        <v>1588</v>
      </c>
      <c r="K174" s="626" t="s">
        <v>1588</v>
      </c>
      <c r="L174" s="66">
        <f t="shared" si="15"/>
        <v>37.548891786179922</v>
      </c>
    </row>
    <row r="175" spans="1:12" ht="26.25" customHeight="1">
      <c r="A175" s="320"/>
      <c r="B175" s="319" t="s">
        <v>199</v>
      </c>
      <c r="C175" s="65">
        <v>700</v>
      </c>
      <c r="D175" s="65">
        <v>652</v>
      </c>
      <c r="E175" s="65">
        <f t="shared" si="16"/>
        <v>187</v>
      </c>
      <c r="F175" s="65">
        <v>187</v>
      </c>
      <c r="G175" s="626" t="s">
        <v>1588</v>
      </c>
      <c r="H175" s="626" t="s">
        <v>1588</v>
      </c>
      <c r="I175" s="626" t="s">
        <v>1588</v>
      </c>
      <c r="J175" s="626" t="s">
        <v>1588</v>
      </c>
      <c r="K175" s="626" t="s">
        <v>1588</v>
      </c>
      <c r="L175" s="66">
        <f t="shared" si="15"/>
        <v>28.680981595092025</v>
      </c>
    </row>
    <row r="176" spans="1:12" ht="26.25" customHeight="1">
      <c r="A176" s="320"/>
      <c r="B176" s="319" t="s">
        <v>200</v>
      </c>
      <c r="C176" s="65">
        <v>1000</v>
      </c>
      <c r="D176" s="65">
        <v>513</v>
      </c>
      <c r="E176" s="65">
        <f t="shared" si="16"/>
        <v>156</v>
      </c>
      <c r="F176" s="65">
        <v>156</v>
      </c>
      <c r="G176" s="626" t="s">
        <v>1588</v>
      </c>
      <c r="H176" s="626" t="s">
        <v>1588</v>
      </c>
      <c r="I176" s="626" t="s">
        <v>1588</v>
      </c>
      <c r="J176" s="626" t="s">
        <v>1588</v>
      </c>
      <c r="K176" s="626" t="s">
        <v>1588</v>
      </c>
      <c r="L176" s="66">
        <f t="shared" si="15"/>
        <v>30.409356725146196</v>
      </c>
    </row>
    <row r="177" spans="1:12" ht="26.25" customHeight="1">
      <c r="A177" s="320"/>
      <c r="B177" s="319" t="s">
        <v>201</v>
      </c>
      <c r="C177" s="65">
        <v>500</v>
      </c>
      <c r="D177" s="65">
        <v>280</v>
      </c>
      <c r="E177" s="65">
        <f t="shared" si="16"/>
        <v>82</v>
      </c>
      <c r="F177" s="65">
        <v>82</v>
      </c>
      <c r="G177" s="626" t="s">
        <v>1588</v>
      </c>
      <c r="H177" s="626" t="s">
        <v>1588</v>
      </c>
      <c r="I177" s="626" t="s">
        <v>1588</v>
      </c>
      <c r="J177" s="626" t="s">
        <v>1588</v>
      </c>
      <c r="K177" s="626" t="s">
        <v>1588</v>
      </c>
      <c r="L177" s="66">
        <f t="shared" si="15"/>
        <v>29.285714285714288</v>
      </c>
    </row>
    <row r="178" spans="1:12" ht="26.25" customHeight="1">
      <c r="A178" s="320"/>
      <c r="B178" s="319" t="s">
        <v>202</v>
      </c>
      <c r="C178" s="65">
        <v>150</v>
      </c>
      <c r="D178" s="65">
        <v>141</v>
      </c>
      <c r="E178" s="65">
        <f t="shared" si="16"/>
        <v>35</v>
      </c>
      <c r="F178" s="65">
        <v>35</v>
      </c>
      <c r="G178" s="626" t="s">
        <v>1588</v>
      </c>
      <c r="H178" s="626" t="s">
        <v>1588</v>
      </c>
      <c r="I178" s="626" t="s">
        <v>1588</v>
      </c>
      <c r="J178" s="626" t="s">
        <v>1588</v>
      </c>
      <c r="K178" s="626" t="s">
        <v>1588</v>
      </c>
      <c r="L178" s="66">
        <f t="shared" si="15"/>
        <v>24.822695035460992</v>
      </c>
    </row>
    <row r="179" spans="1:12" ht="26.25" customHeight="1">
      <c r="A179" s="316" t="s">
        <v>1619</v>
      </c>
      <c r="B179" s="319" t="s">
        <v>203</v>
      </c>
      <c r="C179" s="65">
        <v>6000</v>
      </c>
      <c r="D179" s="65">
        <v>7426</v>
      </c>
      <c r="E179" s="65">
        <f t="shared" si="16"/>
        <v>1744.6</v>
      </c>
      <c r="F179" s="65">
        <v>254.8</v>
      </c>
      <c r="G179" s="65">
        <v>194.5</v>
      </c>
      <c r="H179" s="65">
        <v>526</v>
      </c>
      <c r="I179" s="65">
        <v>769.3</v>
      </c>
      <c r="J179" s="626" t="s">
        <v>1588</v>
      </c>
      <c r="K179" s="626" t="s">
        <v>1588</v>
      </c>
      <c r="L179" s="66">
        <f t="shared" si="15"/>
        <v>23.493132238082413</v>
      </c>
    </row>
    <row r="180" spans="1:12" ht="26.25" customHeight="1">
      <c r="A180" s="320"/>
      <c r="B180" s="319" t="s">
        <v>204</v>
      </c>
      <c r="C180" s="65">
        <v>4000</v>
      </c>
      <c r="D180" s="65">
        <v>1330</v>
      </c>
      <c r="E180" s="65">
        <f t="shared" si="16"/>
        <v>273.39999999999998</v>
      </c>
      <c r="F180" s="65">
        <v>59.2</v>
      </c>
      <c r="G180" s="65">
        <v>25.2</v>
      </c>
      <c r="H180" s="65">
        <v>49.3</v>
      </c>
      <c r="I180" s="65">
        <v>139.69999999999999</v>
      </c>
      <c r="J180" s="626" t="s">
        <v>1588</v>
      </c>
      <c r="K180" s="626" t="s">
        <v>1588</v>
      </c>
      <c r="L180" s="66">
        <f t="shared" si="15"/>
        <v>20.556390977443606</v>
      </c>
    </row>
    <row r="181" spans="1:12" ht="26.25" customHeight="1">
      <c r="A181" s="320"/>
      <c r="B181" s="319" t="s">
        <v>205</v>
      </c>
      <c r="C181" s="65">
        <v>400</v>
      </c>
      <c r="D181" s="65">
        <v>255</v>
      </c>
      <c r="E181" s="65">
        <f t="shared" si="16"/>
        <v>53.699999999999996</v>
      </c>
      <c r="F181" s="65">
        <v>9.9</v>
      </c>
      <c r="G181" s="65">
        <v>16.399999999999999</v>
      </c>
      <c r="H181" s="626" t="s">
        <v>1588</v>
      </c>
      <c r="I181" s="65">
        <v>27.4</v>
      </c>
      <c r="J181" s="626" t="s">
        <v>1588</v>
      </c>
      <c r="K181" s="626" t="s">
        <v>1588</v>
      </c>
      <c r="L181" s="66">
        <f t="shared" si="15"/>
        <v>21.058823529411764</v>
      </c>
    </row>
    <row r="182" spans="1:12" ht="26.25" customHeight="1">
      <c r="A182" s="320"/>
      <c r="B182" s="319" t="s">
        <v>206</v>
      </c>
      <c r="C182" s="65">
        <v>330</v>
      </c>
      <c r="D182" s="65">
        <v>175</v>
      </c>
      <c r="E182" s="65">
        <f t="shared" si="16"/>
        <v>39.099999999999994</v>
      </c>
      <c r="F182" s="65">
        <v>10.9</v>
      </c>
      <c r="G182" s="65">
        <v>3</v>
      </c>
      <c r="H182" s="65">
        <v>3.3</v>
      </c>
      <c r="I182" s="65">
        <v>21.9</v>
      </c>
      <c r="J182" s="626" t="s">
        <v>1588</v>
      </c>
      <c r="K182" s="626" t="s">
        <v>1588</v>
      </c>
      <c r="L182" s="66">
        <f t="shared" si="15"/>
        <v>22.342857142857138</v>
      </c>
    </row>
    <row r="183" spans="1:12" ht="26.25" customHeight="1">
      <c r="A183" s="320"/>
      <c r="B183" s="319" t="s">
        <v>207</v>
      </c>
      <c r="C183" s="65">
        <v>500</v>
      </c>
      <c r="D183" s="65">
        <v>382</v>
      </c>
      <c r="E183" s="65">
        <f t="shared" si="16"/>
        <v>98.460000000000008</v>
      </c>
      <c r="F183" s="65">
        <v>32.700000000000003</v>
      </c>
      <c r="G183" s="65">
        <v>14.5</v>
      </c>
      <c r="H183" s="65">
        <v>0.36</v>
      </c>
      <c r="I183" s="65">
        <v>50.9</v>
      </c>
      <c r="J183" s="626" t="s">
        <v>1588</v>
      </c>
      <c r="K183" s="626" t="s">
        <v>1588</v>
      </c>
      <c r="L183" s="66">
        <f t="shared" si="15"/>
        <v>25.774869109947645</v>
      </c>
    </row>
    <row r="184" spans="1:12" ht="26.25" customHeight="1">
      <c r="A184" s="316" t="s">
        <v>1624</v>
      </c>
      <c r="B184" s="319" t="s">
        <v>208</v>
      </c>
      <c r="C184" s="65">
        <v>18000</v>
      </c>
      <c r="D184" s="65">
        <v>17800</v>
      </c>
      <c r="E184" s="65">
        <f t="shared" si="16"/>
        <v>120</v>
      </c>
      <c r="F184" s="626" t="s">
        <v>1588</v>
      </c>
      <c r="G184" s="626" t="s">
        <v>1588</v>
      </c>
      <c r="H184" s="626" t="s">
        <v>1588</v>
      </c>
      <c r="I184" s="626" t="s">
        <v>1588</v>
      </c>
      <c r="J184" s="626" t="s">
        <v>1588</v>
      </c>
      <c r="K184" s="65">
        <v>120</v>
      </c>
      <c r="L184" s="66">
        <f t="shared" si="15"/>
        <v>0.6741573033707865</v>
      </c>
    </row>
    <row r="185" spans="1:12" ht="26.25" customHeight="1">
      <c r="A185" s="320"/>
      <c r="B185" s="797" t="s">
        <v>365</v>
      </c>
      <c r="C185" s="65">
        <v>210</v>
      </c>
      <c r="D185" s="65">
        <v>114</v>
      </c>
      <c r="E185" s="65">
        <f t="shared" si="16"/>
        <v>0</v>
      </c>
      <c r="F185" s="626">
        <v>0</v>
      </c>
      <c r="G185" s="626">
        <v>0</v>
      </c>
      <c r="H185" s="626">
        <v>0</v>
      </c>
      <c r="I185" s="626">
        <v>0</v>
      </c>
      <c r="J185" s="626">
        <v>0</v>
      </c>
      <c r="K185" s="65">
        <v>0</v>
      </c>
      <c r="L185" s="66">
        <f t="shared" si="15"/>
        <v>0</v>
      </c>
    </row>
    <row r="186" spans="1:12" ht="26.25" customHeight="1">
      <c r="A186" s="320"/>
      <c r="B186" s="797" t="s">
        <v>7577</v>
      </c>
      <c r="C186" s="65">
        <v>160</v>
      </c>
      <c r="D186" s="65">
        <v>106</v>
      </c>
      <c r="E186" s="65">
        <f t="shared" si="16"/>
        <v>0</v>
      </c>
      <c r="F186" s="626">
        <v>0</v>
      </c>
      <c r="G186" s="626">
        <v>0</v>
      </c>
      <c r="H186" s="626">
        <v>0</v>
      </c>
      <c r="I186" s="626">
        <v>0</v>
      </c>
      <c r="J186" s="626">
        <v>0</v>
      </c>
      <c r="K186" s="65">
        <v>0</v>
      </c>
      <c r="L186" s="66">
        <f t="shared" si="15"/>
        <v>0</v>
      </c>
    </row>
    <row r="187" spans="1:12" ht="26.25" customHeight="1">
      <c r="A187" s="320"/>
      <c r="B187" s="797" t="s">
        <v>367</v>
      </c>
      <c r="C187" s="65">
        <v>180</v>
      </c>
      <c r="D187" s="65">
        <v>108</v>
      </c>
      <c r="E187" s="65">
        <f t="shared" si="16"/>
        <v>0</v>
      </c>
      <c r="F187" s="626">
        <v>0</v>
      </c>
      <c r="G187" s="626">
        <v>0</v>
      </c>
      <c r="H187" s="626">
        <v>0</v>
      </c>
      <c r="I187" s="626">
        <v>0</v>
      </c>
      <c r="J187" s="626">
        <v>0</v>
      </c>
      <c r="K187" s="65">
        <v>0</v>
      </c>
      <c r="L187" s="66">
        <f t="shared" si="15"/>
        <v>0</v>
      </c>
    </row>
    <row r="188" spans="1:12" ht="26.25" customHeight="1">
      <c r="A188" s="321"/>
      <c r="B188" s="797" t="s">
        <v>368</v>
      </c>
      <c r="C188" s="65">
        <v>900</v>
      </c>
      <c r="D188" s="65">
        <v>579</v>
      </c>
      <c r="E188" s="65">
        <f t="shared" si="16"/>
        <v>0</v>
      </c>
      <c r="F188" s="626">
        <v>0</v>
      </c>
      <c r="G188" s="626">
        <v>0</v>
      </c>
      <c r="H188" s="626">
        <v>0</v>
      </c>
      <c r="I188" s="626">
        <v>0</v>
      </c>
      <c r="J188" s="626">
        <v>0</v>
      </c>
      <c r="K188" s="65">
        <v>0</v>
      </c>
      <c r="L188" s="66">
        <f t="shared" si="15"/>
        <v>0</v>
      </c>
    </row>
    <row r="189" spans="1:12" ht="26.25" customHeight="1">
      <c r="A189" s="321" t="s">
        <v>1630</v>
      </c>
      <c r="B189" s="289" t="s">
        <v>2269</v>
      </c>
      <c r="C189" s="65">
        <v>10000</v>
      </c>
      <c r="D189" s="65">
        <v>8506</v>
      </c>
      <c r="E189" s="65">
        <f t="shared" si="16"/>
        <v>1914.68</v>
      </c>
      <c r="F189" s="626" t="s">
        <v>1588</v>
      </c>
      <c r="G189" s="65">
        <v>58.36</v>
      </c>
      <c r="H189" s="626" t="s">
        <v>1588</v>
      </c>
      <c r="I189" s="65">
        <v>860</v>
      </c>
      <c r="J189" s="626" t="s">
        <v>1588</v>
      </c>
      <c r="K189" s="65">
        <v>996.32</v>
      </c>
      <c r="L189" s="66">
        <f t="shared" si="15"/>
        <v>22.509757818010819</v>
      </c>
    </row>
    <row r="190" spans="1:12" ht="26.25" customHeight="1">
      <c r="A190" s="316" t="s">
        <v>1631</v>
      </c>
      <c r="B190" s="289" t="s">
        <v>2270</v>
      </c>
      <c r="C190" s="65">
        <v>17000</v>
      </c>
      <c r="D190" s="65">
        <v>15886</v>
      </c>
      <c r="E190" s="65">
        <f t="shared" si="16"/>
        <v>425.28000000000003</v>
      </c>
      <c r="F190" s="65">
        <v>400.92</v>
      </c>
      <c r="G190" s="626" t="s">
        <v>1588</v>
      </c>
      <c r="H190" s="626" t="s">
        <v>1588</v>
      </c>
      <c r="I190" s="626" t="s">
        <v>1588</v>
      </c>
      <c r="J190" s="626" t="s">
        <v>1588</v>
      </c>
      <c r="K190" s="65">
        <v>24.36</v>
      </c>
      <c r="L190" s="66">
        <f t="shared" si="15"/>
        <v>2.6770741533425659</v>
      </c>
    </row>
    <row r="191" spans="1:12" ht="26.25" customHeight="1">
      <c r="A191" s="316" t="s">
        <v>1633</v>
      </c>
      <c r="B191" s="319" t="s">
        <v>209</v>
      </c>
      <c r="C191" s="65">
        <v>8000</v>
      </c>
      <c r="D191" s="65">
        <v>10253</v>
      </c>
      <c r="E191" s="65">
        <f t="shared" si="16"/>
        <v>9459</v>
      </c>
      <c r="F191" s="65">
        <v>132</v>
      </c>
      <c r="G191" s="626" t="s">
        <v>1588</v>
      </c>
      <c r="H191" s="65">
        <v>7980</v>
      </c>
      <c r="I191" s="65">
        <v>704</v>
      </c>
      <c r="J191" s="626" t="s">
        <v>1588</v>
      </c>
      <c r="K191" s="65">
        <v>643</v>
      </c>
      <c r="L191" s="66">
        <f t="shared" si="15"/>
        <v>92.255925095094113</v>
      </c>
    </row>
    <row r="192" spans="1:12" ht="26.25" customHeight="1">
      <c r="A192" s="320"/>
      <c r="B192" s="319" t="s">
        <v>210</v>
      </c>
      <c r="C192" s="65">
        <v>600</v>
      </c>
      <c r="D192" s="65">
        <v>526</v>
      </c>
      <c r="E192" s="65">
        <f t="shared" si="16"/>
        <v>526</v>
      </c>
      <c r="F192" s="65">
        <v>3</v>
      </c>
      <c r="G192" s="626" t="s">
        <v>1588</v>
      </c>
      <c r="H192" s="65">
        <v>367</v>
      </c>
      <c r="I192" s="626" t="s">
        <v>1588</v>
      </c>
      <c r="J192" s="626" t="s">
        <v>1588</v>
      </c>
      <c r="K192" s="65">
        <v>156</v>
      </c>
      <c r="L192" s="66">
        <f t="shared" si="15"/>
        <v>100</v>
      </c>
    </row>
    <row r="193" spans="1:12" ht="26.25" customHeight="1">
      <c r="A193" s="321"/>
      <c r="B193" s="319" t="s">
        <v>211</v>
      </c>
      <c r="C193" s="65">
        <v>1100</v>
      </c>
      <c r="D193" s="65">
        <v>619</v>
      </c>
      <c r="E193" s="65">
        <f t="shared" si="16"/>
        <v>619</v>
      </c>
      <c r="F193" s="65">
        <v>3</v>
      </c>
      <c r="G193" s="626" t="s">
        <v>1588</v>
      </c>
      <c r="H193" s="65">
        <v>505</v>
      </c>
      <c r="I193" s="626" t="s">
        <v>1588</v>
      </c>
      <c r="J193" s="626" t="s">
        <v>1588</v>
      </c>
      <c r="K193" s="65">
        <v>111</v>
      </c>
      <c r="L193" s="66">
        <f t="shared" si="15"/>
        <v>100</v>
      </c>
    </row>
    <row r="194" spans="1:12" ht="26.25" customHeight="1">
      <c r="A194" s="299" t="s">
        <v>1634</v>
      </c>
      <c r="B194" s="290" t="s">
        <v>2274</v>
      </c>
      <c r="C194" s="63">
        <v>4000</v>
      </c>
      <c r="D194" s="63">
        <v>3365</v>
      </c>
      <c r="E194" s="63">
        <f t="shared" si="16"/>
        <v>810</v>
      </c>
      <c r="F194" s="63">
        <v>8</v>
      </c>
      <c r="G194" s="632" t="s">
        <v>1588</v>
      </c>
      <c r="H194" s="63">
        <v>400</v>
      </c>
      <c r="I194" s="632" t="s">
        <v>1588</v>
      </c>
      <c r="J194" s="632" t="s">
        <v>1588</v>
      </c>
      <c r="K194" s="63">
        <v>402</v>
      </c>
      <c r="L194" s="64">
        <f t="shared" si="15"/>
        <v>24.071322436849925</v>
      </c>
    </row>
    <row r="195" spans="1:12" ht="26.25" customHeight="1">
      <c r="A195" s="316" t="s">
        <v>1635</v>
      </c>
      <c r="B195" s="319" t="s">
        <v>212</v>
      </c>
      <c r="C195" s="65">
        <v>7000</v>
      </c>
      <c r="D195" s="65">
        <v>9021</v>
      </c>
      <c r="E195" s="65">
        <f t="shared" si="16"/>
        <v>192</v>
      </c>
      <c r="F195" s="65">
        <v>68</v>
      </c>
      <c r="G195" s="626" t="s">
        <v>1588</v>
      </c>
      <c r="H195" s="626" t="s">
        <v>1588</v>
      </c>
      <c r="I195" s="626" t="s">
        <v>1588</v>
      </c>
      <c r="J195" s="626" t="s">
        <v>1588</v>
      </c>
      <c r="K195" s="65">
        <v>124</v>
      </c>
      <c r="L195" s="66">
        <f t="shared" si="15"/>
        <v>2.1283671433322247</v>
      </c>
    </row>
    <row r="196" spans="1:12" ht="26.25" customHeight="1">
      <c r="A196" s="320"/>
      <c r="B196" s="319" t="s">
        <v>213</v>
      </c>
      <c r="C196" s="65">
        <v>6000</v>
      </c>
      <c r="D196" s="65">
        <v>6460</v>
      </c>
      <c r="E196" s="65">
        <f t="shared" si="16"/>
        <v>606</v>
      </c>
      <c r="F196" s="65">
        <v>245</v>
      </c>
      <c r="G196" s="626" t="s">
        <v>1588</v>
      </c>
      <c r="H196" s="65">
        <v>296</v>
      </c>
      <c r="I196" s="626" t="s">
        <v>1588</v>
      </c>
      <c r="J196" s="626" t="s">
        <v>1588</v>
      </c>
      <c r="K196" s="65">
        <v>65</v>
      </c>
      <c r="L196" s="66">
        <f t="shared" si="15"/>
        <v>9.3808049535603715</v>
      </c>
    </row>
    <row r="197" spans="1:12" ht="26.25" customHeight="1">
      <c r="A197" s="316" t="s">
        <v>1636</v>
      </c>
      <c r="B197" s="319" t="s">
        <v>214</v>
      </c>
      <c r="C197" s="65">
        <v>5000</v>
      </c>
      <c r="D197" s="65">
        <v>3275</v>
      </c>
      <c r="E197" s="65">
        <f t="shared" si="16"/>
        <v>260</v>
      </c>
      <c r="F197" s="626" t="s">
        <v>1588</v>
      </c>
      <c r="G197" s="626" t="s">
        <v>1588</v>
      </c>
      <c r="H197" s="626" t="s">
        <v>1588</v>
      </c>
      <c r="I197" s="626" t="s">
        <v>1588</v>
      </c>
      <c r="J197" s="626" t="s">
        <v>1588</v>
      </c>
      <c r="K197" s="65">
        <v>260</v>
      </c>
      <c r="L197" s="66">
        <f t="shared" si="15"/>
        <v>7.9389312977099236</v>
      </c>
    </row>
    <row r="198" spans="1:12" ht="26.25" customHeight="1">
      <c r="A198" s="321"/>
      <c r="B198" s="319" t="s">
        <v>215</v>
      </c>
      <c r="C198" s="65">
        <v>4000</v>
      </c>
      <c r="D198" s="65">
        <v>1063</v>
      </c>
      <c r="E198" s="65">
        <f t="shared" si="16"/>
        <v>153</v>
      </c>
      <c r="F198" s="65">
        <v>19</v>
      </c>
      <c r="G198" s="626" t="s">
        <v>1588</v>
      </c>
      <c r="H198" s="626" t="s">
        <v>1588</v>
      </c>
      <c r="I198" s="626" t="s">
        <v>1588</v>
      </c>
      <c r="J198" s="626" t="s">
        <v>1588</v>
      </c>
      <c r="K198" s="65">
        <v>134</v>
      </c>
      <c r="L198" s="66">
        <f t="shared" si="15"/>
        <v>14.393226716839136</v>
      </c>
    </row>
    <row r="199" spans="1:12" ht="26.25" customHeight="1">
      <c r="A199" s="295" t="s">
        <v>1637</v>
      </c>
      <c r="B199" s="339">
        <f>B200+B215</f>
        <v>31</v>
      </c>
      <c r="C199" s="67">
        <f t="shared" ref="C199:K199" si="23">C200+C215</f>
        <v>518100</v>
      </c>
      <c r="D199" s="67">
        <f t="shared" si="23"/>
        <v>443748.3</v>
      </c>
      <c r="E199" s="67">
        <f t="shared" si="16"/>
        <v>81143</v>
      </c>
      <c r="F199" s="67">
        <f t="shared" si="23"/>
        <v>6747</v>
      </c>
      <c r="G199" s="67">
        <f t="shared" si="23"/>
        <v>1447</v>
      </c>
      <c r="H199" s="67">
        <f t="shared" si="23"/>
        <v>0</v>
      </c>
      <c r="I199" s="67">
        <f t="shared" si="23"/>
        <v>23550</v>
      </c>
      <c r="J199" s="67">
        <f t="shared" si="23"/>
        <v>0</v>
      </c>
      <c r="K199" s="67">
        <f t="shared" si="23"/>
        <v>49399</v>
      </c>
      <c r="L199" s="69">
        <f t="shared" si="15"/>
        <v>18.285816531578824</v>
      </c>
    </row>
    <row r="200" spans="1:12" ht="26.25" customHeight="1">
      <c r="A200" s="303" t="s">
        <v>1674</v>
      </c>
      <c r="B200" s="617">
        <f>COUNTA(B201:B214)</f>
        <v>14</v>
      </c>
      <c r="C200" s="68">
        <f>SUM(C201:C214)</f>
        <v>371400</v>
      </c>
      <c r="D200" s="68">
        <f>SUM(D201:D214)</f>
        <v>320211.3</v>
      </c>
      <c r="E200" s="68">
        <f t="shared" ref="E200:E224" si="24">SUM(F200:K200)</f>
        <v>60498</v>
      </c>
      <c r="F200" s="68">
        <f t="shared" ref="F200:K200" si="25">SUM(F201:F214)</f>
        <v>3076</v>
      </c>
      <c r="G200" s="68">
        <f t="shared" si="25"/>
        <v>331</v>
      </c>
      <c r="H200" s="68">
        <f t="shared" si="25"/>
        <v>0</v>
      </c>
      <c r="I200" s="68">
        <f t="shared" si="25"/>
        <v>14717</v>
      </c>
      <c r="J200" s="68">
        <f t="shared" si="25"/>
        <v>0</v>
      </c>
      <c r="K200" s="68">
        <f t="shared" si="25"/>
        <v>42374</v>
      </c>
      <c r="L200" s="66">
        <f t="shared" si="15"/>
        <v>18.893149617143433</v>
      </c>
    </row>
    <row r="201" spans="1:12" ht="26.25" customHeight="1">
      <c r="A201" s="316" t="s">
        <v>1638</v>
      </c>
      <c r="B201" s="319" t="s">
        <v>2280</v>
      </c>
      <c r="C201" s="65">
        <v>150000</v>
      </c>
      <c r="D201" s="65">
        <v>141580</v>
      </c>
      <c r="E201" s="65">
        <f t="shared" si="24"/>
        <v>16232</v>
      </c>
      <c r="F201" s="65">
        <v>82</v>
      </c>
      <c r="G201" s="626" t="s">
        <v>1588</v>
      </c>
      <c r="H201" s="626" t="s">
        <v>1588</v>
      </c>
      <c r="I201" s="65">
        <v>13424</v>
      </c>
      <c r="J201" s="626" t="s">
        <v>1588</v>
      </c>
      <c r="K201" s="65">
        <v>2726</v>
      </c>
      <c r="L201" s="66">
        <f t="shared" si="15"/>
        <v>11.464896171775676</v>
      </c>
    </row>
    <row r="202" spans="1:12" ht="26.25" customHeight="1">
      <c r="A202" s="320"/>
      <c r="B202" s="319" t="s">
        <v>216</v>
      </c>
      <c r="C202" s="65">
        <v>24000</v>
      </c>
      <c r="D202" s="65">
        <v>15460</v>
      </c>
      <c r="E202" s="65">
        <f t="shared" si="24"/>
        <v>2312</v>
      </c>
      <c r="F202" s="65">
        <v>215</v>
      </c>
      <c r="G202" s="626" t="s">
        <v>1588</v>
      </c>
      <c r="H202" s="626" t="s">
        <v>1588</v>
      </c>
      <c r="I202" s="65">
        <v>1293</v>
      </c>
      <c r="J202" s="626" t="s">
        <v>1588</v>
      </c>
      <c r="K202" s="65">
        <v>804</v>
      </c>
      <c r="L202" s="66">
        <f t="shared" si="15"/>
        <v>14.954721862871928</v>
      </c>
    </row>
    <row r="203" spans="1:12" ht="26.25" customHeight="1">
      <c r="A203" s="316" t="s">
        <v>1639</v>
      </c>
      <c r="B203" s="319" t="s">
        <v>2283</v>
      </c>
      <c r="C203" s="65">
        <v>35000</v>
      </c>
      <c r="D203" s="65">
        <v>31869</v>
      </c>
      <c r="E203" s="65">
        <f t="shared" si="24"/>
        <v>2764</v>
      </c>
      <c r="F203" s="65">
        <v>130</v>
      </c>
      <c r="G203" s="65">
        <v>216</v>
      </c>
      <c r="H203" s="65">
        <v>0</v>
      </c>
      <c r="I203" s="65">
        <v>0</v>
      </c>
      <c r="J203" s="65">
        <v>0</v>
      </c>
      <c r="K203" s="65">
        <v>2418</v>
      </c>
      <c r="L203" s="66">
        <f t="shared" si="15"/>
        <v>8.6730051146882552</v>
      </c>
    </row>
    <row r="204" spans="1:12" ht="26.25" customHeight="1">
      <c r="A204" s="320"/>
      <c r="B204" s="319" t="s">
        <v>217</v>
      </c>
      <c r="C204" s="65">
        <v>3400</v>
      </c>
      <c r="D204" s="65">
        <v>2617</v>
      </c>
      <c r="E204" s="65">
        <f t="shared" si="24"/>
        <v>8</v>
      </c>
      <c r="F204" s="65">
        <v>1</v>
      </c>
      <c r="G204" s="65">
        <v>1</v>
      </c>
      <c r="H204" s="626" t="s">
        <v>1588</v>
      </c>
      <c r="I204" s="626" t="s">
        <v>1588</v>
      </c>
      <c r="J204" s="626" t="s">
        <v>1588</v>
      </c>
      <c r="K204" s="65">
        <v>6</v>
      </c>
      <c r="L204" s="66">
        <f t="shared" si="15"/>
        <v>0.30569354222392053</v>
      </c>
    </row>
    <row r="205" spans="1:12" ht="26.25" customHeight="1">
      <c r="A205" s="320"/>
      <c r="B205" s="319" t="s">
        <v>218</v>
      </c>
      <c r="C205" s="65">
        <v>1800</v>
      </c>
      <c r="D205" s="65">
        <v>606</v>
      </c>
      <c r="E205" s="65">
        <f t="shared" si="24"/>
        <v>5</v>
      </c>
      <c r="F205" s="65">
        <v>1</v>
      </c>
      <c r="G205" s="65">
        <v>1</v>
      </c>
      <c r="H205" s="626" t="s">
        <v>1588</v>
      </c>
      <c r="I205" s="626" t="s">
        <v>1588</v>
      </c>
      <c r="J205" s="626" t="s">
        <v>1588</v>
      </c>
      <c r="K205" s="65">
        <v>3</v>
      </c>
      <c r="L205" s="66">
        <f t="shared" ref="L205:L273" si="26">(E205/D205)*100</f>
        <v>0.82508250825082496</v>
      </c>
    </row>
    <row r="206" spans="1:12" ht="26.25" customHeight="1">
      <c r="A206" s="320"/>
      <c r="B206" s="319" t="s">
        <v>219</v>
      </c>
      <c r="C206" s="65">
        <v>1800</v>
      </c>
      <c r="D206" s="65">
        <v>544</v>
      </c>
      <c r="E206" s="65">
        <f t="shared" si="24"/>
        <v>5</v>
      </c>
      <c r="F206" s="65">
        <v>1</v>
      </c>
      <c r="G206" s="65">
        <v>1</v>
      </c>
      <c r="H206" s="626" t="s">
        <v>1588</v>
      </c>
      <c r="I206" s="626" t="s">
        <v>1588</v>
      </c>
      <c r="J206" s="626" t="s">
        <v>1588</v>
      </c>
      <c r="K206" s="65">
        <v>3</v>
      </c>
      <c r="L206" s="66">
        <f t="shared" si="26"/>
        <v>0.91911764705882359</v>
      </c>
    </row>
    <row r="207" spans="1:12" ht="26.25" customHeight="1">
      <c r="A207" s="316" t="s">
        <v>1641</v>
      </c>
      <c r="B207" s="319" t="s">
        <v>2406</v>
      </c>
      <c r="C207" s="65">
        <v>30000</v>
      </c>
      <c r="D207" s="65">
        <v>25000</v>
      </c>
      <c r="E207" s="65">
        <f t="shared" si="24"/>
        <v>280</v>
      </c>
      <c r="F207" s="65">
        <v>85</v>
      </c>
      <c r="G207" s="626" t="s">
        <v>1588</v>
      </c>
      <c r="H207" s="626" t="s">
        <v>1588</v>
      </c>
      <c r="I207" s="626" t="s">
        <v>1588</v>
      </c>
      <c r="J207" s="626" t="s">
        <v>1588</v>
      </c>
      <c r="K207" s="65">
        <v>195</v>
      </c>
      <c r="L207" s="66">
        <f t="shared" si="26"/>
        <v>1.1199999999999999</v>
      </c>
    </row>
    <row r="208" spans="1:12" ht="26.25" customHeight="1">
      <c r="A208" s="321"/>
      <c r="B208" s="319" t="s">
        <v>220</v>
      </c>
      <c r="C208" s="65">
        <v>11000</v>
      </c>
      <c r="D208" s="65">
        <v>1888</v>
      </c>
      <c r="E208" s="65">
        <f t="shared" si="24"/>
        <v>73</v>
      </c>
      <c r="F208" s="65">
        <v>3</v>
      </c>
      <c r="G208" s="65">
        <v>10</v>
      </c>
      <c r="H208" s="626" t="s">
        <v>1588</v>
      </c>
      <c r="I208" s="626" t="s">
        <v>1588</v>
      </c>
      <c r="J208" s="626" t="s">
        <v>1588</v>
      </c>
      <c r="K208" s="65">
        <v>60</v>
      </c>
      <c r="L208" s="66">
        <f t="shared" si="26"/>
        <v>3.8665254237288136</v>
      </c>
    </row>
    <row r="209" spans="1:12" ht="26.25" customHeight="1">
      <c r="A209" s="320" t="s">
        <v>1645</v>
      </c>
      <c r="B209" s="289" t="s">
        <v>221</v>
      </c>
      <c r="C209" s="65">
        <v>36000</v>
      </c>
      <c r="D209" s="65">
        <v>36788</v>
      </c>
      <c r="E209" s="65">
        <f t="shared" si="24"/>
        <v>35021</v>
      </c>
      <c r="F209" s="65">
        <v>20</v>
      </c>
      <c r="G209" s="65">
        <v>1</v>
      </c>
      <c r="H209" s="65">
        <v>0</v>
      </c>
      <c r="I209" s="65">
        <v>0</v>
      </c>
      <c r="J209" s="65">
        <v>0</v>
      </c>
      <c r="K209" s="65">
        <v>35000</v>
      </c>
      <c r="L209" s="66">
        <f t="shared" si="26"/>
        <v>95.196803305425675</v>
      </c>
    </row>
    <row r="210" spans="1:12" ht="26.25" customHeight="1">
      <c r="A210" s="316" t="s">
        <v>1649</v>
      </c>
      <c r="B210" s="319" t="s">
        <v>222</v>
      </c>
      <c r="C210" s="65">
        <v>30000</v>
      </c>
      <c r="D210" s="65">
        <v>37309</v>
      </c>
      <c r="E210" s="65">
        <f t="shared" si="24"/>
        <v>1700</v>
      </c>
      <c r="F210" s="65">
        <v>1615</v>
      </c>
      <c r="G210" s="626" t="s">
        <v>1588</v>
      </c>
      <c r="H210" s="626" t="s">
        <v>1588</v>
      </c>
      <c r="I210" s="626" t="s">
        <v>1588</v>
      </c>
      <c r="J210" s="626" t="s">
        <v>1588</v>
      </c>
      <c r="K210" s="65">
        <v>85</v>
      </c>
      <c r="L210" s="66">
        <f t="shared" si="26"/>
        <v>4.5565413171084721</v>
      </c>
    </row>
    <row r="211" spans="1:12" ht="26.25" customHeight="1">
      <c r="A211" s="320"/>
      <c r="B211" s="319" t="s">
        <v>223</v>
      </c>
      <c r="C211" s="65">
        <v>600</v>
      </c>
      <c r="D211" s="65">
        <v>190</v>
      </c>
      <c r="E211" s="65">
        <f t="shared" si="24"/>
        <v>28</v>
      </c>
      <c r="F211" s="65">
        <v>9</v>
      </c>
      <c r="G211" s="626" t="s">
        <v>1588</v>
      </c>
      <c r="H211" s="626" t="s">
        <v>1588</v>
      </c>
      <c r="I211" s="626" t="s">
        <v>1588</v>
      </c>
      <c r="J211" s="626" t="s">
        <v>1588</v>
      </c>
      <c r="K211" s="65">
        <v>19</v>
      </c>
      <c r="L211" s="66">
        <f t="shared" si="26"/>
        <v>14.736842105263156</v>
      </c>
    </row>
    <row r="212" spans="1:12" ht="26.25" customHeight="1">
      <c r="A212" s="321"/>
      <c r="B212" s="319" t="s">
        <v>224</v>
      </c>
      <c r="C212" s="65">
        <v>800</v>
      </c>
      <c r="D212" s="65">
        <v>378.3</v>
      </c>
      <c r="E212" s="65">
        <f t="shared" si="24"/>
        <v>28</v>
      </c>
      <c r="F212" s="65">
        <v>8</v>
      </c>
      <c r="G212" s="626" t="s">
        <v>1588</v>
      </c>
      <c r="H212" s="626" t="s">
        <v>1588</v>
      </c>
      <c r="I212" s="626" t="s">
        <v>1588</v>
      </c>
      <c r="J212" s="626" t="s">
        <v>1588</v>
      </c>
      <c r="K212" s="65">
        <v>20</v>
      </c>
      <c r="L212" s="66">
        <f t="shared" si="26"/>
        <v>7.4015331747290514</v>
      </c>
    </row>
    <row r="213" spans="1:12" ht="26.25" customHeight="1">
      <c r="A213" s="321" t="s">
        <v>1651</v>
      </c>
      <c r="B213" s="289" t="s">
        <v>225</v>
      </c>
      <c r="C213" s="65">
        <v>20000</v>
      </c>
      <c r="D213" s="65">
        <v>13116</v>
      </c>
      <c r="E213" s="65">
        <f t="shared" si="24"/>
        <v>712</v>
      </c>
      <c r="F213" s="65">
        <v>641</v>
      </c>
      <c r="G213" s="65">
        <v>57</v>
      </c>
      <c r="H213" s="626" t="s">
        <v>1588</v>
      </c>
      <c r="I213" s="626" t="s">
        <v>1588</v>
      </c>
      <c r="J213" s="626" t="s">
        <v>1588</v>
      </c>
      <c r="K213" s="65">
        <v>14</v>
      </c>
      <c r="L213" s="66">
        <f t="shared" si="26"/>
        <v>5.4284842939920708</v>
      </c>
    </row>
    <row r="214" spans="1:12" ht="26.25" customHeight="1">
      <c r="A214" s="71" t="s">
        <v>1653</v>
      </c>
      <c r="B214" s="289" t="s">
        <v>226</v>
      </c>
      <c r="C214" s="65">
        <v>27000</v>
      </c>
      <c r="D214" s="65">
        <v>12866</v>
      </c>
      <c r="E214" s="65">
        <f t="shared" si="24"/>
        <v>1330</v>
      </c>
      <c r="F214" s="65">
        <v>265</v>
      </c>
      <c r="G214" s="65">
        <v>44</v>
      </c>
      <c r="H214" s="626" t="s">
        <v>1588</v>
      </c>
      <c r="I214" s="626" t="s">
        <v>1588</v>
      </c>
      <c r="J214" s="626" t="s">
        <v>1588</v>
      </c>
      <c r="K214" s="65">
        <v>1021</v>
      </c>
      <c r="L214" s="66">
        <f t="shared" si="26"/>
        <v>10.337323177366702</v>
      </c>
    </row>
    <row r="215" spans="1:12" ht="26.25" customHeight="1">
      <c r="A215" s="283" t="s">
        <v>1616</v>
      </c>
      <c r="B215" s="339">
        <f>COUNTA(B216:B232)</f>
        <v>17</v>
      </c>
      <c r="C215" s="63">
        <f t="shared" ref="C215:K215" si="27">SUM(C216:C232)</f>
        <v>146700</v>
      </c>
      <c r="D215" s="63">
        <f t="shared" si="27"/>
        <v>123537</v>
      </c>
      <c r="E215" s="63">
        <f t="shared" si="24"/>
        <v>20645</v>
      </c>
      <c r="F215" s="63">
        <f t="shared" si="27"/>
        <v>3671</v>
      </c>
      <c r="G215" s="63">
        <f t="shared" si="27"/>
        <v>1116</v>
      </c>
      <c r="H215" s="63">
        <f t="shared" si="27"/>
        <v>0</v>
      </c>
      <c r="I215" s="63">
        <f t="shared" si="27"/>
        <v>8833</v>
      </c>
      <c r="J215" s="63">
        <f t="shared" si="27"/>
        <v>0</v>
      </c>
      <c r="K215" s="63">
        <f t="shared" si="27"/>
        <v>7025</v>
      </c>
      <c r="L215" s="66">
        <f t="shared" si="26"/>
        <v>16.711592478366804</v>
      </c>
    </row>
    <row r="216" spans="1:12" ht="26.25" customHeight="1">
      <c r="A216" s="298" t="s">
        <v>1655</v>
      </c>
      <c r="B216" s="290" t="s">
        <v>227</v>
      </c>
      <c r="C216" s="65">
        <v>10000</v>
      </c>
      <c r="D216" s="65">
        <v>8341</v>
      </c>
      <c r="E216" s="65">
        <f t="shared" si="24"/>
        <v>0</v>
      </c>
      <c r="F216" s="626" t="s">
        <v>1588</v>
      </c>
      <c r="G216" s="626" t="s">
        <v>1588</v>
      </c>
      <c r="H216" s="626" t="s">
        <v>1588</v>
      </c>
      <c r="I216" s="626" t="s">
        <v>1588</v>
      </c>
      <c r="J216" s="626" t="s">
        <v>1588</v>
      </c>
      <c r="K216" s="626" t="s">
        <v>1588</v>
      </c>
      <c r="L216" s="66">
        <f t="shared" si="26"/>
        <v>0</v>
      </c>
    </row>
    <row r="217" spans="1:12" ht="26.25" customHeight="1">
      <c r="A217" s="298" t="s">
        <v>1658</v>
      </c>
      <c r="B217" s="322" t="s">
        <v>228</v>
      </c>
      <c r="C217" s="65">
        <v>20000</v>
      </c>
      <c r="D217" s="65">
        <v>19879</v>
      </c>
      <c r="E217" s="65">
        <f t="shared" si="24"/>
        <v>1208</v>
      </c>
      <c r="F217" s="65">
        <v>1208</v>
      </c>
      <c r="G217" s="626" t="s">
        <v>1588</v>
      </c>
      <c r="H217" s="626" t="s">
        <v>1588</v>
      </c>
      <c r="I217" s="626" t="s">
        <v>1588</v>
      </c>
      <c r="J217" s="626" t="s">
        <v>1588</v>
      </c>
      <c r="K217" s="626" t="s">
        <v>1588</v>
      </c>
      <c r="L217" s="66">
        <f t="shared" si="26"/>
        <v>6.0767644247698582</v>
      </c>
    </row>
    <row r="218" spans="1:12" ht="26.25" customHeight="1">
      <c r="A218" s="299"/>
      <c r="B218" s="322" t="s">
        <v>229</v>
      </c>
      <c r="C218" s="65">
        <v>2000</v>
      </c>
      <c r="D218" s="65">
        <v>1389</v>
      </c>
      <c r="E218" s="65">
        <f t="shared" si="24"/>
        <v>374</v>
      </c>
      <c r="F218" s="65">
        <v>153</v>
      </c>
      <c r="G218" s="626" t="s">
        <v>1588</v>
      </c>
      <c r="H218" s="626" t="s">
        <v>1588</v>
      </c>
      <c r="I218" s="65">
        <v>221</v>
      </c>
      <c r="J218" s="626" t="s">
        <v>1588</v>
      </c>
      <c r="K218" s="626" t="s">
        <v>1588</v>
      </c>
      <c r="L218" s="66">
        <f t="shared" si="26"/>
        <v>26.925845932325416</v>
      </c>
    </row>
    <row r="219" spans="1:12" ht="26.25" customHeight="1">
      <c r="A219" s="298" t="s">
        <v>1661</v>
      </c>
      <c r="B219" s="322" t="s">
        <v>230</v>
      </c>
      <c r="C219" s="65">
        <v>15000</v>
      </c>
      <c r="D219" s="65">
        <v>11708</v>
      </c>
      <c r="E219" s="65">
        <f t="shared" si="24"/>
        <v>718</v>
      </c>
      <c r="F219" s="65">
        <v>650</v>
      </c>
      <c r="G219" s="65">
        <v>50</v>
      </c>
      <c r="H219" s="626" t="s">
        <v>1588</v>
      </c>
      <c r="I219" s="65">
        <v>18</v>
      </c>
      <c r="J219" s="626" t="s">
        <v>1588</v>
      </c>
      <c r="K219" s="626" t="s">
        <v>1588</v>
      </c>
      <c r="L219" s="66">
        <f t="shared" si="26"/>
        <v>6.1325589340621791</v>
      </c>
    </row>
    <row r="220" spans="1:12" ht="26.25" customHeight="1">
      <c r="A220" s="300"/>
      <c r="B220" s="322" t="s">
        <v>231</v>
      </c>
      <c r="C220" s="65">
        <v>1800</v>
      </c>
      <c r="D220" s="65">
        <v>230</v>
      </c>
      <c r="E220" s="65">
        <f t="shared" si="24"/>
        <v>15</v>
      </c>
      <c r="F220" s="65">
        <v>15</v>
      </c>
      <c r="G220" s="626" t="s">
        <v>1588</v>
      </c>
      <c r="H220" s="626" t="s">
        <v>1588</v>
      </c>
      <c r="I220" s="626" t="s">
        <v>1588</v>
      </c>
      <c r="J220" s="626" t="s">
        <v>1588</v>
      </c>
      <c r="K220" s="626" t="s">
        <v>1588</v>
      </c>
      <c r="L220" s="66">
        <f t="shared" si="26"/>
        <v>6.5217391304347823</v>
      </c>
    </row>
    <row r="221" spans="1:12" ht="26.25" customHeight="1">
      <c r="A221" s="300" t="s">
        <v>1664</v>
      </c>
      <c r="B221" s="290" t="s">
        <v>232</v>
      </c>
      <c r="C221" s="65">
        <v>5000</v>
      </c>
      <c r="D221" s="65">
        <v>3657</v>
      </c>
      <c r="E221" s="65">
        <f t="shared" si="24"/>
        <v>3657</v>
      </c>
      <c r="F221" s="65">
        <v>32</v>
      </c>
      <c r="G221" s="65">
        <v>10</v>
      </c>
      <c r="H221" s="626" t="s">
        <v>1588</v>
      </c>
      <c r="I221" s="65">
        <v>3615</v>
      </c>
      <c r="J221" s="626" t="s">
        <v>1588</v>
      </c>
      <c r="K221" s="626" t="s">
        <v>1588</v>
      </c>
      <c r="L221" s="66">
        <f t="shared" si="26"/>
        <v>100</v>
      </c>
    </row>
    <row r="222" spans="1:12" ht="26.25" customHeight="1">
      <c r="A222" s="298" t="s">
        <v>1665</v>
      </c>
      <c r="B222" s="290" t="s">
        <v>233</v>
      </c>
      <c r="C222" s="65">
        <v>3200</v>
      </c>
      <c r="D222" s="65">
        <v>2533</v>
      </c>
      <c r="E222" s="65">
        <f t="shared" si="24"/>
        <v>128</v>
      </c>
      <c r="F222" s="65">
        <v>4</v>
      </c>
      <c r="G222" s="65">
        <v>4</v>
      </c>
      <c r="H222" s="626" t="s">
        <v>1588</v>
      </c>
      <c r="I222" s="65">
        <v>56</v>
      </c>
      <c r="J222" s="626" t="s">
        <v>1588</v>
      </c>
      <c r="K222" s="65">
        <v>64</v>
      </c>
      <c r="L222" s="66">
        <f t="shared" si="26"/>
        <v>5.0532964863797867</v>
      </c>
    </row>
    <row r="223" spans="1:12" ht="26.25" customHeight="1">
      <c r="A223" s="298" t="s">
        <v>1667</v>
      </c>
      <c r="B223" s="322" t="s">
        <v>2292</v>
      </c>
      <c r="C223" s="65">
        <v>17000</v>
      </c>
      <c r="D223" s="65">
        <v>13462</v>
      </c>
      <c r="E223" s="65">
        <f t="shared" si="24"/>
        <v>630</v>
      </c>
      <c r="F223" s="65">
        <v>68</v>
      </c>
      <c r="G223" s="626" t="s">
        <v>1588</v>
      </c>
      <c r="H223" s="626" t="s">
        <v>1588</v>
      </c>
      <c r="I223" s="626" t="s">
        <v>1588</v>
      </c>
      <c r="J223" s="626" t="s">
        <v>1588</v>
      </c>
      <c r="K223" s="65">
        <v>562</v>
      </c>
      <c r="L223" s="66">
        <f t="shared" si="26"/>
        <v>4.6798395483583421</v>
      </c>
    </row>
    <row r="224" spans="1:12" ht="26.25" customHeight="1">
      <c r="A224" s="299"/>
      <c r="B224" s="322" t="s">
        <v>234</v>
      </c>
      <c r="C224" s="65">
        <v>5000</v>
      </c>
      <c r="D224" s="65">
        <v>3863</v>
      </c>
      <c r="E224" s="65">
        <f t="shared" si="24"/>
        <v>0</v>
      </c>
      <c r="F224" s="626" t="s">
        <v>1588</v>
      </c>
      <c r="G224" s="626" t="s">
        <v>1588</v>
      </c>
      <c r="H224" s="626" t="s">
        <v>1588</v>
      </c>
      <c r="I224" s="626" t="s">
        <v>1588</v>
      </c>
      <c r="J224" s="626" t="s">
        <v>1588</v>
      </c>
      <c r="K224" s="626" t="s">
        <v>1588</v>
      </c>
      <c r="L224" s="66">
        <f t="shared" si="26"/>
        <v>0</v>
      </c>
    </row>
    <row r="225" spans="1:12" ht="26.25" customHeight="1">
      <c r="A225" s="298" t="s">
        <v>1668</v>
      </c>
      <c r="B225" s="322" t="s">
        <v>235</v>
      </c>
      <c r="C225" s="65">
        <v>22000</v>
      </c>
      <c r="D225" s="65">
        <v>18179</v>
      </c>
      <c r="E225" s="65">
        <f>SUM(F225:K225)</f>
        <v>2862</v>
      </c>
      <c r="F225" s="65">
        <v>247</v>
      </c>
      <c r="G225" s="65">
        <v>378</v>
      </c>
      <c r="H225" s="626" t="s">
        <v>1588</v>
      </c>
      <c r="I225" s="65">
        <v>1653</v>
      </c>
      <c r="J225" s="626" t="s">
        <v>1588</v>
      </c>
      <c r="K225" s="65">
        <v>584</v>
      </c>
      <c r="L225" s="66">
        <f t="shared" si="26"/>
        <v>15.743440233236154</v>
      </c>
    </row>
    <row r="226" spans="1:12" ht="26.25" customHeight="1">
      <c r="A226" s="299"/>
      <c r="B226" s="322" t="s">
        <v>236</v>
      </c>
      <c r="C226" s="65">
        <v>3200</v>
      </c>
      <c r="D226" s="65">
        <v>4157</v>
      </c>
      <c r="E226" s="65">
        <f>SUM(F226:K226)</f>
        <v>224</v>
      </c>
      <c r="F226" s="65">
        <v>3</v>
      </c>
      <c r="G226" s="65">
        <v>7</v>
      </c>
      <c r="H226" s="626" t="s">
        <v>1588</v>
      </c>
      <c r="I226" s="626" t="s">
        <v>1588</v>
      </c>
      <c r="J226" s="626" t="s">
        <v>1588</v>
      </c>
      <c r="K226" s="65">
        <v>214</v>
      </c>
      <c r="L226" s="66">
        <f t="shared" si="26"/>
        <v>5.3885013230695211</v>
      </c>
    </row>
    <row r="227" spans="1:12" ht="26.25" customHeight="1">
      <c r="A227" s="299"/>
      <c r="B227" s="322" t="s">
        <v>237</v>
      </c>
      <c r="C227" s="65">
        <v>2000</v>
      </c>
      <c r="D227" s="65">
        <v>1253</v>
      </c>
      <c r="E227" s="65">
        <f>SUM(F227:K227)</f>
        <v>1</v>
      </c>
      <c r="F227" s="65">
        <v>0</v>
      </c>
      <c r="G227" s="65">
        <v>0</v>
      </c>
      <c r="H227" s="626" t="s">
        <v>1588</v>
      </c>
      <c r="I227" s="626" t="s">
        <v>1588</v>
      </c>
      <c r="J227" s="626" t="s">
        <v>1588</v>
      </c>
      <c r="K227" s="65">
        <v>1</v>
      </c>
      <c r="L227" s="66">
        <f t="shared" si="26"/>
        <v>7.9808459696727854E-2</v>
      </c>
    </row>
    <row r="228" spans="1:12" ht="26.25" customHeight="1">
      <c r="A228" s="298" t="s">
        <v>1670</v>
      </c>
      <c r="B228" s="322" t="s">
        <v>238</v>
      </c>
      <c r="C228" s="65">
        <v>9000</v>
      </c>
      <c r="D228" s="65">
        <v>8055</v>
      </c>
      <c r="E228" s="65">
        <f>SUM(F228:K228)</f>
        <v>8055</v>
      </c>
      <c r="F228" s="65">
        <v>526</v>
      </c>
      <c r="G228" s="65">
        <v>527</v>
      </c>
      <c r="H228" s="626" t="s">
        <v>1588</v>
      </c>
      <c r="I228" s="65">
        <v>2144</v>
      </c>
      <c r="J228" s="626" t="s">
        <v>1588</v>
      </c>
      <c r="K228" s="65">
        <v>4858</v>
      </c>
      <c r="L228" s="66">
        <f t="shared" si="26"/>
        <v>100</v>
      </c>
    </row>
    <row r="229" spans="1:12" ht="26.25" customHeight="1">
      <c r="A229" s="299"/>
      <c r="B229" s="322" t="s">
        <v>2295</v>
      </c>
      <c r="C229" s="65">
        <v>1600</v>
      </c>
      <c r="D229" s="65">
        <v>1402</v>
      </c>
      <c r="E229" s="65">
        <f t="shared" ref="E229:E249" si="28">SUM(F229:K229)</f>
        <v>1402</v>
      </c>
      <c r="F229" s="65">
        <v>136</v>
      </c>
      <c r="G229" s="65">
        <v>140</v>
      </c>
      <c r="H229" s="626" t="s">
        <v>1588</v>
      </c>
      <c r="I229" s="65">
        <v>1126</v>
      </c>
      <c r="J229" s="626" t="s">
        <v>1588</v>
      </c>
      <c r="K229" s="626" t="s">
        <v>1588</v>
      </c>
      <c r="L229" s="66">
        <f t="shared" si="26"/>
        <v>100</v>
      </c>
    </row>
    <row r="230" spans="1:12" ht="26.25" customHeight="1">
      <c r="A230" s="298" t="s">
        <v>1672</v>
      </c>
      <c r="B230" s="322" t="s">
        <v>239</v>
      </c>
      <c r="C230" s="65">
        <v>15000</v>
      </c>
      <c r="D230" s="65">
        <v>14312</v>
      </c>
      <c r="E230" s="65">
        <f t="shared" si="28"/>
        <v>715</v>
      </c>
      <c r="F230" s="65">
        <v>506</v>
      </c>
      <c r="G230" s="626" t="s">
        <v>1588</v>
      </c>
      <c r="H230" s="626" t="s">
        <v>1588</v>
      </c>
      <c r="I230" s="626" t="s">
        <v>1588</v>
      </c>
      <c r="J230" s="626" t="s">
        <v>1588</v>
      </c>
      <c r="K230" s="65">
        <v>209</v>
      </c>
      <c r="L230" s="66">
        <f t="shared" si="26"/>
        <v>4.9958077138065962</v>
      </c>
    </row>
    <row r="231" spans="1:12" ht="26.25" customHeight="1">
      <c r="A231" s="299"/>
      <c r="B231" s="322" t="s">
        <v>240</v>
      </c>
      <c r="C231" s="65">
        <v>11400</v>
      </c>
      <c r="D231" s="65">
        <v>8312</v>
      </c>
      <c r="E231" s="65">
        <f t="shared" si="28"/>
        <v>93</v>
      </c>
      <c r="F231" s="65">
        <v>10</v>
      </c>
      <c r="G231" s="626" t="s">
        <v>1588</v>
      </c>
      <c r="H231" s="626" t="s">
        <v>1588</v>
      </c>
      <c r="I231" s="626" t="s">
        <v>1588</v>
      </c>
      <c r="J231" s="626" t="s">
        <v>1588</v>
      </c>
      <c r="K231" s="65">
        <v>83</v>
      </c>
      <c r="L231" s="66">
        <f t="shared" si="26"/>
        <v>1.118864292589028</v>
      </c>
    </row>
    <row r="232" spans="1:12" ht="26.25" customHeight="1">
      <c r="A232" s="300"/>
      <c r="B232" s="322" t="s">
        <v>241</v>
      </c>
      <c r="C232" s="65">
        <v>3500</v>
      </c>
      <c r="D232" s="65">
        <v>2805</v>
      </c>
      <c r="E232" s="65">
        <f t="shared" si="28"/>
        <v>563</v>
      </c>
      <c r="F232" s="65">
        <v>113</v>
      </c>
      <c r="G232" s="626" t="s">
        <v>1588</v>
      </c>
      <c r="H232" s="626" t="s">
        <v>1588</v>
      </c>
      <c r="I232" s="626" t="s">
        <v>1588</v>
      </c>
      <c r="J232" s="626" t="s">
        <v>1588</v>
      </c>
      <c r="K232" s="65">
        <v>450</v>
      </c>
      <c r="L232" s="66">
        <f t="shared" si="26"/>
        <v>20.071301247771835</v>
      </c>
    </row>
    <row r="233" spans="1:12" ht="26.25" customHeight="1">
      <c r="A233" s="295" t="s">
        <v>1673</v>
      </c>
      <c r="B233" s="339">
        <f>+B234+B244</f>
        <v>20</v>
      </c>
      <c r="C233" s="67">
        <f>+C234+C244</f>
        <v>913600</v>
      </c>
      <c r="D233" s="67">
        <f t="shared" ref="D233:K233" si="29">+D234+D244</f>
        <v>735146</v>
      </c>
      <c r="E233" s="67">
        <f t="shared" si="28"/>
        <v>60023.79</v>
      </c>
      <c r="F233" s="67">
        <f t="shared" si="29"/>
        <v>9172.64</v>
      </c>
      <c r="G233" s="67">
        <f t="shared" si="29"/>
        <v>12211.220000000001</v>
      </c>
      <c r="H233" s="67">
        <f t="shared" si="29"/>
        <v>432</v>
      </c>
      <c r="I233" s="67">
        <f t="shared" si="29"/>
        <v>35155</v>
      </c>
      <c r="J233" s="67">
        <f t="shared" si="29"/>
        <v>87.93</v>
      </c>
      <c r="K233" s="67">
        <f t="shared" si="29"/>
        <v>2965</v>
      </c>
      <c r="L233" s="69">
        <f t="shared" si="26"/>
        <v>8.1648801734621426</v>
      </c>
    </row>
    <row r="234" spans="1:12" ht="26.25" customHeight="1">
      <c r="A234" s="283" t="s">
        <v>1674</v>
      </c>
      <c r="B234" s="339">
        <f>COUNTA(B235:B243)</f>
        <v>9</v>
      </c>
      <c r="C234" s="67">
        <f t="shared" ref="C234:K234" si="30">+SUM(C235:C243)</f>
        <v>839400</v>
      </c>
      <c r="D234" s="67">
        <f t="shared" si="30"/>
        <v>685857</v>
      </c>
      <c r="E234" s="67">
        <f t="shared" si="28"/>
        <v>54452.89</v>
      </c>
      <c r="F234" s="67">
        <f t="shared" si="30"/>
        <v>8614.74</v>
      </c>
      <c r="G234" s="67">
        <f t="shared" si="30"/>
        <v>10964.220000000001</v>
      </c>
      <c r="H234" s="67">
        <f t="shared" si="30"/>
        <v>432</v>
      </c>
      <c r="I234" s="67">
        <f t="shared" si="30"/>
        <v>33213</v>
      </c>
      <c r="J234" s="67">
        <f t="shared" si="30"/>
        <v>87.93</v>
      </c>
      <c r="K234" s="67">
        <f t="shared" si="30"/>
        <v>1141</v>
      </c>
      <c r="L234" s="70">
        <f t="shared" si="26"/>
        <v>7.9393940719421101</v>
      </c>
    </row>
    <row r="235" spans="1:12" ht="26.25" customHeight="1">
      <c r="A235" s="283" t="s">
        <v>1675</v>
      </c>
      <c r="B235" s="292" t="s">
        <v>2298</v>
      </c>
      <c r="C235" s="67">
        <v>403000</v>
      </c>
      <c r="D235" s="67">
        <v>318904</v>
      </c>
      <c r="E235" s="68">
        <f t="shared" si="28"/>
        <v>3327</v>
      </c>
      <c r="F235" s="67">
        <v>1066</v>
      </c>
      <c r="G235" s="67">
        <v>1987</v>
      </c>
      <c r="H235" s="783" t="s">
        <v>1588</v>
      </c>
      <c r="I235" s="67">
        <v>274</v>
      </c>
      <c r="J235" s="783" t="s">
        <v>1588</v>
      </c>
      <c r="K235" s="783" t="s">
        <v>1588</v>
      </c>
      <c r="L235" s="69">
        <f t="shared" si="26"/>
        <v>1.043260667787171</v>
      </c>
    </row>
    <row r="236" spans="1:12" ht="26.25" customHeight="1">
      <c r="A236" s="283" t="s">
        <v>1677</v>
      </c>
      <c r="B236" s="290" t="s">
        <v>242</v>
      </c>
      <c r="C236" s="67">
        <v>200000</v>
      </c>
      <c r="D236" s="67">
        <v>164247</v>
      </c>
      <c r="E236" s="67">
        <f t="shared" si="28"/>
        <v>5270.89</v>
      </c>
      <c r="F236" s="67">
        <v>1083.74</v>
      </c>
      <c r="G236" s="67">
        <v>4099.22</v>
      </c>
      <c r="H236" s="67">
        <v>0</v>
      </c>
      <c r="I236" s="67">
        <v>0</v>
      </c>
      <c r="J236" s="67">
        <v>87.93</v>
      </c>
      <c r="K236" s="783" t="s">
        <v>1588</v>
      </c>
      <c r="L236" s="69">
        <f t="shared" si="26"/>
        <v>3.2091240631487947</v>
      </c>
    </row>
    <row r="237" spans="1:12" ht="26.25" customHeight="1">
      <c r="A237" s="283" t="s">
        <v>1678</v>
      </c>
      <c r="B237" s="292" t="s">
        <v>243</v>
      </c>
      <c r="C237" s="68">
        <v>100000</v>
      </c>
      <c r="D237" s="68">
        <v>101335</v>
      </c>
      <c r="E237" s="68">
        <f t="shared" si="28"/>
        <v>10567</v>
      </c>
      <c r="F237" s="68">
        <v>5707</v>
      </c>
      <c r="G237" s="68">
        <v>4860</v>
      </c>
      <c r="H237" s="801" t="s">
        <v>1588</v>
      </c>
      <c r="I237" s="801" t="s">
        <v>1588</v>
      </c>
      <c r="J237" s="801" t="s">
        <v>1588</v>
      </c>
      <c r="K237" s="801" t="s">
        <v>1588</v>
      </c>
      <c r="L237" s="69">
        <f t="shared" si="26"/>
        <v>10.427789016628015</v>
      </c>
    </row>
    <row r="238" spans="1:12" ht="26.25" customHeight="1">
      <c r="A238" s="283" t="s">
        <v>1678</v>
      </c>
      <c r="B238" s="292" t="s">
        <v>244</v>
      </c>
      <c r="C238" s="68">
        <v>6000</v>
      </c>
      <c r="D238" s="68">
        <v>3436</v>
      </c>
      <c r="E238" s="68">
        <f t="shared" si="28"/>
        <v>385</v>
      </c>
      <c r="F238" s="801" t="s">
        <v>1588</v>
      </c>
      <c r="G238" s="801" t="s">
        <v>1588</v>
      </c>
      <c r="H238" s="801" t="s">
        <v>1588</v>
      </c>
      <c r="I238" s="801" t="s">
        <v>1588</v>
      </c>
      <c r="J238" s="801" t="s">
        <v>1588</v>
      </c>
      <c r="K238" s="68">
        <v>385</v>
      </c>
      <c r="L238" s="69">
        <f t="shared" si="26"/>
        <v>11.20488940628638</v>
      </c>
    </row>
    <row r="239" spans="1:12" ht="26.25" customHeight="1">
      <c r="A239" s="283" t="s">
        <v>1684</v>
      </c>
      <c r="B239" s="292" t="s">
        <v>245</v>
      </c>
      <c r="C239" s="67">
        <v>58600</v>
      </c>
      <c r="D239" s="67">
        <v>49508</v>
      </c>
      <c r="E239" s="67">
        <f t="shared" si="28"/>
        <v>0</v>
      </c>
      <c r="F239" s="783" t="s">
        <v>1588</v>
      </c>
      <c r="G239" s="783" t="s">
        <v>1588</v>
      </c>
      <c r="H239" s="783" t="s">
        <v>1588</v>
      </c>
      <c r="I239" s="783" t="s">
        <v>1588</v>
      </c>
      <c r="J239" s="783" t="s">
        <v>1588</v>
      </c>
      <c r="K239" s="783" t="s">
        <v>1588</v>
      </c>
      <c r="L239" s="69">
        <f t="shared" si="26"/>
        <v>0</v>
      </c>
    </row>
    <row r="240" spans="1:12" ht="26.25" customHeight="1">
      <c r="A240" s="303" t="s">
        <v>1687</v>
      </c>
      <c r="B240" s="291" t="s">
        <v>246</v>
      </c>
      <c r="C240" s="68">
        <v>50000</v>
      </c>
      <c r="D240" s="68">
        <v>34193</v>
      </c>
      <c r="E240" s="68">
        <f t="shared" si="28"/>
        <v>34193</v>
      </c>
      <c r="F240" s="68">
        <v>48</v>
      </c>
      <c r="G240" s="68">
        <v>18</v>
      </c>
      <c r="H240" s="68">
        <v>432</v>
      </c>
      <c r="I240" s="68">
        <v>32939</v>
      </c>
      <c r="J240" s="801" t="s">
        <v>1588</v>
      </c>
      <c r="K240" s="68">
        <v>756</v>
      </c>
      <c r="L240" s="70">
        <f t="shared" si="26"/>
        <v>100</v>
      </c>
    </row>
    <row r="241" spans="1:12" ht="26.25" customHeight="1">
      <c r="A241" s="304"/>
      <c r="B241" s="291" t="s">
        <v>247</v>
      </c>
      <c r="C241" s="68">
        <v>800</v>
      </c>
      <c r="D241" s="68">
        <v>758</v>
      </c>
      <c r="E241" s="68">
        <f t="shared" si="28"/>
        <v>0</v>
      </c>
      <c r="F241" s="801" t="s">
        <v>1588</v>
      </c>
      <c r="G241" s="801" t="s">
        <v>1588</v>
      </c>
      <c r="H241" s="801" t="s">
        <v>1588</v>
      </c>
      <c r="I241" s="801" t="s">
        <v>1588</v>
      </c>
      <c r="J241" s="801" t="s">
        <v>1588</v>
      </c>
      <c r="K241" s="801" t="s">
        <v>1588</v>
      </c>
      <c r="L241" s="70">
        <f t="shared" si="26"/>
        <v>0</v>
      </c>
    </row>
    <row r="242" spans="1:12" ht="26.25" customHeight="1">
      <c r="A242" s="305"/>
      <c r="B242" s="291" t="s">
        <v>248</v>
      </c>
      <c r="C242" s="68">
        <v>1000</v>
      </c>
      <c r="D242" s="68">
        <v>740</v>
      </c>
      <c r="E242" s="68">
        <f t="shared" si="28"/>
        <v>0</v>
      </c>
      <c r="F242" s="801" t="s">
        <v>1588</v>
      </c>
      <c r="G242" s="801" t="s">
        <v>1588</v>
      </c>
      <c r="H242" s="801" t="s">
        <v>1588</v>
      </c>
      <c r="I242" s="801" t="s">
        <v>1588</v>
      </c>
      <c r="J242" s="801" t="s">
        <v>1588</v>
      </c>
      <c r="K242" s="801" t="s">
        <v>1588</v>
      </c>
      <c r="L242" s="70">
        <f t="shared" si="26"/>
        <v>0</v>
      </c>
    </row>
    <row r="243" spans="1:12" ht="26.25" customHeight="1">
      <c r="A243" s="283" t="s">
        <v>1691</v>
      </c>
      <c r="B243" s="292" t="s">
        <v>249</v>
      </c>
      <c r="C243" s="67">
        <v>20000</v>
      </c>
      <c r="D243" s="67">
        <v>12736</v>
      </c>
      <c r="E243" s="68">
        <f t="shared" si="28"/>
        <v>710</v>
      </c>
      <c r="F243" s="67">
        <v>710</v>
      </c>
      <c r="G243" s="783" t="s">
        <v>1588</v>
      </c>
      <c r="H243" s="783" t="s">
        <v>1588</v>
      </c>
      <c r="I243" s="783" t="s">
        <v>1588</v>
      </c>
      <c r="J243" s="783" t="s">
        <v>1588</v>
      </c>
      <c r="K243" s="783" t="s">
        <v>1588</v>
      </c>
      <c r="L243" s="69">
        <f t="shared" si="26"/>
        <v>5.574748743718593</v>
      </c>
    </row>
    <row r="244" spans="1:12" ht="26.25" customHeight="1">
      <c r="A244" s="283" t="s">
        <v>1616</v>
      </c>
      <c r="B244" s="339">
        <f>COUNTA(B245:B255)</f>
        <v>11</v>
      </c>
      <c r="C244" s="67">
        <f>+SUM(C245:C255)</f>
        <v>74200</v>
      </c>
      <c r="D244" s="67">
        <f>+SUM(D245:D255)</f>
        <v>49289</v>
      </c>
      <c r="E244" s="67">
        <f t="shared" si="28"/>
        <v>5570.9</v>
      </c>
      <c r="F244" s="67">
        <f t="shared" ref="F244:K244" si="31">+SUM(F245:F255)</f>
        <v>557.9</v>
      </c>
      <c r="G244" s="67">
        <f t="shared" si="31"/>
        <v>1247</v>
      </c>
      <c r="H244" s="67">
        <f t="shared" si="31"/>
        <v>0</v>
      </c>
      <c r="I244" s="67">
        <f t="shared" si="31"/>
        <v>1942</v>
      </c>
      <c r="J244" s="67">
        <f t="shared" si="31"/>
        <v>0</v>
      </c>
      <c r="K244" s="67">
        <f t="shared" si="31"/>
        <v>1824</v>
      </c>
      <c r="L244" s="69">
        <f t="shared" si="26"/>
        <v>11.302521860861448</v>
      </c>
    </row>
    <row r="245" spans="1:12" ht="26.25" customHeight="1">
      <c r="A245" s="283" t="s">
        <v>1692</v>
      </c>
      <c r="B245" s="292" t="s">
        <v>250</v>
      </c>
      <c r="C245" s="68">
        <v>32000</v>
      </c>
      <c r="D245" s="68">
        <v>15443</v>
      </c>
      <c r="E245" s="68">
        <f t="shared" si="28"/>
        <v>1461</v>
      </c>
      <c r="F245" s="67">
        <v>15</v>
      </c>
      <c r="G245" s="783" t="s">
        <v>1588</v>
      </c>
      <c r="H245" s="783" t="s">
        <v>1588</v>
      </c>
      <c r="I245" s="783" t="s">
        <v>1588</v>
      </c>
      <c r="J245" s="783" t="s">
        <v>1588</v>
      </c>
      <c r="K245" s="68">
        <v>1446</v>
      </c>
      <c r="L245" s="69">
        <f t="shared" si="26"/>
        <v>9.4605970342550023</v>
      </c>
    </row>
    <row r="246" spans="1:12" ht="26.25" customHeight="1">
      <c r="A246" s="283" t="s">
        <v>1693</v>
      </c>
      <c r="B246" s="292" t="s">
        <v>251</v>
      </c>
      <c r="C246" s="67">
        <v>3000</v>
      </c>
      <c r="D246" s="67">
        <v>2833</v>
      </c>
      <c r="E246" s="67">
        <f t="shared" si="28"/>
        <v>440</v>
      </c>
      <c r="F246" s="67">
        <v>50</v>
      </c>
      <c r="G246" s="67">
        <v>350</v>
      </c>
      <c r="H246" s="783" t="s">
        <v>1588</v>
      </c>
      <c r="I246" s="783" t="s">
        <v>1588</v>
      </c>
      <c r="J246" s="783" t="s">
        <v>1588</v>
      </c>
      <c r="K246" s="67">
        <v>40</v>
      </c>
      <c r="L246" s="69">
        <f t="shared" si="26"/>
        <v>15.531238969290504</v>
      </c>
    </row>
    <row r="247" spans="1:12" ht="26.25" customHeight="1">
      <c r="A247" s="283" t="s">
        <v>1695</v>
      </c>
      <c r="B247" s="292" t="s">
        <v>2305</v>
      </c>
      <c r="C247" s="67">
        <v>3000</v>
      </c>
      <c r="D247" s="67">
        <v>3000</v>
      </c>
      <c r="E247" s="67">
        <f t="shared" si="28"/>
        <v>58</v>
      </c>
      <c r="F247" s="67">
        <v>58</v>
      </c>
      <c r="G247" s="783" t="s">
        <v>1588</v>
      </c>
      <c r="H247" s="783" t="s">
        <v>1588</v>
      </c>
      <c r="I247" s="783" t="s">
        <v>1588</v>
      </c>
      <c r="J247" s="783" t="s">
        <v>1588</v>
      </c>
      <c r="K247" s="783" t="s">
        <v>1588</v>
      </c>
      <c r="L247" s="69">
        <f t="shared" si="26"/>
        <v>1.9333333333333333</v>
      </c>
    </row>
    <row r="248" spans="1:12" ht="26.25" customHeight="1">
      <c r="A248" s="294" t="s">
        <v>1696</v>
      </c>
      <c r="B248" s="292" t="s">
        <v>252</v>
      </c>
      <c r="C248" s="68">
        <v>2000</v>
      </c>
      <c r="D248" s="68">
        <v>944</v>
      </c>
      <c r="E248" s="67">
        <f t="shared" si="28"/>
        <v>116.4</v>
      </c>
      <c r="F248" s="67">
        <v>1.2</v>
      </c>
      <c r="G248" s="783" t="s">
        <v>1588</v>
      </c>
      <c r="H248" s="783" t="s">
        <v>1588</v>
      </c>
      <c r="I248" s="783" t="s">
        <v>1588</v>
      </c>
      <c r="J248" s="783" t="s">
        <v>1588</v>
      </c>
      <c r="K248" s="67">
        <v>115.2</v>
      </c>
      <c r="L248" s="69">
        <f t="shared" si="26"/>
        <v>12.330508474576272</v>
      </c>
    </row>
    <row r="249" spans="1:12" ht="26.25" customHeight="1">
      <c r="A249" s="295"/>
      <c r="B249" s="292" t="s">
        <v>253</v>
      </c>
      <c r="C249" s="67">
        <v>2000</v>
      </c>
      <c r="D249" s="67">
        <v>1019</v>
      </c>
      <c r="E249" s="67">
        <f t="shared" si="28"/>
        <v>137</v>
      </c>
      <c r="F249" s="67">
        <v>5.4</v>
      </c>
      <c r="G249" s="783" t="s">
        <v>1588</v>
      </c>
      <c r="H249" s="783" t="s">
        <v>1588</v>
      </c>
      <c r="I249" s="783" t="s">
        <v>1588</v>
      </c>
      <c r="J249" s="783" t="s">
        <v>1588</v>
      </c>
      <c r="K249" s="67">
        <v>131.6</v>
      </c>
      <c r="L249" s="69">
        <f t="shared" si="26"/>
        <v>13.444553483807656</v>
      </c>
    </row>
    <row r="250" spans="1:12" ht="26.25" customHeight="1">
      <c r="A250" s="294" t="s">
        <v>1702</v>
      </c>
      <c r="B250" s="292" t="s">
        <v>254</v>
      </c>
      <c r="C250" s="67">
        <v>3400</v>
      </c>
      <c r="D250" s="67">
        <v>1435</v>
      </c>
      <c r="E250" s="67">
        <f>SUM(F250:K250)</f>
        <v>40</v>
      </c>
      <c r="F250" s="67">
        <v>20</v>
      </c>
      <c r="G250" s="67">
        <v>20</v>
      </c>
      <c r="H250" s="783" t="s">
        <v>1588</v>
      </c>
      <c r="I250" s="783" t="s">
        <v>1588</v>
      </c>
      <c r="J250" s="783" t="s">
        <v>1588</v>
      </c>
      <c r="K250" s="783" t="s">
        <v>1588</v>
      </c>
      <c r="L250" s="69">
        <f t="shared" si="26"/>
        <v>2.7874564459930316</v>
      </c>
    </row>
    <row r="251" spans="1:12" ht="26.25" customHeight="1">
      <c r="A251" s="295"/>
      <c r="B251" s="292" t="s">
        <v>255</v>
      </c>
      <c r="C251" s="67">
        <v>1700</v>
      </c>
      <c r="D251" s="67">
        <v>740</v>
      </c>
      <c r="E251" s="67">
        <f>SUM(F251:K251)</f>
        <v>0</v>
      </c>
      <c r="F251" s="783" t="s">
        <v>1588</v>
      </c>
      <c r="G251" s="783" t="s">
        <v>1588</v>
      </c>
      <c r="H251" s="783" t="s">
        <v>1588</v>
      </c>
      <c r="I251" s="783" t="s">
        <v>1588</v>
      </c>
      <c r="J251" s="783" t="s">
        <v>1588</v>
      </c>
      <c r="K251" s="783" t="s">
        <v>1588</v>
      </c>
      <c r="L251" s="69">
        <f t="shared" si="26"/>
        <v>0</v>
      </c>
    </row>
    <row r="252" spans="1:12" ht="26.25" customHeight="1">
      <c r="A252" s="283" t="s">
        <v>1866</v>
      </c>
      <c r="B252" s="292" t="s">
        <v>2308</v>
      </c>
      <c r="C252" s="67">
        <v>2600</v>
      </c>
      <c r="D252" s="67">
        <v>2600</v>
      </c>
      <c r="E252" s="67">
        <f>SUM(F252:K252)</f>
        <v>179</v>
      </c>
      <c r="F252" s="67">
        <v>179</v>
      </c>
      <c r="G252" s="783" t="s">
        <v>1588</v>
      </c>
      <c r="H252" s="783" t="s">
        <v>1588</v>
      </c>
      <c r="I252" s="783" t="s">
        <v>1588</v>
      </c>
      <c r="J252" s="783" t="s">
        <v>1588</v>
      </c>
      <c r="K252" s="783" t="s">
        <v>1588</v>
      </c>
      <c r="L252" s="69">
        <f t="shared" si="26"/>
        <v>6.884615384615385</v>
      </c>
    </row>
    <row r="253" spans="1:12" ht="26.25" customHeight="1">
      <c r="A253" s="294" t="s">
        <v>1870</v>
      </c>
      <c r="B253" s="292" t="s">
        <v>256</v>
      </c>
      <c r="C253" s="68">
        <v>16000</v>
      </c>
      <c r="D253" s="68">
        <v>11343</v>
      </c>
      <c r="E253" s="67">
        <f>SUM(F253:K253)</f>
        <v>886</v>
      </c>
      <c r="F253" s="67">
        <v>155</v>
      </c>
      <c r="G253" s="67">
        <v>11</v>
      </c>
      <c r="H253" s="783" t="s">
        <v>1588</v>
      </c>
      <c r="I253" s="67">
        <v>720</v>
      </c>
      <c r="J253" s="783" t="s">
        <v>1588</v>
      </c>
      <c r="K253" s="783" t="s">
        <v>1588</v>
      </c>
      <c r="L253" s="69">
        <f t="shared" si="26"/>
        <v>7.8109847483029178</v>
      </c>
    </row>
    <row r="254" spans="1:12" ht="26.25" customHeight="1">
      <c r="A254" s="295"/>
      <c r="B254" s="292" t="s">
        <v>257</v>
      </c>
      <c r="C254" s="67">
        <v>500</v>
      </c>
      <c r="D254" s="67">
        <v>410</v>
      </c>
      <c r="E254" s="67">
        <f>SUM(F254:K254)</f>
        <v>14</v>
      </c>
      <c r="F254" s="67">
        <v>14</v>
      </c>
      <c r="G254" s="783" t="s">
        <v>1588</v>
      </c>
      <c r="H254" s="783" t="s">
        <v>1588</v>
      </c>
      <c r="I254" s="783" t="s">
        <v>1588</v>
      </c>
      <c r="J254" s="783" t="s">
        <v>1588</v>
      </c>
      <c r="K254" s="783" t="s">
        <v>1588</v>
      </c>
      <c r="L254" s="69">
        <f t="shared" si="26"/>
        <v>3.4146341463414638</v>
      </c>
    </row>
    <row r="255" spans="1:12" ht="26.25" customHeight="1">
      <c r="A255" s="283" t="s">
        <v>1871</v>
      </c>
      <c r="B255" s="292" t="s">
        <v>258</v>
      </c>
      <c r="C255" s="67">
        <v>8000</v>
      </c>
      <c r="D255" s="67">
        <v>9522</v>
      </c>
      <c r="E255" s="67">
        <f t="shared" ref="E255:E318" si="32">SUM(F255:K255)</f>
        <v>2239.5</v>
      </c>
      <c r="F255" s="67">
        <v>60.3</v>
      </c>
      <c r="G255" s="67">
        <v>866</v>
      </c>
      <c r="H255" s="783" t="s">
        <v>1588</v>
      </c>
      <c r="I255" s="67">
        <v>1222</v>
      </c>
      <c r="J255" s="783" t="s">
        <v>1588</v>
      </c>
      <c r="K255" s="67">
        <v>91.2</v>
      </c>
      <c r="L255" s="69">
        <f t="shared" si="26"/>
        <v>23.519218651543795</v>
      </c>
    </row>
    <row r="256" spans="1:12" ht="26.25" customHeight="1">
      <c r="A256" s="288" t="s">
        <v>1872</v>
      </c>
      <c r="B256" s="340">
        <f>B257+B273</f>
        <v>42</v>
      </c>
      <c r="C256" s="286">
        <f>C257+C273</f>
        <v>635015</v>
      </c>
      <c r="D256" s="286">
        <f>D257+D273</f>
        <v>417622</v>
      </c>
      <c r="E256" s="286">
        <f t="shared" si="32"/>
        <v>36704.700000000004</v>
      </c>
      <c r="F256" s="286">
        <f t="shared" ref="F256:K256" si="33">F257+F273</f>
        <v>3838.3199999999997</v>
      </c>
      <c r="G256" s="286">
        <f t="shared" si="33"/>
        <v>3007.5</v>
      </c>
      <c r="H256" s="286">
        <f t="shared" si="33"/>
        <v>19229</v>
      </c>
      <c r="I256" s="286">
        <f t="shared" si="33"/>
        <v>1892.9</v>
      </c>
      <c r="J256" s="286">
        <f t="shared" si="33"/>
        <v>425.7</v>
      </c>
      <c r="K256" s="286">
        <f t="shared" si="33"/>
        <v>8311.2800000000007</v>
      </c>
      <c r="L256" s="287">
        <f t="shared" si="26"/>
        <v>8.7889766343727107</v>
      </c>
    </row>
    <row r="257" spans="1:12" ht="26.25" customHeight="1">
      <c r="A257" s="330" t="s">
        <v>1674</v>
      </c>
      <c r="B257" s="340">
        <f>COUNTA(B258:B272)</f>
        <v>15</v>
      </c>
      <c r="C257" s="286">
        <f>SUM(C258:C272)</f>
        <v>461300</v>
      </c>
      <c r="D257" s="286">
        <f>SUM(D258:D272)</f>
        <v>300589</v>
      </c>
      <c r="E257" s="286">
        <f t="shared" si="32"/>
        <v>28238.87</v>
      </c>
      <c r="F257" s="286">
        <f t="shared" ref="F257:K257" si="34">SUM(F258:F272)</f>
        <v>2736.87</v>
      </c>
      <c r="G257" s="286">
        <f t="shared" si="34"/>
        <v>1350</v>
      </c>
      <c r="H257" s="286">
        <f t="shared" si="34"/>
        <v>17280</v>
      </c>
      <c r="I257" s="286">
        <f t="shared" si="34"/>
        <v>1</v>
      </c>
      <c r="J257" s="286">
        <f t="shared" si="34"/>
        <v>0</v>
      </c>
      <c r="K257" s="286">
        <f t="shared" si="34"/>
        <v>6871</v>
      </c>
      <c r="L257" s="287">
        <f t="shared" si="26"/>
        <v>9.3945121078948333</v>
      </c>
    </row>
    <row r="258" spans="1:12" ht="26.25" customHeight="1">
      <c r="A258" s="890" t="s">
        <v>1873</v>
      </c>
      <c r="B258" s="889" t="s">
        <v>259</v>
      </c>
      <c r="C258" s="278">
        <v>100000</v>
      </c>
      <c r="D258" s="278">
        <v>74929</v>
      </c>
      <c r="E258" s="278">
        <f t="shared" si="32"/>
        <v>17280</v>
      </c>
      <c r="F258" s="813" t="s">
        <v>1588</v>
      </c>
      <c r="G258" s="813" t="s">
        <v>1588</v>
      </c>
      <c r="H258" s="278">
        <v>17280</v>
      </c>
      <c r="I258" s="813" t="s">
        <v>1588</v>
      </c>
      <c r="J258" s="813" t="s">
        <v>1588</v>
      </c>
      <c r="K258" s="813" t="s">
        <v>1588</v>
      </c>
      <c r="L258" s="306">
        <f t="shared" si="26"/>
        <v>23.061831867501233</v>
      </c>
    </row>
    <row r="259" spans="1:12" ht="26.25" customHeight="1">
      <c r="A259" s="891"/>
      <c r="B259" s="889" t="s">
        <v>340</v>
      </c>
      <c r="C259" s="307">
        <v>35000</v>
      </c>
      <c r="D259" s="307">
        <v>25698</v>
      </c>
      <c r="E259" s="307">
        <f t="shared" si="32"/>
        <v>593</v>
      </c>
      <c r="F259" s="307">
        <v>100</v>
      </c>
      <c r="G259" s="820" t="s">
        <v>1588</v>
      </c>
      <c r="H259" s="820" t="s">
        <v>1588</v>
      </c>
      <c r="I259" s="820" t="s">
        <v>1588</v>
      </c>
      <c r="J259" s="820" t="s">
        <v>1588</v>
      </c>
      <c r="K259" s="307">
        <v>493</v>
      </c>
      <c r="L259" s="308">
        <f t="shared" si="26"/>
        <v>2.307572573741147</v>
      </c>
    </row>
    <row r="260" spans="1:12" ht="26.25" customHeight="1">
      <c r="A260" s="892" t="s">
        <v>1874</v>
      </c>
      <c r="B260" s="309" t="s">
        <v>260</v>
      </c>
      <c r="C260" s="278">
        <v>110000</v>
      </c>
      <c r="D260" s="278">
        <v>49310</v>
      </c>
      <c r="E260" s="278">
        <f t="shared" si="32"/>
        <v>2710</v>
      </c>
      <c r="F260" s="813" t="s">
        <v>1588</v>
      </c>
      <c r="G260" s="278">
        <v>1000</v>
      </c>
      <c r="H260" s="813" t="s">
        <v>1588</v>
      </c>
      <c r="I260" s="813" t="s">
        <v>1588</v>
      </c>
      <c r="J260" s="813" t="s">
        <v>1588</v>
      </c>
      <c r="K260" s="278">
        <v>1710</v>
      </c>
      <c r="L260" s="310">
        <f t="shared" si="26"/>
        <v>5.495842628270128</v>
      </c>
    </row>
    <row r="261" spans="1:12" ht="26.25" customHeight="1">
      <c r="A261" s="330" t="s">
        <v>1875</v>
      </c>
      <c r="B261" s="329" t="s">
        <v>7578</v>
      </c>
      <c r="C261" s="286">
        <v>130000</v>
      </c>
      <c r="D261" s="286">
        <v>97486</v>
      </c>
      <c r="E261" s="286">
        <f t="shared" ref="E261:E266" si="35">SUM(F261:K261)</f>
        <v>1218</v>
      </c>
      <c r="F261" s="286">
        <v>100</v>
      </c>
      <c r="G261" s="819" t="s">
        <v>1588</v>
      </c>
      <c r="H261" s="819" t="s">
        <v>1588</v>
      </c>
      <c r="I261" s="819" t="s">
        <v>1588</v>
      </c>
      <c r="J261" s="819" t="s">
        <v>1588</v>
      </c>
      <c r="K261" s="286">
        <v>1118</v>
      </c>
      <c r="L261" s="287">
        <f t="shared" si="26"/>
        <v>1.2494101717169646</v>
      </c>
    </row>
    <row r="262" spans="1:12" ht="26.25" customHeight="1">
      <c r="A262" s="332"/>
      <c r="B262" s="329" t="s">
        <v>7579</v>
      </c>
      <c r="C262" s="286">
        <v>2500</v>
      </c>
      <c r="D262" s="286">
        <v>1073</v>
      </c>
      <c r="E262" s="286">
        <f t="shared" si="35"/>
        <v>0</v>
      </c>
      <c r="F262" s="286">
        <v>0</v>
      </c>
      <c r="G262" s="819">
        <v>0</v>
      </c>
      <c r="H262" s="819">
        <v>0</v>
      </c>
      <c r="I262" s="819">
        <v>0</v>
      </c>
      <c r="J262" s="819">
        <v>0</v>
      </c>
      <c r="K262" s="286">
        <v>0</v>
      </c>
      <c r="L262" s="287">
        <f t="shared" si="26"/>
        <v>0</v>
      </c>
    </row>
    <row r="263" spans="1:12" ht="26.25" customHeight="1">
      <c r="A263" s="332"/>
      <c r="B263" s="329" t="s">
        <v>7580</v>
      </c>
      <c r="C263" s="286">
        <v>700</v>
      </c>
      <c r="D263" s="286">
        <v>535</v>
      </c>
      <c r="E263" s="286">
        <f t="shared" si="35"/>
        <v>0</v>
      </c>
      <c r="F263" s="286">
        <v>0</v>
      </c>
      <c r="G263" s="819">
        <v>0</v>
      </c>
      <c r="H263" s="819">
        <v>0</v>
      </c>
      <c r="I263" s="819">
        <v>0</v>
      </c>
      <c r="J263" s="819">
        <v>0</v>
      </c>
      <c r="K263" s="286">
        <v>0</v>
      </c>
      <c r="L263" s="287">
        <f t="shared" si="26"/>
        <v>0</v>
      </c>
    </row>
    <row r="264" spans="1:12" ht="26.25" customHeight="1">
      <c r="A264" s="332"/>
      <c r="B264" s="329" t="s">
        <v>7581</v>
      </c>
      <c r="C264" s="286">
        <v>800</v>
      </c>
      <c r="D264" s="286">
        <v>491</v>
      </c>
      <c r="E264" s="286">
        <f t="shared" si="35"/>
        <v>0</v>
      </c>
      <c r="F264" s="286">
        <v>0</v>
      </c>
      <c r="G264" s="819">
        <v>0</v>
      </c>
      <c r="H264" s="819">
        <v>0</v>
      </c>
      <c r="I264" s="819">
        <v>0</v>
      </c>
      <c r="J264" s="819">
        <v>0</v>
      </c>
      <c r="K264" s="286">
        <v>0</v>
      </c>
      <c r="L264" s="287">
        <f t="shared" si="26"/>
        <v>0</v>
      </c>
    </row>
    <row r="265" spans="1:12" ht="26.25" customHeight="1">
      <c r="A265" s="332"/>
      <c r="B265" s="329" t="s">
        <v>7582</v>
      </c>
      <c r="C265" s="286">
        <v>1200</v>
      </c>
      <c r="D265" s="286">
        <v>259</v>
      </c>
      <c r="E265" s="286">
        <f t="shared" si="35"/>
        <v>0</v>
      </c>
      <c r="F265" s="286">
        <v>0</v>
      </c>
      <c r="G265" s="819">
        <v>0</v>
      </c>
      <c r="H265" s="819">
        <v>0</v>
      </c>
      <c r="I265" s="819">
        <v>0</v>
      </c>
      <c r="J265" s="819">
        <v>0</v>
      </c>
      <c r="K265" s="286">
        <v>0</v>
      </c>
      <c r="L265" s="287">
        <f t="shared" si="26"/>
        <v>0</v>
      </c>
    </row>
    <row r="266" spans="1:12" ht="26.25" customHeight="1">
      <c r="A266" s="331"/>
      <c r="B266" s="329" t="s">
        <v>7583</v>
      </c>
      <c r="C266" s="286">
        <v>600</v>
      </c>
      <c r="D266" s="286">
        <v>77</v>
      </c>
      <c r="E266" s="286">
        <f t="shared" si="35"/>
        <v>0</v>
      </c>
      <c r="F266" s="286">
        <v>0</v>
      </c>
      <c r="G266" s="819">
        <v>0</v>
      </c>
      <c r="H266" s="819">
        <v>0</v>
      </c>
      <c r="I266" s="819">
        <v>0</v>
      </c>
      <c r="J266" s="819">
        <v>0</v>
      </c>
      <c r="K266" s="286">
        <v>0</v>
      </c>
      <c r="L266" s="287">
        <f t="shared" si="26"/>
        <v>0</v>
      </c>
    </row>
    <row r="267" spans="1:12" ht="26.25" customHeight="1">
      <c r="A267" s="332" t="s">
        <v>1879</v>
      </c>
      <c r="B267" s="329" t="s">
        <v>2430</v>
      </c>
      <c r="C267" s="286">
        <v>22500</v>
      </c>
      <c r="D267" s="286">
        <v>15720</v>
      </c>
      <c r="E267" s="278">
        <f t="shared" si="32"/>
        <v>1730</v>
      </c>
      <c r="F267" s="278">
        <v>1700</v>
      </c>
      <c r="G267" s="819" t="s">
        <v>1588</v>
      </c>
      <c r="H267" s="819" t="s">
        <v>1588</v>
      </c>
      <c r="I267" s="819" t="s">
        <v>1588</v>
      </c>
      <c r="J267" s="819" t="s">
        <v>1588</v>
      </c>
      <c r="K267" s="286">
        <v>30</v>
      </c>
      <c r="L267" s="287">
        <f t="shared" si="26"/>
        <v>11.005089058524172</v>
      </c>
    </row>
    <row r="268" spans="1:12" ht="26.25" customHeight="1">
      <c r="A268" s="332"/>
      <c r="B268" s="329" t="s">
        <v>1886</v>
      </c>
      <c r="C268" s="286">
        <v>3000</v>
      </c>
      <c r="D268" s="286">
        <v>1224</v>
      </c>
      <c r="E268" s="286">
        <f t="shared" si="32"/>
        <v>6.87</v>
      </c>
      <c r="F268" s="286">
        <v>6.87</v>
      </c>
      <c r="G268" s="819" t="s">
        <v>1588</v>
      </c>
      <c r="H268" s="819" t="s">
        <v>1588</v>
      </c>
      <c r="I268" s="819" t="s">
        <v>1588</v>
      </c>
      <c r="J268" s="819" t="s">
        <v>1588</v>
      </c>
      <c r="K268" s="819" t="s">
        <v>1588</v>
      </c>
      <c r="L268" s="287">
        <f t="shared" si="26"/>
        <v>0.56127450980392157</v>
      </c>
    </row>
    <row r="269" spans="1:12" ht="26.25" customHeight="1">
      <c r="A269" s="332"/>
      <c r="B269" s="329" t="s">
        <v>1884</v>
      </c>
      <c r="C269" s="286">
        <v>500</v>
      </c>
      <c r="D269" s="286">
        <v>372</v>
      </c>
      <c r="E269" s="286">
        <f t="shared" si="32"/>
        <v>15</v>
      </c>
      <c r="F269" s="286">
        <v>15</v>
      </c>
      <c r="G269" s="819" t="s">
        <v>1588</v>
      </c>
      <c r="H269" s="819" t="s">
        <v>1588</v>
      </c>
      <c r="I269" s="819" t="s">
        <v>1588</v>
      </c>
      <c r="J269" s="819" t="s">
        <v>1588</v>
      </c>
      <c r="K269" s="819" t="s">
        <v>1588</v>
      </c>
      <c r="L269" s="287">
        <f t="shared" si="26"/>
        <v>4.032258064516129</v>
      </c>
    </row>
    <row r="270" spans="1:12" ht="26.25" customHeight="1">
      <c r="A270" s="330" t="s">
        <v>1889</v>
      </c>
      <c r="B270" s="329" t="s">
        <v>122</v>
      </c>
      <c r="C270" s="278">
        <v>25000</v>
      </c>
      <c r="D270" s="278">
        <v>10494</v>
      </c>
      <c r="E270" s="278">
        <f t="shared" si="32"/>
        <v>1675</v>
      </c>
      <c r="F270" s="278">
        <v>805</v>
      </c>
      <c r="G270" s="278">
        <v>350</v>
      </c>
      <c r="H270" s="819" t="s">
        <v>1588</v>
      </c>
      <c r="I270" s="819" t="s">
        <v>1588</v>
      </c>
      <c r="J270" s="819" t="s">
        <v>1588</v>
      </c>
      <c r="K270" s="286">
        <v>520</v>
      </c>
      <c r="L270" s="287">
        <f t="shared" si="26"/>
        <v>15.961501810558415</v>
      </c>
    </row>
    <row r="271" spans="1:12" ht="26.25" customHeight="1">
      <c r="A271" s="332"/>
      <c r="B271" s="329" t="s">
        <v>262</v>
      </c>
      <c r="C271" s="278">
        <v>24000</v>
      </c>
      <c r="D271" s="278">
        <v>20200</v>
      </c>
      <c r="E271" s="278">
        <f t="shared" si="32"/>
        <v>3011</v>
      </c>
      <c r="F271" s="278">
        <v>10</v>
      </c>
      <c r="G271" s="813" t="s">
        <v>1588</v>
      </c>
      <c r="H271" s="819" t="s">
        <v>1588</v>
      </c>
      <c r="I271" s="286">
        <v>1</v>
      </c>
      <c r="J271" s="819" t="s">
        <v>1588</v>
      </c>
      <c r="K271" s="278">
        <v>3000</v>
      </c>
      <c r="L271" s="287">
        <f t="shared" si="26"/>
        <v>14.905940594059405</v>
      </c>
    </row>
    <row r="272" spans="1:12" ht="26.25" customHeight="1">
      <c r="A272" s="331"/>
      <c r="B272" s="893" t="s">
        <v>380</v>
      </c>
      <c r="C272" s="278">
        <v>5500</v>
      </c>
      <c r="D272" s="278">
        <v>2721</v>
      </c>
      <c r="E272" s="278">
        <f t="shared" si="32"/>
        <v>0</v>
      </c>
      <c r="F272" s="278">
        <v>0</v>
      </c>
      <c r="G272" s="813">
        <v>0</v>
      </c>
      <c r="H272" s="819">
        <v>0</v>
      </c>
      <c r="I272" s="286">
        <v>0</v>
      </c>
      <c r="J272" s="819">
        <v>0</v>
      </c>
      <c r="K272" s="278">
        <v>0</v>
      </c>
      <c r="L272" s="287">
        <f t="shared" si="26"/>
        <v>0</v>
      </c>
    </row>
    <row r="273" spans="1:12" ht="26.25" customHeight="1">
      <c r="A273" s="331" t="s">
        <v>1616</v>
      </c>
      <c r="B273" s="340">
        <f>COUNTA(B274:B300)</f>
        <v>27</v>
      </c>
      <c r="C273" s="278">
        <f>SUM(C274:C300)</f>
        <v>173715</v>
      </c>
      <c r="D273" s="278">
        <f>SUM(D274:D300)</f>
        <v>117033</v>
      </c>
      <c r="E273" s="278">
        <f t="shared" si="32"/>
        <v>8465.83</v>
      </c>
      <c r="F273" s="278">
        <f t="shared" ref="F273:K273" si="36">SUM(F274:F300)</f>
        <v>1101.4499999999998</v>
      </c>
      <c r="G273" s="278">
        <f t="shared" si="36"/>
        <v>1657.5</v>
      </c>
      <c r="H273" s="278">
        <f t="shared" si="36"/>
        <v>1949</v>
      </c>
      <c r="I273" s="278">
        <f t="shared" si="36"/>
        <v>1891.9</v>
      </c>
      <c r="J273" s="278">
        <f t="shared" si="36"/>
        <v>425.7</v>
      </c>
      <c r="K273" s="278">
        <f t="shared" si="36"/>
        <v>1440.28</v>
      </c>
      <c r="L273" s="287">
        <f t="shared" si="26"/>
        <v>7.2337118590483032</v>
      </c>
    </row>
    <row r="274" spans="1:12" ht="26.25" customHeight="1">
      <c r="A274" s="330" t="s">
        <v>1890</v>
      </c>
      <c r="B274" s="293" t="s">
        <v>263</v>
      </c>
      <c r="C274" s="286">
        <v>7000</v>
      </c>
      <c r="D274" s="286">
        <v>6349</v>
      </c>
      <c r="E274" s="278">
        <f t="shared" si="32"/>
        <v>754.43</v>
      </c>
      <c r="F274" s="286">
        <v>113.15</v>
      </c>
      <c r="G274" s="819" t="s">
        <v>1588</v>
      </c>
      <c r="H274" s="819" t="s">
        <v>1588</v>
      </c>
      <c r="I274" s="819" t="s">
        <v>1588</v>
      </c>
      <c r="J274" s="819" t="s">
        <v>1588</v>
      </c>
      <c r="K274" s="286">
        <v>641.28</v>
      </c>
      <c r="L274" s="287">
        <f t="shared" ref="L274:L341" si="37">(E274/D274)*100</f>
        <v>11.882658686407307</v>
      </c>
    </row>
    <row r="275" spans="1:12" ht="26.25" customHeight="1">
      <c r="A275" s="330" t="s">
        <v>1891</v>
      </c>
      <c r="B275" s="329" t="s">
        <v>2315</v>
      </c>
      <c r="C275" s="286">
        <v>4500</v>
      </c>
      <c r="D275" s="286">
        <v>2061</v>
      </c>
      <c r="E275" s="286">
        <f t="shared" si="32"/>
        <v>182</v>
      </c>
      <c r="F275" s="286">
        <v>6.6</v>
      </c>
      <c r="G275" s="819" t="s">
        <v>1588</v>
      </c>
      <c r="H275" s="819" t="s">
        <v>1588</v>
      </c>
      <c r="I275" s="286">
        <v>85</v>
      </c>
      <c r="J275" s="819" t="s">
        <v>1588</v>
      </c>
      <c r="K275" s="286">
        <v>90.4</v>
      </c>
      <c r="L275" s="287">
        <f t="shared" si="37"/>
        <v>8.830664725861233</v>
      </c>
    </row>
    <row r="276" spans="1:12" ht="26.25" customHeight="1">
      <c r="A276" s="332"/>
      <c r="B276" s="329" t="s">
        <v>264</v>
      </c>
      <c r="C276" s="286">
        <v>2000</v>
      </c>
      <c r="D276" s="286">
        <v>1274</v>
      </c>
      <c r="E276" s="286">
        <f t="shared" si="32"/>
        <v>1.5</v>
      </c>
      <c r="F276" s="819" t="s">
        <v>1588</v>
      </c>
      <c r="G276" s="819" t="s">
        <v>1588</v>
      </c>
      <c r="H276" s="819" t="s">
        <v>1588</v>
      </c>
      <c r="I276" s="819" t="s">
        <v>1588</v>
      </c>
      <c r="J276" s="819" t="s">
        <v>1588</v>
      </c>
      <c r="K276" s="286">
        <v>1.5</v>
      </c>
      <c r="L276" s="287">
        <f t="shared" si="37"/>
        <v>0.11773940345368916</v>
      </c>
    </row>
    <row r="277" spans="1:12" ht="26.25" customHeight="1">
      <c r="A277" s="332"/>
      <c r="B277" s="329" t="s">
        <v>265</v>
      </c>
      <c r="C277" s="286">
        <v>700</v>
      </c>
      <c r="D277" s="286">
        <v>518</v>
      </c>
      <c r="E277" s="286">
        <f t="shared" si="32"/>
        <v>0.6</v>
      </c>
      <c r="F277" s="819" t="s">
        <v>1588</v>
      </c>
      <c r="G277" s="819" t="s">
        <v>1588</v>
      </c>
      <c r="H277" s="819" t="s">
        <v>1588</v>
      </c>
      <c r="I277" s="819" t="s">
        <v>1588</v>
      </c>
      <c r="J277" s="819" t="s">
        <v>1588</v>
      </c>
      <c r="K277" s="286">
        <v>0.6</v>
      </c>
      <c r="L277" s="287">
        <f t="shared" si="37"/>
        <v>0.11583011583011582</v>
      </c>
    </row>
    <row r="278" spans="1:12" ht="26.25" customHeight="1">
      <c r="A278" s="330" t="s">
        <v>1707</v>
      </c>
      <c r="B278" s="329" t="s">
        <v>2316</v>
      </c>
      <c r="C278" s="286">
        <v>5500</v>
      </c>
      <c r="D278" s="286">
        <v>4599</v>
      </c>
      <c r="E278" s="286">
        <f t="shared" si="32"/>
        <v>244</v>
      </c>
      <c r="F278" s="286">
        <v>244</v>
      </c>
      <c r="G278" s="286">
        <v>0</v>
      </c>
      <c r="H278" s="819" t="s">
        <v>1588</v>
      </c>
      <c r="I278" s="819" t="s">
        <v>1588</v>
      </c>
      <c r="J278" s="819" t="s">
        <v>1588</v>
      </c>
      <c r="K278" s="819" t="s">
        <v>1588</v>
      </c>
      <c r="L278" s="287">
        <f t="shared" si="37"/>
        <v>5.3055011959121545</v>
      </c>
    </row>
    <row r="279" spans="1:12" ht="26.25" customHeight="1">
      <c r="A279" s="332"/>
      <c r="B279" s="329" t="s">
        <v>266</v>
      </c>
      <c r="C279" s="286">
        <v>4000</v>
      </c>
      <c r="D279" s="286">
        <v>2422</v>
      </c>
      <c r="E279" s="286">
        <f t="shared" si="32"/>
        <v>19</v>
      </c>
      <c r="F279" s="286">
        <v>17</v>
      </c>
      <c r="G279" s="286">
        <v>2</v>
      </c>
      <c r="H279" s="819" t="s">
        <v>1588</v>
      </c>
      <c r="I279" s="819" t="s">
        <v>1588</v>
      </c>
      <c r="J279" s="819" t="s">
        <v>1588</v>
      </c>
      <c r="K279" s="819" t="s">
        <v>1588</v>
      </c>
      <c r="L279" s="287">
        <f t="shared" si="37"/>
        <v>0.78447563996696945</v>
      </c>
    </row>
    <row r="280" spans="1:12" ht="26.25" customHeight="1">
      <c r="A280" s="330" t="s">
        <v>1709</v>
      </c>
      <c r="B280" s="329" t="s">
        <v>2433</v>
      </c>
      <c r="C280" s="286">
        <v>4000</v>
      </c>
      <c r="D280" s="286">
        <v>4000</v>
      </c>
      <c r="E280" s="286">
        <f t="shared" si="32"/>
        <v>470</v>
      </c>
      <c r="F280" s="286">
        <v>30</v>
      </c>
      <c r="G280" s="286">
        <v>20</v>
      </c>
      <c r="H280" s="819" t="s">
        <v>1588</v>
      </c>
      <c r="I280" s="819" t="s">
        <v>1588</v>
      </c>
      <c r="J280" s="819" t="s">
        <v>1588</v>
      </c>
      <c r="K280" s="286">
        <v>420</v>
      </c>
      <c r="L280" s="287">
        <f t="shared" si="37"/>
        <v>11.75</v>
      </c>
    </row>
    <row r="281" spans="1:12" ht="26.25" customHeight="1">
      <c r="A281" s="332"/>
      <c r="B281" s="329" t="s">
        <v>2051</v>
      </c>
      <c r="C281" s="286">
        <v>4000</v>
      </c>
      <c r="D281" s="286">
        <v>4000</v>
      </c>
      <c r="E281" s="286">
        <f t="shared" si="32"/>
        <v>854</v>
      </c>
      <c r="F281" s="286">
        <v>20</v>
      </c>
      <c r="G281" s="286">
        <v>14</v>
      </c>
      <c r="H281" s="819" t="s">
        <v>1588</v>
      </c>
      <c r="I281" s="286">
        <v>820</v>
      </c>
      <c r="J281" s="819" t="s">
        <v>1588</v>
      </c>
      <c r="K281" s="819" t="s">
        <v>1588</v>
      </c>
      <c r="L281" s="287">
        <f t="shared" si="37"/>
        <v>21.349999999999998</v>
      </c>
    </row>
    <row r="282" spans="1:12" ht="26.25" customHeight="1">
      <c r="A282" s="330" t="s">
        <v>1710</v>
      </c>
      <c r="B282" s="329" t="s">
        <v>267</v>
      </c>
      <c r="C282" s="286">
        <v>3000</v>
      </c>
      <c r="D282" s="286">
        <v>3561</v>
      </c>
      <c r="E282" s="286">
        <f t="shared" si="32"/>
        <v>0</v>
      </c>
      <c r="F282" s="819" t="s">
        <v>1588</v>
      </c>
      <c r="G282" s="819" t="s">
        <v>1588</v>
      </c>
      <c r="H282" s="819" t="s">
        <v>1588</v>
      </c>
      <c r="I282" s="819" t="s">
        <v>1588</v>
      </c>
      <c r="J282" s="819" t="s">
        <v>1588</v>
      </c>
      <c r="K282" s="819" t="s">
        <v>1588</v>
      </c>
      <c r="L282" s="287">
        <f t="shared" si="37"/>
        <v>0</v>
      </c>
    </row>
    <row r="283" spans="1:12" ht="26.25" customHeight="1">
      <c r="A283" s="332"/>
      <c r="B283" s="329" t="s">
        <v>268</v>
      </c>
      <c r="C283" s="286">
        <v>385</v>
      </c>
      <c r="D283" s="286">
        <v>390</v>
      </c>
      <c r="E283" s="286">
        <f t="shared" si="32"/>
        <v>0</v>
      </c>
      <c r="F283" s="819" t="s">
        <v>1588</v>
      </c>
      <c r="G283" s="819" t="s">
        <v>1588</v>
      </c>
      <c r="H283" s="819" t="s">
        <v>1588</v>
      </c>
      <c r="I283" s="819" t="s">
        <v>1588</v>
      </c>
      <c r="J283" s="819" t="s">
        <v>1588</v>
      </c>
      <c r="K283" s="819" t="s">
        <v>1588</v>
      </c>
      <c r="L283" s="287">
        <f t="shared" si="37"/>
        <v>0</v>
      </c>
    </row>
    <row r="284" spans="1:12" ht="26.25" customHeight="1">
      <c r="A284" s="332"/>
      <c r="B284" s="329" t="s">
        <v>269</v>
      </c>
      <c r="C284" s="286">
        <v>230</v>
      </c>
      <c r="D284" s="286">
        <v>160</v>
      </c>
      <c r="E284" s="286">
        <f t="shared" si="32"/>
        <v>0</v>
      </c>
      <c r="F284" s="819" t="s">
        <v>1588</v>
      </c>
      <c r="G284" s="819" t="s">
        <v>1588</v>
      </c>
      <c r="H284" s="819" t="s">
        <v>1588</v>
      </c>
      <c r="I284" s="819" t="s">
        <v>1588</v>
      </c>
      <c r="J284" s="819" t="s">
        <v>1588</v>
      </c>
      <c r="K284" s="819" t="s">
        <v>1588</v>
      </c>
      <c r="L284" s="287">
        <f t="shared" si="37"/>
        <v>0</v>
      </c>
    </row>
    <row r="285" spans="1:12" ht="26.25" customHeight="1">
      <c r="A285" s="330" t="s">
        <v>1714</v>
      </c>
      <c r="B285" s="329" t="s">
        <v>1715</v>
      </c>
      <c r="C285" s="286">
        <v>11000</v>
      </c>
      <c r="D285" s="286">
        <v>19021</v>
      </c>
      <c r="E285" s="286">
        <f t="shared" si="32"/>
        <v>214.39999999999998</v>
      </c>
      <c r="F285" s="286">
        <v>93.2</v>
      </c>
      <c r="G285" s="286">
        <v>50</v>
      </c>
      <c r="H285" s="819" t="s">
        <v>1588</v>
      </c>
      <c r="I285" s="819" t="s">
        <v>1588</v>
      </c>
      <c r="J285" s="819" t="s">
        <v>1588</v>
      </c>
      <c r="K285" s="286">
        <v>71.2</v>
      </c>
      <c r="L285" s="287">
        <f t="shared" si="37"/>
        <v>1.1271752273802638</v>
      </c>
    </row>
    <row r="286" spans="1:12" ht="26.25" customHeight="1">
      <c r="A286" s="332"/>
      <c r="B286" s="329" t="s">
        <v>270</v>
      </c>
      <c r="C286" s="286">
        <v>6000</v>
      </c>
      <c r="D286" s="286">
        <v>911</v>
      </c>
      <c r="E286" s="286">
        <f t="shared" si="32"/>
        <v>23.5</v>
      </c>
      <c r="F286" s="286">
        <v>3.5</v>
      </c>
      <c r="G286" s="286">
        <v>20</v>
      </c>
      <c r="H286" s="819" t="s">
        <v>1588</v>
      </c>
      <c r="I286" s="819" t="s">
        <v>1588</v>
      </c>
      <c r="J286" s="819" t="s">
        <v>1588</v>
      </c>
      <c r="K286" s="819" t="s">
        <v>1588</v>
      </c>
      <c r="L286" s="287">
        <f t="shared" si="37"/>
        <v>2.5795828759604831</v>
      </c>
    </row>
    <row r="287" spans="1:12" ht="26.25" customHeight="1">
      <c r="A287" s="332"/>
      <c r="B287" s="329" t="s">
        <v>271</v>
      </c>
      <c r="C287" s="286">
        <v>2000</v>
      </c>
      <c r="D287" s="286">
        <v>656</v>
      </c>
      <c r="E287" s="286">
        <f t="shared" si="32"/>
        <v>24.8</v>
      </c>
      <c r="F287" s="286">
        <v>9.8000000000000007</v>
      </c>
      <c r="G287" s="286">
        <v>15</v>
      </c>
      <c r="H287" s="819" t="s">
        <v>1588</v>
      </c>
      <c r="I287" s="819" t="s">
        <v>1588</v>
      </c>
      <c r="J287" s="819" t="s">
        <v>1588</v>
      </c>
      <c r="K287" s="819" t="s">
        <v>1588</v>
      </c>
      <c r="L287" s="287">
        <f t="shared" si="37"/>
        <v>3.7804878048780486</v>
      </c>
    </row>
    <row r="288" spans="1:12" ht="26.25" customHeight="1">
      <c r="A288" s="331"/>
      <c r="B288" s="329" t="s">
        <v>1599</v>
      </c>
      <c r="C288" s="286">
        <v>800</v>
      </c>
      <c r="D288" s="286">
        <v>189</v>
      </c>
      <c r="E288" s="286">
        <f t="shared" si="32"/>
        <v>14.3</v>
      </c>
      <c r="F288" s="286">
        <v>4.3</v>
      </c>
      <c r="G288" s="286">
        <v>10</v>
      </c>
      <c r="H288" s="819" t="s">
        <v>1588</v>
      </c>
      <c r="I288" s="819" t="s">
        <v>1588</v>
      </c>
      <c r="J288" s="819" t="s">
        <v>1588</v>
      </c>
      <c r="K288" s="819" t="s">
        <v>1588</v>
      </c>
      <c r="L288" s="287">
        <f t="shared" si="37"/>
        <v>7.5661375661375665</v>
      </c>
    </row>
    <row r="289" spans="1:12" ht="26.25" customHeight="1">
      <c r="A289" s="331" t="s">
        <v>1718</v>
      </c>
      <c r="B289" s="293" t="s">
        <v>272</v>
      </c>
      <c r="C289" s="278">
        <v>8000</v>
      </c>
      <c r="D289" s="278">
        <v>4879</v>
      </c>
      <c r="E289" s="286">
        <f t="shared" si="32"/>
        <v>274</v>
      </c>
      <c r="F289" s="286">
        <v>82</v>
      </c>
      <c r="G289" s="286">
        <v>66</v>
      </c>
      <c r="H289" s="286">
        <v>0</v>
      </c>
      <c r="I289" s="286">
        <v>110</v>
      </c>
      <c r="J289" s="286">
        <v>0</v>
      </c>
      <c r="K289" s="286">
        <v>16</v>
      </c>
      <c r="L289" s="287">
        <f t="shared" si="37"/>
        <v>5.6159048985447839</v>
      </c>
    </row>
    <row r="290" spans="1:12" ht="26.25" customHeight="1">
      <c r="A290" s="333" t="s">
        <v>1722</v>
      </c>
      <c r="B290" s="309" t="s">
        <v>273</v>
      </c>
      <c r="C290" s="278">
        <v>9000</v>
      </c>
      <c r="D290" s="278">
        <v>6960</v>
      </c>
      <c r="E290" s="278">
        <f t="shared" si="32"/>
        <v>1384</v>
      </c>
      <c r="F290" s="278">
        <v>197</v>
      </c>
      <c r="G290" s="278">
        <v>85</v>
      </c>
      <c r="H290" s="278">
        <v>1102</v>
      </c>
      <c r="I290" s="278">
        <v>0</v>
      </c>
      <c r="J290" s="278">
        <v>0</v>
      </c>
      <c r="K290" s="278">
        <v>0</v>
      </c>
      <c r="L290" s="310">
        <f t="shared" si="37"/>
        <v>19.885057471264368</v>
      </c>
    </row>
    <row r="291" spans="1:12" ht="26.25" customHeight="1">
      <c r="A291" s="330" t="s">
        <v>1724</v>
      </c>
      <c r="B291" s="329" t="s">
        <v>274</v>
      </c>
      <c r="C291" s="286">
        <v>5500</v>
      </c>
      <c r="D291" s="286">
        <v>4000</v>
      </c>
      <c r="E291" s="286">
        <f t="shared" si="32"/>
        <v>553.29999999999995</v>
      </c>
      <c r="F291" s="286">
        <v>5.4</v>
      </c>
      <c r="G291" s="286">
        <v>0</v>
      </c>
      <c r="H291" s="286">
        <v>0</v>
      </c>
      <c r="I291" s="286">
        <v>547.9</v>
      </c>
      <c r="J291" s="286">
        <v>0</v>
      </c>
      <c r="K291" s="286">
        <v>0</v>
      </c>
      <c r="L291" s="287">
        <f t="shared" si="37"/>
        <v>13.832499999999998</v>
      </c>
    </row>
    <row r="292" spans="1:12" ht="26.25" customHeight="1">
      <c r="A292" s="332"/>
      <c r="B292" s="329" t="s">
        <v>2323</v>
      </c>
      <c r="C292" s="278">
        <v>56000</v>
      </c>
      <c r="D292" s="278">
        <v>20418</v>
      </c>
      <c r="E292" s="286">
        <f t="shared" si="32"/>
        <v>590</v>
      </c>
      <c r="F292" s="286">
        <v>200</v>
      </c>
      <c r="G292" s="286">
        <v>0</v>
      </c>
      <c r="H292" s="286">
        <v>0</v>
      </c>
      <c r="I292" s="286">
        <v>0</v>
      </c>
      <c r="J292" s="286">
        <v>364</v>
      </c>
      <c r="K292" s="286">
        <v>26</v>
      </c>
      <c r="L292" s="287">
        <f t="shared" si="37"/>
        <v>2.8896072093251055</v>
      </c>
    </row>
    <row r="293" spans="1:12" ht="26.25" customHeight="1">
      <c r="A293" s="330" t="s">
        <v>1725</v>
      </c>
      <c r="B293" s="329" t="s">
        <v>275</v>
      </c>
      <c r="C293" s="286">
        <v>4500</v>
      </c>
      <c r="D293" s="286">
        <v>2414</v>
      </c>
      <c r="E293" s="286">
        <f t="shared" si="32"/>
        <v>813</v>
      </c>
      <c r="F293" s="286">
        <v>0</v>
      </c>
      <c r="G293" s="286">
        <v>484</v>
      </c>
      <c r="H293" s="286">
        <v>0</v>
      </c>
      <c r="I293" s="286">
        <v>329</v>
      </c>
      <c r="J293" s="286">
        <v>0</v>
      </c>
      <c r="K293" s="286">
        <v>0</v>
      </c>
      <c r="L293" s="287">
        <f t="shared" si="37"/>
        <v>33.67854183927092</v>
      </c>
    </row>
    <row r="294" spans="1:12" ht="26.25" customHeight="1">
      <c r="A294" s="331"/>
      <c r="B294" s="329" t="s">
        <v>276</v>
      </c>
      <c r="C294" s="286">
        <v>3000</v>
      </c>
      <c r="D294" s="286">
        <v>1664</v>
      </c>
      <c r="E294" s="286">
        <f t="shared" si="32"/>
        <v>8</v>
      </c>
      <c r="F294" s="286">
        <v>0</v>
      </c>
      <c r="G294" s="286">
        <v>8</v>
      </c>
      <c r="H294" s="286">
        <v>0</v>
      </c>
      <c r="I294" s="286">
        <v>0</v>
      </c>
      <c r="J294" s="286">
        <v>0</v>
      </c>
      <c r="K294" s="286">
        <v>0</v>
      </c>
      <c r="L294" s="287">
        <f t="shared" si="37"/>
        <v>0.48076923076923078</v>
      </c>
    </row>
    <row r="295" spans="1:12" ht="26.25" customHeight="1">
      <c r="A295" s="331" t="s">
        <v>1728</v>
      </c>
      <c r="B295" s="293" t="s">
        <v>277</v>
      </c>
      <c r="C295" s="286">
        <v>9000</v>
      </c>
      <c r="D295" s="286">
        <v>5642</v>
      </c>
      <c r="E295" s="286">
        <f t="shared" si="32"/>
        <v>821.8</v>
      </c>
      <c r="F295" s="819" t="s">
        <v>1588</v>
      </c>
      <c r="G295" s="286">
        <v>648.5</v>
      </c>
      <c r="H295" s="819" t="s">
        <v>1588</v>
      </c>
      <c r="I295" s="819" t="s">
        <v>1588</v>
      </c>
      <c r="J295" s="819" t="s">
        <v>1588</v>
      </c>
      <c r="K295" s="286">
        <v>173.3</v>
      </c>
      <c r="L295" s="287">
        <f t="shared" si="37"/>
        <v>14.565756823821339</v>
      </c>
    </row>
    <row r="296" spans="1:12" ht="26.25" customHeight="1">
      <c r="A296" s="288" t="s">
        <v>1731</v>
      </c>
      <c r="B296" s="293" t="s">
        <v>2370</v>
      </c>
      <c r="C296" s="286">
        <v>7500</v>
      </c>
      <c r="D296" s="286">
        <v>6000</v>
      </c>
      <c r="E296" s="286">
        <f t="shared" si="32"/>
        <v>1142</v>
      </c>
      <c r="F296" s="286">
        <v>60</v>
      </c>
      <c r="G296" s="286">
        <v>235</v>
      </c>
      <c r="H296" s="286">
        <v>847</v>
      </c>
      <c r="I296" s="819" t="s">
        <v>1588</v>
      </c>
      <c r="J296" s="819" t="s">
        <v>1588</v>
      </c>
      <c r="K296" s="819" t="s">
        <v>1588</v>
      </c>
      <c r="L296" s="287">
        <f t="shared" si="37"/>
        <v>19.033333333333331</v>
      </c>
    </row>
    <row r="297" spans="1:12" ht="26.25" customHeight="1">
      <c r="A297" s="288" t="s">
        <v>1732</v>
      </c>
      <c r="B297" s="293" t="s">
        <v>278</v>
      </c>
      <c r="C297" s="286">
        <v>11000</v>
      </c>
      <c r="D297" s="286">
        <v>10638</v>
      </c>
      <c r="E297" s="286">
        <f t="shared" si="32"/>
        <v>77.2</v>
      </c>
      <c r="F297" s="286">
        <v>15.5</v>
      </c>
      <c r="G297" s="819" t="s">
        <v>1588</v>
      </c>
      <c r="H297" s="819" t="s">
        <v>1588</v>
      </c>
      <c r="I297" s="819" t="s">
        <v>1588</v>
      </c>
      <c r="J297" s="286">
        <v>61.7</v>
      </c>
      <c r="K297" s="819" t="s">
        <v>1588</v>
      </c>
      <c r="L297" s="287">
        <f t="shared" si="37"/>
        <v>0.7257003196089491</v>
      </c>
    </row>
    <row r="298" spans="1:12" ht="26.25" customHeight="1">
      <c r="A298" s="896" t="s">
        <v>1740</v>
      </c>
      <c r="B298" s="293" t="s">
        <v>278</v>
      </c>
      <c r="C298" s="286">
        <v>4000</v>
      </c>
      <c r="D298" s="286">
        <v>3792</v>
      </c>
      <c r="E298" s="286">
        <f t="shared" si="32"/>
        <v>0</v>
      </c>
      <c r="F298" s="286">
        <v>0</v>
      </c>
      <c r="G298" s="819">
        <v>0</v>
      </c>
      <c r="H298" s="819">
        <v>0</v>
      </c>
      <c r="I298" s="819">
        <v>0</v>
      </c>
      <c r="J298" s="286">
        <v>0</v>
      </c>
      <c r="K298" s="819">
        <v>0</v>
      </c>
      <c r="L298" s="287">
        <f t="shared" si="37"/>
        <v>0</v>
      </c>
    </row>
    <row r="299" spans="1:12" ht="26.25" customHeight="1">
      <c r="A299" s="896" t="s">
        <v>1742</v>
      </c>
      <c r="B299" s="893" t="s">
        <v>7584</v>
      </c>
      <c r="C299" s="286">
        <v>550</v>
      </c>
      <c r="D299" s="286">
        <v>230</v>
      </c>
      <c r="E299" s="286">
        <f t="shared" si="32"/>
        <v>0</v>
      </c>
      <c r="F299" s="286">
        <v>0</v>
      </c>
      <c r="G299" s="819">
        <v>0</v>
      </c>
      <c r="H299" s="819">
        <v>0</v>
      </c>
      <c r="I299" s="819">
        <v>0</v>
      </c>
      <c r="J299" s="286">
        <v>0</v>
      </c>
      <c r="K299" s="819">
        <v>0</v>
      </c>
      <c r="L299" s="287">
        <f t="shared" si="37"/>
        <v>0</v>
      </c>
    </row>
    <row r="300" spans="1:12" ht="26.25" customHeight="1">
      <c r="A300" s="897"/>
      <c r="B300" s="893" t="s">
        <v>7585</v>
      </c>
      <c r="C300" s="286">
        <v>550</v>
      </c>
      <c r="D300" s="286">
        <v>285</v>
      </c>
      <c r="E300" s="286">
        <f t="shared" si="32"/>
        <v>0</v>
      </c>
      <c r="F300" s="286">
        <v>0</v>
      </c>
      <c r="G300" s="819">
        <v>0</v>
      </c>
      <c r="H300" s="819">
        <v>0</v>
      </c>
      <c r="I300" s="819">
        <v>0</v>
      </c>
      <c r="J300" s="286">
        <v>0</v>
      </c>
      <c r="K300" s="819">
        <v>0</v>
      </c>
      <c r="L300" s="287">
        <f t="shared" si="37"/>
        <v>0</v>
      </c>
    </row>
    <row r="301" spans="1:12" ht="26.25" customHeight="1">
      <c r="A301" s="300" t="s">
        <v>1743</v>
      </c>
      <c r="B301" s="336">
        <f t="shared" ref="B301:K301" si="38">B302+B326</f>
        <v>37</v>
      </c>
      <c r="C301" s="63">
        <f>C302+C326</f>
        <v>1085000</v>
      </c>
      <c r="D301" s="63">
        <f>D302+D326</f>
        <v>934581.76994129154</v>
      </c>
      <c r="E301" s="63">
        <f t="shared" si="32"/>
        <v>80143.5</v>
      </c>
      <c r="F301" s="63">
        <f>F302+F326</f>
        <v>9612.2000000000007</v>
      </c>
      <c r="G301" s="63">
        <f t="shared" si="38"/>
        <v>2997.5</v>
      </c>
      <c r="H301" s="63">
        <f t="shared" si="38"/>
        <v>4149</v>
      </c>
      <c r="I301" s="63">
        <f t="shared" si="38"/>
        <v>8569</v>
      </c>
      <c r="J301" s="63">
        <f t="shared" si="38"/>
        <v>0</v>
      </c>
      <c r="K301" s="63">
        <f t="shared" si="38"/>
        <v>54815.8</v>
      </c>
      <c r="L301" s="64">
        <f t="shared" si="37"/>
        <v>8.5753331145154323</v>
      </c>
    </row>
    <row r="302" spans="1:12" ht="26.25" customHeight="1">
      <c r="A302" s="298" t="s">
        <v>1674</v>
      </c>
      <c r="B302" s="336">
        <f>COUNTA(B303:B325)</f>
        <v>23</v>
      </c>
      <c r="C302" s="63">
        <f t="shared" ref="C302:K302" si="39">SUM(C303:C325)</f>
        <v>955400</v>
      </c>
      <c r="D302" s="63">
        <f t="shared" si="39"/>
        <v>839107.76994129154</v>
      </c>
      <c r="E302" s="63">
        <f t="shared" si="32"/>
        <v>63708.5</v>
      </c>
      <c r="F302" s="63">
        <f t="shared" si="39"/>
        <v>5979.2</v>
      </c>
      <c r="G302" s="63">
        <f t="shared" si="39"/>
        <v>2962</v>
      </c>
      <c r="H302" s="63">
        <f t="shared" si="39"/>
        <v>4149</v>
      </c>
      <c r="I302" s="63">
        <f t="shared" si="39"/>
        <v>8254</v>
      </c>
      <c r="J302" s="63">
        <f t="shared" si="39"/>
        <v>0</v>
      </c>
      <c r="K302" s="63">
        <f t="shared" si="39"/>
        <v>42364.3</v>
      </c>
      <c r="L302" s="64">
        <f t="shared" si="37"/>
        <v>7.5924097335503618</v>
      </c>
    </row>
    <row r="303" spans="1:12" ht="26.25" customHeight="1">
      <c r="A303" s="298" t="s">
        <v>1744</v>
      </c>
      <c r="B303" s="322" t="s">
        <v>2373</v>
      </c>
      <c r="C303" s="63">
        <v>80000</v>
      </c>
      <c r="D303" s="63">
        <v>78835</v>
      </c>
      <c r="E303" s="63">
        <f t="shared" si="32"/>
        <v>1600</v>
      </c>
      <c r="F303" s="63">
        <v>16</v>
      </c>
      <c r="G303" s="632" t="s">
        <v>1588</v>
      </c>
      <c r="H303" s="632" t="s">
        <v>1588</v>
      </c>
      <c r="I303" s="632" t="s">
        <v>1588</v>
      </c>
      <c r="J303" s="632" t="s">
        <v>1588</v>
      </c>
      <c r="K303" s="63">
        <v>1584</v>
      </c>
      <c r="L303" s="64">
        <f t="shared" si="37"/>
        <v>2.0295554005200738</v>
      </c>
    </row>
    <row r="304" spans="1:12" ht="26.25" customHeight="1">
      <c r="A304" s="299"/>
      <c r="B304" s="322" t="s">
        <v>2059</v>
      </c>
      <c r="C304" s="63">
        <v>12000</v>
      </c>
      <c r="D304" s="63">
        <v>6720</v>
      </c>
      <c r="E304" s="63">
        <f t="shared" si="32"/>
        <v>99.2</v>
      </c>
      <c r="F304" s="63">
        <v>99.2</v>
      </c>
      <c r="G304" s="632" t="s">
        <v>1588</v>
      </c>
      <c r="H304" s="632" t="s">
        <v>1588</v>
      </c>
      <c r="I304" s="632" t="s">
        <v>1588</v>
      </c>
      <c r="J304" s="632" t="s">
        <v>1588</v>
      </c>
      <c r="K304" s="632" t="s">
        <v>1588</v>
      </c>
      <c r="L304" s="64">
        <f t="shared" si="37"/>
        <v>1.4761904761904763</v>
      </c>
    </row>
    <row r="305" spans="1:12" ht="26.25" customHeight="1">
      <c r="A305" s="299"/>
      <c r="B305" s="322" t="s">
        <v>2061</v>
      </c>
      <c r="C305" s="63">
        <v>25000</v>
      </c>
      <c r="D305" s="63">
        <v>7304</v>
      </c>
      <c r="E305" s="63">
        <f t="shared" si="32"/>
        <v>983</v>
      </c>
      <c r="F305" s="63">
        <v>16</v>
      </c>
      <c r="G305" s="632" t="s">
        <v>1588</v>
      </c>
      <c r="H305" s="632" t="s">
        <v>1588</v>
      </c>
      <c r="I305" s="63">
        <v>753</v>
      </c>
      <c r="J305" s="632" t="s">
        <v>1588</v>
      </c>
      <c r="K305" s="63">
        <v>214</v>
      </c>
      <c r="L305" s="64">
        <f t="shared" si="37"/>
        <v>13.458378970427162</v>
      </c>
    </row>
    <row r="306" spans="1:12" ht="26.25" customHeight="1">
      <c r="A306" s="298" t="s">
        <v>1894</v>
      </c>
      <c r="B306" s="322" t="s">
        <v>2374</v>
      </c>
      <c r="C306" s="65">
        <v>110000</v>
      </c>
      <c r="D306" s="65">
        <v>108598</v>
      </c>
      <c r="E306" s="65">
        <f t="shared" si="32"/>
        <v>1580</v>
      </c>
      <c r="F306" s="626" t="s">
        <v>1588</v>
      </c>
      <c r="G306" s="626" t="s">
        <v>1588</v>
      </c>
      <c r="H306" s="626" t="s">
        <v>1588</v>
      </c>
      <c r="I306" s="626" t="s">
        <v>1588</v>
      </c>
      <c r="J306" s="626" t="s">
        <v>1588</v>
      </c>
      <c r="K306" s="65">
        <v>1580</v>
      </c>
      <c r="L306" s="66">
        <f t="shared" si="37"/>
        <v>1.4549070885283339</v>
      </c>
    </row>
    <row r="307" spans="1:12" ht="26.25" customHeight="1">
      <c r="A307" s="299"/>
      <c r="B307" s="322" t="s">
        <v>2065</v>
      </c>
      <c r="C307" s="65">
        <v>18000</v>
      </c>
      <c r="D307" s="65">
        <v>8095</v>
      </c>
      <c r="E307" s="65">
        <f t="shared" si="32"/>
        <v>11</v>
      </c>
      <c r="F307" s="626" t="s">
        <v>1588</v>
      </c>
      <c r="G307" s="626" t="s">
        <v>1588</v>
      </c>
      <c r="H307" s="626" t="s">
        <v>1588</v>
      </c>
      <c r="I307" s="626" t="s">
        <v>1588</v>
      </c>
      <c r="J307" s="626" t="s">
        <v>1588</v>
      </c>
      <c r="K307" s="65">
        <v>11</v>
      </c>
      <c r="L307" s="66">
        <f t="shared" si="37"/>
        <v>0.13588634959851759</v>
      </c>
    </row>
    <row r="308" spans="1:12" ht="26.25" customHeight="1">
      <c r="A308" s="299"/>
      <c r="B308" s="322" t="s">
        <v>279</v>
      </c>
      <c r="C308" s="65">
        <v>5000</v>
      </c>
      <c r="D308" s="65">
        <v>1881</v>
      </c>
      <c r="E308" s="65">
        <f t="shared" si="32"/>
        <v>177</v>
      </c>
      <c r="F308" s="65">
        <v>11</v>
      </c>
      <c r="G308" s="626" t="s">
        <v>1588</v>
      </c>
      <c r="H308" s="626" t="s">
        <v>1588</v>
      </c>
      <c r="I308" s="626" t="s">
        <v>1588</v>
      </c>
      <c r="J308" s="626" t="s">
        <v>1588</v>
      </c>
      <c r="K308" s="65">
        <v>166</v>
      </c>
      <c r="L308" s="66">
        <f t="shared" si="37"/>
        <v>9.4098883572567775</v>
      </c>
    </row>
    <row r="309" spans="1:12" ht="26.25" customHeight="1">
      <c r="A309" s="299"/>
      <c r="B309" s="322" t="s">
        <v>280</v>
      </c>
      <c r="C309" s="65">
        <v>300</v>
      </c>
      <c r="D309" s="65">
        <v>176</v>
      </c>
      <c r="E309" s="65">
        <f t="shared" si="32"/>
        <v>176</v>
      </c>
      <c r="F309" s="626" t="s">
        <v>1588</v>
      </c>
      <c r="G309" s="626" t="s">
        <v>1588</v>
      </c>
      <c r="H309" s="65">
        <v>176</v>
      </c>
      <c r="I309" s="626" t="s">
        <v>1588</v>
      </c>
      <c r="J309" s="626" t="s">
        <v>1588</v>
      </c>
      <c r="K309" s="626" t="s">
        <v>1588</v>
      </c>
      <c r="L309" s="66">
        <f t="shared" si="37"/>
        <v>100</v>
      </c>
    </row>
    <row r="310" spans="1:12" ht="26.25" customHeight="1">
      <c r="A310" s="299"/>
      <c r="B310" s="322" t="s">
        <v>281</v>
      </c>
      <c r="C310" s="65">
        <v>300</v>
      </c>
      <c r="D310" s="65">
        <v>105</v>
      </c>
      <c r="E310" s="65">
        <f t="shared" si="32"/>
        <v>105</v>
      </c>
      <c r="F310" s="626" t="s">
        <v>1588</v>
      </c>
      <c r="G310" s="626" t="s">
        <v>1588</v>
      </c>
      <c r="H310" s="65">
        <v>105</v>
      </c>
      <c r="I310" s="626" t="s">
        <v>1588</v>
      </c>
      <c r="J310" s="626" t="s">
        <v>1588</v>
      </c>
      <c r="K310" s="626" t="s">
        <v>1588</v>
      </c>
      <c r="L310" s="66">
        <f t="shared" si="37"/>
        <v>100</v>
      </c>
    </row>
    <row r="311" spans="1:12" ht="26.25" customHeight="1">
      <c r="A311" s="300"/>
      <c r="B311" s="322" t="s">
        <v>282</v>
      </c>
      <c r="C311" s="65">
        <v>300</v>
      </c>
      <c r="D311" s="65">
        <v>171</v>
      </c>
      <c r="E311" s="65">
        <f t="shared" si="32"/>
        <v>171</v>
      </c>
      <c r="F311" s="626" t="s">
        <v>1588</v>
      </c>
      <c r="G311" s="626" t="s">
        <v>1588</v>
      </c>
      <c r="H311" s="65">
        <v>171</v>
      </c>
      <c r="I311" s="626" t="s">
        <v>1588</v>
      </c>
      <c r="J311" s="626" t="s">
        <v>1588</v>
      </c>
      <c r="K311" s="626" t="s">
        <v>1588</v>
      </c>
      <c r="L311" s="66">
        <f t="shared" si="37"/>
        <v>100</v>
      </c>
    </row>
    <row r="312" spans="1:12" ht="26.25" customHeight="1">
      <c r="A312" s="300" t="s">
        <v>1898</v>
      </c>
      <c r="B312" s="290" t="s">
        <v>2324</v>
      </c>
      <c r="C312" s="65">
        <v>80000</v>
      </c>
      <c r="D312" s="65">
        <v>68162</v>
      </c>
      <c r="E312" s="65">
        <f t="shared" si="32"/>
        <v>11988.8</v>
      </c>
      <c r="F312" s="65">
        <v>2926</v>
      </c>
      <c r="G312" s="626" t="s">
        <v>1588</v>
      </c>
      <c r="H312" s="626" t="s">
        <v>1588</v>
      </c>
      <c r="I312" s="65">
        <v>7397</v>
      </c>
      <c r="J312" s="626" t="s">
        <v>1588</v>
      </c>
      <c r="K312" s="65">
        <v>1665.8</v>
      </c>
      <c r="L312" s="64">
        <f t="shared" si="37"/>
        <v>17.588685777999473</v>
      </c>
    </row>
    <row r="313" spans="1:12" ht="26.25" customHeight="1">
      <c r="A313" s="298" t="s">
        <v>1968</v>
      </c>
      <c r="B313" s="290" t="s">
        <v>2325</v>
      </c>
      <c r="C313" s="63">
        <v>54000</v>
      </c>
      <c r="D313" s="63">
        <v>50739</v>
      </c>
      <c r="E313" s="63">
        <f t="shared" si="32"/>
        <v>4800</v>
      </c>
      <c r="F313" s="63">
        <v>1112</v>
      </c>
      <c r="G313" s="63">
        <v>1112</v>
      </c>
      <c r="H313" s="63">
        <v>2472</v>
      </c>
      <c r="I313" s="63">
        <v>104</v>
      </c>
      <c r="J313" s="63">
        <v>0</v>
      </c>
      <c r="K313" s="63">
        <v>0</v>
      </c>
      <c r="L313" s="64">
        <f t="shared" si="37"/>
        <v>9.4601785608703359</v>
      </c>
    </row>
    <row r="314" spans="1:12" ht="26.25" customHeight="1">
      <c r="A314" s="298" t="s">
        <v>1969</v>
      </c>
      <c r="B314" s="322" t="s">
        <v>2326</v>
      </c>
      <c r="C314" s="65">
        <v>330000</v>
      </c>
      <c r="D314" s="65">
        <v>313959</v>
      </c>
      <c r="E314" s="65">
        <f t="shared" si="32"/>
        <v>34728</v>
      </c>
      <c r="F314" s="65">
        <v>1000</v>
      </c>
      <c r="G314" s="65">
        <v>1728</v>
      </c>
      <c r="H314" s="626" t="s">
        <v>1588</v>
      </c>
      <c r="I314" s="626" t="s">
        <v>1588</v>
      </c>
      <c r="J314" s="626" t="s">
        <v>1588</v>
      </c>
      <c r="K314" s="65">
        <v>32000</v>
      </c>
      <c r="L314" s="66">
        <f t="shared" si="37"/>
        <v>11.061316923547341</v>
      </c>
    </row>
    <row r="315" spans="1:12" ht="26.25" customHeight="1">
      <c r="A315" s="299"/>
      <c r="B315" s="322" t="s">
        <v>283</v>
      </c>
      <c r="C315" s="65">
        <v>500</v>
      </c>
      <c r="D315" s="65">
        <v>247</v>
      </c>
      <c r="E315" s="65">
        <f t="shared" si="32"/>
        <v>5</v>
      </c>
      <c r="F315" s="626" t="s">
        <v>1588</v>
      </c>
      <c r="G315" s="626" t="s">
        <v>1588</v>
      </c>
      <c r="H315" s="626" t="s">
        <v>1588</v>
      </c>
      <c r="I315" s="626" t="s">
        <v>1588</v>
      </c>
      <c r="J315" s="626" t="s">
        <v>1588</v>
      </c>
      <c r="K315" s="65">
        <v>5</v>
      </c>
      <c r="L315" s="66">
        <f t="shared" si="37"/>
        <v>2.0242914979757085</v>
      </c>
    </row>
    <row r="316" spans="1:12" ht="26.25" customHeight="1">
      <c r="A316" s="299"/>
      <c r="B316" s="322" t="s">
        <v>284</v>
      </c>
      <c r="C316" s="65">
        <v>50000</v>
      </c>
      <c r="D316" s="65">
        <v>23451</v>
      </c>
      <c r="E316" s="65">
        <f t="shared" si="32"/>
        <v>208</v>
      </c>
      <c r="F316" s="626" t="s">
        <v>1588</v>
      </c>
      <c r="G316" s="626" t="s">
        <v>1588</v>
      </c>
      <c r="H316" s="626" t="s">
        <v>1588</v>
      </c>
      <c r="I316" s="626" t="s">
        <v>1588</v>
      </c>
      <c r="J316" s="626" t="s">
        <v>1588</v>
      </c>
      <c r="K316" s="65">
        <v>208</v>
      </c>
      <c r="L316" s="66">
        <f t="shared" si="37"/>
        <v>0.88695578013730758</v>
      </c>
    </row>
    <row r="317" spans="1:12" ht="26.25" customHeight="1">
      <c r="A317" s="300"/>
      <c r="B317" s="322" t="s">
        <v>285</v>
      </c>
      <c r="C317" s="65">
        <v>9000</v>
      </c>
      <c r="D317" s="65">
        <v>5400</v>
      </c>
      <c r="E317" s="65">
        <f t="shared" si="32"/>
        <v>596.5</v>
      </c>
      <c r="F317" s="65">
        <v>10</v>
      </c>
      <c r="G317" s="65">
        <v>1</v>
      </c>
      <c r="H317" s="626" t="s">
        <v>1588</v>
      </c>
      <c r="I317" s="626" t="s">
        <v>1588</v>
      </c>
      <c r="J317" s="626" t="s">
        <v>1588</v>
      </c>
      <c r="K317" s="65">
        <v>585.5</v>
      </c>
      <c r="L317" s="66">
        <f t="shared" si="37"/>
        <v>11.046296296296296</v>
      </c>
    </row>
    <row r="318" spans="1:12" ht="26.25" customHeight="1">
      <c r="A318" s="334" t="s">
        <v>2008</v>
      </c>
      <c r="B318" s="311" t="s">
        <v>2328</v>
      </c>
      <c r="C318" s="65">
        <v>40000</v>
      </c>
      <c r="D318" s="65">
        <v>48177.769941291597</v>
      </c>
      <c r="E318" s="312">
        <f t="shared" si="32"/>
        <v>650</v>
      </c>
      <c r="F318" s="312">
        <v>550</v>
      </c>
      <c r="G318" s="811" t="s">
        <v>1588</v>
      </c>
      <c r="H318" s="811" t="s">
        <v>1588</v>
      </c>
      <c r="I318" s="811" t="s">
        <v>1588</v>
      </c>
      <c r="J318" s="811" t="s">
        <v>1588</v>
      </c>
      <c r="K318" s="312">
        <v>100</v>
      </c>
      <c r="L318" s="313">
        <f t="shared" si="37"/>
        <v>1.3491699611502901</v>
      </c>
    </row>
    <row r="319" spans="1:12" ht="26.25" customHeight="1">
      <c r="A319" s="298" t="s">
        <v>1901</v>
      </c>
      <c r="B319" s="322" t="s">
        <v>2329</v>
      </c>
      <c r="C319" s="63">
        <v>25000</v>
      </c>
      <c r="D319" s="63">
        <v>25655</v>
      </c>
      <c r="E319" s="63">
        <f t="shared" ref="E319:E380" si="40">SUM(F319:K319)</f>
        <v>1634</v>
      </c>
      <c r="F319" s="63">
        <v>94</v>
      </c>
      <c r="G319" s="632" t="s">
        <v>1588</v>
      </c>
      <c r="H319" s="63">
        <v>1225</v>
      </c>
      <c r="I319" s="632" t="s">
        <v>1588</v>
      </c>
      <c r="J319" s="632" t="s">
        <v>1588</v>
      </c>
      <c r="K319" s="63">
        <v>315</v>
      </c>
      <c r="L319" s="64">
        <f t="shared" si="37"/>
        <v>6.3691288247904891</v>
      </c>
    </row>
    <row r="320" spans="1:12" ht="26.25" customHeight="1">
      <c r="A320" s="300"/>
      <c r="B320" s="322" t="s">
        <v>286</v>
      </c>
      <c r="C320" s="63">
        <v>10000</v>
      </c>
      <c r="D320" s="63">
        <v>3414</v>
      </c>
      <c r="E320" s="63">
        <f t="shared" si="40"/>
        <v>198</v>
      </c>
      <c r="F320" s="63">
        <v>85</v>
      </c>
      <c r="G320" s="63">
        <v>81</v>
      </c>
      <c r="H320" s="63">
        <v>0</v>
      </c>
      <c r="I320" s="632" t="s">
        <v>1588</v>
      </c>
      <c r="J320" s="632" t="s">
        <v>1588</v>
      </c>
      <c r="K320" s="63">
        <v>32</v>
      </c>
      <c r="L320" s="64">
        <f t="shared" si="37"/>
        <v>5.7996485061511418</v>
      </c>
    </row>
    <row r="321" spans="1:12" ht="26.25" customHeight="1">
      <c r="A321" s="299" t="s">
        <v>1902</v>
      </c>
      <c r="B321" s="290" t="s">
        <v>2167</v>
      </c>
      <c r="C321" s="63">
        <v>26000</v>
      </c>
      <c r="D321" s="63">
        <v>23869</v>
      </c>
      <c r="E321" s="63">
        <f t="shared" si="40"/>
        <v>1510</v>
      </c>
      <c r="F321" s="632" t="s">
        <v>1588</v>
      </c>
      <c r="G321" s="632" t="s">
        <v>1588</v>
      </c>
      <c r="H321" s="632" t="s">
        <v>1588</v>
      </c>
      <c r="I321" s="632" t="s">
        <v>1588</v>
      </c>
      <c r="J321" s="632" t="s">
        <v>1588</v>
      </c>
      <c r="K321" s="63">
        <v>1510</v>
      </c>
      <c r="L321" s="64">
        <f t="shared" si="37"/>
        <v>6.3261971594955808</v>
      </c>
    </row>
    <row r="322" spans="1:12" ht="26.25" customHeight="1">
      <c r="A322" s="298" t="s">
        <v>2009</v>
      </c>
      <c r="B322" s="322" t="s">
        <v>2332</v>
      </c>
      <c r="C322" s="63">
        <v>30000</v>
      </c>
      <c r="D322" s="63">
        <v>32180</v>
      </c>
      <c r="E322" s="63">
        <f t="shared" si="40"/>
        <v>1466</v>
      </c>
      <c r="F322" s="63">
        <v>30</v>
      </c>
      <c r="G322" s="63">
        <v>30</v>
      </c>
      <c r="H322" s="632" t="s">
        <v>1588</v>
      </c>
      <c r="I322" s="632" t="s">
        <v>1588</v>
      </c>
      <c r="J322" s="632" t="s">
        <v>1588</v>
      </c>
      <c r="K322" s="63">
        <v>1406</v>
      </c>
      <c r="L322" s="64">
        <f t="shared" si="37"/>
        <v>4.555624611559975</v>
      </c>
    </row>
    <row r="323" spans="1:12" ht="26.25" customHeight="1">
      <c r="A323" s="299"/>
      <c r="B323" s="322" t="s">
        <v>287</v>
      </c>
      <c r="C323" s="63">
        <v>8000</v>
      </c>
      <c r="D323" s="63">
        <v>3456</v>
      </c>
      <c r="E323" s="63">
        <f t="shared" si="40"/>
        <v>80</v>
      </c>
      <c r="F323" s="63">
        <v>10</v>
      </c>
      <c r="G323" s="63">
        <v>10</v>
      </c>
      <c r="H323" s="632" t="s">
        <v>1588</v>
      </c>
      <c r="I323" s="632" t="s">
        <v>1588</v>
      </c>
      <c r="J323" s="632" t="s">
        <v>1588</v>
      </c>
      <c r="K323" s="63">
        <v>60</v>
      </c>
      <c r="L323" s="64">
        <f t="shared" si="37"/>
        <v>2.3148148148148149</v>
      </c>
    </row>
    <row r="324" spans="1:12" ht="26.25" customHeight="1">
      <c r="A324" s="300"/>
      <c r="B324" s="322" t="s">
        <v>288</v>
      </c>
      <c r="C324" s="63">
        <v>2000</v>
      </c>
      <c r="D324" s="63">
        <v>379</v>
      </c>
      <c r="E324" s="63">
        <f t="shared" si="40"/>
        <v>0</v>
      </c>
      <c r="F324" s="632" t="s">
        <v>1588</v>
      </c>
      <c r="G324" s="632" t="s">
        <v>1588</v>
      </c>
      <c r="H324" s="632" t="s">
        <v>1588</v>
      </c>
      <c r="I324" s="632" t="s">
        <v>1588</v>
      </c>
      <c r="J324" s="632" t="s">
        <v>1588</v>
      </c>
      <c r="K324" s="632" t="s">
        <v>1588</v>
      </c>
      <c r="L324" s="64">
        <f t="shared" si="37"/>
        <v>0</v>
      </c>
    </row>
    <row r="325" spans="1:12" ht="26.25" customHeight="1">
      <c r="A325" s="300" t="s">
        <v>1907</v>
      </c>
      <c r="B325" s="290" t="s">
        <v>2333</v>
      </c>
      <c r="C325" s="63">
        <v>40000</v>
      </c>
      <c r="D325" s="63">
        <v>28134</v>
      </c>
      <c r="E325" s="63">
        <f t="shared" si="40"/>
        <v>942</v>
      </c>
      <c r="F325" s="63">
        <v>20</v>
      </c>
      <c r="G325" s="632" t="s">
        <v>1588</v>
      </c>
      <c r="H325" s="632" t="s">
        <v>1588</v>
      </c>
      <c r="I325" s="632" t="s">
        <v>1588</v>
      </c>
      <c r="J325" s="632" t="s">
        <v>1588</v>
      </c>
      <c r="K325" s="63">
        <v>922</v>
      </c>
      <c r="L325" s="64">
        <f t="shared" si="37"/>
        <v>3.3482618895286844</v>
      </c>
    </row>
    <row r="326" spans="1:12" ht="26.25" customHeight="1">
      <c r="A326" s="298" t="s">
        <v>1616</v>
      </c>
      <c r="B326" s="336">
        <f>COUNTA(B327:B340)</f>
        <v>14</v>
      </c>
      <c r="C326" s="63">
        <f t="shared" ref="C326:K326" si="41">SUM(C327:C340)</f>
        <v>129600</v>
      </c>
      <c r="D326" s="63">
        <f t="shared" si="41"/>
        <v>95474</v>
      </c>
      <c r="E326" s="63">
        <f t="shared" si="40"/>
        <v>16435</v>
      </c>
      <c r="F326" s="63">
        <f t="shared" si="41"/>
        <v>3633</v>
      </c>
      <c r="G326" s="63">
        <f t="shared" si="41"/>
        <v>35.5</v>
      </c>
      <c r="H326" s="63">
        <f t="shared" si="41"/>
        <v>0</v>
      </c>
      <c r="I326" s="63">
        <f t="shared" si="41"/>
        <v>315</v>
      </c>
      <c r="J326" s="63">
        <f t="shared" si="41"/>
        <v>0</v>
      </c>
      <c r="K326" s="63">
        <f t="shared" si="41"/>
        <v>12451.5</v>
      </c>
      <c r="L326" s="64">
        <f t="shared" si="37"/>
        <v>17.214110647925089</v>
      </c>
    </row>
    <row r="327" spans="1:12" ht="26.25" customHeight="1">
      <c r="A327" s="298" t="s">
        <v>1909</v>
      </c>
      <c r="B327" s="322" t="s">
        <v>2334</v>
      </c>
      <c r="C327" s="63">
        <v>8000</v>
      </c>
      <c r="D327" s="63">
        <v>10481</v>
      </c>
      <c r="E327" s="63">
        <f t="shared" si="40"/>
        <v>1000</v>
      </c>
      <c r="F327" s="63">
        <f>64+171+354</f>
        <v>589</v>
      </c>
      <c r="G327" s="63">
        <v>14</v>
      </c>
      <c r="H327" s="63">
        <v>0</v>
      </c>
      <c r="I327" s="63">
        <v>0</v>
      </c>
      <c r="J327" s="63">
        <v>0</v>
      </c>
      <c r="K327" s="63">
        <v>397</v>
      </c>
      <c r="L327" s="64">
        <f t="shared" si="37"/>
        <v>9.5410743249689922</v>
      </c>
    </row>
    <row r="328" spans="1:12" ht="26.25" customHeight="1">
      <c r="A328" s="299"/>
      <c r="B328" s="322" t="s">
        <v>289</v>
      </c>
      <c r="C328" s="63">
        <v>2600</v>
      </c>
      <c r="D328" s="63">
        <v>1366</v>
      </c>
      <c r="E328" s="63">
        <f t="shared" si="40"/>
        <v>151</v>
      </c>
      <c r="F328" s="63">
        <v>122</v>
      </c>
      <c r="G328" s="63">
        <v>12</v>
      </c>
      <c r="H328" s="63">
        <v>0</v>
      </c>
      <c r="I328" s="63">
        <v>0</v>
      </c>
      <c r="J328" s="63">
        <v>0</v>
      </c>
      <c r="K328" s="63">
        <v>17</v>
      </c>
      <c r="L328" s="64">
        <f t="shared" si="37"/>
        <v>11.054172767203514</v>
      </c>
    </row>
    <row r="329" spans="1:12" ht="26.25" customHeight="1">
      <c r="A329" s="298" t="s">
        <v>1917</v>
      </c>
      <c r="B329" s="322" t="s">
        <v>2041</v>
      </c>
      <c r="C329" s="63">
        <v>13000</v>
      </c>
      <c r="D329" s="63">
        <v>11168</v>
      </c>
      <c r="E329" s="63">
        <f t="shared" si="40"/>
        <v>4318</v>
      </c>
      <c r="F329" s="63">
        <v>1117</v>
      </c>
      <c r="G329" s="632" t="s">
        <v>1588</v>
      </c>
      <c r="H329" s="632" t="s">
        <v>1588</v>
      </c>
      <c r="I329" s="632" t="s">
        <v>1588</v>
      </c>
      <c r="J329" s="632" t="s">
        <v>1588</v>
      </c>
      <c r="K329" s="63">
        <v>3201</v>
      </c>
      <c r="L329" s="64">
        <f t="shared" si="37"/>
        <v>38.664040114613179</v>
      </c>
    </row>
    <row r="330" spans="1:12" ht="26.25" customHeight="1">
      <c r="A330" s="299"/>
      <c r="B330" s="322" t="s">
        <v>2337</v>
      </c>
      <c r="C330" s="63">
        <v>5400</v>
      </c>
      <c r="D330" s="63">
        <v>3727</v>
      </c>
      <c r="E330" s="63">
        <f t="shared" si="40"/>
        <v>576</v>
      </c>
      <c r="F330" s="63">
        <v>12</v>
      </c>
      <c r="G330" s="632" t="s">
        <v>1588</v>
      </c>
      <c r="H330" s="632" t="s">
        <v>1588</v>
      </c>
      <c r="I330" s="632" t="s">
        <v>1588</v>
      </c>
      <c r="J330" s="632" t="s">
        <v>1588</v>
      </c>
      <c r="K330" s="63">
        <v>564</v>
      </c>
      <c r="L330" s="64">
        <f t="shared" si="37"/>
        <v>15.454789374832304</v>
      </c>
    </row>
    <row r="331" spans="1:12" ht="26.25" customHeight="1">
      <c r="A331" s="299"/>
      <c r="B331" s="322" t="s">
        <v>2076</v>
      </c>
      <c r="C331" s="63">
        <v>800</v>
      </c>
      <c r="D331" s="63">
        <v>312</v>
      </c>
      <c r="E331" s="63">
        <f t="shared" si="40"/>
        <v>312</v>
      </c>
      <c r="F331" s="632" t="s">
        <v>1588</v>
      </c>
      <c r="G331" s="632" t="s">
        <v>1588</v>
      </c>
      <c r="H331" s="632" t="s">
        <v>1588</v>
      </c>
      <c r="I331" s="63">
        <v>312</v>
      </c>
      <c r="J331" s="632" t="s">
        <v>1588</v>
      </c>
      <c r="K331" s="632" t="s">
        <v>1588</v>
      </c>
      <c r="L331" s="64">
        <f t="shared" si="37"/>
        <v>100</v>
      </c>
    </row>
    <row r="332" spans="1:12" ht="26.25" customHeight="1">
      <c r="A332" s="298" t="s">
        <v>1918</v>
      </c>
      <c r="B332" s="322" t="s">
        <v>2338</v>
      </c>
      <c r="C332" s="63">
        <v>7600</v>
      </c>
      <c r="D332" s="63">
        <v>7000</v>
      </c>
      <c r="E332" s="63">
        <f t="shared" si="40"/>
        <v>840</v>
      </c>
      <c r="F332" s="63">
        <v>840</v>
      </c>
      <c r="G332" s="632" t="s">
        <v>1588</v>
      </c>
      <c r="H332" s="632" t="s">
        <v>1588</v>
      </c>
      <c r="I332" s="632" t="s">
        <v>1588</v>
      </c>
      <c r="J332" s="632" t="s">
        <v>1588</v>
      </c>
      <c r="K332" s="632" t="s">
        <v>1588</v>
      </c>
      <c r="L332" s="64">
        <f t="shared" si="37"/>
        <v>12</v>
      </c>
    </row>
    <row r="333" spans="1:12" ht="26.25" customHeight="1">
      <c r="A333" s="300"/>
      <c r="B333" s="322" t="s">
        <v>338</v>
      </c>
      <c r="C333" s="63">
        <v>700</v>
      </c>
      <c r="D333" s="63">
        <v>505</v>
      </c>
      <c r="E333" s="63">
        <f t="shared" si="40"/>
        <v>101</v>
      </c>
      <c r="F333" s="63">
        <v>101</v>
      </c>
      <c r="G333" s="632" t="s">
        <v>1588</v>
      </c>
      <c r="H333" s="632" t="s">
        <v>1588</v>
      </c>
      <c r="I333" s="632" t="s">
        <v>1588</v>
      </c>
      <c r="J333" s="632" t="s">
        <v>1588</v>
      </c>
      <c r="K333" s="632" t="s">
        <v>1588</v>
      </c>
      <c r="L333" s="64">
        <f t="shared" si="37"/>
        <v>20</v>
      </c>
    </row>
    <row r="334" spans="1:12" ht="26.25" customHeight="1">
      <c r="A334" s="300" t="s">
        <v>1919</v>
      </c>
      <c r="B334" s="290" t="s">
        <v>2341</v>
      </c>
      <c r="C334" s="63">
        <v>6000</v>
      </c>
      <c r="D334" s="63">
        <v>5127</v>
      </c>
      <c r="E334" s="63">
        <f t="shared" si="40"/>
        <v>374</v>
      </c>
      <c r="F334" s="632" t="s">
        <v>1588</v>
      </c>
      <c r="G334" s="63">
        <v>5.5</v>
      </c>
      <c r="H334" s="632" t="s">
        <v>1588</v>
      </c>
      <c r="I334" s="632" t="s">
        <v>1588</v>
      </c>
      <c r="J334" s="632" t="s">
        <v>1588</v>
      </c>
      <c r="K334" s="63">
        <v>368.5</v>
      </c>
      <c r="L334" s="64">
        <f t="shared" si="37"/>
        <v>7.2947142578505941</v>
      </c>
    </row>
    <row r="335" spans="1:12" ht="26.25" customHeight="1">
      <c r="A335" s="298" t="s">
        <v>1761</v>
      </c>
      <c r="B335" s="290" t="s">
        <v>2342</v>
      </c>
      <c r="C335" s="63">
        <v>4500</v>
      </c>
      <c r="D335" s="63">
        <v>3144</v>
      </c>
      <c r="E335" s="63">
        <f t="shared" si="40"/>
        <v>166</v>
      </c>
      <c r="F335" s="63">
        <v>2</v>
      </c>
      <c r="G335" s="63">
        <v>4</v>
      </c>
      <c r="H335" s="63">
        <v>0</v>
      </c>
      <c r="I335" s="63">
        <v>3</v>
      </c>
      <c r="J335" s="63">
        <v>0</v>
      </c>
      <c r="K335" s="63">
        <v>157</v>
      </c>
      <c r="L335" s="64">
        <f t="shared" si="37"/>
        <v>5.2798982188295165</v>
      </c>
    </row>
    <row r="336" spans="1:12" ht="26.25" customHeight="1">
      <c r="A336" s="298" t="s">
        <v>1922</v>
      </c>
      <c r="B336" s="322" t="s">
        <v>290</v>
      </c>
      <c r="C336" s="63">
        <v>42000</v>
      </c>
      <c r="D336" s="63">
        <v>22159</v>
      </c>
      <c r="E336" s="63">
        <f t="shared" si="40"/>
        <v>1404</v>
      </c>
      <c r="F336" s="632" t="s">
        <v>1588</v>
      </c>
      <c r="G336" s="632" t="s">
        <v>1588</v>
      </c>
      <c r="H336" s="632" t="s">
        <v>1588</v>
      </c>
      <c r="I336" s="632" t="s">
        <v>1588</v>
      </c>
      <c r="J336" s="632" t="s">
        <v>1588</v>
      </c>
      <c r="K336" s="63">
        <v>1404</v>
      </c>
      <c r="L336" s="64">
        <f t="shared" si="37"/>
        <v>6.3360259939527959</v>
      </c>
    </row>
    <row r="337" spans="1:12" ht="26.25" customHeight="1">
      <c r="A337" s="300"/>
      <c r="B337" s="322" t="s">
        <v>291</v>
      </c>
      <c r="C337" s="63">
        <v>20000</v>
      </c>
      <c r="D337" s="63">
        <v>15109</v>
      </c>
      <c r="E337" s="63">
        <f t="shared" si="40"/>
        <v>560</v>
      </c>
      <c r="F337" s="632" t="s">
        <v>1588</v>
      </c>
      <c r="G337" s="632" t="s">
        <v>1588</v>
      </c>
      <c r="H337" s="632" t="s">
        <v>1588</v>
      </c>
      <c r="I337" s="632" t="s">
        <v>1588</v>
      </c>
      <c r="J337" s="632" t="s">
        <v>1588</v>
      </c>
      <c r="K337" s="63">
        <v>560</v>
      </c>
      <c r="L337" s="64">
        <f t="shared" si="37"/>
        <v>3.7064001588457214</v>
      </c>
    </row>
    <row r="338" spans="1:12" ht="26.25" customHeight="1">
      <c r="A338" s="299" t="s">
        <v>1923</v>
      </c>
      <c r="B338" s="290" t="s">
        <v>2343</v>
      </c>
      <c r="C338" s="63">
        <v>7500</v>
      </c>
      <c r="D338" s="63">
        <v>7522</v>
      </c>
      <c r="E338" s="63">
        <f t="shared" si="40"/>
        <v>275</v>
      </c>
      <c r="F338" s="63">
        <v>275</v>
      </c>
      <c r="G338" s="632" t="s">
        <v>1588</v>
      </c>
      <c r="H338" s="632" t="s">
        <v>1588</v>
      </c>
      <c r="I338" s="632" t="s">
        <v>1588</v>
      </c>
      <c r="J338" s="632" t="s">
        <v>1588</v>
      </c>
      <c r="K338" s="632" t="s">
        <v>1588</v>
      </c>
      <c r="L338" s="64">
        <f t="shared" si="37"/>
        <v>3.6559425684658335</v>
      </c>
    </row>
    <row r="339" spans="1:12" ht="26.25" customHeight="1">
      <c r="A339" s="298" t="s">
        <v>1928</v>
      </c>
      <c r="B339" s="322" t="s">
        <v>2345</v>
      </c>
      <c r="C339" s="63">
        <v>5000</v>
      </c>
      <c r="D339" s="63">
        <v>4113</v>
      </c>
      <c r="E339" s="63">
        <f t="shared" si="40"/>
        <v>2619</v>
      </c>
      <c r="F339" s="63">
        <v>419</v>
      </c>
      <c r="G339" s="632" t="s">
        <v>1588</v>
      </c>
      <c r="H339" s="632" t="s">
        <v>1588</v>
      </c>
      <c r="I339" s="632" t="s">
        <v>1588</v>
      </c>
      <c r="J339" s="632" t="s">
        <v>1588</v>
      </c>
      <c r="K339" s="63">
        <v>2200</v>
      </c>
      <c r="L339" s="64">
        <f t="shared" si="37"/>
        <v>63.676148796498907</v>
      </c>
    </row>
    <row r="340" spans="1:12" ht="26.25" customHeight="1">
      <c r="A340" s="300"/>
      <c r="B340" s="322" t="s">
        <v>292</v>
      </c>
      <c r="C340" s="63">
        <v>6500</v>
      </c>
      <c r="D340" s="63">
        <v>3741</v>
      </c>
      <c r="E340" s="63">
        <f t="shared" si="40"/>
        <v>3739</v>
      </c>
      <c r="F340" s="63">
        <v>156</v>
      </c>
      <c r="G340" s="632" t="s">
        <v>1588</v>
      </c>
      <c r="H340" s="632" t="s">
        <v>1588</v>
      </c>
      <c r="I340" s="632" t="s">
        <v>1588</v>
      </c>
      <c r="J340" s="632" t="s">
        <v>1588</v>
      </c>
      <c r="K340" s="63">
        <v>3583</v>
      </c>
      <c r="L340" s="64">
        <f t="shared" si="37"/>
        <v>99.946538358727608</v>
      </c>
    </row>
    <row r="341" spans="1:12" ht="26.25" customHeight="1">
      <c r="A341" s="295" t="s">
        <v>1978</v>
      </c>
      <c r="B341" s="339">
        <f t="shared" ref="B341:K341" si="42">B342+B362</f>
        <v>35</v>
      </c>
      <c r="C341" s="67">
        <f t="shared" si="42"/>
        <v>1132150</v>
      </c>
      <c r="D341" s="67">
        <f t="shared" si="42"/>
        <v>855541</v>
      </c>
      <c r="E341" s="67">
        <f t="shared" si="40"/>
        <v>71982.476780821919</v>
      </c>
      <c r="F341" s="67">
        <f t="shared" si="42"/>
        <v>11853.23</v>
      </c>
      <c r="G341" s="67">
        <f t="shared" si="42"/>
        <v>3336.12</v>
      </c>
      <c r="H341" s="67">
        <f t="shared" si="42"/>
        <v>21655</v>
      </c>
      <c r="I341" s="67">
        <f t="shared" si="42"/>
        <v>9810.5067808219192</v>
      </c>
      <c r="J341" s="67">
        <f t="shared" si="42"/>
        <v>1717</v>
      </c>
      <c r="K341" s="67">
        <f t="shared" si="42"/>
        <v>23610.620000000003</v>
      </c>
      <c r="L341" s="66">
        <f t="shared" si="37"/>
        <v>8.4136793889272319</v>
      </c>
    </row>
    <row r="342" spans="1:12" ht="26.25" customHeight="1">
      <c r="A342" s="283" t="s">
        <v>1674</v>
      </c>
      <c r="B342" s="339">
        <f>COUNTA(B343:B361)</f>
        <v>19</v>
      </c>
      <c r="C342" s="67">
        <f t="shared" ref="C342:K342" si="43">SUM(C343:C361)</f>
        <v>1037000</v>
      </c>
      <c r="D342" s="67">
        <f t="shared" si="43"/>
        <v>768794</v>
      </c>
      <c r="E342" s="67">
        <f t="shared" si="40"/>
        <v>35211.440000000002</v>
      </c>
      <c r="F342" s="67">
        <f t="shared" si="43"/>
        <v>10975.64</v>
      </c>
      <c r="G342" s="67">
        <f t="shared" si="43"/>
        <v>1713.9</v>
      </c>
      <c r="H342" s="67">
        <f t="shared" si="43"/>
        <v>190</v>
      </c>
      <c r="I342" s="67">
        <f t="shared" si="43"/>
        <v>84.6</v>
      </c>
      <c r="J342" s="67">
        <f t="shared" si="43"/>
        <v>1717</v>
      </c>
      <c r="K342" s="67">
        <f t="shared" si="43"/>
        <v>20530.300000000003</v>
      </c>
      <c r="L342" s="66">
        <f t="shared" ref="L342:L384" si="44">(E342/D342)*100</f>
        <v>4.5800877738379855</v>
      </c>
    </row>
    <row r="343" spans="1:12" ht="26.25" customHeight="1">
      <c r="A343" s="316" t="s">
        <v>1930</v>
      </c>
      <c r="B343" s="289" t="s">
        <v>2346</v>
      </c>
      <c r="C343" s="65">
        <v>280000</v>
      </c>
      <c r="D343" s="65">
        <v>285023</v>
      </c>
      <c r="E343" s="65">
        <f t="shared" si="40"/>
        <v>1650</v>
      </c>
      <c r="F343" s="65">
        <v>10</v>
      </c>
      <c r="G343" s="65">
        <v>120</v>
      </c>
      <c r="H343" s="626" t="s">
        <v>1588</v>
      </c>
      <c r="I343" s="626" t="s">
        <v>1588</v>
      </c>
      <c r="J343" s="626" t="s">
        <v>1588</v>
      </c>
      <c r="K343" s="65">
        <v>1520</v>
      </c>
      <c r="L343" s="66">
        <f t="shared" si="44"/>
        <v>0.57890065012297254</v>
      </c>
    </row>
    <row r="344" spans="1:12" ht="26.25" customHeight="1">
      <c r="A344" s="298" t="s">
        <v>1931</v>
      </c>
      <c r="B344" s="322" t="s">
        <v>293</v>
      </c>
      <c r="C344" s="65">
        <v>150000</v>
      </c>
      <c r="D344" s="65">
        <v>125855</v>
      </c>
      <c r="E344" s="65">
        <f t="shared" si="40"/>
        <v>4249</v>
      </c>
      <c r="F344" s="65">
        <v>33</v>
      </c>
      <c r="G344" s="626" t="s">
        <v>1588</v>
      </c>
      <c r="H344" s="626" t="s">
        <v>1588</v>
      </c>
      <c r="I344" s="626" t="s">
        <v>1588</v>
      </c>
      <c r="J344" s="626" t="s">
        <v>1588</v>
      </c>
      <c r="K344" s="65">
        <v>4216</v>
      </c>
      <c r="L344" s="64">
        <f t="shared" si="44"/>
        <v>3.3761074252115533</v>
      </c>
    </row>
    <row r="345" spans="1:12" ht="26.25" customHeight="1">
      <c r="A345" s="299"/>
      <c r="B345" s="322" t="s">
        <v>294</v>
      </c>
      <c r="C345" s="65">
        <v>3200</v>
      </c>
      <c r="D345" s="65">
        <v>2080</v>
      </c>
      <c r="E345" s="65">
        <f t="shared" si="40"/>
        <v>131</v>
      </c>
      <c r="F345" s="65">
        <v>19</v>
      </c>
      <c r="G345" s="626" t="s">
        <v>1588</v>
      </c>
      <c r="H345" s="626" t="s">
        <v>1588</v>
      </c>
      <c r="I345" s="626" t="s">
        <v>1588</v>
      </c>
      <c r="J345" s="626" t="s">
        <v>1588</v>
      </c>
      <c r="K345" s="65">
        <v>112</v>
      </c>
      <c r="L345" s="64">
        <f t="shared" si="44"/>
        <v>6.2980769230769234</v>
      </c>
    </row>
    <row r="346" spans="1:12" ht="26.25" customHeight="1">
      <c r="A346" s="300"/>
      <c r="B346" s="322" t="s">
        <v>295</v>
      </c>
      <c r="C346" s="65">
        <v>2400</v>
      </c>
      <c r="D346" s="65">
        <v>951</v>
      </c>
      <c r="E346" s="65">
        <f t="shared" si="40"/>
        <v>100</v>
      </c>
      <c r="F346" s="65">
        <v>13</v>
      </c>
      <c r="G346" s="626" t="s">
        <v>1588</v>
      </c>
      <c r="H346" s="626" t="s">
        <v>1588</v>
      </c>
      <c r="I346" s="626" t="s">
        <v>1588</v>
      </c>
      <c r="J346" s="626" t="s">
        <v>1588</v>
      </c>
      <c r="K346" s="65">
        <v>87</v>
      </c>
      <c r="L346" s="64">
        <f t="shared" si="44"/>
        <v>10.515247108307046</v>
      </c>
    </row>
    <row r="347" spans="1:12" ht="26.25" customHeight="1">
      <c r="A347" s="300" t="s">
        <v>1933</v>
      </c>
      <c r="B347" s="290" t="s">
        <v>296</v>
      </c>
      <c r="C347" s="65">
        <v>60000</v>
      </c>
      <c r="D347" s="65">
        <v>47024</v>
      </c>
      <c r="E347" s="65">
        <f t="shared" si="40"/>
        <v>3429</v>
      </c>
      <c r="F347" s="65">
        <v>50</v>
      </c>
      <c r="G347" s="626" t="s">
        <v>1588</v>
      </c>
      <c r="H347" s="626" t="s">
        <v>1588</v>
      </c>
      <c r="I347" s="626" t="s">
        <v>1588</v>
      </c>
      <c r="J347" s="626" t="s">
        <v>1588</v>
      </c>
      <c r="K347" s="65">
        <v>3379</v>
      </c>
      <c r="L347" s="64">
        <f t="shared" si="44"/>
        <v>7.2920210956107523</v>
      </c>
    </row>
    <row r="348" spans="1:12" ht="26.25" customHeight="1">
      <c r="A348" s="298" t="s">
        <v>1936</v>
      </c>
      <c r="B348" s="290" t="s">
        <v>297</v>
      </c>
      <c r="C348" s="65">
        <v>54000</v>
      </c>
      <c r="D348" s="65">
        <v>40154</v>
      </c>
      <c r="E348" s="65">
        <f t="shared" si="40"/>
        <v>4460.7</v>
      </c>
      <c r="F348" s="65">
        <v>4270.7</v>
      </c>
      <c r="G348" s="626" t="s">
        <v>1588</v>
      </c>
      <c r="H348" s="65">
        <v>190</v>
      </c>
      <c r="I348" s="626" t="s">
        <v>1588</v>
      </c>
      <c r="J348" s="626" t="s">
        <v>1588</v>
      </c>
      <c r="K348" s="626" t="s">
        <v>1588</v>
      </c>
      <c r="L348" s="64">
        <f t="shared" si="44"/>
        <v>11.108980425362354</v>
      </c>
    </row>
    <row r="349" spans="1:12" ht="26.25" customHeight="1">
      <c r="A349" s="298" t="s">
        <v>1937</v>
      </c>
      <c r="B349" s="322" t="s">
        <v>1938</v>
      </c>
      <c r="C349" s="65">
        <v>18000</v>
      </c>
      <c r="D349" s="65">
        <v>14830</v>
      </c>
      <c r="E349" s="65">
        <f t="shared" si="40"/>
        <v>1694</v>
      </c>
      <c r="F349" s="65">
        <v>542</v>
      </c>
      <c r="G349" s="65">
        <v>1152</v>
      </c>
      <c r="H349" s="626" t="s">
        <v>1588</v>
      </c>
      <c r="I349" s="626" t="s">
        <v>1588</v>
      </c>
      <c r="J349" s="626" t="s">
        <v>1588</v>
      </c>
      <c r="K349" s="626" t="s">
        <v>1588</v>
      </c>
      <c r="L349" s="64">
        <f t="shared" si="44"/>
        <v>11.422791638570464</v>
      </c>
    </row>
    <row r="350" spans="1:12" ht="26.25" customHeight="1">
      <c r="A350" s="299"/>
      <c r="B350" s="322" t="s">
        <v>298</v>
      </c>
      <c r="C350" s="65">
        <v>43000</v>
      </c>
      <c r="D350" s="65">
        <v>32093</v>
      </c>
      <c r="E350" s="65">
        <f t="shared" si="40"/>
        <v>977</v>
      </c>
      <c r="F350" s="65">
        <v>950</v>
      </c>
      <c r="G350" s="626" t="s">
        <v>1588</v>
      </c>
      <c r="H350" s="626" t="s">
        <v>1588</v>
      </c>
      <c r="I350" s="626" t="s">
        <v>1588</v>
      </c>
      <c r="J350" s="626" t="s">
        <v>1588</v>
      </c>
      <c r="K350" s="65">
        <v>27</v>
      </c>
      <c r="L350" s="64">
        <f t="shared" si="44"/>
        <v>3.0442775683170784</v>
      </c>
    </row>
    <row r="351" spans="1:12" ht="26.25" customHeight="1">
      <c r="A351" s="299"/>
      <c r="B351" s="322" t="s">
        <v>2131</v>
      </c>
      <c r="C351" s="65">
        <v>1700</v>
      </c>
      <c r="D351" s="65">
        <v>798</v>
      </c>
      <c r="E351" s="65">
        <f t="shared" si="40"/>
        <v>0.1</v>
      </c>
      <c r="F351" s="65">
        <v>0.1</v>
      </c>
      <c r="G351" s="626" t="s">
        <v>1588</v>
      </c>
      <c r="H351" s="626" t="s">
        <v>1588</v>
      </c>
      <c r="I351" s="626" t="s">
        <v>1588</v>
      </c>
      <c r="J351" s="626" t="s">
        <v>1588</v>
      </c>
      <c r="K351" s="626" t="s">
        <v>1588</v>
      </c>
      <c r="L351" s="64">
        <f t="shared" si="44"/>
        <v>1.2531328320802004E-2</v>
      </c>
    </row>
    <row r="352" spans="1:12" ht="26.25" customHeight="1">
      <c r="A352" s="299"/>
      <c r="B352" s="322" t="s">
        <v>299</v>
      </c>
      <c r="C352" s="65">
        <v>700</v>
      </c>
      <c r="D352" s="65">
        <v>201</v>
      </c>
      <c r="E352" s="65">
        <f t="shared" si="40"/>
        <v>0.9</v>
      </c>
      <c r="F352" s="65">
        <v>0.9</v>
      </c>
      <c r="G352" s="626" t="s">
        <v>1588</v>
      </c>
      <c r="H352" s="626" t="s">
        <v>1588</v>
      </c>
      <c r="I352" s="626" t="s">
        <v>1588</v>
      </c>
      <c r="J352" s="626" t="s">
        <v>1588</v>
      </c>
      <c r="K352" s="626" t="s">
        <v>1588</v>
      </c>
      <c r="L352" s="64">
        <f t="shared" si="44"/>
        <v>0.44776119402985076</v>
      </c>
    </row>
    <row r="353" spans="1:12" ht="26.25" customHeight="1">
      <c r="A353" s="298" t="s">
        <v>1939</v>
      </c>
      <c r="B353" s="322" t="s">
        <v>300</v>
      </c>
      <c r="C353" s="65">
        <v>114000</v>
      </c>
      <c r="D353" s="65">
        <v>60257</v>
      </c>
      <c r="E353" s="65">
        <f t="shared" si="40"/>
        <v>4334</v>
      </c>
      <c r="F353" s="65">
        <v>1400</v>
      </c>
      <c r="G353" s="626" t="s">
        <v>1588</v>
      </c>
      <c r="H353" s="626" t="s">
        <v>1588</v>
      </c>
      <c r="I353" s="626" t="s">
        <v>1588</v>
      </c>
      <c r="J353" s="65">
        <v>520</v>
      </c>
      <c r="K353" s="65">
        <v>2414</v>
      </c>
      <c r="L353" s="64">
        <f t="shared" si="44"/>
        <v>7.1925253497518966</v>
      </c>
    </row>
    <row r="354" spans="1:12" ht="26.25" customHeight="1">
      <c r="A354" s="299"/>
      <c r="B354" s="322" t="s">
        <v>301</v>
      </c>
      <c r="C354" s="65">
        <v>97000</v>
      </c>
      <c r="D354" s="65">
        <v>52064</v>
      </c>
      <c r="E354" s="65">
        <f t="shared" si="40"/>
        <v>5901</v>
      </c>
      <c r="F354" s="65">
        <v>1110</v>
      </c>
      <c r="G354" s="626" t="s">
        <v>1588</v>
      </c>
      <c r="H354" s="626" t="s">
        <v>1588</v>
      </c>
      <c r="I354" s="626" t="s">
        <v>1588</v>
      </c>
      <c r="J354" s="65">
        <v>1197</v>
      </c>
      <c r="K354" s="65">
        <v>3594</v>
      </c>
      <c r="L354" s="64">
        <f t="shared" si="44"/>
        <v>11.334127228027043</v>
      </c>
    </row>
    <row r="355" spans="1:12" ht="26.25" customHeight="1">
      <c r="A355" s="299"/>
      <c r="B355" s="322" t="s">
        <v>302</v>
      </c>
      <c r="C355" s="65">
        <v>12000</v>
      </c>
      <c r="D355" s="65">
        <v>7295</v>
      </c>
      <c r="E355" s="65">
        <f t="shared" si="40"/>
        <v>575.34</v>
      </c>
      <c r="F355" s="65">
        <v>2.74</v>
      </c>
      <c r="G355" s="626" t="s">
        <v>1588</v>
      </c>
      <c r="H355" s="626" t="s">
        <v>1588</v>
      </c>
      <c r="I355" s="626" t="s">
        <v>1588</v>
      </c>
      <c r="J355" s="626" t="s">
        <v>1588</v>
      </c>
      <c r="K355" s="65">
        <v>572.6</v>
      </c>
      <c r="L355" s="64">
        <f t="shared" si="44"/>
        <v>7.8867717614804667</v>
      </c>
    </row>
    <row r="356" spans="1:12" ht="26.25" customHeight="1">
      <c r="A356" s="298" t="s">
        <v>1941</v>
      </c>
      <c r="B356" s="322" t="s">
        <v>2349</v>
      </c>
      <c r="C356" s="65">
        <v>30000</v>
      </c>
      <c r="D356" s="65">
        <v>30404</v>
      </c>
      <c r="E356" s="65">
        <f t="shared" si="40"/>
        <v>2125.1999999999998</v>
      </c>
      <c r="F356" s="65">
        <v>1518.4</v>
      </c>
      <c r="G356" s="626" t="s">
        <v>1588</v>
      </c>
      <c r="H356" s="626" t="s">
        <v>1588</v>
      </c>
      <c r="I356" s="626" t="s">
        <v>1588</v>
      </c>
      <c r="J356" s="626" t="s">
        <v>1588</v>
      </c>
      <c r="K356" s="65">
        <v>606.79999999999995</v>
      </c>
      <c r="L356" s="64">
        <f t="shared" si="44"/>
        <v>6.9898697539797379</v>
      </c>
    </row>
    <row r="357" spans="1:12" ht="26.25" customHeight="1">
      <c r="A357" s="299"/>
      <c r="B357" s="322" t="s">
        <v>303</v>
      </c>
      <c r="C357" s="65">
        <v>4000</v>
      </c>
      <c r="D357" s="65">
        <v>1669</v>
      </c>
      <c r="E357" s="65">
        <f t="shared" si="40"/>
        <v>111.1</v>
      </c>
      <c r="F357" s="65">
        <v>64.2</v>
      </c>
      <c r="G357" s="626" t="s">
        <v>1588</v>
      </c>
      <c r="H357" s="626" t="s">
        <v>1588</v>
      </c>
      <c r="I357" s="626" t="s">
        <v>1588</v>
      </c>
      <c r="J357" s="626" t="s">
        <v>1588</v>
      </c>
      <c r="K357" s="65">
        <v>46.9</v>
      </c>
      <c r="L357" s="64">
        <f t="shared" si="44"/>
        <v>6.6566806470940678</v>
      </c>
    </row>
    <row r="358" spans="1:12" ht="26.25" customHeight="1">
      <c r="A358" s="299"/>
      <c r="B358" s="322" t="s">
        <v>2115</v>
      </c>
      <c r="C358" s="65">
        <v>4000</v>
      </c>
      <c r="D358" s="65">
        <v>2543</v>
      </c>
      <c r="E358" s="65">
        <f t="shared" si="40"/>
        <v>138.30000000000001</v>
      </c>
      <c r="F358" s="65">
        <v>90.9</v>
      </c>
      <c r="G358" s="626" t="s">
        <v>1588</v>
      </c>
      <c r="H358" s="626" t="s">
        <v>1588</v>
      </c>
      <c r="I358" s="626" t="s">
        <v>1588</v>
      </c>
      <c r="J358" s="626" t="s">
        <v>1588</v>
      </c>
      <c r="K358" s="65">
        <v>47.4</v>
      </c>
      <c r="L358" s="64">
        <f t="shared" si="44"/>
        <v>5.4384585135666539</v>
      </c>
    </row>
    <row r="359" spans="1:12" ht="26.25" customHeight="1">
      <c r="A359" s="316" t="s">
        <v>1943</v>
      </c>
      <c r="B359" s="319" t="s">
        <v>304</v>
      </c>
      <c r="C359" s="65">
        <v>15000</v>
      </c>
      <c r="D359" s="65">
        <v>11294</v>
      </c>
      <c r="E359" s="65">
        <f t="shared" si="40"/>
        <v>2360.8999999999996</v>
      </c>
      <c r="F359" s="65">
        <v>837.8</v>
      </c>
      <c r="G359" s="65">
        <v>359</v>
      </c>
      <c r="H359" s="626" t="s">
        <v>1588</v>
      </c>
      <c r="I359" s="626" t="s">
        <v>1588</v>
      </c>
      <c r="J359" s="626" t="s">
        <v>1588</v>
      </c>
      <c r="K359" s="65">
        <v>1164.0999999999999</v>
      </c>
      <c r="L359" s="66">
        <f t="shared" si="44"/>
        <v>20.90401983353993</v>
      </c>
    </row>
    <row r="360" spans="1:12" ht="26.25" customHeight="1">
      <c r="A360" s="321"/>
      <c r="B360" s="319" t="s">
        <v>1944</v>
      </c>
      <c r="C360" s="65">
        <v>2000</v>
      </c>
      <c r="D360" s="65">
        <v>813</v>
      </c>
      <c r="E360" s="65">
        <f t="shared" si="40"/>
        <v>179.89999999999998</v>
      </c>
      <c r="F360" s="65">
        <v>29.4</v>
      </c>
      <c r="G360" s="65">
        <v>10.9</v>
      </c>
      <c r="H360" s="626" t="s">
        <v>1588</v>
      </c>
      <c r="I360" s="65">
        <v>84.6</v>
      </c>
      <c r="J360" s="626" t="s">
        <v>1588</v>
      </c>
      <c r="K360" s="65">
        <v>55</v>
      </c>
      <c r="L360" s="66">
        <f t="shared" si="44"/>
        <v>22.127921279212789</v>
      </c>
    </row>
    <row r="361" spans="1:12" ht="26.25" customHeight="1">
      <c r="A361" s="300" t="s">
        <v>1771</v>
      </c>
      <c r="B361" s="290" t="s">
        <v>2352</v>
      </c>
      <c r="C361" s="65">
        <v>146000</v>
      </c>
      <c r="D361" s="65">
        <v>53446</v>
      </c>
      <c r="E361" s="65">
        <f t="shared" si="40"/>
        <v>2794</v>
      </c>
      <c r="F361" s="65">
        <v>33.5</v>
      </c>
      <c r="G361" s="65">
        <v>72</v>
      </c>
      <c r="H361" s="65">
        <v>0</v>
      </c>
      <c r="I361" s="65">
        <v>0</v>
      </c>
      <c r="J361" s="65">
        <v>0</v>
      </c>
      <c r="K361" s="65">
        <v>2688.5</v>
      </c>
      <c r="L361" s="64">
        <f t="shared" si="44"/>
        <v>5.2277064700819516</v>
      </c>
    </row>
    <row r="362" spans="1:12" ht="26.25" customHeight="1">
      <c r="A362" s="298" t="s">
        <v>1616</v>
      </c>
      <c r="B362" s="336">
        <f>COUNTA(B363:B378)</f>
        <v>16</v>
      </c>
      <c r="C362" s="65">
        <f t="shared" ref="C362:K362" si="45">SUM(C363:C378)</f>
        <v>95150</v>
      </c>
      <c r="D362" s="65">
        <f t="shared" si="45"/>
        <v>86747</v>
      </c>
      <c r="E362" s="65">
        <f t="shared" si="40"/>
        <v>36771.036780821923</v>
      </c>
      <c r="F362" s="65">
        <f t="shared" si="45"/>
        <v>877.58999999999992</v>
      </c>
      <c r="G362" s="65">
        <f t="shared" si="45"/>
        <v>1622.22</v>
      </c>
      <c r="H362" s="65">
        <f t="shared" si="45"/>
        <v>21465</v>
      </c>
      <c r="I362" s="65">
        <f t="shared" si="45"/>
        <v>9725.9067808219188</v>
      </c>
      <c r="J362" s="65">
        <f t="shared" si="45"/>
        <v>0</v>
      </c>
      <c r="K362" s="65">
        <f t="shared" si="45"/>
        <v>3080.32</v>
      </c>
      <c r="L362" s="64">
        <f t="shared" si="44"/>
        <v>42.388828179443585</v>
      </c>
    </row>
    <row r="363" spans="1:12" ht="26.25" customHeight="1">
      <c r="A363" s="298" t="s">
        <v>1774</v>
      </c>
      <c r="B363" s="322" t="s">
        <v>305</v>
      </c>
      <c r="C363" s="65">
        <v>4000</v>
      </c>
      <c r="D363" s="65">
        <v>3254</v>
      </c>
      <c r="E363" s="65">
        <f t="shared" si="40"/>
        <v>380</v>
      </c>
      <c r="F363" s="65">
        <v>118</v>
      </c>
      <c r="G363" s="626" t="s">
        <v>1588</v>
      </c>
      <c r="H363" s="626" t="s">
        <v>1588</v>
      </c>
      <c r="I363" s="626" t="s">
        <v>1588</v>
      </c>
      <c r="J363" s="626" t="s">
        <v>1588</v>
      </c>
      <c r="K363" s="65">
        <v>262</v>
      </c>
      <c r="L363" s="64">
        <f t="shared" si="44"/>
        <v>11.677934849416104</v>
      </c>
    </row>
    <row r="364" spans="1:12" ht="26.25" customHeight="1">
      <c r="A364" s="299"/>
      <c r="B364" s="322" t="s">
        <v>306</v>
      </c>
      <c r="C364" s="65">
        <v>1000</v>
      </c>
      <c r="D364" s="65">
        <v>1137</v>
      </c>
      <c r="E364" s="65">
        <f t="shared" si="40"/>
        <v>44</v>
      </c>
      <c r="F364" s="65">
        <v>44</v>
      </c>
      <c r="G364" s="626" t="s">
        <v>1588</v>
      </c>
      <c r="H364" s="626" t="s">
        <v>1588</v>
      </c>
      <c r="I364" s="626" t="s">
        <v>1588</v>
      </c>
      <c r="J364" s="626" t="s">
        <v>1588</v>
      </c>
      <c r="K364" s="626" t="s">
        <v>1588</v>
      </c>
      <c r="L364" s="64">
        <f t="shared" si="44"/>
        <v>3.8698328935795954</v>
      </c>
    </row>
    <row r="365" spans="1:12" ht="26.25" customHeight="1">
      <c r="A365" s="298" t="s">
        <v>1775</v>
      </c>
      <c r="B365" s="322" t="s">
        <v>307</v>
      </c>
      <c r="C365" s="65">
        <v>6800</v>
      </c>
      <c r="D365" s="65">
        <v>6318</v>
      </c>
      <c r="E365" s="65">
        <f t="shared" si="40"/>
        <v>413</v>
      </c>
      <c r="F365" s="626" t="s">
        <v>1588</v>
      </c>
      <c r="G365" s="626" t="s">
        <v>1588</v>
      </c>
      <c r="H365" s="626" t="s">
        <v>1588</v>
      </c>
      <c r="I365" s="626" t="s">
        <v>1588</v>
      </c>
      <c r="J365" s="626" t="s">
        <v>1588</v>
      </c>
      <c r="K365" s="65">
        <v>413</v>
      </c>
      <c r="L365" s="64">
        <f t="shared" si="44"/>
        <v>6.5368787591009809</v>
      </c>
    </row>
    <row r="366" spans="1:12" ht="26.25" customHeight="1">
      <c r="A366" s="299"/>
      <c r="B366" s="322" t="s">
        <v>308</v>
      </c>
      <c r="C366" s="65">
        <v>600</v>
      </c>
      <c r="D366" s="65">
        <v>334</v>
      </c>
      <c r="E366" s="65">
        <f t="shared" si="40"/>
        <v>2.65</v>
      </c>
      <c r="F366" s="626" t="s">
        <v>1588</v>
      </c>
      <c r="G366" s="626" t="s">
        <v>1588</v>
      </c>
      <c r="H366" s="626" t="s">
        <v>1588</v>
      </c>
      <c r="I366" s="626" t="s">
        <v>1588</v>
      </c>
      <c r="J366" s="626" t="s">
        <v>1588</v>
      </c>
      <c r="K366" s="65">
        <v>2.65</v>
      </c>
      <c r="L366" s="64">
        <f t="shared" si="44"/>
        <v>0.79341317365269459</v>
      </c>
    </row>
    <row r="367" spans="1:12" ht="26.25" customHeight="1">
      <c r="A367" s="298" t="s">
        <v>1778</v>
      </c>
      <c r="B367" s="322" t="s">
        <v>309</v>
      </c>
      <c r="C367" s="65">
        <v>6000</v>
      </c>
      <c r="D367" s="65">
        <v>4733</v>
      </c>
      <c r="E367" s="65">
        <f t="shared" si="40"/>
        <v>464</v>
      </c>
      <c r="F367" s="626" t="s">
        <v>1588</v>
      </c>
      <c r="G367" s="626" t="s">
        <v>1588</v>
      </c>
      <c r="H367" s="626" t="s">
        <v>1588</v>
      </c>
      <c r="I367" s="626" t="s">
        <v>1588</v>
      </c>
      <c r="J367" s="626" t="s">
        <v>1588</v>
      </c>
      <c r="K367" s="65">
        <v>464</v>
      </c>
      <c r="L367" s="64">
        <f t="shared" si="44"/>
        <v>9.8035072892457222</v>
      </c>
    </row>
    <row r="368" spans="1:12" ht="26.25" customHeight="1">
      <c r="A368" s="299"/>
      <c r="B368" s="322" t="s">
        <v>310</v>
      </c>
      <c r="C368" s="65">
        <v>5250</v>
      </c>
      <c r="D368" s="65">
        <v>4419</v>
      </c>
      <c r="E368" s="65">
        <f t="shared" si="40"/>
        <v>225</v>
      </c>
      <c r="F368" s="626" t="s">
        <v>1588</v>
      </c>
      <c r="G368" s="626" t="s">
        <v>1588</v>
      </c>
      <c r="H368" s="626" t="s">
        <v>1588</v>
      </c>
      <c r="I368" s="626" t="s">
        <v>1588</v>
      </c>
      <c r="J368" s="626" t="s">
        <v>1588</v>
      </c>
      <c r="K368" s="65">
        <v>225</v>
      </c>
      <c r="L368" s="64">
        <f t="shared" si="44"/>
        <v>5.0916496945010188</v>
      </c>
    </row>
    <row r="369" spans="1:12" ht="26.25" customHeight="1">
      <c r="A369" s="300"/>
      <c r="B369" s="322" t="s">
        <v>311</v>
      </c>
      <c r="C369" s="65">
        <v>13000</v>
      </c>
      <c r="D369" s="65">
        <v>4719</v>
      </c>
      <c r="E369" s="65">
        <f t="shared" si="40"/>
        <v>140</v>
      </c>
      <c r="F369" s="65">
        <v>4</v>
      </c>
      <c r="G369" s="65">
        <v>112</v>
      </c>
      <c r="H369" s="626" t="s">
        <v>1588</v>
      </c>
      <c r="I369" s="626" t="s">
        <v>1588</v>
      </c>
      <c r="J369" s="626" t="s">
        <v>1588</v>
      </c>
      <c r="K369" s="65">
        <v>24</v>
      </c>
      <c r="L369" s="64">
        <f t="shared" si="44"/>
        <v>2.9667302394575121</v>
      </c>
    </row>
    <row r="370" spans="1:12" ht="26.25" customHeight="1">
      <c r="A370" s="299" t="s">
        <v>1609</v>
      </c>
      <c r="B370" s="290" t="s">
        <v>2392</v>
      </c>
      <c r="C370" s="65">
        <v>10500</v>
      </c>
      <c r="D370" s="65">
        <v>8520</v>
      </c>
      <c r="E370" s="65">
        <f t="shared" si="40"/>
        <v>3780</v>
      </c>
      <c r="F370" s="65">
        <v>130</v>
      </c>
      <c r="G370" s="65">
        <v>3</v>
      </c>
      <c r="H370" s="626" t="s">
        <v>1588</v>
      </c>
      <c r="I370" s="65">
        <v>3647</v>
      </c>
      <c r="J370" s="626" t="s">
        <v>1588</v>
      </c>
      <c r="K370" s="626" t="s">
        <v>1588</v>
      </c>
      <c r="L370" s="64">
        <f t="shared" si="44"/>
        <v>44.366197183098592</v>
      </c>
    </row>
    <row r="371" spans="1:12" ht="26.25" customHeight="1">
      <c r="A371" s="298" t="s">
        <v>1945</v>
      </c>
      <c r="B371" s="322" t="s">
        <v>312</v>
      </c>
      <c r="C371" s="65">
        <v>5600</v>
      </c>
      <c r="D371" s="65">
        <v>6191</v>
      </c>
      <c r="E371" s="65">
        <f t="shared" si="40"/>
        <v>1313.69</v>
      </c>
      <c r="F371" s="65">
        <v>8.5</v>
      </c>
      <c r="G371" s="65">
        <v>107</v>
      </c>
      <c r="H371" s="626" t="s">
        <v>1588</v>
      </c>
      <c r="I371" s="65">
        <v>82.19</v>
      </c>
      <c r="J371" s="626" t="s">
        <v>1588</v>
      </c>
      <c r="K371" s="65">
        <v>1116</v>
      </c>
      <c r="L371" s="64">
        <f t="shared" si="44"/>
        <v>21.219350670327898</v>
      </c>
    </row>
    <row r="372" spans="1:12" ht="26.25" customHeight="1">
      <c r="A372" s="300"/>
      <c r="B372" s="322" t="s">
        <v>313</v>
      </c>
      <c r="C372" s="65">
        <v>600</v>
      </c>
      <c r="D372" s="65">
        <v>418</v>
      </c>
      <c r="E372" s="65">
        <f t="shared" si="40"/>
        <v>4.88</v>
      </c>
      <c r="F372" s="65">
        <v>2.09</v>
      </c>
      <c r="G372" s="65">
        <v>1.22</v>
      </c>
      <c r="H372" s="626" t="s">
        <v>1588</v>
      </c>
      <c r="I372" s="626" t="s">
        <v>1588</v>
      </c>
      <c r="J372" s="626" t="s">
        <v>1588</v>
      </c>
      <c r="K372" s="65">
        <v>1.57</v>
      </c>
      <c r="L372" s="64">
        <f t="shared" si="44"/>
        <v>1.1674641148325358</v>
      </c>
    </row>
    <row r="373" spans="1:12" ht="26.25" customHeight="1">
      <c r="A373" s="300" t="s">
        <v>1948</v>
      </c>
      <c r="B373" s="297" t="s">
        <v>2359</v>
      </c>
      <c r="C373" s="65">
        <v>7500</v>
      </c>
      <c r="D373" s="65">
        <v>6810</v>
      </c>
      <c r="E373" s="65">
        <f t="shared" si="40"/>
        <v>2791.9917808219179</v>
      </c>
      <c r="F373" s="626" t="s">
        <v>1588</v>
      </c>
      <c r="G373" s="65">
        <f>271560/365</f>
        <v>744</v>
      </c>
      <c r="H373" s="626" t="s">
        <v>1588</v>
      </c>
      <c r="I373" s="65">
        <f>747517/365</f>
        <v>2047.9917808219177</v>
      </c>
      <c r="J373" s="626" t="s">
        <v>1588</v>
      </c>
      <c r="K373" s="626" t="s">
        <v>1588</v>
      </c>
      <c r="L373" s="64">
        <f t="shared" si="44"/>
        <v>40.998410878442257</v>
      </c>
    </row>
    <row r="374" spans="1:12" ht="26.25" customHeight="1">
      <c r="A374" s="280" t="s">
        <v>1956</v>
      </c>
      <c r="B374" s="290" t="s">
        <v>314</v>
      </c>
      <c r="C374" s="65">
        <v>2800</v>
      </c>
      <c r="D374" s="65">
        <v>2321</v>
      </c>
      <c r="E374" s="65">
        <f t="shared" si="40"/>
        <v>381</v>
      </c>
      <c r="F374" s="626" t="s">
        <v>1588</v>
      </c>
      <c r="G374" s="65">
        <v>108</v>
      </c>
      <c r="H374" s="626" t="s">
        <v>1588</v>
      </c>
      <c r="I374" s="626" t="s">
        <v>1588</v>
      </c>
      <c r="J374" s="626" t="s">
        <v>1588</v>
      </c>
      <c r="K374" s="65">
        <v>273</v>
      </c>
      <c r="L374" s="64">
        <f t="shared" si="44"/>
        <v>16.415338216286081</v>
      </c>
    </row>
    <row r="375" spans="1:12" ht="26.25" customHeight="1">
      <c r="A375" s="298" t="s">
        <v>1957</v>
      </c>
      <c r="B375" s="297" t="s">
        <v>315</v>
      </c>
      <c r="C375" s="65">
        <v>7000</v>
      </c>
      <c r="D375" s="65">
        <v>6214</v>
      </c>
      <c r="E375" s="65">
        <f t="shared" si="40"/>
        <v>909.82500000000005</v>
      </c>
      <c r="F375" s="626" t="s">
        <v>1588</v>
      </c>
      <c r="G375" s="626" t="s">
        <v>1588</v>
      </c>
      <c r="H375" s="626" t="s">
        <v>1588</v>
      </c>
      <c r="I375" s="65">
        <v>610.72500000000002</v>
      </c>
      <c r="J375" s="626" t="s">
        <v>1588</v>
      </c>
      <c r="K375" s="65">
        <v>299.10000000000002</v>
      </c>
      <c r="L375" s="64">
        <f t="shared" si="44"/>
        <v>14.641535242999678</v>
      </c>
    </row>
    <row r="376" spans="1:12" ht="26.25" customHeight="1">
      <c r="A376" s="298" t="s">
        <v>1958</v>
      </c>
      <c r="B376" s="322" t="s">
        <v>2364</v>
      </c>
      <c r="C376" s="65">
        <v>14000</v>
      </c>
      <c r="D376" s="65">
        <v>21107</v>
      </c>
      <c r="E376" s="65">
        <f t="shared" si="40"/>
        <v>21107</v>
      </c>
      <c r="F376" s="65">
        <v>386</v>
      </c>
      <c r="G376" s="626" t="s">
        <v>1588</v>
      </c>
      <c r="H376" s="65">
        <v>18516</v>
      </c>
      <c r="I376" s="65">
        <v>2205</v>
      </c>
      <c r="J376" s="626" t="s">
        <v>1588</v>
      </c>
      <c r="K376" s="626" t="s">
        <v>1588</v>
      </c>
      <c r="L376" s="64">
        <f t="shared" si="44"/>
        <v>100</v>
      </c>
    </row>
    <row r="377" spans="1:12" ht="26.25" customHeight="1">
      <c r="A377" s="300"/>
      <c r="B377" s="322" t="s">
        <v>316</v>
      </c>
      <c r="C377" s="65">
        <v>5500</v>
      </c>
      <c r="D377" s="65">
        <v>3507</v>
      </c>
      <c r="E377" s="65">
        <f t="shared" si="40"/>
        <v>3507</v>
      </c>
      <c r="F377" s="65">
        <v>38</v>
      </c>
      <c r="G377" s="626" t="s">
        <v>1588</v>
      </c>
      <c r="H377" s="65">
        <v>2949</v>
      </c>
      <c r="I377" s="65">
        <v>520</v>
      </c>
      <c r="J377" s="626" t="s">
        <v>1588</v>
      </c>
      <c r="K377" s="626" t="s">
        <v>1588</v>
      </c>
      <c r="L377" s="64">
        <f t="shared" si="44"/>
        <v>100</v>
      </c>
    </row>
    <row r="378" spans="1:12" ht="26.25" customHeight="1">
      <c r="A378" s="300" t="s">
        <v>1960</v>
      </c>
      <c r="B378" s="290" t="s">
        <v>2052</v>
      </c>
      <c r="C378" s="65">
        <v>5000</v>
      </c>
      <c r="D378" s="65">
        <v>6745</v>
      </c>
      <c r="E378" s="65">
        <f t="shared" si="40"/>
        <v>1307</v>
      </c>
      <c r="F378" s="65">
        <v>147</v>
      </c>
      <c r="G378" s="65">
        <v>547</v>
      </c>
      <c r="H378" s="65">
        <v>0</v>
      </c>
      <c r="I378" s="65">
        <v>613</v>
      </c>
      <c r="J378" s="65">
        <v>0</v>
      </c>
      <c r="K378" s="65">
        <v>0</v>
      </c>
      <c r="L378" s="64">
        <f t="shared" si="44"/>
        <v>19.377316530763526</v>
      </c>
    </row>
    <row r="379" spans="1:12" ht="26.25" customHeight="1">
      <c r="A379" s="282" t="s">
        <v>1989</v>
      </c>
      <c r="B379" s="341">
        <f>COUNTA(B380:B384)</f>
        <v>5</v>
      </c>
      <c r="C379" s="281">
        <f>C380+C381+C382+C383+C384</f>
        <v>177000</v>
      </c>
      <c r="D379" s="281">
        <f>D380+D381+D382+D383+D384</f>
        <v>119392</v>
      </c>
      <c r="E379" s="281">
        <f>SUM(F379:K379)</f>
        <v>1365.5500000000002</v>
      </c>
      <c r="F379" s="281">
        <f t="shared" ref="F379:K379" si="46">SUM(F380:F384)</f>
        <v>279.23</v>
      </c>
      <c r="G379" s="281">
        <f t="shared" si="46"/>
        <v>130</v>
      </c>
      <c r="H379" s="281">
        <f t="shared" si="46"/>
        <v>0</v>
      </c>
      <c r="I379" s="281">
        <f t="shared" si="46"/>
        <v>14.1</v>
      </c>
      <c r="J379" s="281">
        <f t="shared" si="46"/>
        <v>0</v>
      </c>
      <c r="K379" s="281">
        <f t="shared" si="46"/>
        <v>942.22</v>
      </c>
      <c r="L379" s="64">
        <f t="shared" si="44"/>
        <v>1.1437533503082287</v>
      </c>
    </row>
    <row r="380" spans="1:12" ht="26.25" customHeight="1">
      <c r="A380" s="298" t="s">
        <v>1992</v>
      </c>
      <c r="B380" s="290" t="s">
        <v>2366</v>
      </c>
      <c r="C380" s="63">
        <v>130000</v>
      </c>
      <c r="D380" s="65">
        <v>95838</v>
      </c>
      <c r="E380" s="63">
        <f t="shared" si="40"/>
        <v>643</v>
      </c>
      <c r="F380" s="63">
        <v>219</v>
      </c>
      <c r="G380" s="632" t="s">
        <v>1588</v>
      </c>
      <c r="H380" s="632" t="s">
        <v>1588</v>
      </c>
      <c r="I380" s="632" t="s">
        <v>1588</v>
      </c>
      <c r="J380" s="632" t="s">
        <v>1588</v>
      </c>
      <c r="K380" s="63">
        <v>424</v>
      </c>
      <c r="L380" s="64">
        <f t="shared" si="44"/>
        <v>0.67092385066466331</v>
      </c>
    </row>
    <row r="381" spans="1:12" ht="26.25" customHeight="1">
      <c r="A381" s="298" t="s">
        <v>1990</v>
      </c>
      <c r="B381" s="322" t="s">
        <v>317</v>
      </c>
      <c r="C381" s="63">
        <v>20000</v>
      </c>
      <c r="D381" s="63">
        <v>12750</v>
      </c>
      <c r="E381" s="63">
        <f>SUM(F381:K381)</f>
        <v>600</v>
      </c>
      <c r="F381" s="63">
        <v>50</v>
      </c>
      <c r="G381" s="63">
        <v>50</v>
      </c>
      <c r="H381" s="632" t="s">
        <v>1588</v>
      </c>
      <c r="I381" s="632" t="s">
        <v>1588</v>
      </c>
      <c r="J381" s="632" t="s">
        <v>1588</v>
      </c>
      <c r="K381" s="63">
        <v>500</v>
      </c>
      <c r="L381" s="64">
        <f t="shared" si="44"/>
        <v>4.7058823529411766</v>
      </c>
    </row>
    <row r="382" spans="1:12" ht="26.25" customHeight="1">
      <c r="A382" s="299"/>
      <c r="B382" s="322" t="s">
        <v>318</v>
      </c>
      <c r="C382" s="63">
        <v>15000</v>
      </c>
      <c r="D382" s="63">
        <v>6580</v>
      </c>
      <c r="E382" s="63">
        <f>SUM(F382:K382)</f>
        <v>96</v>
      </c>
      <c r="F382" s="63">
        <v>10</v>
      </c>
      <c r="G382" s="63">
        <v>80</v>
      </c>
      <c r="H382" s="632" t="s">
        <v>1588</v>
      </c>
      <c r="I382" s="632" t="s">
        <v>1588</v>
      </c>
      <c r="J382" s="632" t="s">
        <v>1588</v>
      </c>
      <c r="K382" s="63">
        <v>6</v>
      </c>
      <c r="L382" s="64">
        <f t="shared" si="44"/>
        <v>1.4589665653495441</v>
      </c>
    </row>
    <row r="383" spans="1:12" ht="26.25" customHeight="1">
      <c r="A383" s="299"/>
      <c r="B383" s="322" t="s">
        <v>2250</v>
      </c>
      <c r="C383" s="63">
        <v>8000</v>
      </c>
      <c r="D383" s="63">
        <v>2944</v>
      </c>
      <c r="E383" s="63">
        <f>SUM(F383:K383)</f>
        <v>14.55</v>
      </c>
      <c r="F383" s="63">
        <v>0.23</v>
      </c>
      <c r="G383" s="632" t="s">
        <v>1588</v>
      </c>
      <c r="H383" s="632" t="s">
        <v>1588</v>
      </c>
      <c r="I383" s="63">
        <v>14.1</v>
      </c>
      <c r="J383" s="632" t="s">
        <v>1588</v>
      </c>
      <c r="K383" s="63">
        <v>0.22</v>
      </c>
      <c r="L383" s="64">
        <f t="shared" si="44"/>
        <v>0.49422554347826086</v>
      </c>
    </row>
    <row r="384" spans="1:12" ht="26.25" customHeight="1" thickBot="1">
      <c r="A384" s="344"/>
      <c r="B384" s="343" t="s">
        <v>319</v>
      </c>
      <c r="C384" s="284">
        <v>4000</v>
      </c>
      <c r="D384" s="284">
        <v>1280</v>
      </c>
      <c r="E384" s="284">
        <f>SUM(F384:K384)</f>
        <v>12</v>
      </c>
      <c r="F384" s="802" t="s">
        <v>1588</v>
      </c>
      <c r="G384" s="802" t="s">
        <v>1588</v>
      </c>
      <c r="H384" s="802" t="s">
        <v>1588</v>
      </c>
      <c r="I384" s="802" t="s">
        <v>1588</v>
      </c>
      <c r="J384" s="802" t="s">
        <v>1588</v>
      </c>
      <c r="K384" s="284">
        <v>12</v>
      </c>
      <c r="L384" s="314">
        <f t="shared" si="44"/>
        <v>0.9375</v>
      </c>
    </row>
  </sheetData>
  <mergeCells count="8">
    <mergeCell ref="A1:XFD1"/>
    <mergeCell ref="A2:XFD2"/>
    <mergeCell ref="A4:A5"/>
    <mergeCell ref="B4:B5"/>
    <mergeCell ref="C4:C5"/>
    <mergeCell ref="D4:D5"/>
    <mergeCell ref="E4:K4"/>
    <mergeCell ref="L4:L5"/>
  </mergeCells>
  <phoneticPr fontId="3" type="noConversion"/>
  <conditionalFormatting sqref="B6:B60 B62:B160 A6:A160 C6:L160 A161:L384">
    <cfRule type="expression" dxfId="275" priority="1" stopIfTrue="1">
      <formula>OR($A6="시부",$A6="군부")</formula>
    </cfRule>
    <cfRule type="expression" dxfId="274" priority="2" stopIfTrue="1">
      <formula>OR(RIGHT($A6,3)="특별시",RIGHT($A6,3)="광역시",RIGHT($A6,1)="도",$A6=2006)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7">
    <tabColor rgb="FF7030A0"/>
  </sheetPr>
  <dimension ref="A2:W17"/>
  <sheetViews>
    <sheetView view="pageBreakPreview" zoomScale="96" zoomScaleNormal="100" zoomScaleSheetLayoutView="96" workbookViewId="0">
      <selection activeCell="A4" sqref="A4:XFD4"/>
    </sheetView>
  </sheetViews>
  <sheetFormatPr defaultColWidth="3.88671875" defaultRowHeight="12"/>
  <cols>
    <col min="1" max="1" width="11.5546875" style="929" bestFit="1" customWidth="1"/>
    <col min="2" max="2" width="9.88671875" style="932" bestFit="1" customWidth="1"/>
    <col min="3" max="3" width="12.109375" style="931" bestFit="1" customWidth="1"/>
    <col min="4" max="4" width="10.21875" style="931" customWidth="1"/>
    <col min="5" max="5" width="8.77734375" style="931" bestFit="1" customWidth="1"/>
    <col min="6" max="6" width="16" style="931" bestFit="1" customWidth="1"/>
    <col min="7" max="8" width="9.88671875" style="931" bestFit="1" customWidth="1"/>
    <col min="9" max="15" width="6.88671875" style="931" customWidth="1"/>
    <col min="16" max="16" width="6.5546875" style="931" bestFit="1" customWidth="1"/>
    <col min="17" max="20" width="4.5546875" style="931" bestFit="1" customWidth="1"/>
    <col min="21" max="21" width="6.5546875" style="931" bestFit="1" customWidth="1"/>
    <col min="22" max="22" width="10.21875" style="931" customWidth="1"/>
    <col min="23" max="16384" width="3.88671875" style="931"/>
  </cols>
  <sheetData>
    <row r="2" spans="1:23" s="922" customFormat="1" ht="27.75" customHeight="1">
      <c r="A2" s="1141" t="s">
        <v>8976</v>
      </c>
      <c r="B2" s="976"/>
      <c r="C2" s="920"/>
      <c r="D2" s="920"/>
      <c r="E2" s="976"/>
      <c r="F2" s="976"/>
      <c r="G2" s="920"/>
      <c r="H2" s="921"/>
      <c r="I2" s="921"/>
      <c r="J2" s="921"/>
      <c r="K2" s="921"/>
      <c r="L2" s="921"/>
      <c r="M2" s="921"/>
      <c r="N2" s="921"/>
      <c r="O2" s="921"/>
      <c r="P2" s="921"/>
      <c r="Q2" s="920"/>
      <c r="R2" s="921"/>
      <c r="S2" s="921"/>
      <c r="T2" s="921"/>
      <c r="U2" s="920"/>
      <c r="V2" s="920"/>
    </row>
    <row r="3" spans="1:23" s="925" customFormat="1" ht="27.75" customHeight="1">
      <c r="A3" s="1141" t="s">
        <v>7679</v>
      </c>
      <c r="B3" s="976"/>
      <c r="C3" s="923"/>
      <c r="D3" s="923"/>
      <c r="E3" s="976"/>
      <c r="F3" s="976"/>
      <c r="G3" s="923"/>
      <c r="H3" s="924"/>
      <c r="I3" s="924"/>
      <c r="J3" s="924"/>
      <c r="K3" s="924"/>
      <c r="L3" s="924"/>
      <c r="M3" s="924"/>
      <c r="N3" s="924"/>
      <c r="O3" s="924"/>
      <c r="P3" s="924"/>
      <c r="Q3" s="923"/>
      <c r="R3" s="924"/>
      <c r="S3" s="924"/>
      <c r="T3" s="924"/>
      <c r="U3" s="923"/>
      <c r="V3" s="923"/>
    </row>
    <row r="4" spans="1:23" s="925" customFormat="1" ht="27.75" customHeight="1">
      <c r="A4" s="1138"/>
      <c r="B4" s="976"/>
      <c r="C4" s="923"/>
      <c r="D4" s="923"/>
      <c r="E4" s="976"/>
      <c r="F4" s="976"/>
      <c r="G4" s="923"/>
      <c r="H4" s="924"/>
      <c r="I4" s="924"/>
      <c r="J4" s="924"/>
      <c r="K4" s="924"/>
      <c r="L4" s="924"/>
      <c r="M4" s="924"/>
      <c r="N4" s="924"/>
      <c r="O4" s="924"/>
      <c r="P4" s="924"/>
      <c r="Q4" s="923"/>
      <c r="R4" s="924"/>
      <c r="S4" s="924"/>
      <c r="T4" s="924"/>
      <c r="U4" s="923"/>
      <c r="V4" s="923"/>
    </row>
    <row r="5" spans="1:23" ht="14.25" thickBot="1">
      <c r="A5" s="1034"/>
      <c r="B5" s="1035"/>
      <c r="C5" s="1037"/>
      <c r="D5" s="1037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7"/>
    </row>
    <row r="6" spans="1:23" s="1042" customFormat="1" ht="13.5" customHeight="1">
      <c r="A6" s="1982" t="s">
        <v>8890</v>
      </c>
      <c r="B6" s="1985" t="s">
        <v>1462</v>
      </c>
      <c r="C6" s="1994" t="s">
        <v>8887</v>
      </c>
      <c r="D6" s="1994" t="s">
        <v>8889</v>
      </c>
      <c r="E6" s="1988" t="s">
        <v>8738</v>
      </c>
      <c r="F6" s="1991" t="s">
        <v>8816</v>
      </c>
      <c r="G6" s="1996" t="s">
        <v>8739</v>
      </c>
      <c r="H6" s="1996"/>
      <c r="I6" s="1996"/>
      <c r="J6" s="1996"/>
      <c r="K6" s="1996"/>
      <c r="L6" s="1996"/>
      <c r="M6" s="1996"/>
      <c r="N6" s="1996"/>
      <c r="O6" s="1996"/>
      <c r="P6" s="1996"/>
      <c r="Q6" s="1996"/>
      <c r="R6" s="1996"/>
      <c r="S6" s="1996"/>
      <c r="T6" s="1996"/>
      <c r="U6" s="1996"/>
      <c r="V6" s="1997" t="s">
        <v>8888</v>
      </c>
    </row>
    <row r="7" spans="1:23" s="1042" customFormat="1" ht="13.5">
      <c r="A7" s="1983"/>
      <c r="B7" s="1986"/>
      <c r="C7" s="1995"/>
      <c r="D7" s="1995"/>
      <c r="E7" s="1989"/>
      <c r="F7" s="1992"/>
      <c r="G7" s="1999" t="s">
        <v>1488</v>
      </c>
      <c r="H7" s="1999" t="s">
        <v>8740</v>
      </c>
      <c r="I7" s="1999"/>
      <c r="J7" s="1999"/>
      <c r="K7" s="1999"/>
      <c r="L7" s="1999"/>
      <c r="M7" s="1999"/>
      <c r="N7" s="1999"/>
      <c r="O7" s="1999"/>
      <c r="P7" s="2000" t="s">
        <v>8741</v>
      </c>
      <c r="Q7" s="2000"/>
      <c r="R7" s="2000"/>
      <c r="S7" s="2000"/>
      <c r="T7" s="2000"/>
      <c r="U7" s="2000"/>
      <c r="V7" s="1998"/>
    </row>
    <row r="8" spans="1:23" s="1042" customFormat="1" ht="40.5">
      <c r="A8" s="1984"/>
      <c r="B8" s="1987"/>
      <c r="C8" s="1995"/>
      <c r="D8" s="1995"/>
      <c r="E8" s="1990"/>
      <c r="F8" s="1993"/>
      <c r="G8" s="1999"/>
      <c r="H8" s="1194" t="s">
        <v>1403</v>
      </c>
      <c r="I8" s="1194" t="s">
        <v>8742</v>
      </c>
      <c r="J8" s="1194" t="s">
        <v>8743</v>
      </c>
      <c r="K8" s="1194" t="s">
        <v>8744</v>
      </c>
      <c r="L8" s="1194" t="s">
        <v>8745</v>
      </c>
      <c r="M8" s="1194" t="s">
        <v>8746</v>
      </c>
      <c r="N8" s="1194" t="s">
        <v>8747</v>
      </c>
      <c r="O8" s="1194" t="s">
        <v>8748</v>
      </c>
      <c r="P8" s="1194" t="s">
        <v>1403</v>
      </c>
      <c r="Q8" s="1194" t="s">
        <v>8749</v>
      </c>
      <c r="R8" s="1194" t="s">
        <v>1557</v>
      </c>
      <c r="S8" s="1194" t="s">
        <v>1559</v>
      </c>
      <c r="T8" s="1060" t="s">
        <v>8750</v>
      </c>
      <c r="U8" s="1060" t="s">
        <v>8751</v>
      </c>
      <c r="V8" s="1998"/>
    </row>
    <row r="9" spans="1:23" ht="27" customHeight="1">
      <c r="A9" s="1981" t="s">
        <v>9299</v>
      </c>
      <c r="B9" s="1482" t="s">
        <v>9281</v>
      </c>
      <c r="C9" s="1483" t="s">
        <v>9300</v>
      </c>
      <c r="D9" s="1484" t="s">
        <v>9301</v>
      </c>
      <c r="E9" s="1485">
        <v>145</v>
      </c>
      <c r="F9" s="1486">
        <v>43349.599999999999</v>
      </c>
      <c r="G9" s="1486">
        <f t="shared" ref="G9" si="0">F9/365</f>
        <v>118.76602739726027</v>
      </c>
      <c r="H9" s="1487">
        <f t="shared" ref="H9:H11" si="1">I9+Q9</f>
        <v>7734</v>
      </c>
      <c r="I9" s="1487">
        <f t="shared" ref="I9:I11" si="2">SUM(J9:P9)</f>
        <v>7734</v>
      </c>
      <c r="J9" s="1485">
        <v>819</v>
      </c>
      <c r="K9" s="1485">
        <v>37</v>
      </c>
      <c r="L9" s="1485">
        <v>170</v>
      </c>
      <c r="M9" s="1485"/>
      <c r="N9" s="1485">
        <v>55</v>
      </c>
      <c r="O9" s="1485"/>
      <c r="P9" s="1485">
        <v>6653</v>
      </c>
      <c r="Q9" s="1488">
        <f t="shared" ref="Q9:Q17" si="3">SUM(R9:V9)</f>
        <v>0</v>
      </c>
      <c r="R9" s="1489"/>
      <c r="S9" s="1489"/>
      <c r="T9" s="1489"/>
      <c r="U9" s="1489"/>
      <c r="V9" s="1489"/>
      <c r="W9" s="1490">
        <f t="shared" ref="W9:W17" si="4">IF(ISERROR(H9/F9*100),0,H9/F9*100)</f>
        <v>17.840995072618895</v>
      </c>
    </row>
    <row r="10" spans="1:23" ht="27" customHeight="1">
      <c r="A10" s="1981"/>
      <c r="B10" s="1482" t="s">
        <v>9282</v>
      </c>
      <c r="C10" s="1483" t="s">
        <v>9300</v>
      </c>
      <c r="D10" s="1484" t="s">
        <v>9302</v>
      </c>
      <c r="E10" s="1485">
        <v>97</v>
      </c>
      <c r="F10" s="1486">
        <v>15927.2</v>
      </c>
      <c r="G10" s="1486">
        <v>43612</v>
      </c>
      <c r="H10" s="1487">
        <f t="shared" si="1"/>
        <v>2303</v>
      </c>
      <c r="I10" s="1487">
        <f t="shared" si="2"/>
        <v>2303</v>
      </c>
      <c r="J10" s="1485">
        <v>613</v>
      </c>
      <c r="K10" s="1485">
        <v>210</v>
      </c>
      <c r="L10" s="1485">
        <v>290</v>
      </c>
      <c r="M10" s="1485"/>
      <c r="N10" s="1485">
        <v>16</v>
      </c>
      <c r="O10" s="1485"/>
      <c r="P10" s="1485">
        <v>1174</v>
      </c>
      <c r="Q10" s="1488">
        <f t="shared" si="3"/>
        <v>0</v>
      </c>
      <c r="R10" s="1489"/>
      <c r="S10" s="1489"/>
      <c r="T10" s="1489"/>
      <c r="U10" s="1489"/>
      <c r="V10" s="1489"/>
      <c r="W10" s="1490">
        <f t="shared" si="4"/>
        <v>14.459540911145712</v>
      </c>
    </row>
    <row r="11" spans="1:23" ht="27" customHeight="1">
      <c r="A11" s="1981"/>
      <c r="B11" s="1482" t="s">
        <v>9283</v>
      </c>
      <c r="C11" s="1483" t="s">
        <v>9134</v>
      </c>
      <c r="D11" s="1484" t="s">
        <v>9303</v>
      </c>
      <c r="E11" s="1486">
        <v>1.3</v>
      </c>
      <c r="F11" s="1486">
        <v>237.7</v>
      </c>
      <c r="G11" s="1486">
        <v>0.65123287671232877</v>
      </c>
      <c r="H11" s="1487">
        <f t="shared" si="1"/>
        <v>33.799999999999997</v>
      </c>
      <c r="I11" s="1487">
        <f t="shared" si="2"/>
        <v>33.799999999999997</v>
      </c>
      <c r="J11" s="1486">
        <v>33.799999999999997</v>
      </c>
      <c r="K11" s="1485"/>
      <c r="L11" s="1485"/>
      <c r="M11" s="1485"/>
      <c r="N11" s="1485"/>
      <c r="O11" s="1485"/>
      <c r="P11" s="1485"/>
      <c r="Q11" s="1488">
        <f t="shared" si="3"/>
        <v>0</v>
      </c>
      <c r="R11" s="1489"/>
      <c r="S11" s="1489"/>
      <c r="T11" s="1489"/>
      <c r="U11" s="1489"/>
      <c r="V11" s="1489"/>
      <c r="W11" s="1490">
        <f t="shared" si="4"/>
        <v>14.21960454354228</v>
      </c>
    </row>
    <row r="12" spans="1:23" ht="27" customHeight="1">
      <c r="A12" s="1981"/>
      <c r="B12" s="1482" t="s">
        <v>9174</v>
      </c>
      <c r="C12" s="1483" t="s">
        <v>9300</v>
      </c>
      <c r="D12" s="1484" t="s">
        <v>9304</v>
      </c>
      <c r="E12" s="1485">
        <v>19</v>
      </c>
      <c r="F12" s="1486">
        <v>5016.8999999999996</v>
      </c>
      <c r="G12" s="1486">
        <f t="shared" ref="G12:G13" si="5">F12/365</f>
        <v>13.744931506849314</v>
      </c>
      <c r="H12" s="1487">
        <v>536</v>
      </c>
      <c r="I12" s="1487">
        <f t="shared" ref="I12:I17" si="6">SUM(J12:P12)</f>
        <v>536</v>
      </c>
      <c r="J12" s="1485">
        <v>44.3</v>
      </c>
      <c r="K12" s="1485"/>
      <c r="L12" s="1485"/>
      <c r="M12" s="1485"/>
      <c r="N12" s="1485"/>
      <c r="O12" s="1485"/>
      <c r="P12" s="1485">
        <v>491.7</v>
      </c>
      <c r="Q12" s="1488">
        <f t="shared" si="3"/>
        <v>0</v>
      </c>
      <c r="R12" s="1489"/>
      <c r="S12" s="1489"/>
      <c r="T12" s="1489"/>
      <c r="U12" s="1489"/>
      <c r="V12" s="1489"/>
      <c r="W12" s="1490">
        <f t="shared" si="4"/>
        <v>10.683888457015289</v>
      </c>
    </row>
    <row r="13" spans="1:23" ht="27" customHeight="1">
      <c r="A13" s="1981"/>
      <c r="B13" s="1482" t="s">
        <v>9176</v>
      </c>
      <c r="C13" s="1483" t="s">
        <v>9134</v>
      </c>
      <c r="D13" s="1484" t="s">
        <v>9305</v>
      </c>
      <c r="E13" s="1486">
        <v>3</v>
      </c>
      <c r="F13" s="1486">
        <v>1143.5999999999999</v>
      </c>
      <c r="G13" s="1486">
        <f t="shared" si="5"/>
        <v>3.1331506849315067</v>
      </c>
      <c r="H13" s="1487">
        <v>53.6</v>
      </c>
      <c r="I13" s="1487">
        <f t="shared" si="6"/>
        <v>53.6</v>
      </c>
      <c r="J13" s="1485"/>
      <c r="K13" s="1485"/>
      <c r="L13" s="1485"/>
      <c r="M13" s="1485"/>
      <c r="N13" s="1485"/>
      <c r="O13" s="1485"/>
      <c r="P13" s="1485">
        <v>53.6</v>
      </c>
      <c r="Q13" s="1488">
        <f t="shared" si="3"/>
        <v>0</v>
      </c>
      <c r="R13" s="1489"/>
      <c r="S13" s="1489"/>
      <c r="T13" s="1489"/>
      <c r="U13" s="1489"/>
      <c r="V13" s="1489"/>
      <c r="W13" s="1490">
        <f t="shared" si="4"/>
        <v>4.6869534802378459</v>
      </c>
    </row>
    <row r="14" spans="1:23" ht="27" customHeight="1">
      <c r="A14" s="1981"/>
      <c r="B14" s="1482" t="s">
        <v>9178</v>
      </c>
      <c r="C14" s="1483" t="s">
        <v>9134</v>
      </c>
      <c r="D14" s="1484" t="s">
        <v>9306</v>
      </c>
      <c r="E14" s="1486">
        <v>1.3</v>
      </c>
      <c r="F14" s="1486">
        <v>319.7</v>
      </c>
      <c r="G14" s="1486">
        <v>0.87589041095890408</v>
      </c>
      <c r="H14" s="1487">
        <v>1.9</v>
      </c>
      <c r="I14" s="1487">
        <f t="shared" si="6"/>
        <v>1.9</v>
      </c>
      <c r="J14" s="1485"/>
      <c r="K14" s="1485"/>
      <c r="L14" s="1485"/>
      <c r="M14" s="1485"/>
      <c r="N14" s="1485"/>
      <c r="O14" s="1485"/>
      <c r="P14" s="1485">
        <v>1.9</v>
      </c>
      <c r="Q14" s="1488">
        <f t="shared" si="3"/>
        <v>0</v>
      </c>
      <c r="R14" s="1489"/>
      <c r="S14" s="1489"/>
      <c r="T14" s="1489"/>
      <c r="U14" s="1489"/>
      <c r="V14" s="1489"/>
      <c r="W14" s="1490">
        <f t="shared" si="4"/>
        <v>0.59430716296527997</v>
      </c>
    </row>
    <row r="15" spans="1:23" ht="27" customHeight="1">
      <c r="A15" s="1981"/>
      <c r="B15" s="1482" t="s">
        <v>9182</v>
      </c>
      <c r="C15" s="1483" t="s">
        <v>9134</v>
      </c>
      <c r="D15" s="1484" t="s">
        <v>9307</v>
      </c>
      <c r="E15" s="1486">
        <v>0.5</v>
      </c>
      <c r="F15" s="1486">
        <v>218.2</v>
      </c>
      <c r="G15" s="1486">
        <v>0.59780821917808213</v>
      </c>
      <c r="H15" s="1487">
        <v>0</v>
      </c>
      <c r="I15" s="1487">
        <f t="shared" si="6"/>
        <v>0</v>
      </c>
      <c r="J15" s="1485"/>
      <c r="K15" s="1485"/>
      <c r="L15" s="1485"/>
      <c r="M15" s="1485"/>
      <c r="N15" s="1485"/>
      <c r="O15" s="1485"/>
      <c r="P15" s="1485">
        <v>0</v>
      </c>
      <c r="Q15" s="1488">
        <f t="shared" si="3"/>
        <v>0</v>
      </c>
      <c r="R15" s="1489"/>
      <c r="S15" s="1489"/>
      <c r="T15" s="1489"/>
      <c r="U15" s="1489"/>
      <c r="V15" s="1489"/>
      <c r="W15" s="1490">
        <f t="shared" si="4"/>
        <v>0</v>
      </c>
    </row>
    <row r="16" spans="1:23" ht="27" customHeight="1">
      <c r="A16" s="1981"/>
      <c r="B16" s="1482" t="s">
        <v>9253</v>
      </c>
      <c r="C16" s="1483" t="s">
        <v>9134</v>
      </c>
      <c r="D16" s="1484" t="s">
        <v>9308</v>
      </c>
      <c r="E16" s="1486">
        <v>1.1000000000000001</v>
      </c>
      <c r="F16" s="1486">
        <v>336.5</v>
      </c>
      <c r="G16" s="1486">
        <v>0.92191780821917813</v>
      </c>
      <c r="H16" s="1487">
        <v>1.2</v>
      </c>
      <c r="I16" s="1487">
        <f t="shared" si="6"/>
        <v>1.2</v>
      </c>
      <c r="J16" s="1485"/>
      <c r="K16" s="1485"/>
      <c r="L16" s="1485"/>
      <c r="M16" s="1485"/>
      <c r="N16" s="1485"/>
      <c r="O16" s="1485"/>
      <c r="P16" s="1485">
        <v>1.2</v>
      </c>
      <c r="Q16" s="1488">
        <f t="shared" si="3"/>
        <v>0</v>
      </c>
      <c r="R16" s="1489"/>
      <c r="S16" s="1489"/>
      <c r="T16" s="1489"/>
      <c r="U16" s="1489"/>
      <c r="V16" s="1489"/>
      <c r="W16" s="1490">
        <f t="shared" si="4"/>
        <v>0.35661218424962854</v>
      </c>
    </row>
    <row r="17" spans="1:23" ht="27" customHeight="1">
      <c r="A17" s="1981"/>
      <c r="B17" s="1482" t="s">
        <v>9254</v>
      </c>
      <c r="C17" s="1483" t="s">
        <v>9134</v>
      </c>
      <c r="D17" s="1484" t="s">
        <v>9309</v>
      </c>
      <c r="E17" s="1486">
        <v>1</v>
      </c>
      <c r="F17" s="1486">
        <v>107</v>
      </c>
      <c r="G17" s="1486">
        <v>0.58152173913043481</v>
      </c>
      <c r="H17" s="1487">
        <v>0</v>
      </c>
      <c r="I17" s="1487">
        <f t="shared" si="6"/>
        <v>0</v>
      </c>
      <c r="J17" s="1485"/>
      <c r="K17" s="1485"/>
      <c r="L17" s="1485"/>
      <c r="M17" s="1485"/>
      <c r="N17" s="1485"/>
      <c r="O17" s="1485"/>
      <c r="P17" s="1485">
        <v>0</v>
      </c>
      <c r="Q17" s="1488">
        <f t="shared" si="3"/>
        <v>0</v>
      </c>
      <c r="R17" s="1489"/>
      <c r="S17" s="1489"/>
      <c r="T17" s="1489"/>
      <c r="U17" s="1489"/>
      <c r="V17" s="1489"/>
      <c r="W17" s="1490">
        <f t="shared" si="4"/>
        <v>0</v>
      </c>
    </row>
  </sheetData>
  <mergeCells count="12">
    <mergeCell ref="G6:U6"/>
    <mergeCell ref="V6:V8"/>
    <mergeCell ref="G7:G8"/>
    <mergeCell ref="H7:O7"/>
    <mergeCell ref="P7:U7"/>
    <mergeCell ref="A9:A17"/>
    <mergeCell ref="A6:A8"/>
    <mergeCell ref="B6:B8"/>
    <mergeCell ref="E6:E8"/>
    <mergeCell ref="F6:F8"/>
    <mergeCell ref="C6:C8"/>
    <mergeCell ref="D6:D8"/>
  </mergeCells>
  <phoneticPr fontId="3" type="noConversion"/>
  <conditionalFormatting sqref="C12:D17">
    <cfRule type="expression" dxfId="273" priority="3" stopIfTrue="1">
      <formula>OR($A12="시부",$A12="군부")</formula>
    </cfRule>
    <cfRule type="expression" dxfId="272" priority="4" stopIfTrue="1">
      <formula>OR(RIGHT($A12,3)="특별시",RIGHT($A12,3)="광역시",RIGHT($A12,1)="도",$A12="전국")</formula>
    </cfRule>
  </conditionalFormatting>
  <conditionalFormatting sqref="C9:D11">
    <cfRule type="expression" dxfId="271" priority="1" stopIfTrue="1">
      <formula>OR($A9="시부",$A9="군부")</formula>
    </cfRule>
    <cfRule type="expression" dxfId="270" priority="2" stopIfTrue="1">
      <formula>OR(RIGHT($A9,3)="특별시",RIGHT($A9,3)="광역시",RIGHT($A9,1)="도",$A9="전국")</formula>
    </cfRule>
  </conditionalFormatting>
  <dataValidations xWindow="1583" yWindow="716" count="2">
    <dataValidation type="list" allowBlank="1" showInputMessage="1" showErrorMessage="1" promptTitle="목록에서 선택" prompt="▼버튼을 눌러 목록에서 선택하세요." sqref="C9:C17">
      <formula1>"대상, 미대상"</formula1>
    </dataValidation>
    <dataValidation operator="lessThanOrEqual" allowBlank="1" showErrorMessage="1" sqref="D9:D17"/>
  </dataValidations>
  <pageMargins left="0.74803149606299213" right="0.74803149606299213" top="0.98425196850393704" bottom="0.98425196850393704" header="0.51181102362204722" footer="0.51181102362204722"/>
  <pageSetup paperSize="9" scale="63" orientation="landscape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1" tint="4.9989318521683403E-2"/>
  </sheetPr>
  <dimension ref="A1:J350"/>
  <sheetViews>
    <sheetView topLeftCell="A13" workbookViewId="0">
      <selection activeCell="D28" sqref="D28"/>
    </sheetView>
  </sheetViews>
  <sheetFormatPr defaultColWidth="3.88671875" defaultRowHeight="12"/>
  <cols>
    <col min="1" max="1" width="13.33203125" style="395" customWidth="1"/>
    <col min="2" max="2" width="21.44140625" style="395" customWidth="1"/>
    <col min="3" max="3" width="13.5546875" style="3" customWidth="1"/>
    <col min="4" max="9" width="14.33203125" style="3" customWidth="1"/>
    <col min="10" max="10" width="13.33203125" style="3" customWidth="1"/>
    <col min="11" max="16384" width="3.88671875" style="3"/>
  </cols>
  <sheetData>
    <row r="1" spans="1:10" s="1949" customFormat="1" ht="19.5" customHeight="1">
      <c r="A1" s="1949" t="s">
        <v>1512</v>
      </c>
    </row>
    <row r="2" spans="1:10" s="2003" customFormat="1" ht="14.25" customHeight="1">
      <c r="A2" s="2003" t="s">
        <v>1560</v>
      </c>
    </row>
    <row r="3" spans="1:10" ht="12.75" thickBot="1">
      <c r="J3" s="2" t="s">
        <v>1501</v>
      </c>
    </row>
    <row r="4" spans="1:10" s="2" customFormat="1" ht="23.25" customHeight="1">
      <c r="A4" s="2004" t="s">
        <v>1471</v>
      </c>
      <c r="B4" s="2006" t="s">
        <v>1494</v>
      </c>
      <c r="C4" s="2008" t="s">
        <v>1513</v>
      </c>
      <c r="D4" s="2008" t="s">
        <v>1421</v>
      </c>
      <c r="E4" s="2008"/>
      <c r="F4" s="2008"/>
      <c r="G4" s="2008"/>
      <c r="H4" s="2008"/>
      <c r="I4" s="2008"/>
      <c r="J4" s="2010" t="s">
        <v>1515</v>
      </c>
    </row>
    <row r="5" spans="1:10" s="2" customFormat="1" ht="26.25" customHeight="1" thickBot="1">
      <c r="A5" s="2005"/>
      <c r="B5" s="2007"/>
      <c r="C5" s="2009"/>
      <c r="D5" s="54" t="s">
        <v>1514</v>
      </c>
      <c r="E5" s="54" t="s">
        <v>1422</v>
      </c>
      <c r="F5" s="54" t="s">
        <v>1423</v>
      </c>
      <c r="G5" s="54" t="s">
        <v>1424</v>
      </c>
      <c r="H5" s="54" t="s">
        <v>1425</v>
      </c>
      <c r="I5" s="54" t="s">
        <v>1404</v>
      </c>
      <c r="J5" s="2011"/>
    </row>
    <row r="6" spans="1:10" ht="27.75" customHeight="1">
      <c r="A6" s="346">
        <v>2006</v>
      </c>
      <c r="B6" s="409">
        <f>SUM(B7,B12,B22,B29,B37,B40,B43,B50,B120,B146,B181,B213,B271,B311,B345)</f>
        <v>277</v>
      </c>
      <c r="C6" s="347">
        <f t="shared" ref="C6:C69" si="0">SUM(D6,J6)</f>
        <v>2659817.4780000001</v>
      </c>
      <c r="D6" s="347">
        <f>SUM(E6:I6)</f>
        <v>2658906.398</v>
      </c>
      <c r="E6" s="347">
        <f t="shared" ref="E6:J6" si="1">SUM(E7,E12,E22,E29,E37,E40,E43,E50,E120,E146,E181,E213,E233,E271,E311,E345)</f>
        <v>335894.69799999997</v>
      </c>
      <c r="F6" s="347">
        <f t="shared" si="1"/>
        <v>43337.249999999993</v>
      </c>
      <c r="G6" s="347">
        <f t="shared" si="1"/>
        <v>307494.28000000003</v>
      </c>
      <c r="H6" s="347">
        <f t="shared" si="1"/>
        <v>1929638.1700000002</v>
      </c>
      <c r="I6" s="347">
        <f t="shared" si="1"/>
        <v>42542</v>
      </c>
      <c r="J6" s="348">
        <f t="shared" si="1"/>
        <v>911.07999999999993</v>
      </c>
    </row>
    <row r="7" spans="1:10" ht="27.75" customHeight="1">
      <c r="A7" s="349" t="s">
        <v>1586</v>
      </c>
      <c r="B7" s="410">
        <f>COUNTA(B8:B11)</f>
        <v>4</v>
      </c>
      <c r="C7" s="350">
        <f t="shared" si="0"/>
        <v>657048.24</v>
      </c>
      <c r="D7" s="350">
        <f>SUM(E7:I7)</f>
        <v>657048.24</v>
      </c>
      <c r="E7" s="350">
        <f t="shared" ref="E7:J7" si="2">SUM(E8:E11)</f>
        <v>196898.55</v>
      </c>
      <c r="F7" s="350">
        <f t="shared" si="2"/>
        <v>5808</v>
      </c>
      <c r="G7" s="350">
        <f t="shared" si="2"/>
        <v>105133.03</v>
      </c>
      <c r="H7" s="350">
        <f t="shared" si="2"/>
        <v>311177.66000000003</v>
      </c>
      <c r="I7" s="350">
        <f t="shared" si="2"/>
        <v>38031</v>
      </c>
      <c r="J7" s="351">
        <f t="shared" si="2"/>
        <v>0</v>
      </c>
    </row>
    <row r="8" spans="1:10" ht="27.75" customHeight="1">
      <c r="A8" s="359"/>
      <c r="B8" s="396" t="s">
        <v>1993</v>
      </c>
      <c r="C8" s="350">
        <f t="shared" si="0"/>
        <v>214370</v>
      </c>
      <c r="D8" s="350">
        <f>SUM(E8:I8)</f>
        <v>214370</v>
      </c>
      <c r="E8" s="350">
        <v>100031</v>
      </c>
      <c r="F8" s="350">
        <v>2153</v>
      </c>
      <c r="G8" s="350">
        <v>0</v>
      </c>
      <c r="H8" s="350">
        <v>112186</v>
      </c>
      <c r="I8" s="350">
        <v>0</v>
      </c>
      <c r="J8" s="351">
        <v>0</v>
      </c>
    </row>
    <row r="9" spans="1:10" ht="27.75" customHeight="1">
      <c r="A9" s="359"/>
      <c r="B9" s="396" t="s">
        <v>1994</v>
      </c>
      <c r="C9" s="350">
        <f t="shared" si="0"/>
        <v>104458</v>
      </c>
      <c r="D9" s="350">
        <f>SUM(E9:I9)</f>
        <v>104458</v>
      </c>
      <c r="E9" s="350">
        <v>33607</v>
      </c>
      <c r="F9" s="626" t="s">
        <v>1588</v>
      </c>
      <c r="G9" s="626" t="s">
        <v>1588</v>
      </c>
      <c r="H9" s="350">
        <v>69663</v>
      </c>
      <c r="I9" s="350">
        <v>1188</v>
      </c>
      <c r="J9" s="351">
        <v>0</v>
      </c>
    </row>
    <row r="10" spans="1:10" ht="27.75" customHeight="1">
      <c r="A10" s="359"/>
      <c r="B10" s="396" t="s">
        <v>1995</v>
      </c>
      <c r="C10" s="350">
        <f t="shared" si="0"/>
        <v>213057.24</v>
      </c>
      <c r="D10" s="350">
        <f t="shared" ref="D10:D73" si="3">SUM(E10:I10)</f>
        <v>213057.24</v>
      </c>
      <c r="E10" s="350">
        <v>59385.55</v>
      </c>
      <c r="F10" s="626" t="s">
        <v>1588</v>
      </c>
      <c r="G10" s="350">
        <v>51131.03</v>
      </c>
      <c r="H10" s="350">
        <v>102540.66</v>
      </c>
      <c r="I10" s="626" t="s">
        <v>1588</v>
      </c>
      <c r="J10" s="351">
        <v>0</v>
      </c>
    </row>
    <row r="11" spans="1:10" ht="27.75" customHeight="1">
      <c r="A11" s="360"/>
      <c r="B11" s="396" t="s">
        <v>1996</v>
      </c>
      <c r="C11" s="350">
        <f t="shared" si="0"/>
        <v>125163</v>
      </c>
      <c r="D11" s="350">
        <f t="shared" si="3"/>
        <v>125163</v>
      </c>
      <c r="E11" s="350">
        <v>3875</v>
      </c>
      <c r="F11" s="350">
        <v>3655</v>
      </c>
      <c r="G11" s="350">
        <v>54002</v>
      </c>
      <c r="H11" s="350">
        <v>26788</v>
      </c>
      <c r="I11" s="350">
        <v>36843</v>
      </c>
      <c r="J11" s="351">
        <v>0</v>
      </c>
    </row>
    <row r="12" spans="1:10" ht="27.75" customHeight="1">
      <c r="A12" s="352" t="s">
        <v>1785</v>
      </c>
      <c r="B12" s="411">
        <f>COUNTA(B13:B21)</f>
        <v>9</v>
      </c>
      <c r="C12" s="350">
        <f t="shared" si="0"/>
        <v>177898.73</v>
      </c>
      <c r="D12" s="350">
        <f t="shared" si="3"/>
        <v>177898.73</v>
      </c>
      <c r="E12" s="353">
        <f t="shared" ref="E12:J12" si="4">SUM(E13:E21)</f>
        <v>0</v>
      </c>
      <c r="F12" s="353">
        <f t="shared" si="4"/>
        <v>0</v>
      </c>
      <c r="G12" s="353">
        <f t="shared" si="4"/>
        <v>12306</v>
      </c>
      <c r="H12" s="353">
        <f t="shared" si="4"/>
        <v>165592.73000000001</v>
      </c>
      <c r="I12" s="353">
        <f t="shared" si="4"/>
        <v>0</v>
      </c>
      <c r="J12" s="354">
        <f t="shared" si="4"/>
        <v>0</v>
      </c>
    </row>
    <row r="13" spans="1:10" ht="27.75" customHeight="1">
      <c r="A13" s="352"/>
      <c r="B13" s="398" t="s">
        <v>2107</v>
      </c>
      <c r="C13" s="350">
        <f t="shared" si="0"/>
        <v>58135.17</v>
      </c>
      <c r="D13" s="350">
        <f t="shared" si="3"/>
        <v>58135.17</v>
      </c>
      <c r="E13" s="632" t="s">
        <v>1588</v>
      </c>
      <c r="F13" s="632" t="s">
        <v>1588</v>
      </c>
      <c r="G13" s="632" t="s">
        <v>1588</v>
      </c>
      <c r="H13" s="353">
        <v>58135.17</v>
      </c>
      <c r="I13" s="632" t="s">
        <v>1588</v>
      </c>
      <c r="J13" s="633" t="s">
        <v>1588</v>
      </c>
    </row>
    <row r="14" spans="1:10" ht="27.75" customHeight="1">
      <c r="A14" s="355"/>
      <c r="B14" s="398" t="s">
        <v>130</v>
      </c>
      <c r="C14" s="350">
        <f t="shared" si="0"/>
        <v>63570</v>
      </c>
      <c r="D14" s="350">
        <f t="shared" si="3"/>
        <v>63570</v>
      </c>
      <c r="E14" s="632" t="s">
        <v>1588</v>
      </c>
      <c r="F14" s="632" t="s">
        <v>1588</v>
      </c>
      <c r="G14" s="632" t="s">
        <v>1588</v>
      </c>
      <c r="H14" s="353">
        <v>63570</v>
      </c>
      <c r="I14" s="632" t="s">
        <v>1588</v>
      </c>
      <c r="J14" s="633" t="s">
        <v>1588</v>
      </c>
    </row>
    <row r="15" spans="1:10" ht="27.75" customHeight="1">
      <c r="A15" s="355"/>
      <c r="B15" s="399" t="s">
        <v>2038</v>
      </c>
      <c r="C15" s="350">
        <f t="shared" si="0"/>
        <v>30888.39</v>
      </c>
      <c r="D15" s="350">
        <f t="shared" si="3"/>
        <v>30888.39</v>
      </c>
      <c r="E15" s="632" t="s">
        <v>1588</v>
      </c>
      <c r="F15" s="632" t="s">
        <v>1588</v>
      </c>
      <c r="G15" s="632" t="s">
        <v>1588</v>
      </c>
      <c r="H15" s="353">
        <v>30888.39</v>
      </c>
      <c r="I15" s="632" t="s">
        <v>1588</v>
      </c>
      <c r="J15" s="633" t="s">
        <v>1588</v>
      </c>
    </row>
    <row r="16" spans="1:10" ht="27.75" customHeight="1">
      <c r="A16" s="355"/>
      <c r="B16" s="398" t="s">
        <v>131</v>
      </c>
      <c r="C16" s="350">
        <f t="shared" si="0"/>
        <v>4605.4399999999996</v>
      </c>
      <c r="D16" s="350">
        <f t="shared" si="3"/>
        <v>4605.4399999999996</v>
      </c>
      <c r="E16" s="632" t="s">
        <v>1588</v>
      </c>
      <c r="F16" s="632" t="s">
        <v>1588</v>
      </c>
      <c r="G16" s="632" t="s">
        <v>1588</v>
      </c>
      <c r="H16" s="353">
        <v>4605.4399999999996</v>
      </c>
      <c r="I16" s="632" t="s">
        <v>1588</v>
      </c>
      <c r="J16" s="633" t="s">
        <v>1588</v>
      </c>
    </row>
    <row r="17" spans="1:10" ht="27.75" customHeight="1">
      <c r="A17" s="355"/>
      <c r="B17" s="398" t="s">
        <v>132</v>
      </c>
      <c r="C17" s="350">
        <f t="shared" si="0"/>
        <v>149.16999999999999</v>
      </c>
      <c r="D17" s="350">
        <f t="shared" si="3"/>
        <v>149.16999999999999</v>
      </c>
      <c r="E17" s="632" t="s">
        <v>1588</v>
      </c>
      <c r="F17" s="632" t="s">
        <v>1588</v>
      </c>
      <c r="G17" s="632" t="s">
        <v>1588</v>
      </c>
      <c r="H17" s="353">
        <v>149.16999999999999</v>
      </c>
      <c r="I17" s="632" t="s">
        <v>1588</v>
      </c>
      <c r="J17" s="633" t="s">
        <v>1588</v>
      </c>
    </row>
    <row r="18" spans="1:10" ht="27.75" customHeight="1">
      <c r="A18" s="355"/>
      <c r="B18" s="398" t="s">
        <v>2468</v>
      </c>
      <c r="C18" s="350">
        <f t="shared" si="0"/>
        <v>13490</v>
      </c>
      <c r="D18" s="350">
        <f t="shared" si="3"/>
        <v>13490</v>
      </c>
      <c r="E18" s="632" t="s">
        <v>1588</v>
      </c>
      <c r="F18" s="632" t="s">
        <v>1588</v>
      </c>
      <c r="G18" s="353">
        <v>12306</v>
      </c>
      <c r="H18" s="353">
        <v>1184</v>
      </c>
      <c r="I18" s="632" t="s">
        <v>1588</v>
      </c>
      <c r="J18" s="633" t="s">
        <v>1588</v>
      </c>
    </row>
    <row r="19" spans="1:10" ht="27.75" customHeight="1">
      <c r="A19" s="355"/>
      <c r="B19" s="398" t="s">
        <v>2250</v>
      </c>
      <c r="C19" s="350">
        <f t="shared" si="0"/>
        <v>699.76</v>
      </c>
      <c r="D19" s="350">
        <f t="shared" si="3"/>
        <v>699.76</v>
      </c>
      <c r="E19" s="632" t="s">
        <v>1588</v>
      </c>
      <c r="F19" s="632" t="s">
        <v>1588</v>
      </c>
      <c r="G19" s="632" t="s">
        <v>1588</v>
      </c>
      <c r="H19" s="353">
        <v>699.76</v>
      </c>
      <c r="I19" s="632" t="s">
        <v>1588</v>
      </c>
      <c r="J19" s="633" t="s">
        <v>1588</v>
      </c>
    </row>
    <row r="20" spans="1:10" ht="27.75" customHeight="1">
      <c r="A20" s="355"/>
      <c r="B20" s="398" t="s">
        <v>2146</v>
      </c>
      <c r="C20" s="350">
        <f t="shared" si="0"/>
        <v>2751</v>
      </c>
      <c r="D20" s="350">
        <f t="shared" si="3"/>
        <v>2751</v>
      </c>
      <c r="E20" s="632" t="s">
        <v>1588</v>
      </c>
      <c r="F20" s="632" t="s">
        <v>1588</v>
      </c>
      <c r="G20" s="632" t="s">
        <v>1588</v>
      </c>
      <c r="H20" s="350">
        <v>2751</v>
      </c>
      <c r="I20" s="632" t="s">
        <v>1588</v>
      </c>
      <c r="J20" s="633" t="s">
        <v>1588</v>
      </c>
    </row>
    <row r="21" spans="1:10" ht="27.75" customHeight="1">
      <c r="A21" s="355"/>
      <c r="B21" s="398" t="s">
        <v>133</v>
      </c>
      <c r="C21" s="350">
        <f t="shared" si="0"/>
        <v>3609.8</v>
      </c>
      <c r="D21" s="350">
        <f t="shared" si="3"/>
        <v>3609.8</v>
      </c>
      <c r="E21" s="632" t="s">
        <v>1588</v>
      </c>
      <c r="F21" s="632" t="s">
        <v>1588</v>
      </c>
      <c r="G21" s="632" t="s">
        <v>1588</v>
      </c>
      <c r="H21" s="353">
        <v>3609.8</v>
      </c>
      <c r="I21" s="632" t="s">
        <v>1588</v>
      </c>
      <c r="J21" s="633" t="s">
        <v>1588</v>
      </c>
    </row>
    <row r="22" spans="1:10" ht="27.75" customHeight="1">
      <c r="A22" s="357" t="s">
        <v>1971</v>
      </c>
      <c r="B22" s="412">
        <f>COUNTA(B23:B28)</f>
        <v>6</v>
      </c>
      <c r="C22" s="350">
        <f t="shared" si="0"/>
        <v>160962</v>
      </c>
      <c r="D22" s="350">
        <f t="shared" si="3"/>
        <v>160962</v>
      </c>
      <c r="E22" s="350">
        <f t="shared" ref="E22:J22" si="5">SUM(E23:E28)</f>
        <v>1995</v>
      </c>
      <c r="F22" s="350">
        <f t="shared" si="5"/>
        <v>0</v>
      </c>
      <c r="G22" s="350">
        <f t="shared" si="5"/>
        <v>0</v>
      </c>
      <c r="H22" s="350">
        <f t="shared" si="5"/>
        <v>158967</v>
      </c>
      <c r="I22" s="350">
        <f t="shared" si="5"/>
        <v>0</v>
      </c>
      <c r="J22" s="351">
        <f t="shared" si="5"/>
        <v>0</v>
      </c>
    </row>
    <row r="23" spans="1:10" ht="27.75" customHeight="1">
      <c r="A23" s="355"/>
      <c r="B23" s="398" t="s">
        <v>2195</v>
      </c>
      <c r="C23" s="350">
        <f t="shared" si="0"/>
        <v>23538</v>
      </c>
      <c r="D23" s="350">
        <f t="shared" si="3"/>
        <v>23538</v>
      </c>
      <c r="E23" s="626" t="s">
        <v>1588</v>
      </c>
      <c r="F23" s="626" t="s">
        <v>1588</v>
      </c>
      <c r="G23" s="626" t="s">
        <v>1588</v>
      </c>
      <c r="H23" s="350">
        <v>23538</v>
      </c>
      <c r="I23" s="626" t="s">
        <v>1588</v>
      </c>
      <c r="J23" s="627" t="s">
        <v>1588</v>
      </c>
    </row>
    <row r="24" spans="1:10" ht="27.75" customHeight="1">
      <c r="A24" s="355"/>
      <c r="B24" s="790" t="s">
        <v>2250</v>
      </c>
      <c r="C24" s="350">
        <f t="shared" si="0"/>
        <v>47731</v>
      </c>
      <c r="D24" s="350">
        <f t="shared" si="3"/>
        <v>47731</v>
      </c>
      <c r="E24" s="626" t="s">
        <v>1588</v>
      </c>
      <c r="F24" s="626" t="s">
        <v>1588</v>
      </c>
      <c r="G24" s="626" t="s">
        <v>1588</v>
      </c>
      <c r="H24" s="350">
        <v>47731</v>
      </c>
      <c r="I24" s="626" t="s">
        <v>1588</v>
      </c>
      <c r="J24" s="627" t="s">
        <v>1588</v>
      </c>
    </row>
    <row r="25" spans="1:10" ht="27.75" customHeight="1">
      <c r="A25" s="355"/>
      <c r="B25" s="790" t="s">
        <v>2083</v>
      </c>
      <c r="C25" s="350">
        <f t="shared" si="0"/>
        <v>74273</v>
      </c>
      <c r="D25" s="350">
        <f t="shared" si="3"/>
        <v>74273</v>
      </c>
      <c r="E25" s="350">
        <v>1995</v>
      </c>
      <c r="F25" s="626" t="s">
        <v>1588</v>
      </c>
      <c r="G25" s="626" t="s">
        <v>1588</v>
      </c>
      <c r="H25" s="350">
        <v>72278</v>
      </c>
      <c r="I25" s="626" t="s">
        <v>1588</v>
      </c>
      <c r="J25" s="627" t="s">
        <v>1588</v>
      </c>
    </row>
    <row r="26" spans="1:10" ht="27.75" customHeight="1">
      <c r="A26" s="355"/>
      <c r="B26" s="790" t="s">
        <v>320</v>
      </c>
      <c r="C26" s="350">
        <f t="shared" si="0"/>
        <v>15420</v>
      </c>
      <c r="D26" s="350">
        <f t="shared" si="3"/>
        <v>15420</v>
      </c>
      <c r="E26" s="626" t="s">
        <v>1588</v>
      </c>
      <c r="F26" s="626" t="s">
        <v>1588</v>
      </c>
      <c r="G26" s="626" t="s">
        <v>1588</v>
      </c>
      <c r="H26" s="350">
        <v>15420</v>
      </c>
      <c r="I26" s="626" t="s">
        <v>1588</v>
      </c>
      <c r="J26" s="627" t="s">
        <v>1588</v>
      </c>
    </row>
    <row r="27" spans="1:10" ht="27.75" customHeight="1">
      <c r="A27" s="355"/>
      <c r="B27" s="790" t="s">
        <v>2033</v>
      </c>
      <c r="C27" s="350">
        <f t="shared" si="0"/>
        <v>0</v>
      </c>
      <c r="D27" s="350">
        <f t="shared" si="3"/>
        <v>0</v>
      </c>
      <c r="E27" s="626" t="s">
        <v>1588</v>
      </c>
      <c r="F27" s="626" t="s">
        <v>1588</v>
      </c>
      <c r="G27" s="626" t="s">
        <v>1588</v>
      </c>
      <c r="H27" s="626" t="s">
        <v>1588</v>
      </c>
      <c r="I27" s="626" t="s">
        <v>1588</v>
      </c>
      <c r="J27" s="627" t="s">
        <v>1588</v>
      </c>
    </row>
    <row r="28" spans="1:10" ht="27.75" customHeight="1">
      <c r="A28" s="355"/>
      <c r="B28" s="790" t="s">
        <v>321</v>
      </c>
      <c r="C28" s="350">
        <f t="shared" si="0"/>
        <v>0</v>
      </c>
      <c r="D28" s="350">
        <f t="shared" si="3"/>
        <v>0</v>
      </c>
      <c r="E28" s="626" t="s">
        <v>1588</v>
      </c>
      <c r="F28" s="626" t="s">
        <v>1588</v>
      </c>
      <c r="G28" s="626" t="s">
        <v>1588</v>
      </c>
      <c r="H28" s="626" t="s">
        <v>1588</v>
      </c>
      <c r="I28" s="626" t="s">
        <v>1588</v>
      </c>
      <c r="J28" s="627" t="s">
        <v>1588</v>
      </c>
    </row>
    <row r="29" spans="1:10" ht="27.75" customHeight="1">
      <c r="A29" s="357" t="s">
        <v>1791</v>
      </c>
      <c r="B29" s="412">
        <f>COUNTA(B30:B36)</f>
        <v>7</v>
      </c>
      <c r="C29" s="350">
        <f t="shared" si="0"/>
        <v>65807.19</v>
      </c>
      <c r="D29" s="350">
        <f t="shared" si="3"/>
        <v>65781.19</v>
      </c>
      <c r="E29" s="350">
        <f t="shared" ref="E29:J29" si="6">SUM(E30:E36)</f>
        <v>39337</v>
      </c>
      <c r="F29" s="350">
        <f t="shared" si="6"/>
        <v>0</v>
      </c>
      <c r="G29" s="350">
        <f t="shared" si="6"/>
        <v>0</v>
      </c>
      <c r="H29" s="350">
        <f t="shared" si="6"/>
        <v>26444.19</v>
      </c>
      <c r="I29" s="350">
        <f t="shared" si="6"/>
        <v>0</v>
      </c>
      <c r="J29" s="351">
        <f t="shared" si="6"/>
        <v>26</v>
      </c>
    </row>
    <row r="30" spans="1:10" ht="27.75" customHeight="1">
      <c r="A30" s="355"/>
      <c r="B30" s="397" t="s">
        <v>2376</v>
      </c>
      <c r="C30" s="350">
        <f t="shared" si="0"/>
        <v>23754</v>
      </c>
      <c r="D30" s="350">
        <f t="shared" si="3"/>
        <v>23754</v>
      </c>
      <c r="E30" s="350">
        <v>17733</v>
      </c>
      <c r="F30" s="350">
        <v>0</v>
      </c>
      <c r="G30" s="350">
        <v>0</v>
      </c>
      <c r="H30" s="350">
        <v>6021</v>
      </c>
      <c r="I30" s="626" t="s">
        <v>1588</v>
      </c>
      <c r="J30" s="351">
        <v>0</v>
      </c>
    </row>
    <row r="31" spans="1:10" ht="27.75" customHeight="1">
      <c r="A31" s="355"/>
      <c r="B31" s="397" t="s">
        <v>2086</v>
      </c>
      <c r="C31" s="350">
        <f t="shared" si="0"/>
        <v>1528</v>
      </c>
      <c r="D31" s="350">
        <f t="shared" si="3"/>
        <v>1528</v>
      </c>
      <c r="E31" s="350">
        <v>0</v>
      </c>
      <c r="F31" s="350">
        <v>0</v>
      </c>
      <c r="G31" s="350">
        <v>0</v>
      </c>
      <c r="H31" s="350">
        <v>1528</v>
      </c>
      <c r="I31" s="350">
        <v>0</v>
      </c>
      <c r="J31" s="351">
        <v>0</v>
      </c>
    </row>
    <row r="32" spans="1:10" ht="27.75" customHeight="1">
      <c r="A32" s="355"/>
      <c r="B32" s="397" t="s">
        <v>134</v>
      </c>
      <c r="C32" s="350">
        <f t="shared" si="0"/>
        <v>22235</v>
      </c>
      <c r="D32" s="350">
        <f t="shared" si="3"/>
        <v>22235</v>
      </c>
      <c r="E32" s="350">
        <v>12301</v>
      </c>
      <c r="F32" s="350">
        <v>0</v>
      </c>
      <c r="G32" s="350">
        <v>0</v>
      </c>
      <c r="H32" s="350">
        <v>9934</v>
      </c>
      <c r="I32" s="350">
        <v>0</v>
      </c>
      <c r="J32" s="351">
        <v>0</v>
      </c>
    </row>
    <row r="33" spans="1:10" ht="27.75" customHeight="1">
      <c r="A33" s="355"/>
      <c r="B33" s="397" t="s">
        <v>2377</v>
      </c>
      <c r="C33" s="350">
        <f t="shared" si="0"/>
        <v>957.19</v>
      </c>
      <c r="D33" s="350">
        <f t="shared" si="3"/>
        <v>957.19</v>
      </c>
      <c r="E33" s="626" t="s">
        <v>1588</v>
      </c>
      <c r="F33" s="350">
        <v>0</v>
      </c>
      <c r="G33" s="350">
        <v>0</v>
      </c>
      <c r="H33" s="350">
        <v>957.19</v>
      </c>
      <c r="I33" s="350">
        <v>0</v>
      </c>
      <c r="J33" s="351">
        <v>0</v>
      </c>
    </row>
    <row r="34" spans="1:10" ht="27.75" customHeight="1">
      <c r="A34" s="355"/>
      <c r="B34" s="397" t="s">
        <v>135</v>
      </c>
      <c r="C34" s="350">
        <f t="shared" si="0"/>
        <v>2053</v>
      </c>
      <c r="D34" s="350">
        <f t="shared" si="3"/>
        <v>2053</v>
      </c>
      <c r="E34" s="350">
        <v>1792</v>
      </c>
      <c r="F34" s="350">
        <v>0</v>
      </c>
      <c r="G34" s="350">
        <v>0</v>
      </c>
      <c r="H34" s="350">
        <v>261</v>
      </c>
      <c r="I34" s="350">
        <v>0</v>
      </c>
      <c r="J34" s="351">
        <v>0</v>
      </c>
    </row>
    <row r="35" spans="1:10" ht="27.75" customHeight="1">
      <c r="A35" s="355"/>
      <c r="B35" s="397" t="s">
        <v>2085</v>
      </c>
      <c r="C35" s="350">
        <f t="shared" si="0"/>
        <v>10475</v>
      </c>
      <c r="D35" s="350">
        <f t="shared" si="3"/>
        <v>10475</v>
      </c>
      <c r="E35" s="350">
        <v>5591</v>
      </c>
      <c r="F35" s="350">
        <v>0</v>
      </c>
      <c r="G35" s="350">
        <v>0</v>
      </c>
      <c r="H35" s="350">
        <v>4884</v>
      </c>
      <c r="I35" s="350">
        <v>0</v>
      </c>
      <c r="J35" s="351">
        <v>0</v>
      </c>
    </row>
    <row r="36" spans="1:10" ht="27.75" customHeight="1">
      <c r="A36" s="355"/>
      <c r="B36" s="397" t="s">
        <v>136</v>
      </c>
      <c r="C36" s="350">
        <f t="shared" si="0"/>
        <v>4805</v>
      </c>
      <c r="D36" s="350">
        <f t="shared" si="3"/>
        <v>4779</v>
      </c>
      <c r="E36" s="350">
        <v>1920</v>
      </c>
      <c r="F36" s="350">
        <v>0</v>
      </c>
      <c r="G36" s="350">
        <v>0</v>
      </c>
      <c r="H36" s="350">
        <v>2859</v>
      </c>
      <c r="I36" s="350">
        <v>0</v>
      </c>
      <c r="J36" s="351">
        <v>26</v>
      </c>
    </row>
    <row r="37" spans="1:10" ht="27.75" customHeight="1">
      <c r="A37" s="352" t="s">
        <v>1798</v>
      </c>
      <c r="B37" s="411">
        <f>COUNTA(B38:B39)</f>
        <v>2</v>
      </c>
      <c r="C37" s="353">
        <f t="shared" si="0"/>
        <v>89568.56</v>
      </c>
      <c r="D37" s="353">
        <f>SUM(E37:I37)</f>
        <v>89568.56</v>
      </c>
      <c r="E37" s="353">
        <f t="shared" ref="E37:J37" si="7">SUM(E38:E39)</f>
        <v>0</v>
      </c>
      <c r="F37" s="353">
        <f t="shared" si="7"/>
        <v>0</v>
      </c>
      <c r="G37" s="353">
        <f t="shared" si="7"/>
        <v>0</v>
      </c>
      <c r="H37" s="353">
        <f t="shared" si="7"/>
        <v>89568.56</v>
      </c>
      <c r="I37" s="353">
        <f t="shared" si="7"/>
        <v>0</v>
      </c>
      <c r="J37" s="354">
        <f t="shared" si="7"/>
        <v>0</v>
      </c>
    </row>
    <row r="38" spans="1:10" ht="27.75" customHeight="1">
      <c r="A38" s="352"/>
      <c r="B38" s="398" t="s">
        <v>137</v>
      </c>
      <c r="C38" s="353">
        <f t="shared" si="0"/>
        <v>74361.56</v>
      </c>
      <c r="D38" s="353">
        <f t="shared" si="3"/>
        <v>74361.56</v>
      </c>
      <c r="E38" s="632" t="s">
        <v>1588</v>
      </c>
      <c r="F38" s="632" t="s">
        <v>1588</v>
      </c>
      <c r="G38" s="632" t="s">
        <v>1588</v>
      </c>
      <c r="H38" s="353">
        <v>74361.56</v>
      </c>
      <c r="I38" s="632" t="s">
        <v>1588</v>
      </c>
      <c r="J38" s="633" t="s">
        <v>1588</v>
      </c>
    </row>
    <row r="39" spans="1:10" ht="27.75" customHeight="1">
      <c r="A39" s="356"/>
      <c r="B39" s="398" t="s">
        <v>138</v>
      </c>
      <c r="C39" s="353">
        <f t="shared" si="0"/>
        <v>15207</v>
      </c>
      <c r="D39" s="353">
        <f t="shared" si="3"/>
        <v>15207</v>
      </c>
      <c r="E39" s="632" t="s">
        <v>1588</v>
      </c>
      <c r="F39" s="632" t="s">
        <v>1588</v>
      </c>
      <c r="G39" s="632" t="s">
        <v>1588</v>
      </c>
      <c r="H39" s="353">
        <v>15207</v>
      </c>
      <c r="I39" s="632" t="s">
        <v>1588</v>
      </c>
      <c r="J39" s="633" t="s">
        <v>1588</v>
      </c>
    </row>
    <row r="40" spans="1:10" ht="27.75" customHeight="1">
      <c r="A40" s="356" t="s">
        <v>1972</v>
      </c>
      <c r="B40" s="412">
        <f>COUNTA(B41:B42)</f>
        <v>2</v>
      </c>
      <c r="C40" s="353">
        <f t="shared" si="0"/>
        <v>0</v>
      </c>
      <c r="D40" s="353">
        <f t="shared" si="3"/>
        <v>0</v>
      </c>
      <c r="E40" s="353" t="str">
        <f t="shared" ref="E40:J40" si="8">E42</f>
        <v>-</v>
      </c>
      <c r="F40" s="353" t="str">
        <f t="shared" si="8"/>
        <v>-</v>
      </c>
      <c r="G40" s="353" t="str">
        <f t="shared" si="8"/>
        <v>-</v>
      </c>
      <c r="H40" s="353" t="str">
        <f t="shared" si="8"/>
        <v>-</v>
      </c>
      <c r="I40" s="353" t="str">
        <f t="shared" si="8"/>
        <v>-</v>
      </c>
      <c r="J40" s="354" t="str">
        <f t="shared" si="8"/>
        <v>-</v>
      </c>
    </row>
    <row r="41" spans="1:10" ht="27.75" customHeight="1">
      <c r="A41" s="394"/>
      <c r="B41" s="397" t="s">
        <v>2382</v>
      </c>
      <c r="C41" s="353">
        <f t="shared" si="0"/>
        <v>82658</v>
      </c>
      <c r="D41" s="353">
        <f t="shared" si="3"/>
        <v>82658</v>
      </c>
      <c r="E41" s="632" t="s">
        <v>1588</v>
      </c>
      <c r="F41" s="632" t="s">
        <v>1588</v>
      </c>
      <c r="G41" s="632" t="s">
        <v>1588</v>
      </c>
      <c r="H41" s="350">
        <v>82658</v>
      </c>
      <c r="I41" s="632" t="s">
        <v>1588</v>
      </c>
      <c r="J41" s="633" t="s">
        <v>1588</v>
      </c>
    </row>
    <row r="42" spans="1:10" ht="27.75" customHeight="1">
      <c r="A42" s="394"/>
      <c r="B42" s="448" t="s">
        <v>7586</v>
      </c>
      <c r="C42" s="353">
        <v>0</v>
      </c>
      <c r="D42" s="353">
        <f t="shared" si="3"/>
        <v>0</v>
      </c>
      <c r="E42" s="632" t="s">
        <v>1588</v>
      </c>
      <c r="F42" s="632" t="s">
        <v>1588</v>
      </c>
      <c r="G42" s="632" t="s">
        <v>1588</v>
      </c>
      <c r="H42" s="626" t="s">
        <v>1588</v>
      </c>
      <c r="I42" s="632" t="s">
        <v>1588</v>
      </c>
      <c r="J42" s="633" t="s">
        <v>1588</v>
      </c>
    </row>
    <row r="43" spans="1:10" ht="27.75" customHeight="1">
      <c r="A43" s="352" t="s">
        <v>1973</v>
      </c>
      <c r="B43" s="411">
        <f>COUNTA(B44:B49)</f>
        <v>6</v>
      </c>
      <c r="C43" s="353">
        <f t="shared" si="0"/>
        <v>53618.490000000005</v>
      </c>
      <c r="D43" s="353">
        <f t="shared" si="3"/>
        <v>53618.490000000005</v>
      </c>
      <c r="E43" s="353">
        <f t="shared" ref="E43:J43" si="9">SUM(E44:E49)</f>
        <v>0</v>
      </c>
      <c r="F43" s="353">
        <f t="shared" si="9"/>
        <v>0</v>
      </c>
      <c r="G43" s="353">
        <f t="shared" si="9"/>
        <v>0</v>
      </c>
      <c r="H43" s="353">
        <f t="shared" si="9"/>
        <v>53618.490000000005</v>
      </c>
      <c r="I43" s="353">
        <f t="shared" si="9"/>
        <v>0</v>
      </c>
      <c r="J43" s="354">
        <f t="shared" si="9"/>
        <v>0</v>
      </c>
    </row>
    <row r="44" spans="1:10" ht="27.75" customHeight="1">
      <c r="A44" s="352"/>
      <c r="B44" s="398" t="s">
        <v>2089</v>
      </c>
      <c r="C44" s="350">
        <f t="shared" si="0"/>
        <v>26973</v>
      </c>
      <c r="D44" s="350">
        <f t="shared" si="3"/>
        <v>26973</v>
      </c>
      <c r="E44" s="632" t="s">
        <v>1588</v>
      </c>
      <c r="F44" s="632" t="s">
        <v>1588</v>
      </c>
      <c r="G44" s="632" t="s">
        <v>1588</v>
      </c>
      <c r="H44" s="350">
        <v>26973</v>
      </c>
      <c r="I44" s="353">
        <v>0</v>
      </c>
      <c r="J44" s="354">
        <v>0</v>
      </c>
    </row>
    <row r="45" spans="1:10" ht="27.75" customHeight="1">
      <c r="A45" s="355"/>
      <c r="B45" s="398" t="s">
        <v>2091</v>
      </c>
      <c r="C45" s="353">
        <f t="shared" si="0"/>
        <v>7118.65</v>
      </c>
      <c r="D45" s="353">
        <f t="shared" si="3"/>
        <v>7118.65</v>
      </c>
      <c r="E45" s="632" t="s">
        <v>1588</v>
      </c>
      <c r="F45" s="632" t="s">
        <v>1588</v>
      </c>
      <c r="G45" s="632" t="s">
        <v>1588</v>
      </c>
      <c r="H45" s="353">
        <v>7118.65</v>
      </c>
      <c r="I45" s="353">
        <v>0</v>
      </c>
      <c r="J45" s="354">
        <v>0</v>
      </c>
    </row>
    <row r="46" spans="1:10" ht="27.75" customHeight="1">
      <c r="A46" s="355"/>
      <c r="B46" s="398" t="s">
        <v>139</v>
      </c>
      <c r="C46" s="353">
        <f t="shared" si="0"/>
        <v>4291.68</v>
      </c>
      <c r="D46" s="353">
        <f t="shared" si="3"/>
        <v>4291.68</v>
      </c>
      <c r="E46" s="632" t="s">
        <v>1588</v>
      </c>
      <c r="F46" s="632" t="s">
        <v>1588</v>
      </c>
      <c r="G46" s="632" t="s">
        <v>1588</v>
      </c>
      <c r="H46" s="353">
        <v>4291.68</v>
      </c>
      <c r="I46" s="353">
        <v>0</v>
      </c>
      <c r="J46" s="354">
        <v>0</v>
      </c>
    </row>
    <row r="47" spans="1:10" ht="27.75" customHeight="1">
      <c r="A47" s="355"/>
      <c r="B47" s="398" t="s">
        <v>2097</v>
      </c>
      <c r="C47" s="353">
        <f t="shared" si="0"/>
        <v>585.15</v>
      </c>
      <c r="D47" s="353">
        <f t="shared" si="3"/>
        <v>585.15</v>
      </c>
      <c r="E47" s="632" t="s">
        <v>1588</v>
      </c>
      <c r="F47" s="632" t="s">
        <v>1588</v>
      </c>
      <c r="G47" s="632" t="s">
        <v>1588</v>
      </c>
      <c r="H47" s="353">
        <v>585.15</v>
      </c>
      <c r="I47" s="353">
        <v>0</v>
      </c>
      <c r="J47" s="354">
        <v>0</v>
      </c>
    </row>
    <row r="48" spans="1:10" ht="27.75" customHeight="1">
      <c r="A48" s="355"/>
      <c r="B48" s="398" t="s">
        <v>2094</v>
      </c>
      <c r="C48" s="353">
        <f t="shared" si="0"/>
        <v>1178.8699999999999</v>
      </c>
      <c r="D48" s="353">
        <f t="shared" si="3"/>
        <v>1178.8699999999999</v>
      </c>
      <c r="E48" s="632" t="s">
        <v>1588</v>
      </c>
      <c r="F48" s="632" t="s">
        <v>1588</v>
      </c>
      <c r="G48" s="632" t="s">
        <v>1588</v>
      </c>
      <c r="H48" s="353">
        <v>1178.8699999999999</v>
      </c>
      <c r="I48" s="353">
        <v>0</v>
      </c>
      <c r="J48" s="354">
        <v>0</v>
      </c>
    </row>
    <row r="49" spans="1:10" ht="27.75" customHeight="1">
      <c r="A49" s="356"/>
      <c r="B49" s="398" t="s">
        <v>2099</v>
      </c>
      <c r="C49" s="353">
        <f t="shared" si="0"/>
        <v>13471.14</v>
      </c>
      <c r="D49" s="353">
        <f t="shared" si="3"/>
        <v>13471.14</v>
      </c>
      <c r="E49" s="632" t="s">
        <v>1588</v>
      </c>
      <c r="F49" s="632" t="s">
        <v>1588</v>
      </c>
      <c r="G49" s="632" t="s">
        <v>1588</v>
      </c>
      <c r="H49" s="353">
        <v>13471.14</v>
      </c>
      <c r="I49" s="353">
        <v>0</v>
      </c>
      <c r="J49" s="354">
        <v>0</v>
      </c>
    </row>
    <row r="50" spans="1:10" ht="27.75" customHeight="1">
      <c r="A50" s="360" t="s">
        <v>1808</v>
      </c>
      <c r="B50" s="413">
        <f>B51+B101</f>
        <v>67</v>
      </c>
      <c r="C50" s="350">
        <f t="shared" si="0"/>
        <v>772450.47000000009</v>
      </c>
      <c r="D50" s="350">
        <f t="shared" si="3"/>
        <v>771893.96000000008</v>
      </c>
      <c r="E50" s="350">
        <f t="shared" ref="E50:J50" si="10">E51+E101</f>
        <v>31449.18</v>
      </c>
      <c r="F50" s="350">
        <f t="shared" si="10"/>
        <v>30692.059999999998</v>
      </c>
      <c r="G50" s="350">
        <f t="shared" si="10"/>
        <v>143680.02000000002</v>
      </c>
      <c r="H50" s="350">
        <f t="shared" si="10"/>
        <v>566072.70000000007</v>
      </c>
      <c r="I50" s="350">
        <f t="shared" si="10"/>
        <v>0</v>
      </c>
      <c r="J50" s="351">
        <f t="shared" si="10"/>
        <v>556.51</v>
      </c>
    </row>
    <row r="51" spans="1:10" ht="27.75" customHeight="1">
      <c r="A51" s="349" t="s">
        <v>1674</v>
      </c>
      <c r="B51" s="413">
        <f>COUNTA(B52:B100)</f>
        <v>49</v>
      </c>
      <c r="C51" s="350">
        <f t="shared" si="0"/>
        <v>761106.17000000016</v>
      </c>
      <c r="D51" s="350">
        <f t="shared" si="3"/>
        <v>760549.66000000015</v>
      </c>
      <c r="E51" s="350">
        <f t="shared" ref="E51:J51" si="11">SUM(E52:E100)</f>
        <v>29336.54</v>
      </c>
      <c r="F51" s="350">
        <f t="shared" si="11"/>
        <v>30339.379999999997</v>
      </c>
      <c r="G51" s="350">
        <f t="shared" si="11"/>
        <v>138696.77000000002</v>
      </c>
      <c r="H51" s="350">
        <f t="shared" si="11"/>
        <v>562176.97000000009</v>
      </c>
      <c r="I51" s="350">
        <f t="shared" si="11"/>
        <v>0</v>
      </c>
      <c r="J51" s="351">
        <f t="shared" si="11"/>
        <v>556.51</v>
      </c>
    </row>
    <row r="52" spans="1:10" ht="27.75" customHeight="1">
      <c r="A52" s="349" t="s">
        <v>1809</v>
      </c>
      <c r="B52" s="396" t="s">
        <v>385</v>
      </c>
      <c r="C52" s="350">
        <f t="shared" si="0"/>
        <v>80981</v>
      </c>
      <c r="D52" s="350">
        <f t="shared" si="3"/>
        <v>80981</v>
      </c>
      <c r="E52" s="626" t="s">
        <v>1588</v>
      </c>
      <c r="F52" s="626" t="s">
        <v>1588</v>
      </c>
      <c r="G52" s="626" t="s">
        <v>1588</v>
      </c>
      <c r="H52" s="350">
        <v>80981</v>
      </c>
      <c r="I52" s="350">
        <v>0</v>
      </c>
      <c r="J52" s="351">
        <v>0</v>
      </c>
    </row>
    <row r="53" spans="1:10" ht="27.75" customHeight="1">
      <c r="A53" s="358" t="s">
        <v>1810</v>
      </c>
      <c r="B53" s="396" t="s">
        <v>386</v>
      </c>
      <c r="C53" s="350">
        <f t="shared" si="0"/>
        <v>110304.70000000001</v>
      </c>
      <c r="D53" s="350">
        <f t="shared" si="3"/>
        <v>110304.70000000001</v>
      </c>
      <c r="E53" s="626" t="s">
        <v>1588</v>
      </c>
      <c r="F53" s="350">
        <v>5097.3999999999996</v>
      </c>
      <c r="G53" s="350">
        <v>55352.4</v>
      </c>
      <c r="H53" s="350">
        <v>49854.9</v>
      </c>
      <c r="I53" s="350">
        <v>0</v>
      </c>
      <c r="J53" s="351">
        <v>0</v>
      </c>
    </row>
    <row r="54" spans="1:10" ht="27.75" customHeight="1">
      <c r="A54" s="358" t="s">
        <v>1988</v>
      </c>
      <c r="B54" s="372" t="s">
        <v>387</v>
      </c>
      <c r="C54" s="350">
        <f t="shared" si="0"/>
        <v>38331</v>
      </c>
      <c r="D54" s="350">
        <f t="shared" si="3"/>
        <v>38331</v>
      </c>
      <c r="E54" s="626" t="s">
        <v>1588</v>
      </c>
      <c r="F54" s="626" t="s">
        <v>1588</v>
      </c>
      <c r="G54" s="626" t="s">
        <v>1588</v>
      </c>
      <c r="H54" s="350">
        <v>38331</v>
      </c>
      <c r="I54" s="350">
        <v>0</v>
      </c>
      <c r="J54" s="351">
        <v>0</v>
      </c>
    </row>
    <row r="55" spans="1:10" ht="27.75" customHeight="1">
      <c r="A55" s="359"/>
      <c r="B55" s="372" t="s">
        <v>388</v>
      </c>
      <c r="C55" s="350">
        <f t="shared" si="0"/>
        <v>375.52</v>
      </c>
      <c r="D55" s="350">
        <f t="shared" si="3"/>
        <v>375.52</v>
      </c>
      <c r="E55" s="626" t="s">
        <v>1588</v>
      </c>
      <c r="F55" s="626" t="s">
        <v>1588</v>
      </c>
      <c r="G55" s="626" t="s">
        <v>1588</v>
      </c>
      <c r="H55" s="350">
        <v>375.52</v>
      </c>
      <c r="I55" s="350">
        <v>0</v>
      </c>
      <c r="J55" s="351">
        <v>0</v>
      </c>
    </row>
    <row r="56" spans="1:10" ht="27.75" customHeight="1">
      <c r="A56" s="358" t="s">
        <v>1812</v>
      </c>
      <c r="B56" s="372" t="s">
        <v>2446</v>
      </c>
      <c r="C56" s="350">
        <f t="shared" si="0"/>
        <v>105297</v>
      </c>
      <c r="D56" s="350">
        <f t="shared" si="3"/>
        <v>105297</v>
      </c>
      <c r="E56" s="350">
        <v>0</v>
      </c>
      <c r="F56" s="350">
        <v>0</v>
      </c>
      <c r="G56" s="350">
        <v>0</v>
      </c>
      <c r="H56" s="350">
        <v>105297</v>
      </c>
      <c r="I56" s="350">
        <v>0</v>
      </c>
      <c r="J56" s="351">
        <v>0</v>
      </c>
    </row>
    <row r="57" spans="1:10" ht="27.75" customHeight="1">
      <c r="A57" s="359"/>
      <c r="B57" s="372" t="s">
        <v>141</v>
      </c>
      <c r="C57" s="350">
        <f t="shared" si="0"/>
        <v>1405</v>
      </c>
      <c r="D57" s="350">
        <f t="shared" si="3"/>
        <v>1374</v>
      </c>
      <c r="E57" s="350">
        <v>0</v>
      </c>
      <c r="F57" s="350">
        <v>0</v>
      </c>
      <c r="G57" s="350">
        <v>0</v>
      </c>
      <c r="H57" s="350">
        <v>1374</v>
      </c>
      <c r="I57" s="350">
        <v>0</v>
      </c>
      <c r="J57" s="351">
        <v>31</v>
      </c>
    </row>
    <row r="58" spans="1:10" ht="27.75" customHeight="1">
      <c r="A58" s="358" t="s">
        <v>1813</v>
      </c>
      <c r="B58" s="372" t="s">
        <v>389</v>
      </c>
      <c r="C58" s="350">
        <f t="shared" si="0"/>
        <v>35409.08</v>
      </c>
      <c r="D58" s="350">
        <f t="shared" si="3"/>
        <v>35409.08</v>
      </c>
      <c r="E58" s="350">
        <v>0</v>
      </c>
      <c r="F58" s="350">
        <v>0</v>
      </c>
      <c r="G58" s="350">
        <v>0</v>
      </c>
      <c r="H58" s="350">
        <v>35409.08</v>
      </c>
      <c r="I58" s="350">
        <v>0</v>
      </c>
      <c r="J58" s="351">
        <v>0</v>
      </c>
    </row>
    <row r="59" spans="1:10" ht="27.75" customHeight="1">
      <c r="A59" s="360"/>
      <c r="B59" s="372" t="s">
        <v>390</v>
      </c>
      <c r="C59" s="350">
        <f t="shared" si="0"/>
        <v>41455.410000000003</v>
      </c>
      <c r="D59" s="350">
        <f t="shared" si="3"/>
        <v>41455.410000000003</v>
      </c>
      <c r="E59" s="350">
        <v>0</v>
      </c>
      <c r="F59" s="350">
        <v>0</v>
      </c>
      <c r="G59" s="350">
        <v>0</v>
      </c>
      <c r="H59" s="350">
        <v>41455.410000000003</v>
      </c>
      <c r="I59" s="350">
        <v>0</v>
      </c>
      <c r="J59" s="351">
        <v>0</v>
      </c>
    </row>
    <row r="60" spans="1:10" ht="27.75" customHeight="1">
      <c r="A60" s="361" t="s">
        <v>1814</v>
      </c>
      <c r="B60" s="400" t="s">
        <v>2209</v>
      </c>
      <c r="C60" s="350">
        <f t="shared" si="0"/>
        <v>99518.14</v>
      </c>
      <c r="D60" s="362">
        <f t="shared" si="3"/>
        <v>99518.14</v>
      </c>
      <c r="E60" s="799" t="s">
        <v>1588</v>
      </c>
      <c r="F60" s="799" t="s">
        <v>1588</v>
      </c>
      <c r="G60" s="362">
        <v>64831.87</v>
      </c>
      <c r="H60" s="362">
        <v>34686.269999999997</v>
      </c>
      <c r="I60" s="362">
        <v>0</v>
      </c>
      <c r="J60" s="363">
        <v>0</v>
      </c>
    </row>
    <row r="61" spans="1:10" ht="27.75" customHeight="1">
      <c r="A61" s="364" t="s">
        <v>1815</v>
      </c>
      <c r="B61" s="372" t="s">
        <v>341</v>
      </c>
      <c r="C61" s="350">
        <f t="shared" si="0"/>
        <v>8415.4</v>
      </c>
      <c r="D61" s="350">
        <f t="shared" si="3"/>
        <v>8415.4</v>
      </c>
      <c r="E61" s="350">
        <v>1885.16</v>
      </c>
      <c r="F61" s="626" t="s">
        <v>1588</v>
      </c>
      <c r="G61" s="626" t="s">
        <v>1588</v>
      </c>
      <c r="H61" s="350">
        <v>6530.24</v>
      </c>
      <c r="I61" s="350">
        <v>0</v>
      </c>
      <c r="J61" s="351">
        <v>0</v>
      </c>
    </row>
    <row r="62" spans="1:10" ht="27.75" customHeight="1">
      <c r="A62" s="359"/>
      <c r="B62" s="372" t="s">
        <v>146</v>
      </c>
      <c r="C62" s="350">
        <f t="shared" si="0"/>
        <v>4727.83</v>
      </c>
      <c r="D62" s="350">
        <f t="shared" si="3"/>
        <v>4727.83</v>
      </c>
      <c r="E62" s="350">
        <v>0</v>
      </c>
      <c r="F62" s="350">
        <v>0</v>
      </c>
      <c r="G62" s="350">
        <v>0</v>
      </c>
      <c r="H62" s="350">
        <v>4727.83</v>
      </c>
      <c r="I62" s="350">
        <v>0</v>
      </c>
      <c r="J62" s="351">
        <v>0</v>
      </c>
    </row>
    <row r="63" spans="1:10" ht="27.75" customHeight="1">
      <c r="A63" s="360"/>
      <c r="B63" s="372" t="s">
        <v>147</v>
      </c>
      <c r="C63" s="350">
        <f t="shared" si="0"/>
        <v>15561.48</v>
      </c>
      <c r="D63" s="350">
        <f t="shared" si="3"/>
        <v>15561.48</v>
      </c>
      <c r="E63" s="626" t="s">
        <v>1588</v>
      </c>
      <c r="F63" s="626" t="s">
        <v>1588</v>
      </c>
      <c r="G63" s="626" t="s">
        <v>1588</v>
      </c>
      <c r="H63" s="350">
        <v>15561.48</v>
      </c>
      <c r="I63" s="626" t="s">
        <v>1588</v>
      </c>
      <c r="J63" s="627" t="s">
        <v>1588</v>
      </c>
    </row>
    <row r="64" spans="1:10" ht="27.75" customHeight="1">
      <c r="A64" s="359" t="s">
        <v>1817</v>
      </c>
      <c r="B64" s="396" t="s">
        <v>2312</v>
      </c>
      <c r="C64" s="350">
        <f t="shared" si="0"/>
        <v>25430.67</v>
      </c>
      <c r="D64" s="350">
        <f t="shared" si="3"/>
        <v>25430.67</v>
      </c>
      <c r="E64" s="626" t="s">
        <v>1588</v>
      </c>
      <c r="F64" s="626" t="s">
        <v>1588</v>
      </c>
      <c r="G64" s="626" t="s">
        <v>1588</v>
      </c>
      <c r="H64" s="350">
        <v>25430.67</v>
      </c>
      <c r="I64" s="626" t="s">
        <v>1588</v>
      </c>
      <c r="J64" s="627" t="s">
        <v>1588</v>
      </c>
    </row>
    <row r="65" spans="1:10" ht="27.75" customHeight="1">
      <c r="A65" s="358" t="s">
        <v>1818</v>
      </c>
      <c r="B65" s="372" t="s">
        <v>391</v>
      </c>
      <c r="C65" s="350">
        <f t="shared" si="0"/>
        <v>3381</v>
      </c>
      <c r="D65" s="350">
        <f t="shared" si="3"/>
        <v>3381</v>
      </c>
      <c r="E65" s="350">
        <v>3381</v>
      </c>
      <c r="F65" s="626" t="s">
        <v>1588</v>
      </c>
      <c r="G65" s="626" t="s">
        <v>1588</v>
      </c>
      <c r="H65" s="626" t="s">
        <v>1588</v>
      </c>
      <c r="I65" s="626" t="s">
        <v>1588</v>
      </c>
      <c r="J65" s="627" t="s">
        <v>1588</v>
      </c>
    </row>
    <row r="66" spans="1:10" ht="27.75" customHeight="1">
      <c r="A66" s="359"/>
      <c r="B66" s="372" t="s">
        <v>392</v>
      </c>
      <c r="C66" s="350">
        <f t="shared" si="0"/>
        <v>1863</v>
      </c>
      <c r="D66" s="350">
        <f t="shared" si="3"/>
        <v>1863</v>
      </c>
      <c r="E66" s="350">
        <v>1863</v>
      </c>
      <c r="F66" s="626" t="s">
        <v>1588</v>
      </c>
      <c r="G66" s="626" t="s">
        <v>1588</v>
      </c>
      <c r="H66" s="626" t="s">
        <v>1588</v>
      </c>
      <c r="I66" s="626" t="s">
        <v>1588</v>
      </c>
      <c r="J66" s="627" t="s">
        <v>1588</v>
      </c>
    </row>
    <row r="67" spans="1:10" ht="27.75" customHeight="1">
      <c r="A67" s="359"/>
      <c r="B67" s="372" t="s">
        <v>2217</v>
      </c>
      <c r="C67" s="350">
        <f t="shared" si="0"/>
        <v>14819</v>
      </c>
      <c r="D67" s="350">
        <f t="shared" si="3"/>
        <v>14819</v>
      </c>
      <c r="E67" s="350">
        <v>1502</v>
      </c>
      <c r="F67" s="626" t="s">
        <v>1588</v>
      </c>
      <c r="G67" s="626" t="s">
        <v>1588</v>
      </c>
      <c r="H67" s="350">
        <v>13317</v>
      </c>
      <c r="I67" s="626" t="s">
        <v>1588</v>
      </c>
      <c r="J67" s="627" t="s">
        <v>1588</v>
      </c>
    </row>
    <row r="68" spans="1:10" ht="27.75" customHeight="1">
      <c r="A68" s="358" t="s">
        <v>1819</v>
      </c>
      <c r="B68" s="372" t="s">
        <v>393</v>
      </c>
      <c r="C68" s="350">
        <f t="shared" si="0"/>
        <v>6401.45</v>
      </c>
      <c r="D68" s="350">
        <f t="shared" si="3"/>
        <v>6401.45</v>
      </c>
      <c r="E68" s="350">
        <v>6401.45</v>
      </c>
      <c r="F68" s="626" t="s">
        <v>1588</v>
      </c>
      <c r="G68" s="626" t="s">
        <v>1588</v>
      </c>
      <c r="H68" s="626" t="s">
        <v>1588</v>
      </c>
      <c r="I68" s="626" t="s">
        <v>1588</v>
      </c>
      <c r="J68" s="627" t="s">
        <v>1588</v>
      </c>
    </row>
    <row r="69" spans="1:10" ht="27.75" customHeight="1">
      <c r="A69" s="359"/>
      <c r="B69" s="372" t="s">
        <v>394</v>
      </c>
      <c r="C69" s="350">
        <f t="shared" si="0"/>
        <v>3626.45</v>
      </c>
      <c r="D69" s="350">
        <f t="shared" si="3"/>
        <v>3626.45</v>
      </c>
      <c r="E69" s="350">
        <v>3626.45</v>
      </c>
      <c r="F69" s="626" t="s">
        <v>1588</v>
      </c>
      <c r="G69" s="626" t="s">
        <v>1588</v>
      </c>
      <c r="H69" s="626" t="s">
        <v>1588</v>
      </c>
      <c r="I69" s="626" t="s">
        <v>1588</v>
      </c>
      <c r="J69" s="627" t="s">
        <v>1588</v>
      </c>
    </row>
    <row r="70" spans="1:10" ht="27.75" customHeight="1">
      <c r="A70" s="359"/>
      <c r="B70" s="372" t="s">
        <v>395</v>
      </c>
      <c r="C70" s="350">
        <f t="shared" ref="C70:C133" si="12">SUM(D70,J70)</f>
        <v>1341.39</v>
      </c>
      <c r="D70" s="350">
        <f t="shared" si="3"/>
        <v>1341.39</v>
      </c>
      <c r="E70" s="350">
        <v>1341.39</v>
      </c>
      <c r="F70" s="626" t="s">
        <v>1588</v>
      </c>
      <c r="G70" s="626" t="s">
        <v>1588</v>
      </c>
      <c r="H70" s="626" t="s">
        <v>1588</v>
      </c>
      <c r="I70" s="626" t="s">
        <v>1588</v>
      </c>
      <c r="J70" s="627" t="s">
        <v>1588</v>
      </c>
    </row>
    <row r="71" spans="1:10" ht="27.75" customHeight="1">
      <c r="A71" s="360"/>
      <c r="B71" s="372" t="s">
        <v>396</v>
      </c>
      <c r="C71" s="350">
        <f t="shared" si="12"/>
        <v>519.24</v>
      </c>
      <c r="D71" s="350">
        <f t="shared" si="3"/>
        <v>519.24</v>
      </c>
      <c r="E71" s="350">
        <v>519.24</v>
      </c>
      <c r="F71" s="626" t="s">
        <v>1588</v>
      </c>
      <c r="G71" s="626" t="s">
        <v>1588</v>
      </c>
      <c r="H71" s="626" t="s">
        <v>1588</v>
      </c>
      <c r="I71" s="626" t="s">
        <v>1588</v>
      </c>
      <c r="J71" s="627" t="s">
        <v>1588</v>
      </c>
    </row>
    <row r="72" spans="1:10" ht="27.75" customHeight="1">
      <c r="A72" s="359" t="s">
        <v>397</v>
      </c>
      <c r="B72" s="396" t="s">
        <v>398</v>
      </c>
      <c r="C72" s="350">
        <f t="shared" si="12"/>
        <v>51542.560000000005</v>
      </c>
      <c r="D72" s="350">
        <f t="shared" si="3"/>
        <v>51124.66</v>
      </c>
      <c r="E72" s="350">
        <v>0</v>
      </c>
      <c r="F72" s="350">
        <v>0</v>
      </c>
      <c r="G72" s="350">
        <v>150</v>
      </c>
      <c r="H72" s="350">
        <v>50974.66</v>
      </c>
      <c r="I72" s="350">
        <v>0</v>
      </c>
      <c r="J72" s="351">
        <v>417.9</v>
      </c>
    </row>
    <row r="73" spans="1:10" ht="27.75" customHeight="1">
      <c r="A73" s="358" t="s">
        <v>1825</v>
      </c>
      <c r="B73" s="372" t="s">
        <v>399</v>
      </c>
      <c r="C73" s="350">
        <f t="shared" si="12"/>
        <v>200.88</v>
      </c>
      <c r="D73" s="350">
        <f t="shared" si="3"/>
        <v>200.88</v>
      </c>
      <c r="E73" s="626" t="s">
        <v>1588</v>
      </c>
      <c r="F73" s="626" t="s">
        <v>1588</v>
      </c>
      <c r="G73" s="626" t="s">
        <v>1588</v>
      </c>
      <c r="H73" s="350">
        <v>200.88</v>
      </c>
      <c r="I73" s="626" t="s">
        <v>1588</v>
      </c>
      <c r="J73" s="627" t="s">
        <v>1588</v>
      </c>
    </row>
    <row r="74" spans="1:10" ht="27.75" customHeight="1">
      <c r="A74" s="359"/>
      <c r="B74" s="372" t="s">
        <v>400</v>
      </c>
      <c r="C74" s="350">
        <f t="shared" si="12"/>
        <v>364.22</v>
      </c>
      <c r="D74" s="350">
        <f t="shared" ref="D74:D137" si="13">SUM(E74:I74)</f>
        <v>364.22</v>
      </c>
      <c r="E74" s="626" t="s">
        <v>1588</v>
      </c>
      <c r="F74" s="626" t="s">
        <v>1588</v>
      </c>
      <c r="G74" s="626" t="s">
        <v>1588</v>
      </c>
      <c r="H74" s="350">
        <v>364.22</v>
      </c>
      <c r="I74" s="626" t="s">
        <v>1588</v>
      </c>
      <c r="J74" s="627" t="s">
        <v>1588</v>
      </c>
    </row>
    <row r="75" spans="1:10" ht="27.75" customHeight="1">
      <c r="A75" s="359"/>
      <c r="B75" s="372" t="s">
        <v>401</v>
      </c>
      <c r="C75" s="350">
        <f t="shared" si="12"/>
        <v>167.7</v>
      </c>
      <c r="D75" s="350">
        <f t="shared" si="13"/>
        <v>167.7</v>
      </c>
      <c r="E75" s="626" t="s">
        <v>1588</v>
      </c>
      <c r="F75" s="626" t="s">
        <v>1588</v>
      </c>
      <c r="G75" s="626" t="s">
        <v>1588</v>
      </c>
      <c r="H75" s="350">
        <v>167.7</v>
      </c>
      <c r="I75" s="626" t="s">
        <v>1588</v>
      </c>
      <c r="J75" s="627" t="s">
        <v>1588</v>
      </c>
    </row>
    <row r="76" spans="1:10" ht="27.75" customHeight="1">
      <c r="A76" s="358" t="s">
        <v>1826</v>
      </c>
      <c r="B76" s="372" t="s">
        <v>402</v>
      </c>
      <c r="C76" s="350">
        <f t="shared" si="12"/>
        <v>7515</v>
      </c>
      <c r="D76" s="350">
        <f t="shared" si="13"/>
        <v>7515</v>
      </c>
      <c r="E76" s="626" t="s">
        <v>1588</v>
      </c>
      <c r="F76" s="626" t="s">
        <v>1588</v>
      </c>
      <c r="G76" s="626" t="s">
        <v>1588</v>
      </c>
      <c r="H76" s="350">
        <v>7515</v>
      </c>
      <c r="I76" s="626" t="s">
        <v>1588</v>
      </c>
      <c r="J76" s="627" t="s">
        <v>1588</v>
      </c>
    </row>
    <row r="77" spans="1:10" ht="27.75" customHeight="1">
      <c r="A77" s="359"/>
      <c r="B77" s="372" t="s">
        <v>403</v>
      </c>
      <c r="C77" s="350">
        <f t="shared" si="12"/>
        <v>1968</v>
      </c>
      <c r="D77" s="350">
        <f t="shared" si="13"/>
        <v>1968</v>
      </c>
      <c r="E77" s="626" t="s">
        <v>1588</v>
      </c>
      <c r="F77" s="626" t="s">
        <v>1588</v>
      </c>
      <c r="G77" s="626" t="s">
        <v>1588</v>
      </c>
      <c r="H77" s="350">
        <v>1968</v>
      </c>
      <c r="I77" s="626" t="s">
        <v>1588</v>
      </c>
      <c r="J77" s="627" t="s">
        <v>1588</v>
      </c>
    </row>
    <row r="78" spans="1:10" ht="27.75" customHeight="1">
      <c r="A78" s="359"/>
      <c r="B78" s="372" t="s">
        <v>404</v>
      </c>
      <c r="C78" s="350">
        <f t="shared" si="12"/>
        <v>2192</v>
      </c>
      <c r="D78" s="350">
        <f t="shared" si="13"/>
        <v>2192</v>
      </c>
      <c r="E78" s="626" t="s">
        <v>1588</v>
      </c>
      <c r="F78" s="626" t="s">
        <v>1588</v>
      </c>
      <c r="G78" s="626" t="s">
        <v>1588</v>
      </c>
      <c r="H78" s="350">
        <v>2192</v>
      </c>
      <c r="I78" s="626" t="s">
        <v>1588</v>
      </c>
      <c r="J78" s="627" t="s">
        <v>1588</v>
      </c>
    </row>
    <row r="79" spans="1:10" ht="27.75" customHeight="1">
      <c r="A79" s="358" t="s">
        <v>1829</v>
      </c>
      <c r="B79" s="372" t="s">
        <v>342</v>
      </c>
      <c r="C79" s="350">
        <f t="shared" si="12"/>
        <v>9265.58</v>
      </c>
      <c r="D79" s="350">
        <f t="shared" si="13"/>
        <v>9259.08</v>
      </c>
      <c r="E79" s="626" t="s">
        <v>1588</v>
      </c>
      <c r="F79" s="626" t="s">
        <v>1588</v>
      </c>
      <c r="G79" s="626" t="s">
        <v>1588</v>
      </c>
      <c r="H79" s="350">
        <v>9259.08</v>
      </c>
      <c r="I79" s="626" t="s">
        <v>1588</v>
      </c>
      <c r="J79" s="351">
        <v>6.5</v>
      </c>
    </row>
    <row r="80" spans="1:10" ht="27.75" customHeight="1">
      <c r="A80" s="359"/>
      <c r="B80" s="372" t="s">
        <v>343</v>
      </c>
      <c r="C80" s="350">
        <f t="shared" si="12"/>
        <v>324.60000000000002</v>
      </c>
      <c r="D80" s="350">
        <f t="shared" si="13"/>
        <v>324.60000000000002</v>
      </c>
      <c r="E80" s="350">
        <v>324.60000000000002</v>
      </c>
      <c r="F80" s="626" t="s">
        <v>1588</v>
      </c>
      <c r="G80" s="626" t="s">
        <v>1588</v>
      </c>
      <c r="H80" s="626" t="s">
        <v>1588</v>
      </c>
      <c r="I80" s="626" t="s">
        <v>1588</v>
      </c>
      <c r="J80" s="351">
        <v>0</v>
      </c>
    </row>
    <row r="81" spans="1:10" ht="27.75" customHeight="1">
      <c r="A81" s="360"/>
      <c r="B81" s="372" t="s">
        <v>405</v>
      </c>
      <c r="C81" s="350">
        <f t="shared" si="12"/>
        <v>192</v>
      </c>
      <c r="D81" s="350">
        <f t="shared" si="13"/>
        <v>192</v>
      </c>
      <c r="E81" s="350">
        <v>192</v>
      </c>
      <c r="F81" s="626" t="s">
        <v>1588</v>
      </c>
      <c r="G81" s="626" t="s">
        <v>1588</v>
      </c>
      <c r="H81" s="626" t="s">
        <v>1588</v>
      </c>
      <c r="I81" s="626" t="s">
        <v>1588</v>
      </c>
      <c r="J81" s="351">
        <v>0</v>
      </c>
    </row>
    <row r="82" spans="1:10" ht="27.75" customHeight="1">
      <c r="A82" s="360" t="s">
        <v>1832</v>
      </c>
      <c r="B82" s="396" t="s">
        <v>2224</v>
      </c>
      <c r="C82" s="350">
        <f t="shared" si="12"/>
        <v>23278</v>
      </c>
      <c r="D82" s="350">
        <f t="shared" si="13"/>
        <v>23278</v>
      </c>
      <c r="E82" s="626" t="s">
        <v>1588</v>
      </c>
      <c r="F82" s="350">
        <v>6291</v>
      </c>
      <c r="G82" s="350">
        <v>16987</v>
      </c>
      <c r="H82" s="626" t="s">
        <v>1588</v>
      </c>
      <c r="I82" s="626" t="s">
        <v>1588</v>
      </c>
      <c r="J82" s="627" t="s">
        <v>1588</v>
      </c>
    </row>
    <row r="83" spans="1:10" ht="27.75" customHeight="1">
      <c r="A83" s="358" t="s">
        <v>1833</v>
      </c>
      <c r="B83" s="396" t="s">
        <v>427</v>
      </c>
      <c r="C83" s="350">
        <f t="shared" si="12"/>
        <v>5416.92</v>
      </c>
      <c r="D83" s="350">
        <f t="shared" si="13"/>
        <v>5416.92</v>
      </c>
      <c r="E83" s="350">
        <v>4436.93</v>
      </c>
      <c r="F83" s="626" t="s">
        <v>1588</v>
      </c>
      <c r="G83" s="626" t="s">
        <v>1588</v>
      </c>
      <c r="H83" s="350">
        <v>979.99</v>
      </c>
      <c r="I83" s="626" t="s">
        <v>1588</v>
      </c>
      <c r="J83" s="627" t="s">
        <v>1588</v>
      </c>
    </row>
    <row r="84" spans="1:10" ht="27.75" customHeight="1">
      <c r="A84" s="358" t="s">
        <v>1834</v>
      </c>
      <c r="B84" s="372" t="s">
        <v>428</v>
      </c>
      <c r="C84" s="350">
        <f t="shared" si="12"/>
        <v>2824</v>
      </c>
      <c r="D84" s="350">
        <f t="shared" si="13"/>
        <v>2824</v>
      </c>
      <c r="E84" s="626" t="s">
        <v>1588</v>
      </c>
      <c r="F84" s="626" t="s">
        <v>1588</v>
      </c>
      <c r="G84" s="350">
        <v>606.80999999999995</v>
      </c>
      <c r="H84" s="350">
        <v>2217.19</v>
      </c>
      <c r="I84" s="626" t="s">
        <v>1588</v>
      </c>
      <c r="J84" s="627" t="s">
        <v>1588</v>
      </c>
    </row>
    <row r="85" spans="1:10" ht="27.75" customHeight="1">
      <c r="A85" s="359"/>
      <c r="B85" s="372" t="s">
        <v>429</v>
      </c>
      <c r="C85" s="350">
        <f t="shared" si="12"/>
        <v>430.18999999999994</v>
      </c>
      <c r="D85" s="350">
        <f t="shared" si="13"/>
        <v>430.18999999999994</v>
      </c>
      <c r="E85" s="626" t="s">
        <v>1588</v>
      </c>
      <c r="F85" s="626" t="s">
        <v>1588</v>
      </c>
      <c r="G85" s="350">
        <v>60.91</v>
      </c>
      <c r="H85" s="350">
        <v>369.28</v>
      </c>
      <c r="I85" s="626" t="s">
        <v>1588</v>
      </c>
      <c r="J85" s="627" t="s">
        <v>1588</v>
      </c>
    </row>
    <row r="86" spans="1:10" ht="27.75" customHeight="1">
      <c r="A86" s="359"/>
      <c r="B86" s="372" t="s">
        <v>430</v>
      </c>
      <c r="C86" s="350">
        <f t="shared" si="12"/>
        <v>3095.66</v>
      </c>
      <c r="D86" s="350">
        <f t="shared" si="13"/>
        <v>3095.66</v>
      </c>
      <c r="E86" s="626" t="s">
        <v>1588</v>
      </c>
      <c r="F86" s="626" t="s">
        <v>1588</v>
      </c>
      <c r="G86" s="350">
        <v>707.78</v>
      </c>
      <c r="H86" s="350">
        <v>2387.88</v>
      </c>
      <c r="I86" s="626" t="s">
        <v>1588</v>
      </c>
      <c r="J86" s="627" t="s">
        <v>1588</v>
      </c>
    </row>
    <row r="87" spans="1:10" ht="27.75" customHeight="1">
      <c r="A87" s="358" t="s">
        <v>1835</v>
      </c>
      <c r="B87" s="372" t="s">
        <v>431</v>
      </c>
      <c r="C87" s="350">
        <f t="shared" si="12"/>
        <v>4963.6799999999994</v>
      </c>
      <c r="D87" s="350">
        <f t="shared" si="13"/>
        <v>4963.6799999999994</v>
      </c>
      <c r="E87" s="626" t="s">
        <v>1588</v>
      </c>
      <c r="F87" s="350">
        <v>4930.28</v>
      </c>
      <c r="G87" s="626" t="s">
        <v>1588</v>
      </c>
      <c r="H87" s="350">
        <v>33.4</v>
      </c>
      <c r="I87" s="626" t="s">
        <v>1588</v>
      </c>
      <c r="J87" s="627" t="s">
        <v>1588</v>
      </c>
    </row>
    <row r="88" spans="1:10" ht="27.75" customHeight="1">
      <c r="A88" s="359"/>
      <c r="B88" s="372" t="s">
        <v>2235</v>
      </c>
      <c r="C88" s="350">
        <f t="shared" si="12"/>
        <v>5876.92</v>
      </c>
      <c r="D88" s="350">
        <f t="shared" si="13"/>
        <v>5876.92</v>
      </c>
      <c r="E88" s="626" t="s">
        <v>1588</v>
      </c>
      <c r="F88" s="350">
        <v>5778.21</v>
      </c>
      <c r="G88" s="626" t="s">
        <v>1588</v>
      </c>
      <c r="H88" s="350">
        <v>98.71</v>
      </c>
      <c r="I88" s="626" t="s">
        <v>1588</v>
      </c>
      <c r="J88" s="627" t="s">
        <v>1588</v>
      </c>
    </row>
    <row r="89" spans="1:10" ht="27.75" customHeight="1">
      <c r="A89" s="359"/>
      <c r="B89" s="372" t="s">
        <v>2236</v>
      </c>
      <c r="C89" s="350">
        <f t="shared" si="12"/>
        <v>6109.08</v>
      </c>
      <c r="D89" s="350">
        <f t="shared" si="13"/>
        <v>6109.08</v>
      </c>
      <c r="E89" s="626" t="s">
        <v>1588</v>
      </c>
      <c r="F89" s="350">
        <v>6061.53</v>
      </c>
      <c r="G89" s="626" t="s">
        <v>1588</v>
      </c>
      <c r="H89" s="350">
        <v>47.55</v>
      </c>
      <c r="I89" s="626" t="s">
        <v>1588</v>
      </c>
      <c r="J89" s="627" t="s">
        <v>1588</v>
      </c>
    </row>
    <row r="90" spans="1:10" ht="27.75" customHeight="1">
      <c r="A90" s="359"/>
      <c r="B90" s="372" t="s">
        <v>432</v>
      </c>
      <c r="C90" s="350">
        <f t="shared" si="12"/>
        <v>295.51</v>
      </c>
      <c r="D90" s="350">
        <f t="shared" si="13"/>
        <v>295.51</v>
      </c>
      <c r="E90" s="626" t="s">
        <v>1588</v>
      </c>
      <c r="F90" s="350">
        <v>295.51</v>
      </c>
      <c r="G90" s="626" t="s">
        <v>1588</v>
      </c>
      <c r="H90" s="626" t="s">
        <v>1588</v>
      </c>
      <c r="I90" s="626" t="s">
        <v>1588</v>
      </c>
      <c r="J90" s="627" t="s">
        <v>1588</v>
      </c>
    </row>
    <row r="91" spans="1:10" ht="27.75" customHeight="1">
      <c r="A91" s="359"/>
      <c r="B91" s="372" t="s">
        <v>433</v>
      </c>
      <c r="C91" s="350">
        <f t="shared" si="12"/>
        <v>28.31</v>
      </c>
      <c r="D91" s="350">
        <f t="shared" si="13"/>
        <v>28.31</v>
      </c>
      <c r="E91" s="626" t="s">
        <v>1588</v>
      </c>
      <c r="F91" s="350">
        <v>28.31</v>
      </c>
      <c r="G91" s="626" t="s">
        <v>1588</v>
      </c>
      <c r="H91" s="626" t="s">
        <v>1588</v>
      </c>
      <c r="I91" s="626" t="s">
        <v>1588</v>
      </c>
      <c r="J91" s="627" t="s">
        <v>1588</v>
      </c>
    </row>
    <row r="92" spans="1:10" ht="27.75" customHeight="1">
      <c r="A92" s="359"/>
      <c r="B92" s="372" t="s">
        <v>434</v>
      </c>
      <c r="C92" s="350">
        <f t="shared" si="12"/>
        <v>61.83</v>
      </c>
      <c r="D92" s="350">
        <f t="shared" si="13"/>
        <v>61.83</v>
      </c>
      <c r="E92" s="626" t="s">
        <v>1588</v>
      </c>
      <c r="F92" s="350">
        <v>61.83</v>
      </c>
      <c r="G92" s="626" t="s">
        <v>1588</v>
      </c>
      <c r="H92" s="626" t="s">
        <v>1588</v>
      </c>
      <c r="I92" s="626" t="s">
        <v>1588</v>
      </c>
      <c r="J92" s="627" t="s">
        <v>1588</v>
      </c>
    </row>
    <row r="93" spans="1:10" ht="27.75" customHeight="1">
      <c r="A93" s="359"/>
      <c r="B93" s="372" t="s">
        <v>435</v>
      </c>
      <c r="C93" s="350">
        <f t="shared" si="12"/>
        <v>575.03</v>
      </c>
      <c r="D93" s="350">
        <f t="shared" si="13"/>
        <v>575.03</v>
      </c>
      <c r="E93" s="626" t="s">
        <v>1588</v>
      </c>
      <c r="F93" s="350">
        <v>575.03</v>
      </c>
      <c r="G93" s="626" t="s">
        <v>1588</v>
      </c>
      <c r="H93" s="626" t="s">
        <v>1588</v>
      </c>
      <c r="I93" s="626" t="s">
        <v>1588</v>
      </c>
      <c r="J93" s="627" t="s">
        <v>1588</v>
      </c>
    </row>
    <row r="94" spans="1:10" ht="27.75" customHeight="1">
      <c r="A94" s="360"/>
      <c r="B94" s="372" t="s">
        <v>436</v>
      </c>
      <c r="C94" s="350">
        <f t="shared" si="12"/>
        <v>1220.28</v>
      </c>
      <c r="D94" s="350">
        <f t="shared" si="13"/>
        <v>1220.28</v>
      </c>
      <c r="E94" s="626" t="s">
        <v>1588</v>
      </c>
      <c r="F94" s="350">
        <v>1220.28</v>
      </c>
      <c r="G94" s="626" t="s">
        <v>1588</v>
      </c>
      <c r="H94" s="626" t="s">
        <v>1588</v>
      </c>
      <c r="I94" s="626" t="s">
        <v>1588</v>
      </c>
      <c r="J94" s="627" t="s">
        <v>1588</v>
      </c>
    </row>
    <row r="95" spans="1:10" ht="27.75" customHeight="1">
      <c r="A95" s="360" t="s">
        <v>1837</v>
      </c>
      <c r="B95" s="396" t="s">
        <v>437</v>
      </c>
      <c r="C95" s="350">
        <f t="shared" si="12"/>
        <v>1875</v>
      </c>
      <c r="D95" s="350">
        <f t="shared" si="13"/>
        <v>1875</v>
      </c>
      <c r="E95" s="350">
        <v>493</v>
      </c>
      <c r="F95" s="626" t="s">
        <v>1588</v>
      </c>
      <c r="G95" s="626" t="s">
        <v>1588</v>
      </c>
      <c r="H95" s="350">
        <v>1382</v>
      </c>
      <c r="I95" s="626" t="s">
        <v>1588</v>
      </c>
      <c r="J95" s="627" t="s">
        <v>1588</v>
      </c>
    </row>
    <row r="96" spans="1:10" ht="27.75" customHeight="1">
      <c r="A96" s="358" t="s">
        <v>1840</v>
      </c>
      <c r="B96" s="396" t="s">
        <v>438</v>
      </c>
      <c r="C96" s="350">
        <f t="shared" si="12"/>
        <v>1831</v>
      </c>
      <c r="D96" s="350">
        <f t="shared" si="13"/>
        <v>1831</v>
      </c>
      <c r="E96" s="626" t="s">
        <v>1588</v>
      </c>
      <c r="F96" s="626" t="s">
        <v>1588</v>
      </c>
      <c r="G96" s="626" t="s">
        <v>1588</v>
      </c>
      <c r="H96" s="350">
        <v>1831</v>
      </c>
      <c r="I96" s="626" t="s">
        <v>1588</v>
      </c>
      <c r="J96" s="627" t="s">
        <v>1588</v>
      </c>
    </row>
    <row r="97" spans="1:10" ht="27.75" customHeight="1">
      <c r="A97" s="358" t="s">
        <v>1841</v>
      </c>
      <c r="B97" s="372" t="s">
        <v>439</v>
      </c>
      <c r="C97" s="350">
        <f t="shared" si="12"/>
        <v>256.49</v>
      </c>
      <c r="D97" s="350">
        <f t="shared" si="13"/>
        <v>256.49</v>
      </c>
      <c r="E97" s="350">
        <v>196.32</v>
      </c>
      <c r="F97" s="350">
        <v>0</v>
      </c>
      <c r="G97" s="350">
        <v>0</v>
      </c>
      <c r="H97" s="350">
        <v>60.17</v>
      </c>
      <c r="I97" s="350">
        <v>0</v>
      </c>
      <c r="J97" s="351">
        <v>0</v>
      </c>
    </row>
    <row r="98" spans="1:10" ht="27.75" customHeight="1">
      <c r="A98" s="349" t="s">
        <v>1842</v>
      </c>
      <c r="B98" s="372" t="s">
        <v>440</v>
      </c>
      <c r="C98" s="350">
        <f t="shared" si="12"/>
        <v>12219.970000000001</v>
      </c>
      <c r="D98" s="350">
        <f t="shared" si="13"/>
        <v>12118.86</v>
      </c>
      <c r="E98" s="626" t="s">
        <v>1588</v>
      </c>
      <c r="F98" s="626" t="s">
        <v>1588</v>
      </c>
      <c r="G98" s="626" t="s">
        <v>1588</v>
      </c>
      <c r="H98" s="350">
        <v>12118.86</v>
      </c>
      <c r="I98" s="626" t="s">
        <v>1588</v>
      </c>
      <c r="J98" s="351">
        <v>101.11</v>
      </c>
    </row>
    <row r="99" spans="1:10" ht="27.75" customHeight="1">
      <c r="A99" s="360" t="s">
        <v>1975</v>
      </c>
      <c r="B99" s="396" t="s">
        <v>441</v>
      </c>
      <c r="C99" s="350">
        <f t="shared" si="12"/>
        <v>14678</v>
      </c>
      <c r="D99" s="350">
        <f t="shared" si="13"/>
        <v>14678</v>
      </c>
      <c r="E99" s="626" t="s">
        <v>1588</v>
      </c>
      <c r="F99" s="626" t="s">
        <v>1588</v>
      </c>
      <c r="G99" s="626" t="s">
        <v>1588</v>
      </c>
      <c r="H99" s="350">
        <v>14678</v>
      </c>
      <c r="I99" s="626" t="s">
        <v>1588</v>
      </c>
      <c r="J99" s="627" t="s">
        <v>1588</v>
      </c>
    </row>
    <row r="100" spans="1:10" ht="27.75" customHeight="1">
      <c r="A100" s="349" t="s">
        <v>2246</v>
      </c>
      <c r="B100" s="396" t="s">
        <v>344</v>
      </c>
      <c r="C100" s="350">
        <f t="shared" si="12"/>
        <v>3174</v>
      </c>
      <c r="D100" s="350">
        <f t="shared" si="13"/>
        <v>3174</v>
      </c>
      <c r="E100" s="350">
        <v>3174</v>
      </c>
      <c r="F100" s="626" t="s">
        <v>1588</v>
      </c>
      <c r="G100" s="626" t="s">
        <v>1588</v>
      </c>
      <c r="H100" s="626" t="s">
        <v>1588</v>
      </c>
      <c r="I100" s="626" t="s">
        <v>1588</v>
      </c>
      <c r="J100" s="351">
        <v>0</v>
      </c>
    </row>
    <row r="101" spans="1:10" ht="27.75" customHeight="1">
      <c r="A101" s="358" t="s">
        <v>1616</v>
      </c>
      <c r="B101" s="410">
        <f>COUNTA(B102:B119)</f>
        <v>18</v>
      </c>
      <c r="C101" s="350">
        <f t="shared" si="12"/>
        <v>11344.3</v>
      </c>
      <c r="D101" s="350">
        <f t="shared" si="13"/>
        <v>11344.3</v>
      </c>
      <c r="E101" s="350">
        <f t="shared" ref="E101:J101" si="14">SUM(E102:E119)</f>
        <v>2112.64</v>
      </c>
      <c r="F101" s="350">
        <f t="shared" si="14"/>
        <v>352.68</v>
      </c>
      <c r="G101" s="350">
        <f t="shared" si="14"/>
        <v>4983.25</v>
      </c>
      <c r="H101" s="350">
        <f t="shared" si="14"/>
        <v>3895.7300000000005</v>
      </c>
      <c r="I101" s="350">
        <f t="shared" si="14"/>
        <v>0</v>
      </c>
      <c r="J101" s="351">
        <f t="shared" si="14"/>
        <v>0</v>
      </c>
    </row>
    <row r="102" spans="1:10" ht="27.75" customHeight="1">
      <c r="A102" s="358" t="s">
        <v>1843</v>
      </c>
      <c r="B102" s="372" t="s">
        <v>408</v>
      </c>
      <c r="C102" s="350">
        <f t="shared" si="12"/>
        <v>2384.13</v>
      </c>
      <c r="D102" s="365">
        <f t="shared" si="13"/>
        <v>2384.13</v>
      </c>
      <c r="E102" s="801" t="s">
        <v>1588</v>
      </c>
      <c r="F102" s="801" t="s">
        <v>1588</v>
      </c>
      <c r="G102" s="365">
        <v>882.13</v>
      </c>
      <c r="H102" s="365">
        <v>1502</v>
      </c>
      <c r="I102" s="365">
        <v>0</v>
      </c>
      <c r="J102" s="627" t="s">
        <v>1588</v>
      </c>
    </row>
    <row r="103" spans="1:10" ht="27.75" customHeight="1">
      <c r="A103" s="359"/>
      <c r="B103" s="372" t="s">
        <v>409</v>
      </c>
      <c r="C103" s="350">
        <f t="shared" si="12"/>
        <v>146</v>
      </c>
      <c r="D103" s="365">
        <f t="shared" si="13"/>
        <v>146</v>
      </c>
      <c r="E103" s="801" t="s">
        <v>1588</v>
      </c>
      <c r="F103" s="801" t="s">
        <v>1588</v>
      </c>
      <c r="G103" s="365">
        <v>63.02</v>
      </c>
      <c r="H103" s="365">
        <v>82.98</v>
      </c>
      <c r="I103" s="801" t="s">
        <v>1588</v>
      </c>
      <c r="J103" s="627" t="s">
        <v>1588</v>
      </c>
    </row>
    <row r="104" spans="1:10" ht="27.75" customHeight="1">
      <c r="A104" s="359"/>
      <c r="B104" s="372" t="s">
        <v>410</v>
      </c>
      <c r="C104" s="350">
        <f t="shared" si="12"/>
        <v>32.5</v>
      </c>
      <c r="D104" s="365">
        <f t="shared" si="13"/>
        <v>32.5</v>
      </c>
      <c r="E104" s="801" t="s">
        <v>1588</v>
      </c>
      <c r="F104" s="801" t="s">
        <v>1588</v>
      </c>
      <c r="G104" s="365">
        <v>13.7</v>
      </c>
      <c r="H104" s="365">
        <v>18.8</v>
      </c>
      <c r="I104" s="801" t="s">
        <v>1588</v>
      </c>
      <c r="J104" s="627" t="s">
        <v>1588</v>
      </c>
    </row>
    <row r="105" spans="1:10" ht="27.75" customHeight="1">
      <c r="A105" s="359"/>
      <c r="B105" s="372" t="s">
        <v>411</v>
      </c>
      <c r="C105" s="350">
        <f t="shared" si="12"/>
        <v>190.19</v>
      </c>
      <c r="D105" s="365">
        <f t="shared" si="13"/>
        <v>190.19</v>
      </c>
      <c r="E105" s="801" t="s">
        <v>1588</v>
      </c>
      <c r="F105" s="801" t="s">
        <v>1588</v>
      </c>
      <c r="G105" s="365">
        <v>92</v>
      </c>
      <c r="H105" s="365">
        <v>98.19</v>
      </c>
      <c r="I105" s="801" t="s">
        <v>1588</v>
      </c>
      <c r="J105" s="627" t="s">
        <v>1588</v>
      </c>
    </row>
    <row r="106" spans="1:10" ht="27.75" customHeight="1">
      <c r="A106" s="359"/>
      <c r="B106" s="372" t="s">
        <v>412</v>
      </c>
      <c r="C106" s="350">
        <f t="shared" si="12"/>
        <v>105.8</v>
      </c>
      <c r="D106" s="365">
        <f t="shared" si="13"/>
        <v>105.8</v>
      </c>
      <c r="E106" s="801" t="s">
        <v>1588</v>
      </c>
      <c r="F106" s="801" t="s">
        <v>1588</v>
      </c>
      <c r="G106" s="365">
        <v>59</v>
      </c>
      <c r="H106" s="365">
        <v>46.8</v>
      </c>
      <c r="I106" s="801" t="s">
        <v>1588</v>
      </c>
      <c r="J106" s="627" t="s">
        <v>1588</v>
      </c>
    </row>
    <row r="107" spans="1:10" ht="27.75" customHeight="1">
      <c r="A107" s="359"/>
      <c r="B107" s="372" t="s">
        <v>413</v>
      </c>
      <c r="C107" s="350">
        <f t="shared" si="12"/>
        <v>75.150000000000006</v>
      </c>
      <c r="D107" s="365">
        <f t="shared" si="13"/>
        <v>75.150000000000006</v>
      </c>
      <c r="E107" s="801" t="s">
        <v>1588</v>
      </c>
      <c r="F107" s="801" t="s">
        <v>1588</v>
      </c>
      <c r="G107" s="365">
        <v>18.2</v>
      </c>
      <c r="H107" s="365">
        <v>56.95</v>
      </c>
      <c r="I107" s="801" t="s">
        <v>1588</v>
      </c>
      <c r="J107" s="627" t="s">
        <v>1588</v>
      </c>
    </row>
    <row r="108" spans="1:10" ht="27.75" customHeight="1">
      <c r="A108" s="358" t="s">
        <v>1844</v>
      </c>
      <c r="B108" s="372" t="s">
        <v>414</v>
      </c>
      <c r="C108" s="350">
        <f t="shared" si="12"/>
        <v>2458.0100000000002</v>
      </c>
      <c r="D108" s="350">
        <f t="shared" si="13"/>
        <v>2458.0100000000002</v>
      </c>
      <c r="E108" s="626" t="s">
        <v>1588</v>
      </c>
      <c r="F108" s="626" t="s">
        <v>1588</v>
      </c>
      <c r="G108" s="350">
        <v>1546.96</v>
      </c>
      <c r="H108" s="350">
        <v>911.05</v>
      </c>
      <c r="I108" s="626" t="s">
        <v>1588</v>
      </c>
      <c r="J108" s="627" t="s">
        <v>1588</v>
      </c>
    </row>
    <row r="109" spans="1:10" ht="27.75" customHeight="1">
      <c r="A109" s="359"/>
      <c r="B109" s="372" t="s">
        <v>415</v>
      </c>
      <c r="C109" s="350">
        <f t="shared" si="12"/>
        <v>392.81</v>
      </c>
      <c r="D109" s="365">
        <f t="shared" si="13"/>
        <v>392.81</v>
      </c>
      <c r="E109" s="626" t="s">
        <v>1588</v>
      </c>
      <c r="F109" s="626" t="s">
        <v>1588</v>
      </c>
      <c r="G109" s="350">
        <v>249.29</v>
      </c>
      <c r="H109" s="350">
        <v>143.52000000000001</v>
      </c>
      <c r="I109" s="626" t="s">
        <v>1588</v>
      </c>
      <c r="J109" s="627" t="s">
        <v>1588</v>
      </c>
    </row>
    <row r="110" spans="1:10" ht="27.75" customHeight="1">
      <c r="A110" s="359"/>
      <c r="B110" s="372" t="s">
        <v>416</v>
      </c>
      <c r="C110" s="350">
        <f t="shared" si="12"/>
        <v>211.10000000000002</v>
      </c>
      <c r="D110" s="350">
        <f t="shared" si="13"/>
        <v>211.10000000000002</v>
      </c>
      <c r="E110" s="626" t="s">
        <v>1588</v>
      </c>
      <c r="F110" s="626" t="s">
        <v>1588</v>
      </c>
      <c r="G110" s="350">
        <v>138.59</v>
      </c>
      <c r="H110" s="350">
        <v>72.510000000000005</v>
      </c>
      <c r="I110" s="626" t="s">
        <v>1588</v>
      </c>
      <c r="J110" s="627" t="s">
        <v>1588</v>
      </c>
    </row>
    <row r="111" spans="1:10" ht="27.75" customHeight="1">
      <c r="A111" s="359"/>
      <c r="B111" s="372" t="s">
        <v>417</v>
      </c>
      <c r="C111" s="350">
        <f t="shared" si="12"/>
        <v>315.14</v>
      </c>
      <c r="D111" s="350">
        <f t="shared" si="13"/>
        <v>315.14</v>
      </c>
      <c r="E111" s="626" t="s">
        <v>1588</v>
      </c>
      <c r="F111" s="626" t="s">
        <v>1588</v>
      </c>
      <c r="G111" s="350">
        <v>219.99</v>
      </c>
      <c r="H111" s="350">
        <v>95.15</v>
      </c>
      <c r="I111" s="626" t="s">
        <v>1588</v>
      </c>
      <c r="J111" s="627" t="s">
        <v>1588</v>
      </c>
    </row>
    <row r="112" spans="1:10" ht="27.75" customHeight="1">
      <c r="A112" s="359"/>
      <c r="B112" s="372" t="s">
        <v>418</v>
      </c>
      <c r="C112" s="350">
        <f t="shared" si="12"/>
        <v>141.69999999999999</v>
      </c>
      <c r="D112" s="350">
        <f t="shared" si="13"/>
        <v>141.69999999999999</v>
      </c>
      <c r="E112" s="626" t="s">
        <v>1588</v>
      </c>
      <c r="F112" s="626" t="s">
        <v>1588</v>
      </c>
      <c r="G112" s="350">
        <v>141.69999999999999</v>
      </c>
      <c r="H112" s="626" t="s">
        <v>1588</v>
      </c>
      <c r="I112" s="626" t="s">
        <v>1588</v>
      </c>
      <c r="J112" s="627" t="s">
        <v>1588</v>
      </c>
    </row>
    <row r="113" spans="1:10" ht="27.75" customHeight="1">
      <c r="A113" s="358" t="s">
        <v>1847</v>
      </c>
      <c r="B113" s="372" t="s">
        <v>345</v>
      </c>
      <c r="C113" s="350">
        <f t="shared" si="12"/>
        <v>1387</v>
      </c>
      <c r="D113" s="350">
        <f t="shared" si="13"/>
        <v>1387</v>
      </c>
      <c r="E113" s="626" t="s">
        <v>1588</v>
      </c>
      <c r="F113" s="350">
        <v>264.49</v>
      </c>
      <c r="G113" s="350">
        <v>1122.51</v>
      </c>
      <c r="H113" s="626" t="s">
        <v>1588</v>
      </c>
      <c r="I113" s="626" t="s">
        <v>1588</v>
      </c>
      <c r="J113" s="627" t="s">
        <v>1588</v>
      </c>
    </row>
    <row r="114" spans="1:10" ht="27.75" customHeight="1">
      <c r="A114" s="359"/>
      <c r="B114" s="372" t="s">
        <v>346</v>
      </c>
      <c r="C114" s="350">
        <f t="shared" si="12"/>
        <v>382.59</v>
      </c>
      <c r="D114" s="350">
        <f t="shared" si="13"/>
        <v>382.59</v>
      </c>
      <c r="E114" s="626" t="s">
        <v>1588</v>
      </c>
      <c r="F114" s="626" t="s">
        <v>1588</v>
      </c>
      <c r="G114" s="350">
        <v>382.59</v>
      </c>
      <c r="H114" s="626" t="s">
        <v>1588</v>
      </c>
      <c r="I114" s="626" t="s">
        <v>1588</v>
      </c>
      <c r="J114" s="627" t="s">
        <v>1588</v>
      </c>
    </row>
    <row r="115" spans="1:10" ht="27.75" customHeight="1">
      <c r="A115" s="359"/>
      <c r="B115" s="372" t="s">
        <v>347</v>
      </c>
      <c r="C115" s="350">
        <f t="shared" si="12"/>
        <v>46.63</v>
      </c>
      <c r="D115" s="350">
        <f t="shared" si="13"/>
        <v>46.63</v>
      </c>
      <c r="E115" s="626" t="s">
        <v>1588</v>
      </c>
      <c r="F115" s="626" t="s">
        <v>1588</v>
      </c>
      <c r="G115" s="350">
        <v>46.63</v>
      </c>
      <c r="H115" s="626" t="s">
        <v>1588</v>
      </c>
      <c r="I115" s="626" t="s">
        <v>1588</v>
      </c>
      <c r="J115" s="627" t="s">
        <v>1588</v>
      </c>
    </row>
    <row r="116" spans="1:10" ht="27.75" customHeight="1">
      <c r="A116" s="359"/>
      <c r="B116" s="372" t="s">
        <v>348</v>
      </c>
      <c r="C116" s="350">
        <f t="shared" si="12"/>
        <v>867.78</v>
      </c>
      <c r="D116" s="350">
        <f t="shared" si="13"/>
        <v>867.78</v>
      </c>
      <c r="E116" s="626" t="s">
        <v>1588</v>
      </c>
      <c r="F116" s="626" t="s">
        <v>1588</v>
      </c>
      <c r="G116" s="626" t="s">
        <v>1588</v>
      </c>
      <c r="H116" s="350">
        <v>867.78</v>
      </c>
      <c r="I116" s="626" t="s">
        <v>1588</v>
      </c>
      <c r="J116" s="627" t="s">
        <v>1588</v>
      </c>
    </row>
    <row r="117" spans="1:10" ht="27.75" customHeight="1">
      <c r="A117" s="359"/>
      <c r="B117" s="372" t="s">
        <v>349</v>
      </c>
      <c r="C117" s="350">
        <f t="shared" si="12"/>
        <v>6.94</v>
      </c>
      <c r="D117" s="350">
        <f t="shared" si="13"/>
        <v>6.94</v>
      </c>
      <c r="E117" s="626" t="s">
        <v>1588</v>
      </c>
      <c r="F117" s="626" t="s">
        <v>1588</v>
      </c>
      <c r="G117" s="350">
        <v>6.94</v>
      </c>
      <c r="H117" s="626" t="s">
        <v>1588</v>
      </c>
      <c r="I117" s="626" t="s">
        <v>1588</v>
      </c>
      <c r="J117" s="627" t="s">
        <v>1588</v>
      </c>
    </row>
    <row r="118" spans="1:10" ht="27.75" customHeight="1">
      <c r="A118" s="358" t="s">
        <v>1848</v>
      </c>
      <c r="B118" s="372" t="s">
        <v>350</v>
      </c>
      <c r="C118" s="350">
        <f t="shared" si="12"/>
        <v>2112.64</v>
      </c>
      <c r="D118" s="350">
        <f t="shared" si="13"/>
        <v>2112.64</v>
      </c>
      <c r="E118" s="350">
        <v>2112.64</v>
      </c>
      <c r="F118" s="626" t="s">
        <v>1588</v>
      </c>
      <c r="G118" s="626" t="s">
        <v>1588</v>
      </c>
      <c r="H118" s="626" t="s">
        <v>1588</v>
      </c>
      <c r="I118" s="626" t="s">
        <v>1588</v>
      </c>
      <c r="J118" s="351">
        <v>0</v>
      </c>
    </row>
    <row r="119" spans="1:10" ht="27.75" customHeight="1">
      <c r="A119" s="360"/>
      <c r="B119" s="372" t="s">
        <v>351</v>
      </c>
      <c r="C119" s="350">
        <f t="shared" si="12"/>
        <v>88.19</v>
      </c>
      <c r="D119" s="350">
        <f t="shared" si="13"/>
        <v>88.19</v>
      </c>
      <c r="E119" s="626" t="s">
        <v>1588</v>
      </c>
      <c r="F119" s="350">
        <v>88.19</v>
      </c>
      <c r="G119" s="626" t="s">
        <v>1588</v>
      </c>
      <c r="H119" s="626" t="s">
        <v>1588</v>
      </c>
      <c r="I119" s="626" t="s">
        <v>1588</v>
      </c>
      <c r="J119" s="351">
        <v>0</v>
      </c>
    </row>
    <row r="120" spans="1:10" ht="27.75" customHeight="1">
      <c r="A120" s="356" t="s">
        <v>1849</v>
      </c>
      <c r="B120" s="411">
        <f>B121+B132</f>
        <v>23</v>
      </c>
      <c r="C120" s="353">
        <f t="shared" si="12"/>
        <v>57221.640000000007</v>
      </c>
      <c r="D120" s="353">
        <f t="shared" si="13"/>
        <v>57208.450000000004</v>
      </c>
      <c r="E120" s="353">
        <f t="shared" ref="E120:J120" si="15">E121+E132</f>
        <v>7120.2000000000007</v>
      </c>
      <c r="F120" s="353">
        <f t="shared" si="15"/>
        <v>1066.96</v>
      </c>
      <c r="G120" s="353">
        <f t="shared" si="15"/>
        <v>0</v>
      </c>
      <c r="H120" s="353">
        <f t="shared" si="15"/>
        <v>49021.29</v>
      </c>
      <c r="I120" s="353">
        <f t="shared" si="15"/>
        <v>0</v>
      </c>
      <c r="J120" s="354">
        <f t="shared" si="15"/>
        <v>13.190000000000001</v>
      </c>
    </row>
    <row r="121" spans="1:10" ht="27.75" customHeight="1">
      <c r="A121" s="355" t="s">
        <v>1674</v>
      </c>
      <c r="B121" s="411">
        <f>COUNTA(B122:B131)</f>
        <v>10</v>
      </c>
      <c r="C121" s="353">
        <f t="shared" si="12"/>
        <v>51862.039999999994</v>
      </c>
      <c r="D121" s="353">
        <f t="shared" si="13"/>
        <v>51855.839999999997</v>
      </c>
      <c r="E121" s="353">
        <f t="shared" ref="E121:J121" si="16">SUM(E122:E131)</f>
        <v>4591.8500000000004</v>
      </c>
      <c r="F121" s="353">
        <f t="shared" si="16"/>
        <v>0</v>
      </c>
      <c r="G121" s="353">
        <f t="shared" si="16"/>
        <v>0</v>
      </c>
      <c r="H121" s="353">
        <f t="shared" si="16"/>
        <v>47263.99</v>
      </c>
      <c r="I121" s="353">
        <f t="shared" si="16"/>
        <v>0</v>
      </c>
      <c r="J121" s="354">
        <f t="shared" si="16"/>
        <v>6.2</v>
      </c>
    </row>
    <row r="122" spans="1:10" ht="27.75" customHeight="1">
      <c r="A122" s="352" t="s">
        <v>1850</v>
      </c>
      <c r="B122" s="397" t="s">
        <v>352</v>
      </c>
      <c r="C122" s="353">
        <f t="shared" si="12"/>
        <v>15705</v>
      </c>
      <c r="D122" s="353">
        <f t="shared" si="13"/>
        <v>15705</v>
      </c>
      <c r="E122" s="353">
        <v>0</v>
      </c>
      <c r="F122" s="353">
        <v>0</v>
      </c>
      <c r="G122" s="353">
        <v>0</v>
      </c>
      <c r="H122" s="353">
        <v>15705</v>
      </c>
      <c r="I122" s="632" t="s">
        <v>1588</v>
      </c>
      <c r="J122" s="633" t="s">
        <v>1588</v>
      </c>
    </row>
    <row r="123" spans="1:10" ht="27.75" customHeight="1">
      <c r="A123" s="356"/>
      <c r="B123" s="397" t="s">
        <v>353</v>
      </c>
      <c r="C123" s="353">
        <f t="shared" si="12"/>
        <v>77.12</v>
      </c>
      <c r="D123" s="353">
        <f t="shared" si="13"/>
        <v>77.12</v>
      </c>
      <c r="E123" s="353">
        <v>0</v>
      </c>
      <c r="F123" s="353">
        <v>0</v>
      </c>
      <c r="G123" s="353">
        <v>0</v>
      </c>
      <c r="H123" s="353">
        <v>77.12</v>
      </c>
      <c r="I123" s="353">
        <v>0</v>
      </c>
      <c r="J123" s="354">
        <v>0</v>
      </c>
    </row>
    <row r="124" spans="1:10" ht="27.75" customHeight="1">
      <c r="A124" s="357" t="s">
        <v>1851</v>
      </c>
      <c r="B124" s="397" t="s">
        <v>339</v>
      </c>
      <c r="C124" s="353">
        <f t="shared" si="12"/>
        <v>19841</v>
      </c>
      <c r="D124" s="353">
        <f t="shared" si="13"/>
        <v>19841</v>
      </c>
      <c r="E124" s="353">
        <v>150</v>
      </c>
      <c r="F124" s="632" t="s">
        <v>1588</v>
      </c>
      <c r="G124" s="632" t="s">
        <v>1588</v>
      </c>
      <c r="H124" s="353">
        <v>19691</v>
      </c>
      <c r="I124" s="632" t="s">
        <v>1588</v>
      </c>
      <c r="J124" s="633" t="s">
        <v>1588</v>
      </c>
    </row>
    <row r="125" spans="1:10" ht="27.75" customHeight="1">
      <c r="A125" s="352" t="s">
        <v>1852</v>
      </c>
      <c r="B125" s="397" t="s">
        <v>2386</v>
      </c>
      <c r="C125" s="353">
        <f t="shared" si="12"/>
        <v>7045.33</v>
      </c>
      <c r="D125" s="353">
        <f t="shared" si="13"/>
        <v>7045.33</v>
      </c>
      <c r="E125" s="353">
        <v>3933.17</v>
      </c>
      <c r="F125" s="632" t="s">
        <v>1588</v>
      </c>
      <c r="G125" s="632" t="s">
        <v>1588</v>
      </c>
      <c r="H125" s="353">
        <v>3112.16</v>
      </c>
      <c r="I125" s="632" t="s">
        <v>1588</v>
      </c>
      <c r="J125" s="354">
        <v>0</v>
      </c>
    </row>
    <row r="126" spans="1:10" ht="27.75" customHeight="1">
      <c r="A126" s="356"/>
      <c r="B126" s="397" t="s">
        <v>1998</v>
      </c>
      <c r="C126" s="353">
        <f t="shared" si="12"/>
        <v>646.65</v>
      </c>
      <c r="D126" s="353">
        <f t="shared" si="13"/>
        <v>646.65</v>
      </c>
      <c r="E126" s="353">
        <v>508.68</v>
      </c>
      <c r="F126" s="632" t="s">
        <v>1588</v>
      </c>
      <c r="G126" s="632" t="s">
        <v>1588</v>
      </c>
      <c r="H126" s="353">
        <v>137.97</v>
      </c>
      <c r="I126" s="632" t="s">
        <v>1588</v>
      </c>
      <c r="J126" s="354">
        <v>0</v>
      </c>
    </row>
    <row r="127" spans="1:10" ht="27.75" customHeight="1">
      <c r="A127" s="357" t="s">
        <v>1853</v>
      </c>
      <c r="B127" s="397" t="s">
        <v>442</v>
      </c>
      <c r="C127" s="353">
        <f t="shared" si="12"/>
        <v>240</v>
      </c>
      <c r="D127" s="353">
        <f t="shared" si="13"/>
        <v>240</v>
      </c>
      <c r="E127" s="632" t="s">
        <v>1588</v>
      </c>
      <c r="F127" s="632" t="s">
        <v>1588</v>
      </c>
      <c r="G127" s="632" t="s">
        <v>1588</v>
      </c>
      <c r="H127" s="353">
        <v>240</v>
      </c>
      <c r="I127" s="632" t="s">
        <v>1588</v>
      </c>
      <c r="J127" s="633" t="s">
        <v>1588</v>
      </c>
    </row>
    <row r="128" spans="1:10" ht="27.75" customHeight="1">
      <c r="A128" s="357" t="s">
        <v>1854</v>
      </c>
      <c r="B128" s="397" t="s">
        <v>354</v>
      </c>
      <c r="C128" s="353">
        <f t="shared" si="12"/>
        <v>2768</v>
      </c>
      <c r="D128" s="353">
        <f t="shared" si="13"/>
        <v>2768</v>
      </c>
      <c r="E128" s="632" t="s">
        <v>1588</v>
      </c>
      <c r="F128" s="632" t="s">
        <v>1588</v>
      </c>
      <c r="G128" s="632" t="s">
        <v>1588</v>
      </c>
      <c r="H128" s="353">
        <v>2768</v>
      </c>
      <c r="I128" s="632" t="s">
        <v>1588</v>
      </c>
      <c r="J128" s="633" t="s">
        <v>1588</v>
      </c>
    </row>
    <row r="129" spans="1:10" ht="27.75" customHeight="1">
      <c r="A129" s="357" t="s">
        <v>1855</v>
      </c>
      <c r="B129" s="397" t="s">
        <v>185</v>
      </c>
      <c r="C129" s="353">
        <f t="shared" si="12"/>
        <v>3493.7</v>
      </c>
      <c r="D129" s="353">
        <f t="shared" si="13"/>
        <v>3493.7</v>
      </c>
      <c r="E129" s="632" t="s">
        <v>1588</v>
      </c>
      <c r="F129" s="632" t="s">
        <v>1588</v>
      </c>
      <c r="G129" s="632" t="s">
        <v>1588</v>
      </c>
      <c r="H129" s="353">
        <v>3493.7</v>
      </c>
      <c r="I129" s="632" t="s">
        <v>1588</v>
      </c>
      <c r="J129" s="633" t="s">
        <v>1588</v>
      </c>
    </row>
    <row r="130" spans="1:10" ht="27.75" customHeight="1">
      <c r="A130" s="352" t="s">
        <v>1976</v>
      </c>
      <c r="B130" s="397" t="s">
        <v>2389</v>
      </c>
      <c r="C130" s="353">
        <f t="shared" si="12"/>
        <v>1475.07</v>
      </c>
      <c r="D130" s="353">
        <f t="shared" si="13"/>
        <v>1475.07</v>
      </c>
      <c r="E130" s="632" t="s">
        <v>1588</v>
      </c>
      <c r="F130" s="632" t="s">
        <v>1588</v>
      </c>
      <c r="G130" s="632" t="s">
        <v>1588</v>
      </c>
      <c r="H130" s="353">
        <v>1475.07</v>
      </c>
      <c r="I130" s="632" t="s">
        <v>1588</v>
      </c>
      <c r="J130" s="633" t="s">
        <v>1588</v>
      </c>
    </row>
    <row r="131" spans="1:10" ht="27.75" customHeight="1">
      <c r="A131" s="356"/>
      <c r="B131" s="397" t="s">
        <v>186</v>
      </c>
      <c r="C131" s="353">
        <f t="shared" si="12"/>
        <v>570.17000000000007</v>
      </c>
      <c r="D131" s="353">
        <f t="shared" si="13"/>
        <v>563.97</v>
      </c>
      <c r="E131" s="632" t="s">
        <v>1588</v>
      </c>
      <c r="F131" s="632" t="s">
        <v>1588</v>
      </c>
      <c r="G131" s="632" t="s">
        <v>1588</v>
      </c>
      <c r="H131" s="353">
        <v>563.97</v>
      </c>
      <c r="I131" s="632" t="s">
        <v>1588</v>
      </c>
      <c r="J131" s="354">
        <v>6.2</v>
      </c>
    </row>
    <row r="132" spans="1:10" ht="27.75" customHeight="1">
      <c r="A132" s="356" t="s">
        <v>1616</v>
      </c>
      <c r="B132" s="411">
        <f>COUNTA(B133:B145)</f>
        <v>13</v>
      </c>
      <c r="C132" s="353">
        <f t="shared" si="12"/>
        <v>5359.5999999999995</v>
      </c>
      <c r="D132" s="353">
        <f t="shared" si="13"/>
        <v>5352.61</v>
      </c>
      <c r="E132" s="353">
        <f t="shared" ref="E132:J132" si="17">SUM(E133:E145)</f>
        <v>2528.35</v>
      </c>
      <c r="F132" s="353">
        <f t="shared" si="17"/>
        <v>1066.96</v>
      </c>
      <c r="G132" s="353">
        <f t="shared" si="17"/>
        <v>0</v>
      </c>
      <c r="H132" s="353">
        <f t="shared" si="17"/>
        <v>1757.3</v>
      </c>
      <c r="I132" s="353">
        <f t="shared" si="17"/>
        <v>0</v>
      </c>
      <c r="J132" s="354">
        <f t="shared" si="17"/>
        <v>6.99</v>
      </c>
    </row>
    <row r="133" spans="1:10" ht="27.75" customHeight="1">
      <c r="A133" s="366" t="s">
        <v>1856</v>
      </c>
      <c r="B133" s="401" t="s">
        <v>187</v>
      </c>
      <c r="C133" s="362">
        <f t="shared" si="12"/>
        <v>1686.75</v>
      </c>
      <c r="D133" s="367">
        <f t="shared" si="13"/>
        <v>1686.75</v>
      </c>
      <c r="E133" s="367">
        <v>1686.75</v>
      </c>
      <c r="F133" s="367">
        <v>0</v>
      </c>
      <c r="G133" s="367">
        <v>0</v>
      </c>
      <c r="H133" s="367">
        <v>0</v>
      </c>
      <c r="I133" s="367">
        <v>0</v>
      </c>
      <c r="J133" s="368">
        <v>0</v>
      </c>
    </row>
    <row r="134" spans="1:10" ht="27.75" customHeight="1">
      <c r="A134" s="352" t="s">
        <v>1857</v>
      </c>
      <c r="B134" s="397" t="s">
        <v>188</v>
      </c>
      <c r="C134" s="353">
        <f t="shared" ref="C134:C197" si="18">SUM(D134,J134)</f>
        <v>762</v>
      </c>
      <c r="D134" s="353">
        <f t="shared" si="13"/>
        <v>762</v>
      </c>
      <c r="E134" s="353">
        <v>762</v>
      </c>
      <c r="F134" s="632" t="s">
        <v>1588</v>
      </c>
      <c r="G134" s="632" t="s">
        <v>1588</v>
      </c>
      <c r="H134" s="632" t="s">
        <v>1588</v>
      </c>
      <c r="I134" s="632" t="s">
        <v>1588</v>
      </c>
      <c r="J134" s="354">
        <v>0</v>
      </c>
    </row>
    <row r="135" spans="1:10" ht="27.75" customHeight="1">
      <c r="A135" s="356"/>
      <c r="B135" s="397" t="s">
        <v>189</v>
      </c>
      <c r="C135" s="353">
        <f t="shared" si="18"/>
        <v>70</v>
      </c>
      <c r="D135" s="353">
        <f t="shared" si="13"/>
        <v>70</v>
      </c>
      <c r="E135" s="353">
        <v>70</v>
      </c>
      <c r="F135" s="632" t="s">
        <v>1588</v>
      </c>
      <c r="G135" s="632" t="s">
        <v>1588</v>
      </c>
      <c r="H135" s="632" t="s">
        <v>1588</v>
      </c>
      <c r="I135" s="632" t="s">
        <v>1588</v>
      </c>
      <c r="J135" s="354">
        <v>0</v>
      </c>
    </row>
    <row r="136" spans="1:10" ht="27.75" customHeight="1">
      <c r="A136" s="357" t="s">
        <v>1861</v>
      </c>
      <c r="B136" s="397" t="s">
        <v>355</v>
      </c>
      <c r="C136" s="353">
        <f t="shared" si="18"/>
        <v>11</v>
      </c>
      <c r="D136" s="353">
        <f t="shared" si="13"/>
        <v>11</v>
      </c>
      <c r="E136" s="632" t="s">
        <v>1588</v>
      </c>
      <c r="F136" s="353">
        <v>11</v>
      </c>
      <c r="G136" s="632" t="s">
        <v>1588</v>
      </c>
      <c r="H136" s="632" t="s">
        <v>1588</v>
      </c>
      <c r="I136" s="632" t="s">
        <v>1588</v>
      </c>
      <c r="J136" s="633" t="s">
        <v>1588</v>
      </c>
    </row>
    <row r="137" spans="1:10" ht="27.75" customHeight="1">
      <c r="A137" s="357" t="s">
        <v>1863</v>
      </c>
      <c r="B137" s="397" t="s">
        <v>356</v>
      </c>
      <c r="C137" s="353">
        <f t="shared" si="18"/>
        <v>220.79</v>
      </c>
      <c r="D137" s="353">
        <f t="shared" si="13"/>
        <v>220.79</v>
      </c>
      <c r="E137" s="632" t="s">
        <v>1588</v>
      </c>
      <c r="F137" s="632" t="s">
        <v>1588</v>
      </c>
      <c r="G137" s="632" t="s">
        <v>1588</v>
      </c>
      <c r="H137" s="353">
        <v>220.79</v>
      </c>
      <c r="I137" s="632" t="s">
        <v>1588</v>
      </c>
      <c r="J137" s="633" t="s">
        <v>1588</v>
      </c>
    </row>
    <row r="138" spans="1:10" ht="27.75" customHeight="1">
      <c r="A138" s="352" t="s">
        <v>1864</v>
      </c>
      <c r="B138" s="397" t="s">
        <v>357</v>
      </c>
      <c r="C138" s="353">
        <f t="shared" si="18"/>
        <v>9.6</v>
      </c>
      <c r="D138" s="353">
        <f t="shared" ref="D138:D201" si="19">SUM(E138:I138)</f>
        <v>9.6</v>
      </c>
      <c r="E138" s="353">
        <v>9.6</v>
      </c>
      <c r="F138" s="632" t="s">
        <v>1588</v>
      </c>
      <c r="G138" s="632" t="s">
        <v>1588</v>
      </c>
      <c r="H138" s="632" t="s">
        <v>1588</v>
      </c>
      <c r="I138" s="632" t="s">
        <v>1588</v>
      </c>
      <c r="J138" s="633" t="s">
        <v>1588</v>
      </c>
    </row>
    <row r="139" spans="1:10" ht="27.75" customHeight="1">
      <c r="A139" s="356"/>
      <c r="B139" s="397" t="s">
        <v>358</v>
      </c>
      <c r="C139" s="353">
        <f t="shared" si="18"/>
        <v>1.8</v>
      </c>
      <c r="D139" s="353">
        <f t="shared" si="19"/>
        <v>0</v>
      </c>
      <c r="E139" s="632" t="s">
        <v>1588</v>
      </c>
      <c r="F139" s="632" t="s">
        <v>1588</v>
      </c>
      <c r="G139" s="632" t="s">
        <v>1588</v>
      </c>
      <c r="H139" s="632" t="s">
        <v>1588</v>
      </c>
      <c r="I139" s="632" t="s">
        <v>1588</v>
      </c>
      <c r="J139" s="354">
        <v>1.8</v>
      </c>
    </row>
    <row r="140" spans="1:10" ht="27.75" customHeight="1">
      <c r="A140" s="357" t="s">
        <v>1605</v>
      </c>
      <c r="B140" s="397" t="s">
        <v>190</v>
      </c>
      <c r="C140" s="353">
        <f t="shared" si="18"/>
        <v>148</v>
      </c>
      <c r="D140" s="353">
        <f t="shared" si="19"/>
        <v>148</v>
      </c>
      <c r="E140" s="353">
        <v>0</v>
      </c>
      <c r="F140" s="353">
        <v>148</v>
      </c>
      <c r="G140" s="353">
        <v>0</v>
      </c>
      <c r="H140" s="353">
        <v>0</v>
      </c>
      <c r="I140" s="353">
        <v>0</v>
      </c>
      <c r="J140" s="354">
        <v>0</v>
      </c>
    </row>
    <row r="141" spans="1:10" ht="27.75" customHeight="1">
      <c r="A141" s="357" t="s">
        <v>1606</v>
      </c>
      <c r="B141" s="397" t="s">
        <v>359</v>
      </c>
      <c r="C141" s="353">
        <f t="shared" si="18"/>
        <v>365</v>
      </c>
      <c r="D141" s="353">
        <f t="shared" si="19"/>
        <v>365</v>
      </c>
      <c r="E141" s="632" t="s">
        <v>1588</v>
      </c>
      <c r="F141" s="353">
        <v>365</v>
      </c>
      <c r="G141" s="632" t="s">
        <v>1588</v>
      </c>
      <c r="H141" s="632" t="s">
        <v>1588</v>
      </c>
      <c r="I141" s="632" t="s">
        <v>1588</v>
      </c>
      <c r="J141" s="633" t="s">
        <v>1588</v>
      </c>
    </row>
    <row r="142" spans="1:10" ht="27.75" customHeight="1">
      <c r="A142" s="357" t="s">
        <v>1608</v>
      </c>
      <c r="B142" s="401" t="s">
        <v>360</v>
      </c>
      <c r="C142" s="353">
        <f t="shared" si="18"/>
        <v>105.66</v>
      </c>
      <c r="D142" s="353">
        <f t="shared" si="19"/>
        <v>105.66</v>
      </c>
      <c r="E142" s="632" t="s">
        <v>1588</v>
      </c>
      <c r="F142" s="353">
        <v>105.66</v>
      </c>
      <c r="G142" s="632" t="s">
        <v>1588</v>
      </c>
      <c r="H142" s="632" t="s">
        <v>1588</v>
      </c>
      <c r="I142" s="632" t="s">
        <v>1588</v>
      </c>
      <c r="J142" s="354">
        <v>0</v>
      </c>
    </row>
    <row r="143" spans="1:10" ht="27.75" customHeight="1">
      <c r="A143" s="352" t="s">
        <v>1609</v>
      </c>
      <c r="B143" s="397" t="s">
        <v>361</v>
      </c>
      <c r="C143" s="353">
        <f t="shared" si="18"/>
        <v>175.3</v>
      </c>
      <c r="D143" s="353">
        <f t="shared" si="19"/>
        <v>175.3</v>
      </c>
      <c r="E143" s="632" t="s">
        <v>1588</v>
      </c>
      <c r="F143" s="353">
        <v>175.3</v>
      </c>
      <c r="G143" s="632" t="s">
        <v>1588</v>
      </c>
      <c r="H143" s="632" t="s">
        <v>1588</v>
      </c>
      <c r="I143" s="632" t="s">
        <v>1588</v>
      </c>
      <c r="J143" s="633" t="s">
        <v>1588</v>
      </c>
    </row>
    <row r="144" spans="1:10" ht="27.75" customHeight="1">
      <c r="A144" s="356"/>
      <c r="B144" s="397" t="s">
        <v>362</v>
      </c>
      <c r="C144" s="353">
        <f t="shared" si="18"/>
        <v>262</v>
      </c>
      <c r="D144" s="353">
        <f t="shared" si="19"/>
        <v>262</v>
      </c>
      <c r="E144" s="632" t="s">
        <v>1588</v>
      </c>
      <c r="F144" s="353">
        <v>262</v>
      </c>
      <c r="G144" s="632" t="s">
        <v>1588</v>
      </c>
      <c r="H144" s="632" t="s">
        <v>1588</v>
      </c>
      <c r="I144" s="632" t="s">
        <v>1588</v>
      </c>
      <c r="J144" s="633" t="s">
        <v>1588</v>
      </c>
    </row>
    <row r="145" spans="1:10" ht="27.75" customHeight="1">
      <c r="A145" s="357" t="s">
        <v>1610</v>
      </c>
      <c r="B145" s="397" t="s">
        <v>363</v>
      </c>
      <c r="C145" s="353">
        <f t="shared" si="18"/>
        <v>1541.7</v>
      </c>
      <c r="D145" s="353">
        <f t="shared" si="19"/>
        <v>1536.51</v>
      </c>
      <c r="E145" s="632" t="s">
        <v>1588</v>
      </c>
      <c r="F145" s="632" t="s">
        <v>1588</v>
      </c>
      <c r="G145" s="632" t="s">
        <v>1588</v>
      </c>
      <c r="H145" s="353">
        <v>1536.51</v>
      </c>
      <c r="I145" s="632" t="s">
        <v>1588</v>
      </c>
      <c r="J145" s="354">
        <v>5.19</v>
      </c>
    </row>
    <row r="146" spans="1:10" ht="27.75" customHeight="1">
      <c r="A146" s="357" t="s">
        <v>1977</v>
      </c>
      <c r="B146" s="411">
        <f>B147+B155</f>
        <v>32</v>
      </c>
      <c r="C146" s="353">
        <f t="shared" si="18"/>
        <v>77285.140000000014</v>
      </c>
      <c r="D146" s="353">
        <f t="shared" si="19"/>
        <v>77235.010000000009</v>
      </c>
      <c r="E146" s="353">
        <f t="shared" ref="E146:J146" si="20">E147+E155</f>
        <v>22084.65</v>
      </c>
      <c r="F146" s="353">
        <f t="shared" si="20"/>
        <v>0</v>
      </c>
      <c r="G146" s="353">
        <f t="shared" si="20"/>
        <v>18445</v>
      </c>
      <c r="H146" s="353">
        <f t="shared" si="20"/>
        <v>36705.360000000001</v>
      </c>
      <c r="I146" s="353">
        <f t="shared" si="20"/>
        <v>0</v>
      </c>
      <c r="J146" s="354">
        <f t="shared" si="20"/>
        <v>50.13</v>
      </c>
    </row>
    <row r="147" spans="1:10" ht="27.75" customHeight="1">
      <c r="A147" s="357" t="s">
        <v>1674</v>
      </c>
      <c r="B147" s="411">
        <f>COUNTA(B148:B154)</f>
        <v>7</v>
      </c>
      <c r="C147" s="353">
        <f t="shared" si="18"/>
        <v>63006.41</v>
      </c>
      <c r="D147" s="353">
        <f t="shared" si="19"/>
        <v>63006.41</v>
      </c>
      <c r="E147" s="353">
        <f t="shared" ref="E147:J147" si="21">SUM(E148:E154)</f>
        <v>14619.41</v>
      </c>
      <c r="F147" s="353">
        <f t="shared" si="21"/>
        <v>0</v>
      </c>
      <c r="G147" s="353">
        <f t="shared" si="21"/>
        <v>18445</v>
      </c>
      <c r="H147" s="353">
        <f t="shared" si="21"/>
        <v>29942</v>
      </c>
      <c r="I147" s="353">
        <f t="shared" si="21"/>
        <v>0</v>
      </c>
      <c r="J147" s="354">
        <f t="shared" si="21"/>
        <v>0</v>
      </c>
    </row>
    <row r="148" spans="1:10" ht="27.75" customHeight="1">
      <c r="A148" s="352" t="s">
        <v>1611</v>
      </c>
      <c r="B148" s="397" t="s">
        <v>364</v>
      </c>
      <c r="C148" s="350">
        <f t="shared" si="18"/>
        <v>48387</v>
      </c>
      <c r="D148" s="350">
        <f t="shared" si="19"/>
        <v>48387</v>
      </c>
      <c r="E148" s="626" t="s">
        <v>1588</v>
      </c>
      <c r="F148" s="626" t="s">
        <v>1588</v>
      </c>
      <c r="G148" s="350">
        <v>18445</v>
      </c>
      <c r="H148" s="350">
        <v>29942</v>
      </c>
      <c r="I148" s="626" t="s">
        <v>1588</v>
      </c>
      <c r="J148" s="627" t="s">
        <v>1588</v>
      </c>
    </row>
    <row r="149" spans="1:10" ht="27.75" customHeight="1">
      <c r="A149" s="369" t="s">
        <v>1612</v>
      </c>
      <c r="B149" s="398" t="s">
        <v>192</v>
      </c>
      <c r="C149" s="350">
        <f t="shared" si="18"/>
        <v>7629</v>
      </c>
      <c r="D149" s="350">
        <f t="shared" si="19"/>
        <v>7629</v>
      </c>
      <c r="E149" s="350">
        <v>7629</v>
      </c>
      <c r="F149" s="626" t="s">
        <v>1588</v>
      </c>
      <c r="G149" s="626" t="s">
        <v>1588</v>
      </c>
      <c r="H149" s="626" t="s">
        <v>1588</v>
      </c>
      <c r="I149" s="626" t="s">
        <v>1588</v>
      </c>
      <c r="J149" s="627" t="s">
        <v>1588</v>
      </c>
    </row>
    <row r="150" spans="1:10" ht="27.75" customHeight="1">
      <c r="A150" s="370"/>
      <c r="B150" s="398" t="s">
        <v>193</v>
      </c>
      <c r="C150" s="350">
        <f t="shared" si="18"/>
        <v>380.47</v>
      </c>
      <c r="D150" s="350">
        <f t="shared" si="19"/>
        <v>380.47</v>
      </c>
      <c r="E150" s="350">
        <v>380.47</v>
      </c>
      <c r="F150" s="626" t="s">
        <v>1588</v>
      </c>
      <c r="G150" s="626" t="s">
        <v>1588</v>
      </c>
      <c r="H150" s="626" t="s">
        <v>1588</v>
      </c>
      <c r="I150" s="626" t="s">
        <v>1588</v>
      </c>
      <c r="J150" s="627" t="s">
        <v>1588</v>
      </c>
    </row>
    <row r="151" spans="1:10" ht="27.75" customHeight="1">
      <c r="A151" s="370"/>
      <c r="B151" s="398" t="s">
        <v>194</v>
      </c>
      <c r="C151" s="350">
        <f t="shared" si="18"/>
        <v>21.43</v>
      </c>
      <c r="D151" s="350">
        <f t="shared" si="19"/>
        <v>21.43</v>
      </c>
      <c r="E151" s="350">
        <v>21.43</v>
      </c>
      <c r="F151" s="626" t="s">
        <v>1588</v>
      </c>
      <c r="G151" s="626" t="s">
        <v>1588</v>
      </c>
      <c r="H151" s="626" t="s">
        <v>1588</v>
      </c>
      <c r="I151" s="626" t="s">
        <v>1588</v>
      </c>
      <c r="J151" s="627" t="s">
        <v>1588</v>
      </c>
    </row>
    <row r="152" spans="1:10" ht="27.75" customHeight="1">
      <c r="A152" s="370"/>
      <c r="B152" s="398" t="s">
        <v>195</v>
      </c>
      <c r="C152" s="350">
        <f t="shared" si="18"/>
        <v>0</v>
      </c>
      <c r="D152" s="350">
        <f t="shared" si="19"/>
        <v>0</v>
      </c>
      <c r="E152" s="626" t="s">
        <v>1588</v>
      </c>
      <c r="F152" s="626" t="s">
        <v>1588</v>
      </c>
      <c r="G152" s="626" t="s">
        <v>1588</v>
      </c>
      <c r="H152" s="626" t="s">
        <v>1588</v>
      </c>
      <c r="I152" s="626" t="s">
        <v>1588</v>
      </c>
      <c r="J152" s="627" t="s">
        <v>1588</v>
      </c>
    </row>
    <row r="153" spans="1:10" ht="27.75" customHeight="1">
      <c r="A153" s="371"/>
      <c r="B153" s="398" t="s">
        <v>196</v>
      </c>
      <c r="C153" s="350">
        <f t="shared" si="18"/>
        <v>8.51</v>
      </c>
      <c r="D153" s="350">
        <f t="shared" si="19"/>
        <v>8.51</v>
      </c>
      <c r="E153" s="350">
        <v>8.51</v>
      </c>
      <c r="F153" s="626" t="s">
        <v>1588</v>
      </c>
      <c r="G153" s="626" t="s">
        <v>1588</v>
      </c>
      <c r="H153" s="626" t="s">
        <v>1588</v>
      </c>
      <c r="I153" s="626" t="s">
        <v>1588</v>
      </c>
      <c r="J153" s="627" t="s">
        <v>1588</v>
      </c>
    </row>
    <row r="154" spans="1:10" ht="27.75" customHeight="1">
      <c r="A154" s="371" t="s">
        <v>1614</v>
      </c>
      <c r="B154" s="397" t="s">
        <v>197</v>
      </c>
      <c r="C154" s="353">
        <f t="shared" si="18"/>
        <v>6580</v>
      </c>
      <c r="D154" s="353">
        <f t="shared" si="19"/>
        <v>6580</v>
      </c>
      <c r="E154" s="353">
        <v>6580</v>
      </c>
      <c r="F154" s="632" t="s">
        <v>1588</v>
      </c>
      <c r="G154" s="632" t="s">
        <v>1588</v>
      </c>
      <c r="H154" s="632" t="s">
        <v>1588</v>
      </c>
      <c r="I154" s="632" t="s">
        <v>1588</v>
      </c>
      <c r="J154" s="633" t="s">
        <v>1588</v>
      </c>
    </row>
    <row r="155" spans="1:10" ht="27.75" customHeight="1">
      <c r="A155" s="370" t="s">
        <v>1616</v>
      </c>
      <c r="B155" s="411">
        <f>COUNTA(B156:B180)</f>
        <v>25</v>
      </c>
      <c r="C155" s="353">
        <f t="shared" si="18"/>
        <v>14278.73</v>
      </c>
      <c r="D155" s="353">
        <f t="shared" si="19"/>
        <v>14228.6</v>
      </c>
      <c r="E155" s="353">
        <f t="shared" ref="E155:J155" si="22">SUM(E156:E180)</f>
        <v>7465.24</v>
      </c>
      <c r="F155" s="353">
        <f t="shared" si="22"/>
        <v>0</v>
      </c>
      <c r="G155" s="353">
        <f t="shared" si="22"/>
        <v>0</v>
      </c>
      <c r="H155" s="353">
        <f t="shared" si="22"/>
        <v>6763.3600000000006</v>
      </c>
      <c r="I155" s="353">
        <f t="shared" si="22"/>
        <v>0</v>
      </c>
      <c r="J155" s="354">
        <f t="shared" si="22"/>
        <v>50.13</v>
      </c>
    </row>
    <row r="156" spans="1:10" ht="27.75" customHeight="1">
      <c r="A156" s="369" t="s">
        <v>1617</v>
      </c>
      <c r="B156" s="398" t="s">
        <v>198</v>
      </c>
      <c r="C156" s="353">
        <f t="shared" si="18"/>
        <v>599.4</v>
      </c>
      <c r="D156" s="353">
        <f t="shared" si="19"/>
        <v>599.4</v>
      </c>
      <c r="E156" s="353">
        <v>599.4</v>
      </c>
      <c r="F156" s="632" t="s">
        <v>1588</v>
      </c>
      <c r="G156" s="632" t="s">
        <v>1588</v>
      </c>
      <c r="H156" s="632" t="s">
        <v>1588</v>
      </c>
      <c r="I156" s="632" t="s">
        <v>1588</v>
      </c>
      <c r="J156" s="633" t="s">
        <v>1588</v>
      </c>
    </row>
    <row r="157" spans="1:10" ht="27.75" customHeight="1">
      <c r="A157" s="370"/>
      <c r="B157" s="398" t="s">
        <v>199</v>
      </c>
      <c r="C157" s="353">
        <f t="shared" si="18"/>
        <v>66.3</v>
      </c>
      <c r="D157" s="353">
        <f t="shared" si="19"/>
        <v>66.3</v>
      </c>
      <c r="E157" s="353">
        <v>66.3</v>
      </c>
      <c r="F157" s="632" t="s">
        <v>1588</v>
      </c>
      <c r="G157" s="632" t="s">
        <v>1588</v>
      </c>
      <c r="H157" s="632" t="s">
        <v>1588</v>
      </c>
      <c r="I157" s="632" t="s">
        <v>1588</v>
      </c>
      <c r="J157" s="633" t="s">
        <v>1588</v>
      </c>
    </row>
    <row r="158" spans="1:10" ht="27.75" customHeight="1">
      <c r="A158" s="370"/>
      <c r="B158" s="398" t="s">
        <v>200</v>
      </c>
      <c r="C158" s="353">
        <f t="shared" si="18"/>
        <v>64.3</v>
      </c>
      <c r="D158" s="353">
        <f t="shared" si="19"/>
        <v>64.3</v>
      </c>
      <c r="E158" s="353">
        <v>64.3</v>
      </c>
      <c r="F158" s="632" t="s">
        <v>1588</v>
      </c>
      <c r="G158" s="632" t="s">
        <v>1588</v>
      </c>
      <c r="H158" s="632" t="s">
        <v>1588</v>
      </c>
      <c r="I158" s="632" t="s">
        <v>1588</v>
      </c>
      <c r="J158" s="633" t="s">
        <v>1588</v>
      </c>
    </row>
    <row r="159" spans="1:10" ht="27.75" customHeight="1">
      <c r="A159" s="370"/>
      <c r="B159" s="398" t="s">
        <v>201</v>
      </c>
      <c r="C159" s="353">
        <f t="shared" si="18"/>
        <v>7.6</v>
      </c>
      <c r="D159" s="353">
        <f t="shared" si="19"/>
        <v>7.6</v>
      </c>
      <c r="E159" s="353">
        <v>7.6</v>
      </c>
      <c r="F159" s="632" t="s">
        <v>1588</v>
      </c>
      <c r="G159" s="632" t="s">
        <v>1588</v>
      </c>
      <c r="H159" s="632" t="s">
        <v>1588</v>
      </c>
      <c r="I159" s="632" t="s">
        <v>1588</v>
      </c>
      <c r="J159" s="633" t="s">
        <v>1588</v>
      </c>
    </row>
    <row r="160" spans="1:10" ht="27.75" customHeight="1">
      <c r="A160" s="370"/>
      <c r="B160" s="398" t="s">
        <v>202</v>
      </c>
      <c r="C160" s="353">
        <f t="shared" si="18"/>
        <v>5.9</v>
      </c>
      <c r="D160" s="353">
        <f t="shared" si="19"/>
        <v>5.9</v>
      </c>
      <c r="E160" s="353">
        <v>5.9</v>
      </c>
      <c r="F160" s="632" t="s">
        <v>1588</v>
      </c>
      <c r="G160" s="632" t="s">
        <v>1588</v>
      </c>
      <c r="H160" s="632" t="s">
        <v>1588</v>
      </c>
      <c r="I160" s="632" t="s">
        <v>1588</v>
      </c>
      <c r="J160" s="633" t="s">
        <v>1588</v>
      </c>
    </row>
    <row r="161" spans="1:10" ht="27.75" customHeight="1">
      <c r="A161" s="369" t="s">
        <v>1619</v>
      </c>
      <c r="B161" s="398" t="s">
        <v>203</v>
      </c>
      <c r="C161" s="353">
        <f t="shared" si="18"/>
        <v>813.14</v>
      </c>
      <c r="D161" s="353">
        <f t="shared" si="19"/>
        <v>813.14</v>
      </c>
      <c r="E161" s="353">
        <v>813.14</v>
      </c>
      <c r="F161" s="632" t="s">
        <v>1588</v>
      </c>
      <c r="G161" s="632" t="s">
        <v>1588</v>
      </c>
      <c r="H161" s="632" t="s">
        <v>1588</v>
      </c>
      <c r="I161" s="632" t="s">
        <v>1588</v>
      </c>
      <c r="J161" s="633" t="s">
        <v>1588</v>
      </c>
    </row>
    <row r="162" spans="1:10" ht="27.75" customHeight="1">
      <c r="A162" s="370"/>
      <c r="B162" s="398" t="s">
        <v>198</v>
      </c>
      <c r="C162" s="353">
        <f t="shared" si="18"/>
        <v>118.75</v>
      </c>
      <c r="D162" s="353">
        <f t="shared" si="19"/>
        <v>118.75</v>
      </c>
      <c r="E162" s="353">
        <v>118.75</v>
      </c>
      <c r="F162" s="632" t="s">
        <v>1588</v>
      </c>
      <c r="G162" s="632" t="s">
        <v>1588</v>
      </c>
      <c r="H162" s="632" t="s">
        <v>1588</v>
      </c>
      <c r="I162" s="632" t="s">
        <v>1588</v>
      </c>
      <c r="J162" s="633" t="s">
        <v>1588</v>
      </c>
    </row>
    <row r="163" spans="1:10" ht="27.75" customHeight="1">
      <c r="A163" s="370"/>
      <c r="B163" s="398" t="s">
        <v>205</v>
      </c>
      <c r="C163" s="353">
        <f t="shared" si="18"/>
        <v>49</v>
      </c>
      <c r="D163" s="353">
        <f t="shared" si="19"/>
        <v>49</v>
      </c>
      <c r="E163" s="353">
        <v>49</v>
      </c>
      <c r="F163" s="632" t="s">
        <v>1588</v>
      </c>
      <c r="G163" s="632" t="s">
        <v>1588</v>
      </c>
      <c r="H163" s="632" t="s">
        <v>1588</v>
      </c>
      <c r="I163" s="632" t="s">
        <v>1588</v>
      </c>
      <c r="J163" s="633" t="s">
        <v>1588</v>
      </c>
    </row>
    <row r="164" spans="1:10" ht="27.75" customHeight="1">
      <c r="A164" s="370"/>
      <c r="B164" s="398" t="s">
        <v>206</v>
      </c>
      <c r="C164" s="353">
        <f t="shared" si="18"/>
        <v>42</v>
      </c>
      <c r="D164" s="353">
        <f t="shared" si="19"/>
        <v>42</v>
      </c>
      <c r="E164" s="353">
        <v>42</v>
      </c>
      <c r="F164" s="632" t="s">
        <v>1588</v>
      </c>
      <c r="G164" s="632" t="s">
        <v>1588</v>
      </c>
      <c r="H164" s="632" t="s">
        <v>1588</v>
      </c>
      <c r="I164" s="632" t="s">
        <v>1588</v>
      </c>
      <c r="J164" s="633" t="s">
        <v>1588</v>
      </c>
    </row>
    <row r="165" spans="1:10" ht="27.75" customHeight="1">
      <c r="A165" s="370"/>
      <c r="B165" s="398" t="s">
        <v>207</v>
      </c>
      <c r="C165" s="353">
        <f t="shared" si="18"/>
        <v>38</v>
      </c>
      <c r="D165" s="353">
        <f t="shared" si="19"/>
        <v>38</v>
      </c>
      <c r="E165" s="353">
        <v>38</v>
      </c>
      <c r="F165" s="632" t="s">
        <v>1588</v>
      </c>
      <c r="G165" s="632" t="s">
        <v>1588</v>
      </c>
      <c r="H165" s="632" t="s">
        <v>1588</v>
      </c>
      <c r="I165" s="632" t="s">
        <v>1588</v>
      </c>
      <c r="J165" s="633" t="s">
        <v>1588</v>
      </c>
    </row>
    <row r="166" spans="1:10" ht="27.75" customHeight="1">
      <c r="A166" s="369" t="s">
        <v>1624</v>
      </c>
      <c r="B166" s="398" t="s">
        <v>208</v>
      </c>
      <c r="C166" s="350">
        <f t="shared" si="18"/>
        <v>2541.4899999999998</v>
      </c>
      <c r="D166" s="350">
        <f t="shared" si="19"/>
        <v>2541.4899999999998</v>
      </c>
      <c r="E166" s="350">
        <v>2541.4899999999998</v>
      </c>
      <c r="F166" s="632" t="s">
        <v>1588</v>
      </c>
      <c r="G166" s="632" t="s">
        <v>1588</v>
      </c>
      <c r="H166" s="632" t="s">
        <v>1588</v>
      </c>
      <c r="I166" s="632" t="s">
        <v>1588</v>
      </c>
      <c r="J166" s="633" t="s">
        <v>1588</v>
      </c>
    </row>
    <row r="167" spans="1:10" ht="27.75" customHeight="1">
      <c r="A167" s="370"/>
      <c r="B167" s="398" t="s">
        <v>365</v>
      </c>
      <c r="C167" s="353">
        <f t="shared" si="18"/>
        <v>6.64</v>
      </c>
      <c r="D167" s="353">
        <f t="shared" si="19"/>
        <v>6.64</v>
      </c>
      <c r="E167" s="353">
        <v>6.64</v>
      </c>
      <c r="F167" s="632" t="s">
        <v>1588</v>
      </c>
      <c r="G167" s="632" t="s">
        <v>1588</v>
      </c>
      <c r="H167" s="632" t="s">
        <v>1588</v>
      </c>
      <c r="I167" s="632" t="s">
        <v>1588</v>
      </c>
      <c r="J167" s="633" t="s">
        <v>1588</v>
      </c>
    </row>
    <row r="168" spans="1:10" ht="27.75" customHeight="1">
      <c r="A168" s="370"/>
      <c r="B168" s="398" t="s">
        <v>366</v>
      </c>
      <c r="C168" s="353">
        <f t="shared" si="18"/>
        <v>11.5</v>
      </c>
      <c r="D168" s="353">
        <f t="shared" si="19"/>
        <v>11.5</v>
      </c>
      <c r="E168" s="353">
        <v>11.5</v>
      </c>
      <c r="F168" s="632" t="s">
        <v>1588</v>
      </c>
      <c r="G168" s="632" t="s">
        <v>1588</v>
      </c>
      <c r="H168" s="632" t="s">
        <v>1588</v>
      </c>
      <c r="I168" s="632" t="s">
        <v>1588</v>
      </c>
      <c r="J168" s="633" t="s">
        <v>1588</v>
      </c>
    </row>
    <row r="169" spans="1:10" ht="27.75" customHeight="1">
      <c r="A169" s="370"/>
      <c r="B169" s="398" t="s">
        <v>367</v>
      </c>
      <c r="C169" s="353">
        <f t="shared" si="18"/>
        <v>4.3</v>
      </c>
      <c r="D169" s="353">
        <f t="shared" si="19"/>
        <v>4.3</v>
      </c>
      <c r="E169" s="353">
        <v>4.3</v>
      </c>
      <c r="F169" s="632" t="s">
        <v>1588</v>
      </c>
      <c r="G169" s="632" t="s">
        <v>1588</v>
      </c>
      <c r="H169" s="632" t="s">
        <v>1588</v>
      </c>
      <c r="I169" s="632" t="s">
        <v>1588</v>
      </c>
      <c r="J169" s="633" t="s">
        <v>1588</v>
      </c>
    </row>
    <row r="170" spans="1:10" ht="27.75" customHeight="1">
      <c r="A170" s="371"/>
      <c r="B170" s="398" t="s">
        <v>368</v>
      </c>
      <c r="C170" s="353">
        <f t="shared" si="18"/>
        <v>108</v>
      </c>
      <c r="D170" s="353">
        <f t="shared" si="19"/>
        <v>108</v>
      </c>
      <c r="E170" s="353">
        <v>108</v>
      </c>
      <c r="F170" s="632" t="s">
        <v>1588</v>
      </c>
      <c r="G170" s="632" t="s">
        <v>1588</v>
      </c>
      <c r="H170" s="632" t="s">
        <v>1588</v>
      </c>
      <c r="I170" s="632" t="s">
        <v>1588</v>
      </c>
      <c r="J170" s="633" t="s">
        <v>1588</v>
      </c>
    </row>
    <row r="171" spans="1:10" ht="27.75" customHeight="1">
      <c r="A171" s="371" t="s">
        <v>1630</v>
      </c>
      <c r="B171" s="397" t="s">
        <v>2269</v>
      </c>
      <c r="C171" s="350">
        <f t="shared" si="18"/>
        <v>1456.59</v>
      </c>
      <c r="D171" s="350">
        <f t="shared" si="19"/>
        <v>1456.59</v>
      </c>
      <c r="E171" s="353">
        <v>1456.59</v>
      </c>
      <c r="F171" s="632" t="s">
        <v>1588</v>
      </c>
      <c r="G171" s="632" t="s">
        <v>1588</v>
      </c>
      <c r="H171" s="632" t="s">
        <v>1588</v>
      </c>
      <c r="I171" s="632" t="s">
        <v>1588</v>
      </c>
      <c r="J171" s="633" t="s">
        <v>1588</v>
      </c>
    </row>
    <row r="172" spans="1:10" ht="27.75" customHeight="1">
      <c r="A172" s="369" t="s">
        <v>1631</v>
      </c>
      <c r="B172" s="397" t="s">
        <v>369</v>
      </c>
      <c r="C172" s="353">
        <f t="shared" si="18"/>
        <v>3180.9</v>
      </c>
      <c r="D172" s="353">
        <f t="shared" si="19"/>
        <v>3130.77</v>
      </c>
      <c r="E172" s="353">
        <v>878.33</v>
      </c>
      <c r="F172" s="632" t="s">
        <v>1588</v>
      </c>
      <c r="G172" s="632" t="s">
        <v>1588</v>
      </c>
      <c r="H172" s="350">
        <v>2252.44</v>
      </c>
      <c r="I172" s="632" t="s">
        <v>1588</v>
      </c>
      <c r="J172" s="354">
        <v>50.13</v>
      </c>
    </row>
    <row r="173" spans="1:10" ht="27.75" customHeight="1">
      <c r="A173" s="369" t="s">
        <v>1633</v>
      </c>
      <c r="B173" s="398" t="s">
        <v>370</v>
      </c>
      <c r="C173" s="350">
        <f t="shared" si="18"/>
        <v>2557</v>
      </c>
      <c r="D173" s="350">
        <f t="shared" si="19"/>
        <v>2557</v>
      </c>
      <c r="E173" s="626" t="s">
        <v>1588</v>
      </c>
      <c r="F173" s="626" t="s">
        <v>1588</v>
      </c>
      <c r="G173" s="626" t="s">
        <v>1588</v>
      </c>
      <c r="H173" s="350">
        <v>2557</v>
      </c>
      <c r="I173" s="626" t="s">
        <v>1588</v>
      </c>
      <c r="J173" s="627" t="s">
        <v>1588</v>
      </c>
    </row>
    <row r="174" spans="1:10" ht="27.75" customHeight="1">
      <c r="A174" s="370"/>
      <c r="B174" s="398" t="s">
        <v>371</v>
      </c>
      <c r="C174" s="350">
        <f t="shared" si="18"/>
        <v>20</v>
      </c>
      <c r="D174" s="350">
        <f t="shared" si="19"/>
        <v>20</v>
      </c>
      <c r="E174" s="626" t="s">
        <v>1588</v>
      </c>
      <c r="F174" s="626" t="s">
        <v>1588</v>
      </c>
      <c r="G174" s="626" t="s">
        <v>1588</v>
      </c>
      <c r="H174" s="350">
        <v>20</v>
      </c>
      <c r="I174" s="626" t="s">
        <v>1588</v>
      </c>
      <c r="J174" s="627" t="s">
        <v>1588</v>
      </c>
    </row>
    <row r="175" spans="1:10" ht="27.75" customHeight="1">
      <c r="A175" s="370"/>
      <c r="B175" s="398" t="s">
        <v>372</v>
      </c>
      <c r="C175" s="350">
        <f t="shared" si="18"/>
        <v>60</v>
      </c>
      <c r="D175" s="350">
        <f t="shared" si="19"/>
        <v>60</v>
      </c>
      <c r="E175" s="626" t="s">
        <v>1588</v>
      </c>
      <c r="F175" s="626" t="s">
        <v>1588</v>
      </c>
      <c r="G175" s="626" t="s">
        <v>1588</v>
      </c>
      <c r="H175" s="350">
        <v>60</v>
      </c>
      <c r="I175" s="626" t="s">
        <v>1588</v>
      </c>
      <c r="J175" s="627" t="s">
        <v>1588</v>
      </c>
    </row>
    <row r="176" spans="1:10" ht="27.75" customHeight="1">
      <c r="A176" s="357" t="s">
        <v>1634</v>
      </c>
      <c r="B176" s="398" t="s">
        <v>2274</v>
      </c>
      <c r="C176" s="353">
        <f t="shared" si="18"/>
        <v>277</v>
      </c>
      <c r="D176" s="353">
        <f t="shared" si="19"/>
        <v>277</v>
      </c>
      <c r="E176" s="353">
        <v>277</v>
      </c>
      <c r="F176" s="632" t="s">
        <v>1588</v>
      </c>
      <c r="G176" s="632" t="s">
        <v>1588</v>
      </c>
      <c r="H176" s="632" t="s">
        <v>1588</v>
      </c>
      <c r="I176" s="632" t="s">
        <v>1588</v>
      </c>
      <c r="J176" s="633" t="s">
        <v>1588</v>
      </c>
    </row>
    <row r="177" spans="1:10" ht="27.75" customHeight="1">
      <c r="A177" s="370" t="s">
        <v>1635</v>
      </c>
      <c r="B177" s="398" t="s">
        <v>212</v>
      </c>
      <c r="C177" s="353">
        <f t="shared" si="18"/>
        <v>882.13</v>
      </c>
      <c r="D177" s="353">
        <f t="shared" si="19"/>
        <v>882.13</v>
      </c>
      <c r="E177" s="632" t="s">
        <v>1588</v>
      </c>
      <c r="F177" s="632" t="s">
        <v>1588</v>
      </c>
      <c r="G177" s="632" t="s">
        <v>1588</v>
      </c>
      <c r="H177" s="353">
        <v>882.13</v>
      </c>
      <c r="I177" s="632" t="s">
        <v>1588</v>
      </c>
      <c r="J177" s="633" t="s">
        <v>1588</v>
      </c>
    </row>
    <row r="178" spans="1:10" ht="27.75" customHeight="1">
      <c r="A178" s="370"/>
      <c r="B178" s="398" t="s">
        <v>215</v>
      </c>
      <c r="C178" s="353">
        <f t="shared" si="18"/>
        <v>991.79</v>
      </c>
      <c r="D178" s="353">
        <f t="shared" si="19"/>
        <v>991.79</v>
      </c>
      <c r="E178" s="632" t="s">
        <v>1588</v>
      </c>
      <c r="F178" s="632" t="s">
        <v>1588</v>
      </c>
      <c r="G178" s="632" t="s">
        <v>1588</v>
      </c>
      <c r="H178" s="353">
        <v>991.79</v>
      </c>
      <c r="I178" s="632" t="s">
        <v>1588</v>
      </c>
      <c r="J178" s="633" t="s">
        <v>1588</v>
      </c>
    </row>
    <row r="179" spans="1:10" ht="27.75" customHeight="1">
      <c r="A179" s="369" t="s">
        <v>1636</v>
      </c>
      <c r="B179" s="398" t="s">
        <v>214</v>
      </c>
      <c r="C179" s="353">
        <f t="shared" si="18"/>
        <v>221</v>
      </c>
      <c r="D179" s="353">
        <f t="shared" si="19"/>
        <v>221</v>
      </c>
      <c r="E179" s="353">
        <v>221</v>
      </c>
      <c r="F179" s="632" t="s">
        <v>1588</v>
      </c>
      <c r="G179" s="632" t="s">
        <v>1588</v>
      </c>
      <c r="H179" s="632" t="s">
        <v>1588</v>
      </c>
      <c r="I179" s="632" t="s">
        <v>1588</v>
      </c>
      <c r="J179" s="633" t="s">
        <v>1588</v>
      </c>
    </row>
    <row r="180" spans="1:10" ht="27.75" customHeight="1">
      <c r="A180" s="371"/>
      <c r="B180" s="398" t="s">
        <v>215</v>
      </c>
      <c r="C180" s="353">
        <f t="shared" si="18"/>
        <v>156</v>
      </c>
      <c r="D180" s="353">
        <f t="shared" si="19"/>
        <v>156</v>
      </c>
      <c r="E180" s="353">
        <v>156</v>
      </c>
      <c r="F180" s="632" t="s">
        <v>1588</v>
      </c>
      <c r="G180" s="632" t="s">
        <v>1588</v>
      </c>
      <c r="H180" s="632" t="s">
        <v>1588</v>
      </c>
      <c r="I180" s="632" t="s">
        <v>1588</v>
      </c>
      <c r="J180" s="633" t="s">
        <v>1588</v>
      </c>
    </row>
    <row r="181" spans="1:10" ht="27.75" customHeight="1">
      <c r="A181" s="356" t="s">
        <v>1637</v>
      </c>
      <c r="B181" s="411">
        <f>B182+B195</f>
        <v>29</v>
      </c>
      <c r="C181" s="353">
        <f t="shared" si="18"/>
        <v>78366.213000000003</v>
      </c>
      <c r="D181" s="353">
        <f t="shared" si="19"/>
        <v>78361.993000000002</v>
      </c>
      <c r="E181" s="353">
        <f t="shared" ref="E181:J181" si="23">E182+E195</f>
        <v>15794.453</v>
      </c>
      <c r="F181" s="353">
        <f t="shared" si="23"/>
        <v>0</v>
      </c>
      <c r="G181" s="353">
        <f t="shared" si="23"/>
        <v>1545.8199999999997</v>
      </c>
      <c r="H181" s="353">
        <f t="shared" si="23"/>
        <v>61021.72</v>
      </c>
      <c r="I181" s="353">
        <f t="shared" si="23"/>
        <v>0</v>
      </c>
      <c r="J181" s="354">
        <f t="shared" si="23"/>
        <v>4.22</v>
      </c>
    </row>
    <row r="182" spans="1:10" ht="27.75" customHeight="1">
      <c r="A182" s="352" t="s">
        <v>1674</v>
      </c>
      <c r="B182" s="411">
        <f>COUNTA(B183:B194)</f>
        <v>12</v>
      </c>
      <c r="C182" s="353">
        <f t="shared" si="18"/>
        <v>60919.112999999998</v>
      </c>
      <c r="D182" s="353">
        <f t="shared" si="19"/>
        <v>60919.112999999998</v>
      </c>
      <c r="E182" s="353">
        <f t="shared" ref="E182:J182" si="24">SUM(E183:E194)</f>
        <v>11572.063</v>
      </c>
      <c r="F182" s="353">
        <f t="shared" si="24"/>
        <v>0</v>
      </c>
      <c r="G182" s="353">
        <f t="shared" si="24"/>
        <v>365.1</v>
      </c>
      <c r="H182" s="353">
        <f t="shared" si="24"/>
        <v>48981.95</v>
      </c>
      <c r="I182" s="353">
        <f t="shared" si="24"/>
        <v>0</v>
      </c>
      <c r="J182" s="354">
        <f t="shared" si="24"/>
        <v>0</v>
      </c>
    </row>
    <row r="183" spans="1:10" ht="27.75" customHeight="1">
      <c r="A183" s="352" t="s">
        <v>1638</v>
      </c>
      <c r="B183" s="398" t="s">
        <v>2280</v>
      </c>
      <c r="C183" s="350">
        <f t="shared" si="18"/>
        <v>34885</v>
      </c>
      <c r="D183" s="350">
        <f t="shared" si="19"/>
        <v>34885</v>
      </c>
      <c r="E183" s="350">
        <v>792</v>
      </c>
      <c r="F183" s="626" t="s">
        <v>1588</v>
      </c>
      <c r="G183" s="626" t="s">
        <v>1588</v>
      </c>
      <c r="H183" s="350">
        <v>34093</v>
      </c>
      <c r="I183" s="626" t="s">
        <v>1588</v>
      </c>
      <c r="J183" s="633" t="s">
        <v>1588</v>
      </c>
    </row>
    <row r="184" spans="1:10" ht="27.75" customHeight="1">
      <c r="A184" s="355"/>
      <c r="B184" s="398" t="s">
        <v>216</v>
      </c>
      <c r="C184" s="350">
        <f t="shared" si="18"/>
        <v>1980</v>
      </c>
      <c r="D184" s="350">
        <f t="shared" si="19"/>
        <v>1980</v>
      </c>
      <c r="E184" s="626" t="s">
        <v>1588</v>
      </c>
      <c r="F184" s="626" t="s">
        <v>1588</v>
      </c>
      <c r="G184" s="626" t="s">
        <v>1588</v>
      </c>
      <c r="H184" s="350">
        <v>1980</v>
      </c>
      <c r="I184" s="626" t="s">
        <v>1588</v>
      </c>
      <c r="J184" s="633" t="s">
        <v>1588</v>
      </c>
    </row>
    <row r="185" spans="1:10" ht="27.75" customHeight="1">
      <c r="A185" s="352" t="s">
        <v>1639</v>
      </c>
      <c r="B185" s="398" t="s">
        <v>2283</v>
      </c>
      <c r="C185" s="353">
        <f t="shared" si="18"/>
        <v>5086.3500000000004</v>
      </c>
      <c r="D185" s="353">
        <f t="shared" si="19"/>
        <v>5086.3500000000004</v>
      </c>
      <c r="E185" s="353">
        <v>2837.96</v>
      </c>
      <c r="F185" s="632" t="s">
        <v>1588</v>
      </c>
      <c r="G185" s="632" t="s">
        <v>1588</v>
      </c>
      <c r="H185" s="353">
        <v>2248.39</v>
      </c>
      <c r="I185" s="632" t="s">
        <v>1588</v>
      </c>
      <c r="J185" s="633" t="s">
        <v>1588</v>
      </c>
    </row>
    <row r="186" spans="1:10" ht="27.75" customHeight="1">
      <c r="A186" s="355"/>
      <c r="B186" s="398" t="s">
        <v>217</v>
      </c>
      <c r="C186" s="353">
        <f t="shared" si="18"/>
        <v>439.96</v>
      </c>
      <c r="D186" s="353">
        <f t="shared" si="19"/>
        <v>439.96</v>
      </c>
      <c r="E186" s="632" t="s">
        <v>1588</v>
      </c>
      <c r="F186" s="632" t="s">
        <v>1588</v>
      </c>
      <c r="G186" s="632" t="s">
        <v>1588</v>
      </c>
      <c r="H186" s="353">
        <v>439.96</v>
      </c>
      <c r="I186" s="632" t="s">
        <v>1588</v>
      </c>
      <c r="J186" s="633" t="s">
        <v>1588</v>
      </c>
    </row>
    <row r="187" spans="1:10" ht="27.75" customHeight="1">
      <c r="A187" s="355"/>
      <c r="B187" s="398" t="s">
        <v>218</v>
      </c>
      <c r="C187" s="353">
        <f t="shared" si="18"/>
        <v>117.14</v>
      </c>
      <c r="D187" s="353">
        <f t="shared" si="19"/>
        <v>117.14</v>
      </c>
      <c r="E187" s="632" t="s">
        <v>1588</v>
      </c>
      <c r="F187" s="632" t="s">
        <v>1588</v>
      </c>
      <c r="G187" s="632" t="s">
        <v>1588</v>
      </c>
      <c r="H187" s="353">
        <v>117.14</v>
      </c>
      <c r="I187" s="632" t="s">
        <v>1588</v>
      </c>
      <c r="J187" s="633" t="s">
        <v>1588</v>
      </c>
    </row>
    <row r="188" spans="1:10" ht="27.75" customHeight="1">
      <c r="A188" s="355"/>
      <c r="B188" s="398" t="s">
        <v>219</v>
      </c>
      <c r="C188" s="353">
        <f t="shared" si="18"/>
        <v>31.82</v>
      </c>
      <c r="D188" s="353">
        <f t="shared" si="19"/>
        <v>31.82</v>
      </c>
      <c r="E188" s="632" t="s">
        <v>1588</v>
      </c>
      <c r="F188" s="632" t="s">
        <v>1588</v>
      </c>
      <c r="G188" s="632" t="s">
        <v>1588</v>
      </c>
      <c r="H188" s="353">
        <v>31.82</v>
      </c>
      <c r="I188" s="632" t="s">
        <v>1588</v>
      </c>
      <c r="J188" s="633" t="s">
        <v>1588</v>
      </c>
    </row>
    <row r="189" spans="1:10" ht="27.75" customHeight="1">
      <c r="A189" s="352" t="s">
        <v>1641</v>
      </c>
      <c r="B189" s="398" t="s">
        <v>2406</v>
      </c>
      <c r="C189" s="353">
        <f t="shared" si="18"/>
        <v>3397</v>
      </c>
      <c r="D189" s="353">
        <f t="shared" si="19"/>
        <v>3397</v>
      </c>
      <c r="E189" s="353">
        <v>15</v>
      </c>
      <c r="F189" s="632" t="s">
        <v>1588</v>
      </c>
      <c r="G189" s="353">
        <v>110</v>
      </c>
      <c r="H189" s="353">
        <v>3272</v>
      </c>
      <c r="I189" s="632" t="s">
        <v>1588</v>
      </c>
      <c r="J189" s="633" t="s">
        <v>1588</v>
      </c>
    </row>
    <row r="190" spans="1:10" ht="27.75" customHeight="1">
      <c r="A190" s="356"/>
      <c r="B190" s="398" t="s">
        <v>220</v>
      </c>
      <c r="C190" s="353">
        <f t="shared" si="18"/>
        <v>188</v>
      </c>
      <c r="D190" s="353">
        <f t="shared" si="19"/>
        <v>188</v>
      </c>
      <c r="E190" s="632" t="s">
        <v>1588</v>
      </c>
      <c r="F190" s="632" t="s">
        <v>1588</v>
      </c>
      <c r="G190" s="632" t="s">
        <v>1588</v>
      </c>
      <c r="H190" s="353">
        <v>188</v>
      </c>
      <c r="I190" s="632" t="s">
        <v>1588</v>
      </c>
      <c r="J190" s="633" t="s">
        <v>1588</v>
      </c>
    </row>
    <row r="191" spans="1:10" ht="27.75" customHeight="1">
      <c r="A191" s="356" t="s">
        <v>1645</v>
      </c>
      <c r="B191" s="397" t="s">
        <v>221</v>
      </c>
      <c r="C191" s="353">
        <f t="shared" si="18"/>
        <v>6879.21</v>
      </c>
      <c r="D191" s="353">
        <f t="shared" si="19"/>
        <v>6879.21</v>
      </c>
      <c r="E191" s="353">
        <v>2537.42</v>
      </c>
      <c r="F191" s="353">
        <v>0</v>
      </c>
      <c r="G191" s="353">
        <v>255.1</v>
      </c>
      <c r="H191" s="353">
        <v>4086.69</v>
      </c>
      <c r="I191" s="353">
        <v>0</v>
      </c>
      <c r="J191" s="354">
        <v>0</v>
      </c>
    </row>
    <row r="192" spans="1:10" ht="27.75" customHeight="1">
      <c r="A192" s="357" t="s">
        <v>1649</v>
      </c>
      <c r="B192" s="397" t="s">
        <v>222</v>
      </c>
      <c r="C192" s="353">
        <f t="shared" si="18"/>
        <v>4155.3</v>
      </c>
      <c r="D192" s="353">
        <f t="shared" si="19"/>
        <v>4155.3</v>
      </c>
      <c r="E192" s="353">
        <v>4155.3</v>
      </c>
      <c r="F192" s="632" t="s">
        <v>1588</v>
      </c>
      <c r="G192" s="632" t="s">
        <v>1588</v>
      </c>
      <c r="H192" s="632" t="s">
        <v>1588</v>
      </c>
      <c r="I192" s="632" t="s">
        <v>1588</v>
      </c>
      <c r="J192" s="633" t="s">
        <v>1588</v>
      </c>
    </row>
    <row r="193" spans="1:10" ht="27.75" customHeight="1">
      <c r="A193" s="357" t="s">
        <v>1651</v>
      </c>
      <c r="B193" s="397" t="s">
        <v>2312</v>
      </c>
      <c r="C193" s="353">
        <f t="shared" si="18"/>
        <v>1234.383</v>
      </c>
      <c r="D193" s="353">
        <f t="shared" si="19"/>
        <v>1234.383</v>
      </c>
      <c r="E193" s="353">
        <v>1234.383</v>
      </c>
      <c r="F193" s="632" t="s">
        <v>1588</v>
      </c>
      <c r="G193" s="632" t="s">
        <v>1588</v>
      </c>
      <c r="H193" s="632" t="s">
        <v>1588</v>
      </c>
      <c r="I193" s="632" t="s">
        <v>1588</v>
      </c>
      <c r="J193" s="633" t="s">
        <v>1588</v>
      </c>
    </row>
    <row r="194" spans="1:10" ht="27.75" customHeight="1">
      <c r="A194" s="357" t="s">
        <v>1653</v>
      </c>
      <c r="B194" s="397" t="s">
        <v>373</v>
      </c>
      <c r="C194" s="353">
        <f t="shared" si="18"/>
        <v>2524.9499999999998</v>
      </c>
      <c r="D194" s="353">
        <f t="shared" si="19"/>
        <v>2524.9499999999998</v>
      </c>
      <c r="E194" s="353">
        <v>0</v>
      </c>
      <c r="F194" s="353">
        <v>0</v>
      </c>
      <c r="G194" s="353">
        <v>0</v>
      </c>
      <c r="H194" s="353">
        <v>2524.9499999999998</v>
      </c>
      <c r="I194" s="353">
        <v>0</v>
      </c>
      <c r="J194" s="354">
        <v>0</v>
      </c>
    </row>
    <row r="195" spans="1:10" ht="27.75" customHeight="1">
      <c r="A195" s="357" t="s">
        <v>1616</v>
      </c>
      <c r="B195" s="411">
        <f>COUNTA(B196:B212)</f>
        <v>17</v>
      </c>
      <c r="C195" s="350">
        <f t="shared" si="18"/>
        <v>17447.099999999999</v>
      </c>
      <c r="D195" s="350">
        <f t="shared" si="19"/>
        <v>17442.879999999997</v>
      </c>
      <c r="E195" s="350">
        <f t="shared" ref="E195:J195" si="25">SUM(E196:E212)</f>
        <v>4222.3899999999994</v>
      </c>
      <c r="F195" s="350">
        <f t="shared" si="25"/>
        <v>0</v>
      </c>
      <c r="G195" s="350">
        <f t="shared" si="25"/>
        <v>1180.7199999999998</v>
      </c>
      <c r="H195" s="350">
        <f t="shared" si="25"/>
        <v>12039.77</v>
      </c>
      <c r="I195" s="350">
        <f t="shared" si="25"/>
        <v>0</v>
      </c>
      <c r="J195" s="351">
        <f t="shared" si="25"/>
        <v>4.22</v>
      </c>
    </row>
    <row r="196" spans="1:10" ht="27.75" customHeight="1">
      <c r="A196" s="352" t="s">
        <v>1655</v>
      </c>
      <c r="B196" s="397" t="s">
        <v>227</v>
      </c>
      <c r="C196" s="350">
        <f t="shared" si="18"/>
        <v>941</v>
      </c>
      <c r="D196" s="350">
        <f t="shared" si="19"/>
        <v>941</v>
      </c>
      <c r="E196" s="626" t="s">
        <v>1588</v>
      </c>
      <c r="F196" s="626" t="s">
        <v>1588</v>
      </c>
      <c r="G196" s="626" t="s">
        <v>1588</v>
      </c>
      <c r="H196" s="350">
        <v>941</v>
      </c>
      <c r="I196" s="626" t="s">
        <v>1588</v>
      </c>
      <c r="J196" s="627" t="s">
        <v>1588</v>
      </c>
    </row>
    <row r="197" spans="1:10" ht="27.75" customHeight="1">
      <c r="A197" s="352" t="s">
        <v>1658</v>
      </c>
      <c r="B197" s="398" t="s">
        <v>228</v>
      </c>
      <c r="C197" s="350">
        <f t="shared" si="18"/>
        <v>2532.56</v>
      </c>
      <c r="D197" s="350">
        <f t="shared" si="19"/>
        <v>2532.56</v>
      </c>
      <c r="E197" s="350">
        <v>2532.56</v>
      </c>
      <c r="F197" s="626" t="s">
        <v>1588</v>
      </c>
      <c r="G197" s="626" t="s">
        <v>1588</v>
      </c>
      <c r="H197" s="626" t="s">
        <v>1588</v>
      </c>
      <c r="I197" s="626" t="s">
        <v>1588</v>
      </c>
      <c r="J197" s="627" t="s">
        <v>1588</v>
      </c>
    </row>
    <row r="198" spans="1:10" ht="27.75" customHeight="1">
      <c r="A198" s="355"/>
      <c r="B198" s="398" t="s">
        <v>229</v>
      </c>
      <c r="C198" s="350">
        <f t="shared" ref="C198:C261" si="26">SUM(D198,J198)</f>
        <v>280.93</v>
      </c>
      <c r="D198" s="350">
        <f t="shared" si="19"/>
        <v>280.93</v>
      </c>
      <c r="E198" s="350">
        <v>280.93</v>
      </c>
      <c r="F198" s="626" t="s">
        <v>1588</v>
      </c>
      <c r="G198" s="626" t="s">
        <v>1588</v>
      </c>
      <c r="H198" s="626" t="s">
        <v>1588</v>
      </c>
      <c r="I198" s="626" t="s">
        <v>1588</v>
      </c>
      <c r="J198" s="627" t="s">
        <v>1588</v>
      </c>
    </row>
    <row r="199" spans="1:10" ht="27.75" customHeight="1">
      <c r="A199" s="352" t="s">
        <v>1661</v>
      </c>
      <c r="B199" s="398" t="s">
        <v>374</v>
      </c>
      <c r="C199" s="350">
        <f t="shared" si="26"/>
        <v>911</v>
      </c>
      <c r="D199" s="350">
        <f t="shared" si="19"/>
        <v>911</v>
      </c>
      <c r="E199" s="350">
        <v>536</v>
      </c>
      <c r="F199" s="626" t="s">
        <v>1588</v>
      </c>
      <c r="G199" s="626" t="s">
        <v>1588</v>
      </c>
      <c r="H199" s="350">
        <v>375</v>
      </c>
      <c r="I199" s="632" t="s">
        <v>1588</v>
      </c>
      <c r="J199" s="627" t="s">
        <v>1588</v>
      </c>
    </row>
    <row r="200" spans="1:10" ht="27.75" customHeight="1">
      <c r="A200" s="356"/>
      <c r="B200" s="398" t="s">
        <v>375</v>
      </c>
      <c r="C200" s="350">
        <f t="shared" si="26"/>
        <v>10</v>
      </c>
      <c r="D200" s="350">
        <f t="shared" si="19"/>
        <v>10</v>
      </c>
      <c r="E200" s="350">
        <v>10</v>
      </c>
      <c r="F200" s="626" t="s">
        <v>1588</v>
      </c>
      <c r="G200" s="626" t="s">
        <v>1588</v>
      </c>
      <c r="H200" s="626" t="s">
        <v>1588</v>
      </c>
      <c r="I200" s="632" t="s">
        <v>1588</v>
      </c>
      <c r="J200" s="627" t="s">
        <v>1588</v>
      </c>
    </row>
    <row r="201" spans="1:10" ht="27.75" customHeight="1">
      <c r="A201" s="356" t="s">
        <v>1664</v>
      </c>
      <c r="B201" s="397" t="s">
        <v>232</v>
      </c>
      <c r="C201" s="350">
        <f t="shared" si="26"/>
        <v>367</v>
      </c>
      <c r="D201" s="350">
        <f t="shared" si="19"/>
        <v>367</v>
      </c>
      <c r="E201" s="626" t="s">
        <v>1588</v>
      </c>
      <c r="F201" s="626" t="s">
        <v>1588</v>
      </c>
      <c r="G201" s="626" t="s">
        <v>1588</v>
      </c>
      <c r="H201" s="350">
        <v>367</v>
      </c>
      <c r="I201" s="626" t="s">
        <v>1588</v>
      </c>
      <c r="J201" s="627" t="s">
        <v>1588</v>
      </c>
    </row>
    <row r="202" spans="1:10" ht="27.75" customHeight="1">
      <c r="A202" s="352" t="s">
        <v>1665</v>
      </c>
      <c r="B202" s="397" t="s">
        <v>233</v>
      </c>
      <c r="C202" s="350">
        <f t="shared" si="26"/>
        <v>312.01000000000005</v>
      </c>
      <c r="D202" s="350">
        <f t="shared" ref="D202:D265" si="27">SUM(E202:I202)</f>
        <v>307.79000000000002</v>
      </c>
      <c r="E202" s="350">
        <v>307.79000000000002</v>
      </c>
      <c r="F202" s="626" t="s">
        <v>1588</v>
      </c>
      <c r="G202" s="626" t="s">
        <v>1588</v>
      </c>
      <c r="H202" s="626" t="s">
        <v>1588</v>
      </c>
      <c r="I202" s="626" t="s">
        <v>1588</v>
      </c>
      <c r="J202" s="351">
        <v>4.22</v>
      </c>
    </row>
    <row r="203" spans="1:10" ht="27.75" customHeight="1">
      <c r="A203" s="352" t="s">
        <v>1667</v>
      </c>
      <c r="B203" s="398" t="s">
        <v>2292</v>
      </c>
      <c r="C203" s="350">
        <f t="shared" si="26"/>
        <v>5321</v>
      </c>
      <c r="D203" s="350">
        <f t="shared" si="27"/>
        <v>5321</v>
      </c>
      <c r="E203" s="626" t="s">
        <v>1588</v>
      </c>
      <c r="F203" s="626" t="s">
        <v>1588</v>
      </c>
      <c r="G203" s="626" t="s">
        <v>1588</v>
      </c>
      <c r="H203" s="350">
        <v>5321</v>
      </c>
      <c r="I203" s="626" t="s">
        <v>1588</v>
      </c>
      <c r="J203" s="351">
        <v>0</v>
      </c>
    </row>
    <row r="204" spans="1:10" ht="27.75" customHeight="1">
      <c r="A204" s="355"/>
      <c r="B204" s="398" t="s">
        <v>234</v>
      </c>
      <c r="C204" s="350">
        <f t="shared" si="26"/>
        <v>266</v>
      </c>
      <c r="D204" s="350">
        <f t="shared" si="27"/>
        <v>266</v>
      </c>
      <c r="E204" s="626" t="s">
        <v>1588</v>
      </c>
      <c r="F204" s="626" t="s">
        <v>1588</v>
      </c>
      <c r="G204" s="626" t="s">
        <v>1588</v>
      </c>
      <c r="H204" s="350">
        <v>266</v>
      </c>
      <c r="I204" s="626" t="s">
        <v>1588</v>
      </c>
      <c r="J204" s="351">
        <v>0</v>
      </c>
    </row>
    <row r="205" spans="1:10" ht="27.75" customHeight="1">
      <c r="A205" s="352" t="s">
        <v>1668</v>
      </c>
      <c r="B205" s="398" t="s">
        <v>235</v>
      </c>
      <c r="C205" s="350">
        <f t="shared" si="26"/>
        <v>1710.1</v>
      </c>
      <c r="D205" s="350">
        <f t="shared" si="27"/>
        <v>1710.1</v>
      </c>
      <c r="E205" s="350">
        <v>62.18</v>
      </c>
      <c r="F205" s="626" t="s">
        <v>1588</v>
      </c>
      <c r="G205" s="350">
        <v>1120.0999999999999</v>
      </c>
      <c r="H205" s="350">
        <v>527.82000000000005</v>
      </c>
      <c r="I205" s="626" t="s">
        <v>1588</v>
      </c>
      <c r="J205" s="627" t="s">
        <v>1588</v>
      </c>
    </row>
    <row r="206" spans="1:10" ht="27.75" customHeight="1">
      <c r="A206" s="355"/>
      <c r="B206" s="398" t="s">
        <v>236</v>
      </c>
      <c r="C206" s="350">
        <f t="shared" si="26"/>
        <v>60.62</v>
      </c>
      <c r="D206" s="350">
        <f t="shared" si="27"/>
        <v>60.62</v>
      </c>
      <c r="E206" s="626" t="s">
        <v>1588</v>
      </c>
      <c r="F206" s="626" t="s">
        <v>1588</v>
      </c>
      <c r="G206" s="350">
        <v>60.62</v>
      </c>
      <c r="H206" s="626" t="s">
        <v>1588</v>
      </c>
      <c r="I206" s="626" t="s">
        <v>1588</v>
      </c>
      <c r="J206" s="627" t="s">
        <v>1588</v>
      </c>
    </row>
    <row r="207" spans="1:10" ht="27.75" customHeight="1">
      <c r="A207" s="355"/>
      <c r="B207" s="398" t="s">
        <v>237</v>
      </c>
      <c r="C207" s="350">
        <f t="shared" si="26"/>
        <v>0</v>
      </c>
      <c r="D207" s="350">
        <f t="shared" si="27"/>
        <v>0</v>
      </c>
      <c r="E207" s="626" t="s">
        <v>1588</v>
      </c>
      <c r="F207" s="626" t="s">
        <v>1588</v>
      </c>
      <c r="G207" s="626" t="s">
        <v>1588</v>
      </c>
      <c r="H207" s="626" t="s">
        <v>1588</v>
      </c>
      <c r="I207" s="350" t="s">
        <v>2297</v>
      </c>
      <c r="J207" s="627" t="s">
        <v>1588</v>
      </c>
    </row>
    <row r="208" spans="1:10" ht="27.75" customHeight="1">
      <c r="A208" s="352" t="s">
        <v>1670</v>
      </c>
      <c r="B208" s="398" t="s">
        <v>238</v>
      </c>
      <c r="C208" s="350">
        <f t="shared" si="26"/>
        <v>568</v>
      </c>
      <c r="D208" s="350">
        <f t="shared" si="27"/>
        <v>568</v>
      </c>
      <c r="E208" s="626" t="s">
        <v>1588</v>
      </c>
      <c r="F208" s="626" t="s">
        <v>1588</v>
      </c>
      <c r="G208" s="626" t="s">
        <v>1588</v>
      </c>
      <c r="H208" s="350">
        <v>568</v>
      </c>
      <c r="I208" s="626" t="s">
        <v>1588</v>
      </c>
      <c r="J208" s="627" t="s">
        <v>1588</v>
      </c>
    </row>
    <row r="209" spans="1:10" ht="27.75" customHeight="1">
      <c r="A209" s="355"/>
      <c r="B209" s="398" t="s">
        <v>2295</v>
      </c>
      <c r="C209" s="350">
        <f t="shared" si="26"/>
        <v>103</v>
      </c>
      <c r="D209" s="350">
        <f t="shared" si="27"/>
        <v>103</v>
      </c>
      <c r="E209" s="626" t="s">
        <v>1588</v>
      </c>
      <c r="F209" s="626" t="s">
        <v>1588</v>
      </c>
      <c r="G209" s="626" t="s">
        <v>1588</v>
      </c>
      <c r="H209" s="350">
        <v>103</v>
      </c>
      <c r="I209" s="626" t="s">
        <v>1588</v>
      </c>
      <c r="J209" s="627" t="s">
        <v>1588</v>
      </c>
    </row>
    <row r="210" spans="1:10" ht="27.75" customHeight="1">
      <c r="A210" s="358" t="s">
        <v>1672</v>
      </c>
      <c r="B210" s="372" t="s">
        <v>239</v>
      </c>
      <c r="C210" s="350">
        <f t="shared" si="26"/>
        <v>3074.79</v>
      </c>
      <c r="D210" s="350">
        <f t="shared" si="27"/>
        <v>3074.79</v>
      </c>
      <c r="E210" s="626" t="s">
        <v>1588</v>
      </c>
      <c r="F210" s="626" t="s">
        <v>1588</v>
      </c>
      <c r="G210" s="626" t="s">
        <v>1588</v>
      </c>
      <c r="H210" s="350">
        <v>3074.79</v>
      </c>
      <c r="I210" s="626" t="s">
        <v>1588</v>
      </c>
      <c r="J210" s="351">
        <v>0</v>
      </c>
    </row>
    <row r="211" spans="1:10" ht="27.75" customHeight="1">
      <c r="A211" s="359"/>
      <c r="B211" s="372" t="s">
        <v>240</v>
      </c>
      <c r="C211" s="350">
        <f t="shared" si="26"/>
        <v>496.16</v>
      </c>
      <c r="D211" s="350">
        <f t="shared" si="27"/>
        <v>496.16</v>
      </c>
      <c r="E211" s="626" t="s">
        <v>1588</v>
      </c>
      <c r="F211" s="626" t="s">
        <v>1588</v>
      </c>
      <c r="G211" s="626" t="s">
        <v>1588</v>
      </c>
      <c r="H211" s="350">
        <v>496.16</v>
      </c>
      <c r="I211" s="626" t="s">
        <v>1588</v>
      </c>
      <c r="J211" s="627" t="s">
        <v>1588</v>
      </c>
    </row>
    <row r="212" spans="1:10" ht="27.75" customHeight="1">
      <c r="A212" s="360"/>
      <c r="B212" s="372" t="s">
        <v>241</v>
      </c>
      <c r="C212" s="350">
        <f t="shared" si="26"/>
        <v>492.93</v>
      </c>
      <c r="D212" s="350">
        <f t="shared" si="27"/>
        <v>492.93</v>
      </c>
      <c r="E212" s="350">
        <v>492.93</v>
      </c>
      <c r="F212" s="626" t="s">
        <v>1588</v>
      </c>
      <c r="G212" s="626" t="s">
        <v>1588</v>
      </c>
      <c r="H212" s="626" t="s">
        <v>1588</v>
      </c>
      <c r="I212" s="626" t="s">
        <v>1588</v>
      </c>
      <c r="J212" s="627" t="s">
        <v>1588</v>
      </c>
    </row>
    <row r="213" spans="1:10" ht="27.75" customHeight="1">
      <c r="A213" s="373" t="s">
        <v>1673</v>
      </c>
      <c r="B213" s="414">
        <f>+B214+B222</f>
        <v>17</v>
      </c>
      <c r="C213" s="374">
        <f t="shared" si="26"/>
        <v>172639.185</v>
      </c>
      <c r="D213" s="374">
        <f t="shared" si="27"/>
        <v>172607.185</v>
      </c>
      <c r="E213" s="374">
        <f t="shared" ref="E213:J213" si="28">+E214+E222</f>
        <v>814.48500000000013</v>
      </c>
      <c r="F213" s="374">
        <f t="shared" si="28"/>
        <v>0</v>
      </c>
      <c r="G213" s="374">
        <f t="shared" si="28"/>
        <v>0</v>
      </c>
      <c r="H213" s="374">
        <f t="shared" si="28"/>
        <v>171792.7</v>
      </c>
      <c r="I213" s="374">
        <f t="shared" si="28"/>
        <v>0</v>
      </c>
      <c r="J213" s="375">
        <f t="shared" si="28"/>
        <v>32</v>
      </c>
    </row>
    <row r="214" spans="1:10" ht="27.75" customHeight="1">
      <c r="A214" s="376" t="s">
        <v>1674</v>
      </c>
      <c r="B214" s="414">
        <f>COUNTA(B215:B221)</f>
        <v>7</v>
      </c>
      <c r="C214" s="374">
        <f t="shared" si="26"/>
        <v>112055.86</v>
      </c>
      <c r="D214" s="374">
        <f t="shared" si="27"/>
        <v>112023.86</v>
      </c>
      <c r="E214" s="374">
        <f t="shared" ref="E214:J214" si="29">+SUM(E215:E221)</f>
        <v>0</v>
      </c>
      <c r="F214" s="374">
        <f t="shared" si="29"/>
        <v>0</v>
      </c>
      <c r="G214" s="374">
        <f t="shared" si="29"/>
        <v>0</v>
      </c>
      <c r="H214" s="374">
        <f t="shared" si="29"/>
        <v>112023.86</v>
      </c>
      <c r="I214" s="374">
        <f t="shared" si="29"/>
        <v>0</v>
      </c>
      <c r="J214" s="375">
        <f t="shared" si="29"/>
        <v>32</v>
      </c>
    </row>
    <row r="215" spans="1:10" ht="27.75" customHeight="1">
      <c r="A215" s="376" t="s">
        <v>376</v>
      </c>
      <c r="B215" s="402" t="s">
        <v>377</v>
      </c>
      <c r="C215" s="365">
        <f t="shared" si="26"/>
        <v>48474.91</v>
      </c>
      <c r="D215" s="365">
        <f t="shared" si="27"/>
        <v>48474.91</v>
      </c>
      <c r="E215" s="783" t="s">
        <v>1588</v>
      </c>
      <c r="F215" s="783" t="s">
        <v>1588</v>
      </c>
      <c r="G215" s="783" t="s">
        <v>1588</v>
      </c>
      <c r="H215" s="374">
        <v>48474.91</v>
      </c>
      <c r="I215" s="783" t="s">
        <v>1588</v>
      </c>
      <c r="J215" s="800" t="s">
        <v>1588</v>
      </c>
    </row>
    <row r="216" spans="1:10" ht="27.75" customHeight="1">
      <c r="A216" s="377" t="s">
        <v>1677</v>
      </c>
      <c r="B216" s="402" t="s">
        <v>242</v>
      </c>
      <c r="C216" s="374">
        <f t="shared" si="26"/>
        <v>20863.849999999999</v>
      </c>
      <c r="D216" s="374">
        <f t="shared" si="27"/>
        <v>20863.849999999999</v>
      </c>
      <c r="E216" s="783" t="s">
        <v>1588</v>
      </c>
      <c r="F216" s="783" t="s">
        <v>1588</v>
      </c>
      <c r="G216" s="783" t="s">
        <v>1588</v>
      </c>
      <c r="H216" s="374">
        <v>20863.849999999999</v>
      </c>
      <c r="I216" s="783" t="s">
        <v>1588</v>
      </c>
      <c r="J216" s="800" t="s">
        <v>1588</v>
      </c>
    </row>
    <row r="217" spans="1:10" ht="27.75" customHeight="1">
      <c r="A217" s="377" t="s">
        <v>1678</v>
      </c>
      <c r="B217" s="403" t="s">
        <v>243</v>
      </c>
      <c r="C217" s="374">
        <f t="shared" si="26"/>
        <v>28815.18</v>
      </c>
      <c r="D217" s="374">
        <f t="shared" si="27"/>
        <v>28815.18</v>
      </c>
      <c r="E217" s="783" t="s">
        <v>1588</v>
      </c>
      <c r="F217" s="783" t="s">
        <v>1588</v>
      </c>
      <c r="G217" s="783" t="s">
        <v>1588</v>
      </c>
      <c r="H217" s="374">
        <v>28815.18</v>
      </c>
      <c r="I217" s="783" t="s">
        <v>1588</v>
      </c>
      <c r="J217" s="800" t="s">
        <v>1588</v>
      </c>
    </row>
    <row r="218" spans="1:10" ht="27.75" customHeight="1">
      <c r="A218" s="373"/>
      <c r="B218" s="403" t="s">
        <v>244</v>
      </c>
      <c r="C218" s="374">
        <f t="shared" si="26"/>
        <v>63.64</v>
      </c>
      <c r="D218" s="374">
        <f t="shared" si="27"/>
        <v>63.64</v>
      </c>
      <c r="E218" s="783" t="s">
        <v>1588</v>
      </c>
      <c r="F218" s="783" t="s">
        <v>1588</v>
      </c>
      <c r="G218" s="783" t="s">
        <v>1588</v>
      </c>
      <c r="H218" s="374">
        <v>63.64</v>
      </c>
      <c r="I218" s="783" t="s">
        <v>1588</v>
      </c>
      <c r="J218" s="800" t="s">
        <v>1588</v>
      </c>
    </row>
    <row r="219" spans="1:10" ht="27.75" customHeight="1">
      <c r="A219" s="373" t="s">
        <v>1684</v>
      </c>
      <c r="B219" s="402" t="s">
        <v>245</v>
      </c>
      <c r="C219" s="374">
        <f t="shared" si="26"/>
        <v>5632</v>
      </c>
      <c r="D219" s="374">
        <f t="shared" si="27"/>
        <v>5600</v>
      </c>
      <c r="E219" s="783" t="s">
        <v>1588</v>
      </c>
      <c r="F219" s="783" t="s">
        <v>1588</v>
      </c>
      <c r="G219" s="783" t="s">
        <v>1588</v>
      </c>
      <c r="H219" s="374">
        <v>5600</v>
      </c>
      <c r="I219" s="783" t="s">
        <v>1588</v>
      </c>
      <c r="J219" s="375">
        <v>32</v>
      </c>
    </row>
    <row r="220" spans="1:10" ht="27.75" customHeight="1">
      <c r="A220" s="376" t="s">
        <v>1687</v>
      </c>
      <c r="B220" s="402" t="s">
        <v>2245</v>
      </c>
      <c r="C220" s="374">
        <f t="shared" si="26"/>
        <v>5169</v>
      </c>
      <c r="D220" s="374">
        <f t="shared" si="27"/>
        <v>5169</v>
      </c>
      <c r="E220" s="783" t="s">
        <v>1588</v>
      </c>
      <c r="F220" s="783" t="s">
        <v>1588</v>
      </c>
      <c r="G220" s="783" t="s">
        <v>1588</v>
      </c>
      <c r="H220" s="374">
        <v>5169</v>
      </c>
      <c r="I220" s="783" t="s">
        <v>1588</v>
      </c>
      <c r="J220" s="800" t="s">
        <v>1588</v>
      </c>
    </row>
    <row r="221" spans="1:10" ht="27.75" customHeight="1">
      <c r="A221" s="376" t="s">
        <v>1691</v>
      </c>
      <c r="B221" s="402" t="s">
        <v>249</v>
      </c>
      <c r="C221" s="374">
        <f t="shared" si="26"/>
        <v>3037.28</v>
      </c>
      <c r="D221" s="374">
        <f t="shared" si="27"/>
        <v>3037.28</v>
      </c>
      <c r="E221" s="783" t="s">
        <v>1588</v>
      </c>
      <c r="F221" s="783" t="s">
        <v>1588</v>
      </c>
      <c r="G221" s="783" t="s">
        <v>1588</v>
      </c>
      <c r="H221" s="374">
        <v>3037.28</v>
      </c>
      <c r="I221" s="783" t="s">
        <v>1588</v>
      </c>
      <c r="J221" s="800" t="s">
        <v>1588</v>
      </c>
    </row>
    <row r="222" spans="1:10" ht="27.75" customHeight="1">
      <c r="A222" s="376" t="s">
        <v>1616</v>
      </c>
      <c r="B222" s="414">
        <f>COUNTA(B223:B232)</f>
        <v>10</v>
      </c>
      <c r="C222" s="374">
        <f t="shared" si="26"/>
        <v>60583.324999999997</v>
      </c>
      <c r="D222" s="374">
        <f t="shared" si="27"/>
        <v>60583.324999999997</v>
      </c>
      <c r="E222" s="374">
        <f t="shared" ref="E222:J222" si="30">+SUM(E223:E232)</f>
        <v>814.48500000000013</v>
      </c>
      <c r="F222" s="374">
        <f t="shared" si="30"/>
        <v>0</v>
      </c>
      <c r="G222" s="374">
        <f t="shared" si="30"/>
        <v>0</v>
      </c>
      <c r="H222" s="374">
        <f t="shared" si="30"/>
        <v>59768.84</v>
      </c>
      <c r="I222" s="374">
        <f t="shared" si="30"/>
        <v>0</v>
      </c>
      <c r="J222" s="375">
        <f t="shared" si="30"/>
        <v>0</v>
      </c>
    </row>
    <row r="223" spans="1:10" ht="27.75" customHeight="1">
      <c r="A223" s="376" t="s">
        <v>1692</v>
      </c>
      <c r="B223" s="402" t="s">
        <v>250</v>
      </c>
      <c r="C223" s="374">
        <f t="shared" si="26"/>
        <v>1527.48</v>
      </c>
      <c r="D223" s="374">
        <f t="shared" si="27"/>
        <v>1527.48</v>
      </c>
      <c r="E223" s="783" t="s">
        <v>1588</v>
      </c>
      <c r="F223" s="783" t="s">
        <v>1588</v>
      </c>
      <c r="G223" s="783" t="s">
        <v>1588</v>
      </c>
      <c r="H223" s="374">
        <v>1527.48</v>
      </c>
      <c r="I223" s="783" t="s">
        <v>1588</v>
      </c>
      <c r="J223" s="800" t="s">
        <v>1588</v>
      </c>
    </row>
    <row r="224" spans="1:10" ht="27.75" customHeight="1">
      <c r="A224" s="376" t="s">
        <v>1693</v>
      </c>
      <c r="B224" s="402" t="s">
        <v>251</v>
      </c>
      <c r="C224" s="374">
        <f t="shared" si="26"/>
        <v>381</v>
      </c>
      <c r="D224" s="374">
        <f t="shared" si="27"/>
        <v>381</v>
      </c>
      <c r="E224" s="374">
        <v>381</v>
      </c>
      <c r="F224" s="783" t="s">
        <v>1588</v>
      </c>
      <c r="G224" s="783" t="s">
        <v>1588</v>
      </c>
      <c r="H224" s="783" t="s">
        <v>1588</v>
      </c>
      <c r="I224" s="783" t="s">
        <v>1588</v>
      </c>
      <c r="J224" s="800" t="s">
        <v>1588</v>
      </c>
    </row>
    <row r="225" spans="1:10" ht="27.75" customHeight="1">
      <c r="A225" s="377" t="s">
        <v>1695</v>
      </c>
      <c r="B225" s="402" t="s">
        <v>2305</v>
      </c>
      <c r="C225" s="374">
        <f t="shared" si="26"/>
        <v>263</v>
      </c>
      <c r="D225" s="374">
        <f t="shared" si="27"/>
        <v>263</v>
      </c>
      <c r="E225" s="783" t="s">
        <v>1588</v>
      </c>
      <c r="F225" s="783" t="s">
        <v>1588</v>
      </c>
      <c r="G225" s="783" t="s">
        <v>1588</v>
      </c>
      <c r="H225" s="374">
        <v>263</v>
      </c>
      <c r="I225" s="783" t="s">
        <v>1588</v>
      </c>
      <c r="J225" s="800" t="s">
        <v>1588</v>
      </c>
    </row>
    <row r="226" spans="1:10" ht="27.75" customHeight="1">
      <c r="A226" s="377" t="s">
        <v>1696</v>
      </c>
      <c r="B226" s="403" t="s">
        <v>252</v>
      </c>
      <c r="C226" s="374">
        <f t="shared" si="26"/>
        <v>139.44</v>
      </c>
      <c r="D226" s="374">
        <f t="shared" si="27"/>
        <v>139.44</v>
      </c>
      <c r="E226" s="374">
        <v>139.44</v>
      </c>
      <c r="F226" s="783" t="s">
        <v>1588</v>
      </c>
      <c r="G226" s="783" t="s">
        <v>1588</v>
      </c>
      <c r="H226" s="783" t="s">
        <v>1588</v>
      </c>
      <c r="I226" s="783" t="s">
        <v>1588</v>
      </c>
      <c r="J226" s="800" t="s">
        <v>1588</v>
      </c>
    </row>
    <row r="227" spans="1:10" ht="27.75" customHeight="1">
      <c r="A227" s="373"/>
      <c r="B227" s="403" t="s">
        <v>253</v>
      </c>
      <c r="C227" s="374">
        <f t="shared" si="26"/>
        <v>121.065</v>
      </c>
      <c r="D227" s="374">
        <f t="shared" si="27"/>
        <v>121.065</v>
      </c>
      <c r="E227" s="374">
        <v>121.065</v>
      </c>
      <c r="F227" s="783" t="s">
        <v>1588</v>
      </c>
      <c r="G227" s="783" t="s">
        <v>1588</v>
      </c>
      <c r="H227" s="783" t="s">
        <v>1588</v>
      </c>
      <c r="I227" s="783" t="s">
        <v>1588</v>
      </c>
      <c r="J227" s="800" t="s">
        <v>1588</v>
      </c>
    </row>
    <row r="228" spans="1:10" ht="27.75" customHeight="1">
      <c r="A228" s="373" t="s">
        <v>2003</v>
      </c>
      <c r="B228" s="402" t="s">
        <v>254</v>
      </c>
      <c r="C228" s="374">
        <f t="shared" si="26"/>
        <v>20</v>
      </c>
      <c r="D228" s="374">
        <f t="shared" si="27"/>
        <v>20</v>
      </c>
      <c r="E228" s="374">
        <v>20</v>
      </c>
      <c r="F228" s="783" t="s">
        <v>1588</v>
      </c>
      <c r="G228" s="783" t="s">
        <v>1588</v>
      </c>
      <c r="H228" s="783" t="s">
        <v>1588</v>
      </c>
      <c r="I228" s="783" t="s">
        <v>1588</v>
      </c>
      <c r="J228" s="800" t="s">
        <v>1588</v>
      </c>
    </row>
    <row r="229" spans="1:10" ht="27.75" customHeight="1">
      <c r="A229" s="376" t="s">
        <v>2004</v>
      </c>
      <c r="B229" s="402" t="s">
        <v>255</v>
      </c>
      <c r="C229" s="374">
        <f t="shared" si="26"/>
        <v>44.29</v>
      </c>
      <c r="D229" s="374">
        <f t="shared" si="27"/>
        <v>44.29</v>
      </c>
      <c r="E229" s="374">
        <v>44.29</v>
      </c>
      <c r="F229" s="783" t="s">
        <v>1588</v>
      </c>
      <c r="G229" s="783" t="s">
        <v>1588</v>
      </c>
      <c r="H229" s="783" t="s">
        <v>1588</v>
      </c>
      <c r="I229" s="783" t="s">
        <v>1588</v>
      </c>
      <c r="J229" s="800" t="s">
        <v>1588</v>
      </c>
    </row>
    <row r="230" spans="1:10" ht="27.75" customHeight="1">
      <c r="A230" s="376" t="s">
        <v>1866</v>
      </c>
      <c r="B230" s="402" t="s">
        <v>2308</v>
      </c>
      <c r="C230" s="374">
        <f t="shared" si="26"/>
        <v>108.69</v>
      </c>
      <c r="D230" s="374">
        <f t="shared" si="27"/>
        <v>108.69</v>
      </c>
      <c r="E230" s="374">
        <v>108.69</v>
      </c>
      <c r="F230" s="783" t="s">
        <v>1588</v>
      </c>
      <c r="G230" s="783" t="s">
        <v>1588</v>
      </c>
      <c r="H230" s="783" t="s">
        <v>1588</v>
      </c>
      <c r="I230" s="783" t="s">
        <v>1588</v>
      </c>
      <c r="J230" s="800" t="s">
        <v>1588</v>
      </c>
    </row>
    <row r="231" spans="1:10" ht="27.75" customHeight="1">
      <c r="A231" s="376" t="s">
        <v>1870</v>
      </c>
      <c r="B231" s="402" t="s">
        <v>256</v>
      </c>
      <c r="C231" s="374">
        <f t="shared" si="26"/>
        <v>1406.36</v>
      </c>
      <c r="D231" s="374">
        <f t="shared" si="27"/>
        <v>1406.36</v>
      </c>
      <c r="E231" s="783" t="s">
        <v>1588</v>
      </c>
      <c r="F231" s="783" t="s">
        <v>1588</v>
      </c>
      <c r="G231" s="783" t="s">
        <v>1588</v>
      </c>
      <c r="H231" s="374">
        <v>1406.36</v>
      </c>
      <c r="I231" s="783" t="s">
        <v>1588</v>
      </c>
      <c r="J231" s="800" t="s">
        <v>1588</v>
      </c>
    </row>
    <row r="232" spans="1:10" ht="27.75" customHeight="1">
      <c r="A232" s="376" t="s">
        <v>1871</v>
      </c>
      <c r="B232" s="402" t="s">
        <v>258</v>
      </c>
      <c r="C232" s="374">
        <f t="shared" si="26"/>
        <v>56572</v>
      </c>
      <c r="D232" s="374">
        <f t="shared" si="27"/>
        <v>56572</v>
      </c>
      <c r="E232" s="783" t="s">
        <v>1588</v>
      </c>
      <c r="F232" s="783" t="s">
        <v>1588</v>
      </c>
      <c r="G232" s="783" t="s">
        <v>1588</v>
      </c>
      <c r="H232" s="374">
        <v>56572</v>
      </c>
      <c r="I232" s="783" t="s">
        <v>1588</v>
      </c>
      <c r="J232" s="800" t="s">
        <v>1588</v>
      </c>
    </row>
    <row r="233" spans="1:10" ht="27.75" customHeight="1">
      <c r="A233" s="378" t="s">
        <v>1872</v>
      </c>
      <c r="B233" s="415">
        <f>B234+B244</f>
        <v>35</v>
      </c>
      <c r="C233" s="379">
        <f t="shared" si="26"/>
        <v>50951.590000000004</v>
      </c>
      <c r="D233" s="379">
        <f t="shared" si="27"/>
        <v>50795.91</v>
      </c>
      <c r="E233" s="379">
        <f t="shared" ref="E233:J233" si="31">E234+E244</f>
        <v>2237.5499999999997</v>
      </c>
      <c r="F233" s="379">
        <f t="shared" si="31"/>
        <v>2651.35</v>
      </c>
      <c r="G233" s="379">
        <f t="shared" si="31"/>
        <v>6231</v>
      </c>
      <c r="H233" s="379">
        <f t="shared" si="31"/>
        <v>35165.01</v>
      </c>
      <c r="I233" s="379">
        <f t="shared" si="31"/>
        <v>4511</v>
      </c>
      <c r="J233" s="380">
        <f t="shared" si="31"/>
        <v>155.67999999999998</v>
      </c>
    </row>
    <row r="234" spans="1:10" ht="27.75" customHeight="1">
      <c r="A234" s="378" t="s">
        <v>1674</v>
      </c>
      <c r="B234" s="415">
        <f>COUNTA(B235:B243)</f>
        <v>9</v>
      </c>
      <c r="C234" s="379">
        <f t="shared" si="26"/>
        <v>38792.47</v>
      </c>
      <c r="D234" s="379">
        <f t="shared" si="27"/>
        <v>38792.47</v>
      </c>
      <c r="E234" s="379">
        <f t="shared" ref="E234:J234" si="32">SUM(E235:E243)</f>
        <v>98</v>
      </c>
      <c r="F234" s="379">
        <f t="shared" si="32"/>
        <v>498</v>
      </c>
      <c r="G234" s="379">
        <f t="shared" si="32"/>
        <v>3240</v>
      </c>
      <c r="H234" s="379">
        <f t="shared" si="32"/>
        <v>30489.47</v>
      </c>
      <c r="I234" s="379">
        <f t="shared" si="32"/>
        <v>4467</v>
      </c>
      <c r="J234" s="380">
        <f t="shared" si="32"/>
        <v>0</v>
      </c>
    </row>
    <row r="235" spans="1:10" ht="27.75" customHeight="1">
      <c r="A235" s="378" t="s">
        <v>1873</v>
      </c>
      <c r="B235" s="404" t="s">
        <v>378</v>
      </c>
      <c r="C235" s="379">
        <f t="shared" si="26"/>
        <v>5242</v>
      </c>
      <c r="D235" s="379">
        <f t="shared" si="27"/>
        <v>5242</v>
      </c>
      <c r="E235" s="815" t="s">
        <v>1588</v>
      </c>
      <c r="F235" s="815" t="s">
        <v>1588</v>
      </c>
      <c r="G235" s="815" t="s">
        <v>1588</v>
      </c>
      <c r="H235" s="379">
        <v>5242</v>
      </c>
      <c r="I235" s="815" t="s">
        <v>1588</v>
      </c>
      <c r="J235" s="816" t="s">
        <v>1588</v>
      </c>
    </row>
    <row r="236" spans="1:10" ht="27.75" customHeight="1">
      <c r="A236" s="378" t="s">
        <v>1874</v>
      </c>
      <c r="B236" s="404" t="s">
        <v>379</v>
      </c>
      <c r="C236" s="379">
        <f t="shared" si="26"/>
        <v>10412</v>
      </c>
      <c r="D236" s="379">
        <f t="shared" si="27"/>
        <v>10412</v>
      </c>
      <c r="E236" s="815" t="s">
        <v>1588</v>
      </c>
      <c r="F236" s="815" t="s">
        <v>1588</v>
      </c>
      <c r="G236" s="379">
        <v>3240</v>
      </c>
      <c r="H236" s="379">
        <v>2705</v>
      </c>
      <c r="I236" s="379">
        <v>4467</v>
      </c>
      <c r="J236" s="816" t="s">
        <v>1588</v>
      </c>
    </row>
    <row r="237" spans="1:10" ht="27.75" customHeight="1">
      <c r="A237" s="381" t="s">
        <v>1875</v>
      </c>
      <c r="B237" s="404" t="s">
        <v>261</v>
      </c>
      <c r="C237" s="379">
        <f t="shared" si="26"/>
        <v>15026</v>
      </c>
      <c r="D237" s="379">
        <f t="shared" si="27"/>
        <v>15026</v>
      </c>
      <c r="E237" s="815" t="s">
        <v>1588</v>
      </c>
      <c r="F237" s="815" t="s">
        <v>1588</v>
      </c>
      <c r="G237" s="815" t="s">
        <v>1588</v>
      </c>
      <c r="H237" s="379">
        <v>15026</v>
      </c>
      <c r="I237" s="815" t="s">
        <v>1588</v>
      </c>
      <c r="J237" s="816" t="s">
        <v>1588</v>
      </c>
    </row>
    <row r="238" spans="1:10" ht="27.75" customHeight="1">
      <c r="A238" s="381" t="s">
        <v>1879</v>
      </c>
      <c r="B238" s="405" t="s">
        <v>2430</v>
      </c>
      <c r="C238" s="379">
        <f t="shared" si="26"/>
        <v>1836.47</v>
      </c>
      <c r="D238" s="379">
        <f t="shared" si="27"/>
        <v>1836.47</v>
      </c>
      <c r="E238" s="815" t="s">
        <v>1588</v>
      </c>
      <c r="F238" s="815" t="s">
        <v>1588</v>
      </c>
      <c r="G238" s="815" t="s">
        <v>1588</v>
      </c>
      <c r="H238" s="379">
        <v>1836.47</v>
      </c>
      <c r="I238" s="815" t="s">
        <v>1588</v>
      </c>
      <c r="J238" s="816" t="s">
        <v>1588</v>
      </c>
    </row>
    <row r="239" spans="1:10" ht="27.75" customHeight="1">
      <c r="A239" s="382"/>
      <c r="B239" s="405" t="s">
        <v>1886</v>
      </c>
      <c r="C239" s="379">
        <f t="shared" si="26"/>
        <v>31</v>
      </c>
      <c r="D239" s="379">
        <f t="shared" si="27"/>
        <v>31</v>
      </c>
      <c r="E239" s="815" t="s">
        <v>1588</v>
      </c>
      <c r="F239" s="815" t="s">
        <v>1588</v>
      </c>
      <c r="G239" s="815" t="s">
        <v>1588</v>
      </c>
      <c r="H239" s="379">
        <v>31</v>
      </c>
      <c r="I239" s="815" t="s">
        <v>1588</v>
      </c>
      <c r="J239" s="816" t="s">
        <v>1588</v>
      </c>
    </row>
    <row r="240" spans="1:10" ht="27.75" customHeight="1">
      <c r="A240" s="382"/>
      <c r="B240" s="405" t="s">
        <v>1884</v>
      </c>
      <c r="C240" s="379">
        <f t="shared" si="26"/>
        <v>5</v>
      </c>
      <c r="D240" s="379">
        <f t="shared" si="27"/>
        <v>5</v>
      </c>
      <c r="E240" s="815" t="s">
        <v>1588</v>
      </c>
      <c r="F240" s="815" t="s">
        <v>1588</v>
      </c>
      <c r="G240" s="815" t="s">
        <v>1588</v>
      </c>
      <c r="H240" s="379">
        <v>5</v>
      </c>
      <c r="I240" s="815" t="s">
        <v>1588</v>
      </c>
      <c r="J240" s="816" t="s">
        <v>1588</v>
      </c>
    </row>
    <row r="241" spans="1:10" ht="27.75" customHeight="1">
      <c r="A241" s="381" t="s">
        <v>1889</v>
      </c>
      <c r="B241" s="405" t="s">
        <v>122</v>
      </c>
      <c r="C241" s="379">
        <f t="shared" si="26"/>
        <v>2927</v>
      </c>
      <c r="D241" s="379">
        <f t="shared" si="27"/>
        <v>2927</v>
      </c>
      <c r="E241" s="815" t="s">
        <v>1588</v>
      </c>
      <c r="F241" s="815" t="s">
        <v>1588</v>
      </c>
      <c r="G241" s="815" t="s">
        <v>1588</v>
      </c>
      <c r="H241" s="379">
        <v>2927</v>
      </c>
      <c r="I241" s="815" t="s">
        <v>1588</v>
      </c>
      <c r="J241" s="816" t="s">
        <v>1588</v>
      </c>
    </row>
    <row r="242" spans="1:10" ht="27.75" customHeight="1">
      <c r="A242" s="382"/>
      <c r="B242" s="405" t="s">
        <v>262</v>
      </c>
      <c r="C242" s="379">
        <f t="shared" si="26"/>
        <v>2717</v>
      </c>
      <c r="D242" s="379">
        <f t="shared" si="27"/>
        <v>2717</v>
      </c>
      <c r="E242" s="815" t="s">
        <v>1588</v>
      </c>
      <c r="F242" s="815" t="s">
        <v>1588</v>
      </c>
      <c r="G242" s="815" t="s">
        <v>1588</v>
      </c>
      <c r="H242" s="379">
        <v>2717</v>
      </c>
      <c r="I242" s="815" t="s">
        <v>1588</v>
      </c>
      <c r="J242" s="816" t="s">
        <v>1588</v>
      </c>
    </row>
    <row r="243" spans="1:10" ht="27.75" customHeight="1">
      <c r="A243" s="383"/>
      <c r="B243" s="405" t="s">
        <v>380</v>
      </c>
      <c r="C243" s="379">
        <f t="shared" si="26"/>
        <v>596</v>
      </c>
      <c r="D243" s="379">
        <f t="shared" si="27"/>
        <v>596</v>
      </c>
      <c r="E243" s="379">
        <v>98</v>
      </c>
      <c r="F243" s="379">
        <v>498</v>
      </c>
      <c r="G243" s="815" t="s">
        <v>1588</v>
      </c>
      <c r="H243" s="815" t="s">
        <v>1588</v>
      </c>
      <c r="I243" s="815" t="s">
        <v>1588</v>
      </c>
      <c r="J243" s="816" t="s">
        <v>1588</v>
      </c>
    </row>
    <row r="244" spans="1:10" ht="27.75" customHeight="1">
      <c r="A244" s="383" t="s">
        <v>1616</v>
      </c>
      <c r="B244" s="415">
        <f>COUNTA(B245:B270)</f>
        <v>26</v>
      </c>
      <c r="C244" s="379">
        <f t="shared" si="26"/>
        <v>12159.12</v>
      </c>
      <c r="D244" s="379">
        <f t="shared" si="27"/>
        <v>12003.44</v>
      </c>
      <c r="E244" s="379">
        <f t="shared" ref="E244:J244" si="33">SUM(E245:E270)</f>
        <v>2139.5499999999997</v>
      </c>
      <c r="F244" s="379">
        <f t="shared" si="33"/>
        <v>2153.35</v>
      </c>
      <c r="G244" s="379">
        <f t="shared" si="33"/>
        <v>2991</v>
      </c>
      <c r="H244" s="379">
        <f t="shared" si="33"/>
        <v>4675.5400000000009</v>
      </c>
      <c r="I244" s="379">
        <f t="shared" si="33"/>
        <v>44</v>
      </c>
      <c r="J244" s="380">
        <f t="shared" si="33"/>
        <v>155.67999999999998</v>
      </c>
    </row>
    <row r="245" spans="1:10" ht="27.75" customHeight="1">
      <c r="A245" s="381" t="s">
        <v>1890</v>
      </c>
      <c r="B245" s="404" t="s">
        <v>381</v>
      </c>
      <c r="C245" s="379">
        <f t="shared" si="26"/>
        <v>348</v>
      </c>
      <c r="D245" s="379">
        <f t="shared" si="27"/>
        <v>348</v>
      </c>
      <c r="E245" s="379">
        <v>278</v>
      </c>
      <c r="F245" s="379">
        <v>70</v>
      </c>
      <c r="G245" s="815" t="s">
        <v>1588</v>
      </c>
      <c r="H245" s="815" t="s">
        <v>1588</v>
      </c>
      <c r="I245" s="815" t="s">
        <v>1588</v>
      </c>
      <c r="J245" s="380">
        <v>0</v>
      </c>
    </row>
    <row r="246" spans="1:10" ht="27.75" customHeight="1">
      <c r="A246" s="381" t="s">
        <v>1891</v>
      </c>
      <c r="B246" s="405" t="s">
        <v>2315</v>
      </c>
      <c r="C246" s="379">
        <f t="shared" si="26"/>
        <v>83.3</v>
      </c>
      <c r="D246" s="379">
        <f t="shared" si="27"/>
        <v>83.3</v>
      </c>
      <c r="E246" s="815" t="s">
        <v>1588</v>
      </c>
      <c r="F246" s="379">
        <v>39.299999999999997</v>
      </c>
      <c r="G246" s="815" t="s">
        <v>1588</v>
      </c>
      <c r="H246" s="815" t="s">
        <v>1588</v>
      </c>
      <c r="I246" s="379">
        <v>44</v>
      </c>
      <c r="J246" s="380">
        <v>0</v>
      </c>
    </row>
    <row r="247" spans="1:10" ht="27.75" customHeight="1">
      <c r="A247" s="382"/>
      <c r="B247" s="405" t="s">
        <v>264</v>
      </c>
      <c r="C247" s="379">
        <f t="shared" si="26"/>
        <v>29.79</v>
      </c>
      <c r="D247" s="379">
        <f t="shared" si="27"/>
        <v>25.75</v>
      </c>
      <c r="E247" s="815" t="s">
        <v>1588</v>
      </c>
      <c r="F247" s="379">
        <v>25.75</v>
      </c>
      <c r="G247" s="815" t="s">
        <v>1588</v>
      </c>
      <c r="H247" s="815" t="s">
        <v>1588</v>
      </c>
      <c r="I247" s="815" t="s">
        <v>1588</v>
      </c>
      <c r="J247" s="380">
        <v>4.04</v>
      </c>
    </row>
    <row r="248" spans="1:10" ht="27.75" customHeight="1">
      <c r="A248" s="381" t="s">
        <v>1707</v>
      </c>
      <c r="B248" s="405" t="s">
        <v>2316</v>
      </c>
      <c r="C248" s="379">
        <f t="shared" si="26"/>
        <v>429.2</v>
      </c>
      <c r="D248" s="379">
        <f t="shared" si="27"/>
        <v>429.2</v>
      </c>
      <c r="E248" s="815" t="s">
        <v>1588</v>
      </c>
      <c r="F248" s="815" t="s">
        <v>1588</v>
      </c>
      <c r="G248" s="815" t="s">
        <v>1588</v>
      </c>
      <c r="H248" s="379">
        <v>429.2</v>
      </c>
      <c r="I248" s="815" t="s">
        <v>1588</v>
      </c>
      <c r="J248" s="816" t="s">
        <v>1588</v>
      </c>
    </row>
    <row r="249" spans="1:10" ht="27.75" customHeight="1">
      <c r="A249" s="382"/>
      <c r="B249" s="405" t="s">
        <v>266</v>
      </c>
      <c r="C249" s="379">
        <f t="shared" si="26"/>
        <v>111.3</v>
      </c>
      <c r="D249" s="379">
        <f t="shared" si="27"/>
        <v>111.3</v>
      </c>
      <c r="E249" s="815" t="s">
        <v>1588</v>
      </c>
      <c r="F249" s="379">
        <v>111.3</v>
      </c>
      <c r="G249" s="815" t="s">
        <v>1588</v>
      </c>
      <c r="H249" s="815" t="s">
        <v>1588</v>
      </c>
      <c r="I249" s="815" t="s">
        <v>1588</v>
      </c>
      <c r="J249" s="816" t="s">
        <v>1588</v>
      </c>
    </row>
    <row r="250" spans="1:10" ht="27.75" customHeight="1">
      <c r="A250" s="381" t="s">
        <v>1709</v>
      </c>
      <c r="B250" s="405" t="s">
        <v>2433</v>
      </c>
      <c r="C250" s="379">
        <f t="shared" si="26"/>
        <v>245</v>
      </c>
      <c r="D250" s="379">
        <f t="shared" si="27"/>
        <v>245</v>
      </c>
      <c r="E250" s="815" t="s">
        <v>1588</v>
      </c>
      <c r="F250" s="379">
        <v>245</v>
      </c>
      <c r="G250" s="815" t="s">
        <v>1588</v>
      </c>
      <c r="H250" s="815" t="s">
        <v>1588</v>
      </c>
      <c r="I250" s="815" t="s">
        <v>1588</v>
      </c>
      <c r="J250" s="816" t="s">
        <v>1588</v>
      </c>
    </row>
    <row r="251" spans="1:10" ht="27.75" customHeight="1">
      <c r="A251" s="382"/>
      <c r="B251" s="405" t="s">
        <v>2051</v>
      </c>
      <c r="C251" s="379">
        <f t="shared" si="26"/>
        <v>204</v>
      </c>
      <c r="D251" s="379">
        <f t="shared" si="27"/>
        <v>204</v>
      </c>
      <c r="E251" s="815" t="s">
        <v>1588</v>
      </c>
      <c r="F251" s="815" t="s">
        <v>1588</v>
      </c>
      <c r="G251" s="815" t="s">
        <v>1588</v>
      </c>
      <c r="H251" s="379">
        <v>204</v>
      </c>
      <c r="I251" s="815" t="s">
        <v>1588</v>
      </c>
      <c r="J251" s="816" t="s">
        <v>1588</v>
      </c>
    </row>
    <row r="252" spans="1:10" ht="27.75" customHeight="1">
      <c r="A252" s="381" t="s">
        <v>1710</v>
      </c>
      <c r="B252" s="405" t="s">
        <v>2160</v>
      </c>
      <c r="C252" s="379">
        <f t="shared" si="26"/>
        <v>571.79999999999995</v>
      </c>
      <c r="D252" s="379">
        <f t="shared" si="27"/>
        <v>571.79999999999995</v>
      </c>
      <c r="E252" s="379">
        <v>571.79999999999995</v>
      </c>
      <c r="F252" s="379">
        <v>0</v>
      </c>
      <c r="G252" s="379">
        <v>0</v>
      </c>
      <c r="H252" s="379">
        <v>0</v>
      </c>
      <c r="I252" s="379">
        <v>0</v>
      </c>
      <c r="J252" s="380">
        <v>0</v>
      </c>
    </row>
    <row r="253" spans="1:10" ht="27.75" customHeight="1">
      <c r="A253" s="382"/>
      <c r="B253" s="405" t="s">
        <v>2161</v>
      </c>
      <c r="C253" s="379">
        <f t="shared" si="26"/>
        <v>23.8</v>
      </c>
      <c r="D253" s="379">
        <f t="shared" si="27"/>
        <v>23.8</v>
      </c>
      <c r="E253" s="379">
        <v>23.8</v>
      </c>
      <c r="F253" s="379">
        <v>0</v>
      </c>
      <c r="G253" s="379">
        <v>0</v>
      </c>
      <c r="H253" s="379">
        <v>0</v>
      </c>
      <c r="I253" s="379">
        <v>0</v>
      </c>
      <c r="J253" s="380">
        <v>0</v>
      </c>
    </row>
    <row r="254" spans="1:10" ht="27.75" customHeight="1">
      <c r="A254" s="381" t="s">
        <v>1714</v>
      </c>
      <c r="B254" s="405" t="s">
        <v>1715</v>
      </c>
      <c r="C254" s="379">
        <f t="shared" si="26"/>
        <v>2050.06</v>
      </c>
      <c r="D254" s="379">
        <f t="shared" si="27"/>
        <v>2050.06</v>
      </c>
      <c r="E254" s="815" t="s">
        <v>1588</v>
      </c>
      <c r="F254" s="815" t="s">
        <v>1588</v>
      </c>
      <c r="G254" s="815" t="s">
        <v>1588</v>
      </c>
      <c r="H254" s="379">
        <v>2050.06</v>
      </c>
      <c r="I254" s="815" t="s">
        <v>1588</v>
      </c>
      <c r="J254" s="816" t="s">
        <v>1588</v>
      </c>
    </row>
    <row r="255" spans="1:10" ht="27.75" customHeight="1">
      <c r="A255" s="382"/>
      <c r="B255" s="405" t="s">
        <v>270</v>
      </c>
      <c r="C255" s="379">
        <f t="shared" si="26"/>
        <v>0</v>
      </c>
      <c r="D255" s="379">
        <f t="shared" si="27"/>
        <v>0</v>
      </c>
      <c r="E255" s="815" t="s">
        <v>1588</v>
      </c>
      <c r="F255" s="815" t="s">
        <v>1588</v>
      </c>
      <c r="G255" s="815" t="s">
        <v>1588</v>
      </c>
      <c r="H255" s="815" t="s">
        <v>1588</v>
      </c>
      <c r="I255" s="815" t="s">
        <v>1588</v>
      </c>
      <c r="J255" s="816" t="s">
        <v>1588</v>
      </c>
    </row>
    <row r="256" spans="1:10" ht="27.75" customHeight="1">
      <c r="A256" s="382"/>
      <c r="B256" s="405" t="s">
        <v>271</v>
      </c>
      <c r="C256" s="379">
        <f t="shared" si="26"/>
        <v>11.34</v>
      </c>
      <c r="D256" s="379">
        <f t="shared" si="27"/>
        <v>11.34</v>
      </c>
      <c r="E256" s="815" t="s">
        <v>1588</v>
      </c>
      <c r="F256" s="815" t="s">
        <v>1588</v>
      </c>
      <c r="G256" s="815" t="s">
        <v>1588</v>
      </c>
      <c r="H256" s="379">
        <v>11.34</v>
      </c>
      <c r="I256" s="815" t="s">
        <v>1588</v>
      </c>
      <c r="J256" s="816" t="s">
        <v>1588</v>
      </c>
    </row>
    <row r="257" spans="1:10" ht="27.75" customHeight="1">
      <c r="A257" s="383"/>
      <c r="B257" s="405" t="s">
        <v>1599</v>
      </c>
      <c r="C257" s="379">
        <f t="shared" si="26"/>
        <v>0</v>
      </c>
      <c r="D257" s="379">
        <f t="shared" si="27"/>
        <v>0</v>
      </c>
      <c r="E257" s="815" t="s">
        <v>1588</v>
      </c>
      <c r="F257" s="815" t="s">
        <v>1588</v>
      </c>
      <c r="G257" s="815" t="s">
        <v>1588</v>
      </c>
      <c r="H257" s="815" t="s">
        <v>1588</v>
      </c>
      <c r="I257" s="815" t="s">
        <v>1588</v>
      </c>
      <c r="J257" s="816" t="s">
        <v>1588</v>
      </c>
    </row>
    <row r="258" spans="1:10" ht="27.75" customHeight="1">
      <c r="A258" s="378" t="s">
        <v>1718</v>
      </c>
      <c r="B258" s="404" t="s">
        <v>272</v>
      </c>
      <c r="C258" s="379">
        <f t="shared" si="26"/>
        <v>374</v>
      </c>
      <c r="D258" s="379">
        <f t="shared" si="27"/>
        <v>374</v>
      </c>
      <c r="E258" s="379">
        <v>0</v>
      </c>
      <c r="F258" s="379">
        <v>0</v>
      </c>
      <c r="G258" s="379">
        <v>0</v>
      </c>
      <c r="H258" s="379">
        <v>374</v>
      </c>
      <c r="I258" s="379">
        <v>0</v>
      </c>
      <c r="J258" s="380">
        <v>0</v>
      </c>
    </row>
    <row r="259" spans="1:10" ht="27.75" customHeight="1">
      <c r="A259" s="381" t="s">
        <v>1722</v>
      </c>
      <c r="B259" s="404" t="s">
        <v>273</v>
      </c>
      <c r="C259" s="379">
        <f t="shared" si="26"/>
        <v>1289</v>
      </c>
      <c r="D259" s="379">
        <f t="shared" si="27"/>
        <v>1289</v>
      </c>
      <c r="E259" s="379">
        <v>130</v>
      </c>
      <c r="F259" s="379">
        <v>1159</v>
      </c>
      <c r="G259" s="815" t="s">
        <v>1588</v>
      </c>
      <c r="H259" s="815" t="s">
        <v>1588</v>
      </c>
      <c r="I259" s="815" t="s">
        <v>1588</v>
      </c>
      <c r="J259" s="816" t="s">
        <v>1588</v>
      </c>
    </row>
    <row r="260" spans="1:10" ht="27.75" customHeight="1">
      <c r="A260" s="381" t="s">
        <v>1724</v>
      </c>
      <c r="B260" s="405" t="s">
        <v>274</v>
      </c>
      <c r="C260" s="379">
        <f t="shared" si="26"/>
        <v>218.9</v>
      </c>
      <c r="D260" s="379">
        <f t="shared" si="27"/>
        <v>218.9</v>
      </c>
      <c r="E260" s="379">
        <v>218.9</v>
      </c>
      <c r="F260" s="379">
        <v>0</v>
      </c>
      <c r="G260" s="379">
        <v>0</v>
      </c>
      <c r="H260" s="379">
        <v>0</v>
      </c>
      <c r="I260" s="379">
        <v>0</v>
      </c>
      <c r="J260" s="380">
        <v>0</v>
      </c>
    </row>
    <row r="261" spans="1:10" ht="27.75" customHeight="1">
      <c r="A261" s="382"/>
      <c r="B261" s="405" t="s">
        <v>2323</v>
      </c>
      <c r="C261" s="379">
        <f t="shared" si="26"/>
        <v>2991</v>
      </c>
      <c r="D261" s="379">
        <f t="shared" si="27"/>
        <v>2991</v>
      </c>
      <c r="E261" s="815" t="s">
        <v>1588</v>
      </c>
      <c r="F261" s="815" t="s">
        <v>1588</v>
      </c>
      <c r="G261" s="379">
        <v>2991</v>
      </c>
      <c r="H261" s="815" t="s">
        <v>1588</v>
      </c>
      <c r="I261" s="815" t="s">
        <v>1588</v>
      </c>
      <c r="J261" s="816" t="s">
        <v>1588</v>
      </c>
    </row>
    <row r="262" spans="1:10" ht="27.75" customHeight="1">
      <c r="A262" s="381" t="s">
        <v>1725</v>
      </c>
      <c r="B262" s="405" t="s">
        <v>275</v>
      </c>
      <c r="C262" s="379">
        <f t="shared" ref="C262:C302" si="34">SUM(D262,J262)</f>
        <v>249.24</v>
      </c>
      <c r="D262" s="379">
        <f t="shared" si="27"/>
        <v>249.24</v>
      </c>
      <c r="E262" s="379">
        <v>175.84</v>
      </c>
      <c r="F262" s="379">
        <v>73.400000000000006</v>
      </c>
      <c r="G262" s="379">
        <v>0</v>
      </c>
      <c r="H262" s="379">
        <v>0</v>
      </c>
      <c r="I262" s="379">
        <v>0</v>
      </c>
      <c r="J262" s="380">
        <v>0</v>
      </c>
    </row>
    <row r="263" spans="1:10" ht="27.75" customHeight="1">
      <c r="A263" s="383"/>
      <c r="B263" s="405" t="s">
        <v>276</v>
      </c>
      <c r="C263" s="379">
        <f t="shared" si="34"/>
        <v>376.35</v>
      </c>
      <c r="D263" s="379">
        <f t="shared" si="27"/>
        <v>376.35</v>
      </c>
      <c r="E263" s="379">
        <v>263.75</v>
      </c>
      <c r="F263" s="379">
        <v>112.6</v>
      </c>
      <c r="G263" s="379">
        <v>0</v>
      </c>
      <c r="H263" s="379">
        <v>0</v>
      </c>
      <c r="I263" s="379">
        <v>0</v>
      </c>
      <c r="J263" s="380">
        <v>0</v>
      </c>
    </row>
    <row r="264" spans="1:10" ht="27.75" customHeight="1">
      <c r="A264" s="383" t="s">
        <v>1728</v>
      </c>
      <c r="B264" s="404" t="s">
        <v>2436</v>
      </c>
      <c r="C264" s="379">
        <f t="shared" si="34"/>
        <v>597.09999999999991</v>
      </c>
      <c r="D264" s="379">
        <f t="shared" si="27"/>
        <v>445.46</v>
      </c>
      <c r="E264" s="379">
        <v>445.46</v>
      </c>
      <c r="F264" s="815" t="s">
        <v>1588</v>
      </c>
      <c r="G264" s="815" t="s">
        <v>1588</v>
      </c>
      <c r="H264" s="815" t="s">
        <v>1588</v>
      </c>
      <c r="I264" s="815" t="s">
        <v>1588</v>
      </c>
      <c r="J264" s="380">
        <v>151.63999999999999</v>
      </c>
    </row>
    <row r="265" spans="1:10" ht="27.75" customHeight="1">
      <c r="A265" s="378" t="s">
        <v>1731</v>
      </c>
      <c r="B265" s="404" t="s">
        <v>2370</v>
      </c>
      <c r="C265" s="379">
        <f t="shared" si="34"/>
        <v>945</v>
      </c>
      <c r="D265" s="379">
        <f t="shared" si="27"/>
        <v>945</v>
      </c>
      <c r="E265" s="815" t="s">
        <v>1588</v>
      </c>
      <c r="F265" s="815" t="s">
        <v>1588</v>
      </c>
      <c r="G265" s="815" t="s">
        <v>1588</v>
      </c>
      <c r="H265" s="379">
        <v>945</v>
      </c>
      <c r="I265" s="815" t="s">
        <v>1588</v>
      </c>
      <c r="J265" s="816" t="s">
        <v>1588</v>
      </c>
    </row>
    <row r="266" spans="1:10" ht="27.75" customHeight="1">
      <c r="A266" s="378" t="s">
        <v>1732</v>
      </c>
      <c r="B266" s="404" t="s">
        <v>278</v>
      </c>
      <c r="C266" s="379">
        <f t="shared" si="34"/>
        <v>661.94</v>
      </c>
      <c r="D266" s="379">
        <f t="shared" ref="D266:D300" si="35">SUM(E266:I266)</f>
        <v>661.94</v>
      </c>
      <c r="E266" s="815" t="s">
        <v>1588</v>
      </c>
      <c r="F266" s="815" t="s">
        <v>1588</v>
      </c>
      <c r="G266" s="815" t="s">
        <v>1588</v>
      </c>
      <c r="H266" s="379">
        <v>661.94</v>
      </c>
      <c r="I266" s="815" t="s">
        <v>1588</v>
      </c>
      <c r="J266" s="380">
        <v>0</v>
      </c>
    </row>
    <row r="267" spans="1:10" ht="27.75" customHeight="1">
      <c r="A267" s="378" t="s">
        <v>1739</v>
      </c>
      <c r="B267" s="404" t="s">
        <v>382</v>
      </c>
      <c r="C267" s="379">
        <f t="shared" si="34"/>
        <v>0</v>
      </c>
      <c r="D267" s="379">
        <f t="shared" si="35"/>
        <v>0</v>
      </c>
      <c r="E267" s="815" t="s">
        <v>1588</v>
      </c>
      <c r="F267" s="815" t="s">
        <v>1588</v>
      </c>
      <c r="G267" s="815" t="s">
        <v>1588</v>
      </c>
      <c r="H267" s="815" t="s">
        <v>1588</v>
      </c>
      <c r="I267" s="815" t="s">
        <v>1588</v>
      </c>
      <c r="J267" s="816" t="s">
        <v>1588</v>
      </c>
    </row>
    <row r="268" spans="1:10" ht="27.75" customHeight="1">
      <c r="A268" s="381" t="s">
        <v>1740</v>
      </c>
      <c r="B268" s="404" t="s">
        <v>383</v>
      </c>
      <c r="C268" s="379">
        <f t="shared" si="34"/>
        <v>317</v>
      </c>
      <c r="D268" s="379">
        <f t="shared" si="35"/>
        <v>317</v>
      </c>
      <c r="E268" s="815" t="s">
        <v>1588</v>
      </c>
      <c r="F268" s="379">
        <v>317</v>
      </c>
      <c r="G268" s="815" t="s">
        <v>1588</v>
      </c>
      <c r="H268" s="815" t="s">
        <v>1588</v>
      </c>
      <c r="I268" s="815" t="s">
        <v>1588</v>
      </c>
      <c r="J268" s="816" t="s">
        <v>1588</v>
      </c>
    </row>
    <row r="269" spans="1:10" ht="27.75" customHeight="1">
      <c r="A269" s="381" t="s">
        <v>1742</v>
      </c>
      <c r="B269" s="405" t="s">
        <v>384</v>
      </c>
      <c r="C269" s="379">
        <f t="shared" si="34"/>
        <v>20</v>
      </c>
      <c r="D269" s="379">
        <f t="shared" si="35"/>
        <v>20</v>
      </c>
      <c r="E269" s="379">
        <v>20</v>
      </c>
      <c r="F269" s="815" t="s">
        <v>1588</v>
      </c>
      <c r="G269" s="815" t="s">
        <v>1588</v>
      </c>
      <c r="H269" s="815" t="s">
        <v>1588</v>
      </c>
      <c r="I269" s="815" t="s">
        <v>1588</v>
      </c>
      <c r="J269" s="816" t="s">
        <v>1588</v>
      </c>
    </row>
    <row r="270" spans="1:10" ht="27.75" customHeight="1">
      <c r="A270" s="383"/>
      <c r="B270" s="405" t="s">
        <v>2438</v>
      </c>
      <c r="C270" s="379">
        <f t="shared" si="34"/>
        <v>12</v>
      </c>
      <c r="D270" s="379">
        <f t="shared" si="35"/>
        <v>12</v>
      </c>
      <c r="E270" s="379">
        <v>12</v>
      </c>
      <c r="F270" s="815" t="s">
        <v>1588</v>
      </c>
      <c r="G270" s="815" t="s">
        <v>1588</v>
      </c>
      <c r="H270" s="815" t="s">
        <v>1588</v>
      </c>
      <c r="I270" s="815" t="s">
        <v>1588</v>
      </c>
      <c r="J270" s="816" t="s">
        <v>1588</v>
      </c>
    </row>
    <row r="271" spans="1:10" ht="27.75" customHeight="1">
      <c r="A271" s="356" t="s">
        <v>1743</v>
      </c>
      <c r="B271" s="411">
        <f>B272+B296</f>
        <v>37</v>
      </c>
      <c r="C271" s="353">
        <f t="shared" si="34"/>
        <v>121945.86999999998</v>
      </c>
      <c r="D271" s="353">
        <f t="shared" si="35"/>
        <v>121937.21999999999</v>
      </c>
      <c r="E271" s="353">
        <f t="shared" ref="E271:J271" si="36">E272+E296</f>
        <v>10093.129999999999</v>
      </c>
      <c r="F271" s="353">
        <f t="shared" si="36"/>
        <v>1214.98</v>
      </c>
      <c r="G271" s="353">
        <f t="shared" si="36"/>
        <v>7410.6200000000008</v>
      </c>
      <c r="H271" s="353">
        <f t="shared" si="36"/>
        <v>103218.48999999999</v>
      </c>
      <c r="I271" s="353">
        <f t="shared" si="36"/>
        <v>0</v>
      </c>
      <c r="J271" s="354">
        <f t="shared" si="36"/>
        <v>8.65</v>
      </c>
    </row>
    <row r="272" spans="1:10" ht="27.75" customHeight="1">
      <c r="A272" s="352" t="s">
        <v>1674</v>
      </c>
      <c r="B272" s="411">
        <f>COUNTA(B273:B295)</f>
        <v>23</v>
      </c>
      <c r="C272" s="353">
        <f t="shared" si="34"/>
        <v>109803.73</v>
      </c>
      <c r="D272" s="353">
        <f t="shared" si="35"/>
        <v>109803.73</v>
      </c>
      <c r="E272" s="353">
        <f t="shared" ref="E272:J272" si="37">SUM(E273:E295)</f>
        <v>10093.129999999999</v>
      </c>
      <c r="F272" s="353">
        <f t="shared" si="37"/>
        <v>369.5</v>
      </c>
      <c r="G272" s="353">
        <f t="shared" si="37"/>
        <v>7410.6200000000008</v>
      </c>
      <c r="H272" s="353">
        <f t="shared" si="37"/>
        <v>91930.48</v>
      </c>
      <c r="I272" s="353">
        <f t="shared" si="37"/>
        <v>0</v>
      </c>
      <c r="J272" s="354">
        <f t="shared" si="37"/>
        <v>0</v>
      </c>
    </row>
    <row r="273" spans="1:10" ht="27.75" customHeight="1">
      <c r="A273" s="352" t="s">
        <v>1744</v>
      </c>
      <c r="B273" s="398" t="s">
        <v>2373</v>
      </c>
      <c r="C273" s="384">
        <f t="shared" si="34"/>
        <v>8557.7000000000007</v>
      </c>
      <c r="D273" s="384">
        <f t="shared" si="35"/>
        <v>8557.7000000000007</v>
      </c>
      <c r="E273" s="353">
        <v>349.44</v>
      </c>
      <c r="F273" s="632" t="s">
        <v>1588</v>
      </c>
      <c r="G273" s="632" t="s">
        <v>1588</v>
      </c>
      <c r="H273" s="353">
        <v>8208.26</v>
      </c>
      <c r="I273" s="632" t="s">
        <v>1588</v>
      </c>
      <c r="J273" s="633" t="s">
        <v>1588</v>
      </c>
    </row>
    <row r="274" spans="1:10" ht="27.75" customHeight="1">
      <c r="A274" s="355"/>
      <c r="B274" s="406" t="s">
        <v>2059</v>
      </c>
      <c r="C274" s="384">
        <f t="shared" si="34"/>
        <v>1546.39</v>
      </c>
      <c r="D274" s="384">
        <f t="shared" si="35"/>
        <v>1546.39</v>
      </c>
      <c r="E274" s="784" t="s">
        <v>1588</v>
      </c>
      <c r="F274" s="784" t="s">
        <v>1588</v>
      </c>
      <c r="G274" s="784" t="s">
        <v>1588</v>
      </c>
      <c r="H274" s="385">
        <v>1546.39</v>
      </c>
      <c r="I274" s="632" t="s">
        <v>1588</v>
      </c>
      <c r="J274" s="633" t="s">
        <v>1588</v>
      </c>
    </row>
    <row r="275" spans="1:10" ht="27.75" customHeight="1">
      <c r="A275" s="355"/>
      <c r="B275" s="406" t="s">
        <v>2061</v>
      </c>
      <c r="C275" s="384">
        <f t="shared" si="34"/>
        <v>986</v>
      </c>
      <c r="D275" s="384">
        <f t="shared" si="35"/>
        <v>986</v>
      </c>
      <c r="E275" s="385">
        <v>986</v>
      </c>
      <c r="F275" s="784" t="s">
        <v>1588</v>
      </c>
      <c r="G275" s="784" t="s">
        <v>1588</v>
      </c>
      <c r="H275" s="784" t="s">
        <v>1588</v>
      </c>
      <c r="I275" s="632" t="s">
        <v>1588</v>
      </c>
      <c r="J275" s="633" t="s">
        <v>1588</v>
      </c>
    </row>
    <row r="276" spans="1:10" ht="27.75" customHeight="1">
      <c r="A276" s="352" t="s">
        <v>1894</v>
      </c>
      <c r="B276" s="398" t="s">
        <v>2374</v>
      </c>
      <c r="C276" s="350">
        <f t="shared" si="34"/>
        <v>19130</v>
      </c>
      <c r="D276" s="350">
        <f t="shared" si="35"/>
        <v>19130</v>
      </c>
      <c r="E276" s="626" t="s">
        <v>1588</v>
      </c>
      <c r="F276" s="626" t="s">
        <v>1588</v>
      </c>
      <c r="G276" s="626" t="s">
        <v>1588</v>
      </c>
      <c r="H276" s="350">
        <v>19130</v>
      </c>
      <c r="I276" s="626" t="s">
        <v>1588</v>
      </c>
      <c r="J276" s="627" t="s">
        <v>1588</v>
      </c>
    </row>
    <row r="277" spans="1:10" ht="27.75" customHeight="1">
      <c r="A277" s="355"/>
      <c r="B277" s="398" t="s">
        <v>2065</v>
      </c>
      <c r="C277" s="350">
        <f t="shared" si="34"/>
        <v>1350</v>
      </c>
      <c r="D277" s="350">
        <f t="shared" si="35"/>
        <v>1350</v>
      </c>
      <c r="E277" s="626" t="s">
        <v>1588</v>
      </c>
      <c r="F277" s="626" t="s">
        <v>1588</v>
      </c>
      <c r="G277" s="626" t="s">
        <v>1588</v>
      </c>
      <c r="H277" s="350">
        <v>1350</v>
      </c>
      <c r="I277" s="626" t="s">
        <v>1588</v>
      </c>
      <c r="J277" s="627" t="s">
        <v>1588</v>
      </c>
    </row>
    <row r="278" spans="1:10" ht="27.75" customHeight="1">
      <c r="A278" s="355"/>
      <c r="B278" s="398" t="s">
        <v>279</v>
      </c>
      <c r="C278" s="350">
        <f t="shared" si="34"/>
        <v>283</v>
      </c>
      <c r="D278" s="350">
        <f t="shared" si="35"/>
        <v>283</v>
      </c>
      <c r="E278" s="626" t="s">
        <v>1588</v>
      </c>
      <c r="F278" s="626" t="s">
        <v>1588</v>
      </c>
      <c r="G278" s="626" t="s">
        <v>1588</v>
      </c>
      <c r="H278" s="350">
        <v>283</v>
      </c>
      <c r="I278" s="626" t="s">
        <v>1588</v>
      </c>
      <c r="J278" s="627" t="s">
        <v>1588</v>
      </c>
    </row>
    <row r="279" spans="1:10" ht="27.75" customHeight="1">
      <c r="A279" s="355"/>
      <c r="B279" s="398" t="s">
        <v>280</v>
      </c>
      <c r="C279" s="350">
        <f t="shared" si="34"/>
        <v>66</v>
      </c>
      <c r="D279" s="350">
        <f t="shared" si="35"/>
        <v>66</v>
      </c>
      <c r="E279" s="626" t="s">
        <v>1588</v>
      </c>
      <c r="F279" s="626" t="s">
        <v>1588</v>
      </c>
      <c r="G279" s="626" t="s">
        <v>1588</v>
      </c>
      <c r="H279" s="350">
        <v>66</v>
      </c>
      <c r="I279" s="626" t="s">
        <v>1588</v>
      </c>
      <c r="J279" s="627" t="s">
        <v>1588</v>
      </c>
    </row>
    <row r="280" spans="1:10" ht="27.75" customHeight="1">
      <c r="A280" s="355"/>
      <c r="B280" s="398" t="s">
        <v>281</v>
      </c>
      <c r="C280" s="350">
        <f t="shared" si="34"/>
        <v>13</v>
      </c>
      <c r="D280" s="350">
        <f t="shared" si="35"/>
        <v>13</v>
      </c>
      <c r="E280" s="626" t="s">
        <v>1588</v>
      </c>
      <c r="F280" s="626" t="s">
        <v>1588</v>
      </c>
      <c r="G280" s="626" t="s">
        <v>1588</v>
      </c>
      <c r="H280" s="350">
        <v>13</v>
      </c>
      <c r="I280" s="626" t="s">
        <v>1588</v>
      </c>
      <c r="J280" s="627" t="s">
        <v>1588</v>
      </c>
    </row>
    <row r="281" spans="1:10" ht="27.75" customHeight="1">
      <c r="A281" s="356"/>
      <c r="B281" s="398" t="s">
        <v>282</v>
      </c>
      <c r="C281" s="350">
        <f t="shared" si="34"/>
        <v>40</v>
      </c>
      <c r="D281" s="350">
        <f t="shared" si="35"/>
        <v>40</v>
      </c>
      <c r="E281" s="626" t="s">
        <v>1588</v>
      </c>
      <c r="F281" s="626" t="s">
        <v>1588</v>
      </c>
      <c r="G281" s="626" t="s">
        <v>1588</v>
      </c>
      <c r="H281" s="350">
        <v>40</v>
      </c>
      <c r="I281" s="626" t="s">
        <v>1588</v>
      </c>
      <c r="J281" s="627" t="s">
        <v>1588</v>
      </c>
    </row>
    <row r="282" spans="1:10" ht="27.75" customHeight="1">
      <c r="A282" s="356" t="s">
        <v>1898</v>
      </c>
      <c r="B282" s="397" t="s">
        <v>2324</v>
      </c>
      <c r="C282" s="353">
        <f t="shared" si="34"/>
        <v>9149.5</v>
      </c>
      <c r="D282" s="353">
        <f t="shared" si="35"/>
        <v>9149.5</v>
      </c>
      <c r="E282" s="632" t="s">
        <v>1588</v>
      </c>
      <c r="F282" s="632" t="s">
        <v>1588</v>
      </c>
      <c r="G282" s="632" t="s">
        <v>1588</v>
      </c>
      <c r="H282" s="353">
        <v>9149.5</v>
      </c>
      <c r="I282" s="632" t="s">
        <v>1588</v>
      </c>
      <c r="J282" s="354">
        <v>0</v>
      </c>
    </row>
    <row r="283" spans="1:10" ht="27.75" customHeight="1">
      <c r="A283" s="352" t="s">
        <v>1968</v>
      </c>
      <c r="B283" s="397" t="s">
        <v>2325</v>
      </c>
      <c r="C283" s="353">
        <f t="shared" si="34"/>
        <v>16115.4</v>
      </c>
      <c r="D283" s="353">
        <f t="shared" si="35"/>
        <v>16115.4</v>
      </c>
      <c r="E283" s="353">
        <v>0</v>
      </c>
      <c r="F283" s="353">
        <v>0</v>
      </c>
      <c r="G283" s="353">
        <v>0</v>
      </c>
      <c r="H283" s="353">
        <v>16115.4</v>
      </c>
      <c r="I283" s="353">
        <v>0</v>
      </c>
      <c r="J283" s="354">
        <v>0</v>
      </c>
    </row>
    <row r="284" spans="1:10" ht="27.75" customHeight="1">
      <c r="A284" s="352" t="s">
        <v>1969</v>
      </c>
      <c r="B284" s="398" t="s">
        <v>2326</v>
      </c>
      <c r="C284" s="350">
        <f t="shared" si="34"/>
        <v>30958.33</v>
      </c>
      <c r="D284" s="350">
        <f t="shared" si="35"/>
        <v>30958.33</v>
      </c>
      <c r="E284" s="626" t="s">
        <v>1588</v>
      </c>
      <c r="F284" s="626" t="s">
        <v>1588</v>
      </c>
      <c r="G284" s="350">
        <v>4668.2700000000004</v>
      </c>
      <c r="H284" s="350">
        <v>26290.06</v>
      </c>
      <c r="I284" s="626" t="s">
        <v>1588</v>
      </c>
      <c r="J284" s="354">
        <v>0</v>
      </c>
    </row>
    <row r="285" spans="1:10" ht="27.75" customHeight="1">
      <c r="A285" s="355"/>
      <c r="B285" s="398" t="s">
        <v>283</v>
      </c>
      <c r="C285" s="350">
        <f t="shared" si="34"/>
        <v>20</v>
      </c>
      <c r="D285" s="350">
        <f t="shared" si="35"/>
        <v>20</v>
      </c>
      <c r="E285" s="626" t="s">
        <v>1588</v>
      </c>
      <c r="F285" s="626" t="s">
        <v>1588</v>
      </c>
      <c r="G285" s="626" t="s">
        <v>1588</v>
      </c>
      <c r="H285" s="350">
        <v>20</v>
      </c>
      <c r="I285" s="815" t="s">
        <v>1588</v>
      </c>
      <c r="J285" s="354">
        <v>0</v>
      </c>
    </row>
    <row r="286" spans="1:10" ht="27.75" customHeight="1">
      <c r="A286" s="355"/>
      <c r="B286" s="406" t="s">
        <v>284</v>
      </c>
      <c r="C286" s="386">
        <f t="shared" si="34"/>
        <v>2908.73</v>
      </c>
      <c r="D286" s="386">
        <f t="shared" si="35"/>
        <v>2908.73</v>
      </c>
      <c r="E286" s="815" t="s">
        <v>1588</v>
      </c>
      <c r="F286" s="815" t="s">
        <v>1588</v>
      </c>
      <c r="G286" s="815" t="s">
        <v>1588</v>
      </c>
      <c r="H286" s="379">
        <v>2908.73</v>
      </c>
      <c r="I286" s="815" t="s">
        <v>1588</v>
      </c>
      <c r="J286" s="387">
        <v>0</v>
      </c>
    </row>
    <row r="287" spans="1:10" ht="27.75" customHeight="1">
      <c r="A287" s="356"/>
      <c r="B287" s="406" t="s">
        <v>285</v>
      </c>
      <c r="C287" s="386">
        <f t="shared" si="34"/>
        <v>369.5</v>
      </c>
      <c r="D287" s="386">
        <f t="shared" si="35"/>
        <v>369.5</v>
      </c>
      <c r="E287" s="815" t="s">
        <v>1588</v>
      </c>
      <c r="F287" s="379">
        <v>369.5</v>
      </c>
      <c r="G287" s="815" t="s">
        <v>1588</v>
      </c>
      <c r="H287" s="815" t="s">
        <v>1588</v>
      </c>
      <c r="I287" s="815" t="s">
        <v>1588</v>
      </c>
      <c r="J287" s="387">
        <v>0</v>
      </c>
    </row>
    <row r="288" spans="1:10" ht="27.75" customHeight="1">
      <c r="A288" s="388" t="s">
        <v>2008</v>
      </c>
      <c r="B288" s="407" t="s">
        <v>2328</v>
      </c>
      <c r="C288" s="389">
        <f t="shared" si="34"/>
        <v>4888.8999999999996</v>
      </c>
      <c r="D288" s="389">
        <f t="shared" si="35"/>
        <v>4888.8999999999996</v>
      </c>
      <c r="E288" s="389">
        <v>2701.12</v>
      </c>
      <c r="F288" s="811" t="s">
        <v>1588</v>
      </c>
      <c r="G288" s="811" t="s">
        <v>1588</v>
      </c>
      <c r="H288" s="389">
        <v>2187.7800000000002</v>
      </c>
      <c r="I288" s="811" t="s">
        <v>1588</v>
      </c>
      <c r="J288" s="812" t="s">
        <v>1588</v>
      </c>
    </row>
    <row r="289" spans="1:10" ht="27.75" customHeight="1">
      <c r="A289" s="352" t="s">
        <v>1901</v>
      </c>
      <c r="B289" s="398" t="s">
        <v>2329</v>
      </c>
      <c r="C289" s="353">
        <f t="shared" si="34"/>
        <v>2785</v>
      </c>
      <c r="D289" s="353">
        <f t="shared" si="35"/>
        <v>2785</v>
      </c>
      <c r="E289" s="353">
        <v>2785</v>
      </c>
      <c r="F289" s="632" t="s">
        <v>1588</v>
      </c>
      <c r="G289" s="632" t="s">
        <v>1588</v>
      </c>
      <c r="H289" s="632" t="s">
        <v>1588</v>
      </c>
      <c r="I289" s="632" t="s">
        <v>1588</v>
      </c>
      <c r="J289" s="633" t="s">
        <v>1588</v>
      </c>
    </row>
    <row r="290" spans="1:10" ht="27.75" customHeight="1">
      <c r="A290" s="356"/>
      <c r="B290" s="398" t="s">
        <v>286</v>
      </c>
      <c r="C290" s="353">
        <f t="shared" si="34"/>
        <v>197</v>
      </c>
      <c r="D290" s="353">
        <f t="shared" si="35"/>
        <v>197</v>
      </c>
      <c r="E290" s="353">
        <v>197</v>
      </c>
      <c r="F290" s="632" t="s">
        <v>1588</v>
      </c>
      <c r="G290" s="632" t="s">
        <v>1588</v>
      </c>
      <c r="H290" s="632" t="s">
        <v>1588</v>
      </c>
      <c r="I290" s="632" t="s">
        <v>1588</v>
      </c>
      <c r="J290" s="633" t="s">
        <v>1588</v>
      </c>
    </row>
    <row r="291" spans="1:10" ht="27.75" customHeight="1">
      <c r="A291" s="355" t="s">
        <v>1902</v>
      </c>
      <c r="B291" s="397" t="s">
        <v>2167</v>
      </c>
      <c r="C291" s="353">
        <f t="shared" si="34"/>
        <v>2986.31</v>
      </c>
      <c r="D291" s="353">
        <f t="shared" si="35"/>
        <v>2986.31</v>
      </c>
      <c r="E291" s="632" t="s">
        <v>1588</v>
      </c>
      <c r="F291" s="632" t="s">
        <v>1588</v>
      </c>
      <c r="G291" s="353">
        <v>2742.35</v>
      </c>
      <c r="H291" s="353">
        <v>243.96</v>
      </c>
      <c r="I291" s="632" t="s">
        <v>1588</v>
      </c>
      <c r="J291" s="633" t="s">
        <v>1588</v>
      </c>
    </row>
    <row r="292" spans="1:10" ht="27.75" customHeight="1">
      <c r="A292" s="352" t="s">
        <v>2009</v>
      </c>
      <c r="B292" s="398" t="s">
        <v>2332</v>
      </c>
      <c r="C292" s="353">
        <f t="shared" si="34"/>
        <v>3004.57</v>
      </c>
      <c r="D292" s="353">
        <f t="shared" si="35"/>
        <v>3004.57</v>
      </c>
      <c r="E292" s="353">
        <v>3004.57</v>
      </c>
      <c r="F292" s="632" t="s">
        <v>1588</v>
      </c>
      <c r="G292" s="632" t="s">
        <v>1588</v>
      </c>
      <c r="H292" s="632" t="s">
        <v>1588</v>
      </c>
      <c r="I292" s="632" t="s">
        <v>1588</v>
      </c>
      <c r="J292" s="633" t="s">
        <v>1588</v>
      </c>
    </row>
    <row r="293" spans="1:10" ht="27.75" customHeight="1">
      <c r="A293" s="355"/>
      <c r="B293" s="398" t="s">
        <v>287</v>
      </c>
      <c r="C293" s="353">
        <f t="shared" si="34"/>
        <v>62</v>
      </c>
      <c r="D293" s="353">
        <f t="shared" si="35"/>
        <v>62</v>
      </c>
      <c r="E293" s="353">
        <v>62</v>
      </c>
      <c r="F293" s="632" t="s">
        <v>1588</v>
      </c>
      <c r="G293" s="632" t="s">
        <v>1588</v>
      </c>
      <c r="H293" s="632" t="s">
        <v>1588</v>
      </c>
      <c r="I293" s="632" t="s">
        <v>1588</v>
      </c>
      <c r="J293" s="633" t="s">
        <v>1588</v>
      </c>
    </row>
    <row r="294" spans="1:10" ht="27.75" customHeight="1">
      <c r="A294" s="356"/>
      <c r="B294" s="398" t="s">
        <v>288</v>
      </c>
      <c r="C294" s="353">
        <f t="shared" si="34"/>
        <v>8</v>
      </c>
      <c r="D294" s="353">
        <f t="shared" si="35"/>
        <v>8</v>
      </c>
      <c r="E294" s="353">
        <v>8</v>
      </c>
      <c r="F294" s="632" t="s">
        <v>1588</v>
      </c>
      <c r="G294" s="632" t="s">
        <v>1588</v>
      </c>
      <c r="H294" s="632" t="s">
        <v>1588</v>
      </c>
      <c r="I294" s="632" t="s">
        <v>1588</v>
      </c>
      <c r="J294" s="633" t="s">
        <v>1588</v>
      </c>
    </row>
    <row r="295" spans="1:10" ht="27.75" customHeight="1">
      <c r="A295" s="356" t="s">
        <v>1907</v>
      </c>
      <c r="B295" s="397" t="s">
        <v>2333</v>
      </c>
      <c r="C295" s="353">
        <f t="shared" si="34"/>
        <v>4378.3999999999996</v>
      </c>
      <c r="D295" s="353">
        <f t="shared" si="35"/>
        <v>4378.3999999999996</v>
      </c>
      <c r="E295" s="632" t="s">
        <v>1588</v>
      </c>
      <c r="F295" s="632" t="s">
        <v>1588</v>
      </c>
      <c r="G295" s="632" t="s">
        <v>1588</v>
      </c>
      <c r="H295" s="353">
        <v>4378.3999999999996</v>
      </c>
      <c r="I295" s="632" t="s">
        <v>1588</v>
      </c>
      <c r="J295" s="633" t="s">
        <v>1588</v>
      </c>
    </row>
    <row r="296" spans="1:10" ht="27.75" customHeight="1">
      <c r="A296" s="352" t="s">
        <v>1616</v>
      </c>
      <c r="B296" s="411">
        <f>COUNTA(B297:B310)</f>
        <v>14</v>
      </c>
      <c r="C296" s="353">
        <f t="shared" si="34"/>
        <v>12142.139999999998</v>
      </c>
      <c r="D296" s="353">
        <f t="shared" si="35"/>
        <v>12133.489999999998</v>
      </c>
      <c r="E296" s="353">
        <f t="shared" ref="E296:J296" si="38">SUM(E297:E310)</f>
        <v>0</v>
      </c>
      <c r="F296" s="353">
        <f t="shared" si="38"/>
        <v>845.48</v>
      </c>
      <c r="G296" s="353">
        <f t="shared" si="38"/>
        <v>0</v>
      </c>
      <c r="H296" s="353">
        <f t="shared" si="38"/>
        <v>11288.009999999998</v>
      </c>
      <c r="I296" s="353">
        <f t="shared" si="38"/>
        <v>0</v>
      </c>
      <c r="J296" s="354">
        <f t="shared" si="38"/>
        <v>8.65</v>
      </c>
    </row>
    <row r="297" spans="1:10" ht="27.75" customHeight="1">
      <c r="A297" s="352" t="s">
        <v>1909</v>
      </c>
      <c r="B297" s="398" t="s">
        <v>2334</v>
      </c>
      <c r="C297" s="353">
        <f t="shared" si="34"/>
        <v>1045.92</v>
      </c>
      <c r="D297" s="353">
        <f t="shared" si="35"/>
        <v>1045.92</v>
      </c>
      <c r="E297" s="353">
        <v>0</v>
      </c>
      <c r="F297" s="632" t="s">
        <v>1588</v>
      </c>
      <c r="G297" s="353">
        <v>0</v>
      </c>
      <c r="H297" s="353">
        <v>1045.92</v>
      </c>
      <c r="I297" s="353">
        <v>0</v>
      </c>
      <c r="J297" s="354">
        <v>0</v>
      </c>
    </row>
    <row r="298" spans="1:10" ht="27.75" customHeight="1">
      <c r="A298" s="355"/>
      <c r="B298" s="398" t="s">
        <v>289</v>
      </c>
      <c r="C298" s="353">
        <f t="shared" si="34"/>
        <v>103.54</v>
      </c>
      <c r="D298" s="353">
        <f t="shared" si="35"/>
        <v>103.54</v>
      </c>
      <c r="E298" s="632" t="s">
        <v>1588</v>
      </c>
      <c r="F298" s="632" t="s">
        <v>1588</v>
      </c>
      <c r="G298" s="632" t="s">
        <v>1588</v>
      </c>
      <c r="H298" s="353">
        <v>103.54</v>
      </c>
      <c r="I298" s="632" t="s">
        <v>1588</v>
      </c>
      <c r="J298" s="354">
        <v>0</v>
      </c>
    </row>
    <row r="299" spans="1:10" ht="27.75" customHeight="1">
      <c r="A299" s="352" t="s">
        <v>1917</v>
      </c>
      <c r="B299" s="398" t="s">
        <v>2041</v>
      </c>
      <c r="C299" s="353">
        <f t="shared" si="34"/>
        <v>816.23</v>
      </c>
      <c r="D299" s="353">
        <f t="shared" si="35"/>
        <v>816.23</v>
      </c>
      <c r="E299" s="632" t="s">
        <v>1588</v>
      </c>
      <c r="F299" s="353">
        <v>24.02</v>
      </c>
      <c r="G299" s="632" t="s">
        <v>1588</v>
      </c>
      <c r="H299" s="353">
        <v>792.21</v>
      </c>
      <c r="I299" s="632" t="s">
        <v>1588</v>
      </c>
      <c r="J299" s="633" t="s">
        <v>1588</v>
      </c>
    </row>
    <row r="300" spans="1:10" ht="27.75" customHeight="1">
      <c r="A300" s="355"/>
      <c r="B300" s="398" t="s">
        <v>2337</v>
      </c>
      <c r="C300" s="353">
        <f t="shared" si="34"/>
        <v>34</v>
      </c>
      <c r="D300" s="353">
        <f t="shared" si="35"/>
        <v>34</v>
      </c>
      <c r="E300" s="632" t="s">
        <v>1588</v>
      </c>
      <c r="F300" s="632" t="s">
        <v>1588</v>
      </c>
      <c r="G300" s="632" t="s">
        <v>1588</v>
      </c>
      <c r="H300" s="353">
        <v>34</v>
      </c>
      <c r="I300" s="632" t="s">
        <v>1588</v>
      </c>
      <c r="J300" s="633" t="s">
        <v>1588</v>
      </c>
    </row>
    <row r="301" spans="1:10" ht="27.75" customHeight="1">
      <c r="A301" s="355"/>
      <c r="B301" s="398" t="s">
        <v>2076</v>
      </c>
      <c r="C301" s="2001" t="s">
        <v>406</v>
      </c>
      <c r="D301" s="2002"/>
      <c r="E301" s="821" t="s">
        <v>1588</v>
      </c>
      <c r="F301" s="632" t="s">
        <v>1588</v>
      </c>
      <c r="G301" s="632" t="s">
        <v>1588</v>
      </c>
      <c r="H301" s="632" t="s">
        <v>1588</v>
      </c>
      <c r="I301" s="632" t="s">
        <v>1588</v>
      </c>
      <c r="J301" s="633" t="s">
        <v>1588</v>
      </c>
    </row>
    <row r="302" spans="1:10" ht="27.75" customHeight="1">
      <c r="A302" s="352" t="s">
        <v>1918</v>
      </c>
      <c r="B302" s="398" t="s">
        <v>2338</v>
      </c>
      <c r="C302" s="353">
        <f t="shared" si="34"/>
        <v>1268</v>
      </c>
      <c r="D302" s="353">
        <f>SUM(E302:I302)</f>
        <v>1268</v>
      </c>
      <c r="E302" s="632" t="s">
        <v>1588</v>
      </c>
      <c r="F302" s="632" t="s">
        <v>1588</v>
      </c>
      <c r="G302" s="632" t="s">
        <v>1588</v>
      </c>
      <c r="H302" s="353">
        <v>1268</v>
      </c>
      <c r="I302" s="632" t="s">
        <v>1588</v>
      </c>
      <c r="J302" s="633" t="s">
        <v>1588</v>
      </c>
    </row>
    <row r="303" spans="1:10" ht="27.75" customHeight="1">
      <c r="A303" s="356"/>
      <c r="B303" s="398" t="s">
        <v>338</v>
      </c>
      <c r="C303" s="2001" t="s">
        <v>407</v>
      </c>
      <c r="D303" s="2002"/>
      <c r="E303" s="821" t="s">
        <v>1588</v>
      </c>
      <c r="F303" s="632" t="s">
        <v>1588</v>
      </c>
      <c r="G303" s="632" t="s">
        <v>1588</v>
      </c>
      <c r="H303" s="632" t="s">
        <v>1588</v>
      </c>
      <c r="I303" s="632" t="s">
        <v>1588</v>
      </c>
      <c r="J303" s="633" t="s">
        <v>1588</v>
      </c>
    </row>
    <row r="304" spans="1:10" ht="27.75" customHeight="1">
      <c r="A304" s="356" t="s">
        <v>1919</v>
      </c>
      <c r="B304" s="397" t="s">
        <v>2341</v>
      </c>
      <c r="C304" s="353">
        <f t="shared" ref="C304:C350" si="39">SUM(D304,J304)</f>
        <v>280.58000000000004</v>
      </c>
      <c r="D304" s="353">
        <f t="shared" ref="D304:D350" si="40">SUM(E304:I304)</f>
        <v>280.58000000000004</v>
      </c>
      <c r="E304" s="632" t="s">
        <v>1588</v>
      </c>
      <c r="F304" s="353">
        <v>20.86</v>
      </c>
      <c r="G304" s="632" t="s">
        <v>1588</v>
      </c>
      <c r="H304" s="353">
        <v>259.72000000000003</v>
      </c>
      <c r="I304" s="632" t="s">
        <v>1588</v>
      </c>
      <c r="J304" s="633" t="s">
        <v>1588</v>
      </c>
    </row>
    <row r="305" spans="1:10" ht="27.75" customHeight="1">
      <c r="A305" s="352" t="s">
        <v>1921</v>
      </c>
      <c r="B305" s="397" t="s">
        <v>2342</v>
      </c>
      <c r="C305" s="353">
        <f t="shared" si="39"/>
        <v>286.14999999999998</v>
      </c>
      <c r="D305" s="353">
        <f t="shared" si="40"/>
        <v>279</v>
      </c>
      <c r="E305" s="632" t="s">
        <v>1588</v>
      </c>
      <c r="F305" s="632" t="s">
        <v>1588</v>
      </c>
      <c r="G305" s="632" t="s">
        <v>1588</v>
      </c>
      <c r="H305" s="353">
        <v>279</v>
      </c>
      <c r="I305" s="632" t="s">
        <v>1588</v>
      </c>
      <c r="J305" s="354">
        <v>7.15</v>
      </c>
    </row>
    <row r="306" spans="1:10" ht="27.75" customHeight="1">
      <c r="A306" s="352" t="s">
        <v>1922</v>
      </c>
      <c r="B306" s="398" t="s">
        <v>290</v>
      </c>
      <c r="C306" s="353">
        <f t="shared" si="39"/>
        <v>4712</v>
      </c>
      <c r="D306" s="353">
        <f t="shared" si="40"/>
        <v>4712</v>
      </c>
      <c r="E306" s="632" t="s">
        <v>1588</v>
      </c>
      <c r="F306" s="632" t="s">
        <v>1588</v>
      </c>
      <c r="G306" s="632" t="s">
        <v>1588</v>
      </c>
      <c r="H306" s="353">
        <v>4712</v>
      </c>
      <c r="I306" s="632" t="s">
        <v>1588</v>
      </c>
      <c r="J306" s="354">
        <v>0</v>
      </c>
    </row>
    <row r="307" spans="1:10" ht="27.75" customHeight="1">
      <c r="A307" s="356"/>
      <c r="B307" s="398" t="s">
        <v>291</v>
      </c>
      <c r="C307" s="353">
        <f t="shared" si="39"/>
        <v>1321.62</v>
      </c>
      <c r="D307" s="353">
        <f t="shared" si="40"/>
        <v>1321.62</v>
      </c>
      <c r="E307" s="632" t="s">
        <v>1588</v>
      </c>
      <c r="F307" s="632" t="s">
        <v>1588</v>
      </c>
      <c r="G307" s="632" t="s">
        <v>1588</v>
      </c>
      <c r="H307" s="353">
        <v>1321.62</v>
      </c>
      <c r="I307" s="632" t="s">
        <v>1588</v>
      </c>
      <c r="J307" s="354">
        <v>0</v>
      </c>
    </row>
    <row r="308" spans="1:10" ht="27.75" customHeight="1">
      <c r="A308" s="355" t="s">
        <v>1923</v>
      </c>
      <c r="B308" s="397" t="s">
        <v>2343</v>
      </c>
      <c r="C308" s="353">
        <f t="shared" si="39"/>
        <v>1472</v>
      </c>
      <c r="D308" s="353">
        <f t="shared" si="40"/>
        <v>1472</v>
      </c>
      <c r="E308" s="632" t="s">
        <v>1588</v>
      </c>
      <c r="F308" s="632" t="s">
        <v>1588</v>
      </c>
      <c r="G308" s="632" t="s">
        <v>1588</v>
      </c>
      <c r="H308" s="353">
        <v>1472</v>
      </c>
      <c r="I308" s="632" t="s">
        <v>1588</v>
      </c>
      <c r="J308" s="354">
        <v>0</v>
      </c>
    </row>
    <row r="309" spans="1:10" ht="27.75" customHeight="1">
      <c r="A309" s="352" t="s">
        <v>1928</v>
      </c>
      <c r="B309" s="398" t="s">
        <v>2345</v>
      </c>
      <c r="C309" s="353">
        <f t="shared" si="39"/>
        <v>667.5</v>
      </c>
      <c r="D309" s="353">
        <f t="shared" si="40"/>
        <v>666</v>
      </c>
      <c r="E309" s="632" t="s">
        <v>1588</v>
      </c>
      <c r="F309" s="353">
        <v>666</v>
      </c>
      <c r="G309" s="632" t="s">
        <v>1588</v>
      </c>
      <c r="H309" s="632" t="s">
        <v>1588</v>
      </c>
      <c r="I309" s="632" t="s">
        <v>1588</v>
      </c>
      <c r="J309" s="354">
        <v>1.5</v>
      </c>
    </row>
    <row r="310" spans="1:10" ht="27.75" customHeight="1">
      <c r="A310" s="356"/>
      <c r="B310" s="398" t="s">
        <v>292</v>
      </c>
      <c r="C310" s="353">
        <f t="shared" si="39"/>
        <v>134.6</v>
      </c>
      <c r="D310" s="353">
        <f t="shared" si="40"/>
        <v>134.6</v>
      </c>
      <c r="E310" s="632" t="s">
        <v>1588</v>
      </c>
      <c r="F310" s="353">
        <v>134.6</v>
      </c>
      <c r="G310" s="632" t="s">
        <v>1588</v>
      </c>
      <c r="H310" s="632" t="s">
        <v>1588</v>
      </c>
      <c r="I310" s="632" t="s">
        <v>1588</v>
      </c>
      <c r="J310" s="633" t="s">
        <v>1588</v>
      </c>
    </row>
    <row r="311" spans="1:10" ht="27.75" customHeight="1">
      <c r="A311" s="357" t="s">
        <v>1978</v>
      </c>
      <c r="B311" s="413">
        <f>B312+B330</f>
        <v>31</v>
      </c>
      <c r="C311" s="350">
        <f t="shared" si="39"/>
        <v>110837.99</v>
      </c>
      <c r="D311" s="350">
        <f t="shared" si="40"/>
        <v>110832.09000000001</v>
      </c>
      <c r="E311" s="350">
        <f t="shared" ref="E311:J311" si="41">E312+E330</f>
        <v>8070.5</v>
      </c>
      <c r="F311" s="350">
        <f t="shared" si="41"/>
        <v>1676.13</v>
      </c>
      <c r="G311" s="350">
        <f t="shared" si="41"/>
        <v>12742.789999999999</v>
      </c>
      <c r="H311" s="350">
        <f t="shared" si="41"/>
        <v>88342.670000000013</v>
      </c>
      <c r="I311" s="350">
        <f t="shared" si="41"/>
        <v>0</v>
      </c>
      <c r="J311" s="351">
        <f t="shared" si="41"/>
        <v>5.9</v>
      </c>
    </row>
    <row r="312" spans="1:10" ht="27.75" customHeight="1">
      <c r="A312" s="357" t="s">
        <v>1674</v>
      </c>
      <c r="B312" s="411">
        <f>COUNTA(B313:B329)</f>
        <v>17</v>
      </c>
      <c r="C312" s="350">
        <f t="shared" si="39"/>
        <v>98899.66</v>
      </c>
      <c r="D312" s="350">
        <f t="shared" si="40"/>
        <v>98893.760000000009</v>
      </c>
      <c r="E312" s="350">
        <f t="shared" ref="E312:J312" si="42">SUM(E313:E329)</f>
        <v>0</v>
      </c>
      <c r="F312" s="350">
        <f t="shared" si="42"/>
        <v>365.9</v>
      </c>
      <c r="G312" s="350">
        <f t="shared" si="42"/>
        <v>12742.789999999999</v>
      </c>
      <c r="H312" s="350">
        <f t="shared" si="42"/>
        <v>85785.07</v>
      </c>
      <c r="I312" s="350">
        <f t="shared" si="42"/>
        <v>0</v>
      </c>
      <c r="J312" s="351">
        <f t="shared" si="42"/>
        <v>5.9</v>
      </c>
    </row>
    <row r="313" spans="1:10" ht="27.75" customHeight="1">
      <c r="A313" s="352" t="s">
        <v>1930</v>
      </c>
      <c r="B313" s="397" t="s">
        <v>2346</v>
      </c>
      <c r="C313" s="350">
        <f t="shared" si="39"/>
        <v>25483</v>
      </c>
      <c r="D313" s="350">
        <f t="shared" si="40"/>
        <v>25483</v>
      </c>
      <c r="E313" s="626" t="s">
        <v>1588</v>
      </c>
      <c r="F313" s="626" t="s">
        <v>1588</v>
      </c>
      <c r="G313" s="626" t="s">
        <v>1588</v>
      </c>
      <c r="H313" s="350">
        <v>25483</v>
      </c>
      <c r="I313" s="626" t="s">
        <v>1588</v>
      </c>
      <c r="J313" s="627" t="s">
        <v>1588</v>
      </c>
    </row>
    <row r="314" spans="1:10" ht="27.75" customHeight="1">
      <c r="A314" s="352" t="s">
        <v>1931</v>
      </c>
      <c r="B314" s="398" t="s">
        <v>293</v>
      </c>
      <c r="C314" s="350">
        <f t="shared" si="39"/>
        <v>14639</v>
      </c>
      <c r="D314" s="350">
        <f t="shared" si="40"/>
        <v>14639</v>
      </c>
      <c r="E314" s="626" t="s">
        <v>1588</v>
      </c>
      <c r="F314" s="626" t="s">
        <v>1588</v>
      </c>
      <c r="G314" s="626" t="s">
        <v>1588</v>
      </c>
      <c r="H314" s="350">
        <v>14639</v>
      </c>
      <c r="I314" s="626" t="s">
        <v>1588</v>
      </c>
      <c r="J314" s="627" t="s">
        <v>1588</v>
      </c>
    </row>
    <row r="315" spans="1:10" ht="27.75" customHeight="1">
      <c r="A315" s="355"/>
      <c r="B315" s="398" t="s">
        <v>294</v>
      </c>
      <c r="C315" s="350">
        <f t="shared" si="39"/>
        <v>260.2</v>
      </c>
      <c r="D315" s="350">
        <f t="shared" si="40"/>
        <v>260.2</v>
      </c>
      <c r="E315" s="626" t="s">
        <v>1588</v>
      </c>
      <c r="F315" s="350">
        <v>260.2</v>
      </c>
      <c r="G315" s="626" t="s">
        <v>1588</v>
      </c>
      <c r="H315" s="626" t="s">
        <v>1588</v>
      </c>
      <c r="I315" s="626" t="s">
        <v>1588</v>
      </c>
      <c r="J315" s="627" t="s">
        <v>1588</v>
      </c>
    </row>
    <row r="316" spans="1:10" ht="27.75" customHeight="1">
      <c r="A316" s="356"/>
      <c r="B316" s="398" t="s">
        <v>295</v>
      </c>
      <c r="C316" s="350">
        <f t="shared" si="39"/>
        <v>105.7</v>
      </c>
      <c r="D316" s="350">
        <f t="shared" si="40"/>
        <v>105.7</v>
      </c>
      <c r="E316" s="626" t="s">
        <v>1588</v>
      </c>
      <c r="F316" s="350">
        <v>105.7</v>
      </c>
      <c r="G316" s="626" t="s">
        <v>1588</v>
      </c>
      <c r="H316" s="626" t="s">
        <v>1588</v>
      </c>
      <c r="I316" s="626" t="s">
        <v>1588</v>
      </c>
      <c r="J316" s="627" t="s">
        <v>1588</v>
      </c>
    </row>
    <row r="317" spans="1:10" ht="27.75" customHeight="1">
      <c r="A317" s="356" t="s">
        <v>1933</v>
      </c>
      <c r="B317" s="397" t="s">
        <v>419</v>
      </c>
      <c r="C317" s="350">
        <f t="shared" si="39"/>
        <v>6243</v>
      </c>
      <c r="D317" s="350">
        <f t="shared" si="40"/>
        <v>6243</v>
      </c>
      <c r="E317" s="626" t="s">
        <v>1588</v>
      </c>
      <c r="F317" s="626" t="s">
        <v>1588</v>
      </c>
      <c r="G317" s="626" t="s">
        <v>1588</v>
      </c>
      <c r="H317" s="350">
        <v>6243</v>
      </c>
      <c r="I317" s="626" t="s">
        <v>1588</v>
      </c>
      <c r="J317" s="627" t="s">
        <v>1588</v>
      </c>
    </row>
    <row r="318" spans="1:10" ht="27.75" customHeight="1">
      <c r="A318" s="352" t="s">
        <v>1936</v>
      </c>
      <c r="B318" s="401" t="s">
        <v>420</v>
      </c>
      <c r="C318" s="350">
        <f t="shared" si="39"/>
        <v>2484.7600000000002</v>
      </c>
      <c r="D318" s="350">
        <f t="shared" si="40"/>
        <v>2484.7600000000002</v>
      </c>
      <c r="E318" s="626" t="s">
        <v>1588</v>
      </c>
      <c r="F318" s="626" t="s">
        <v>1588</v>
      </c>
      <c r="G318" s="350">
        <v>2051.67</v>
      </c>
      <c r="H318" s="350">
        <v>433.09</v>
      </c>
      <c r="I318" s="626" t="s">
        <v>1588</v>
      </c>
      <c r="J318" s="351">
        <v>0</v>
      </c>
    </row>
    <row r="319" spans="1:10" ht="27.75" customHeight="1">
      <c r="A319" s="352" t="s">
        <v>1937</v>
      </c>
      <c r="B319" s="398" t="s">
        <v>1938</v>
      </c>
      <c r="C319" s="350">
        <f t="shared" si="39"/>
        <v>2075.17</v>
      </c>
      <c r="D319" s="350">
        <f t="shared" si="40"/>
        <v>2069.27</v>
      </c>
      <c r="E319" s="626" t="s">
        <v>1588</v>
      </c>
      <c r="F319" s="626" t="s">
        <v>1588</v>
      </c>
      <c r="G319" s="626" t="s">
        <v>1588</v>
      </c>
      <c r="H319" s="350">
        <v>2069.27</v>
      </c>
      <c r="I319" s="626" t="s">
        <v>1588</v>
      </c>
      <c r="J319" s="351">
        <v>5.9</v>
      </c>
    </row>
    <row r="320" spans="1:10" ht="27.75" customHeight="1">
      <c r="A320" s="355"/>
      <c r="B320" s="398" t="s">
        <v>298</v>
      </c>
      <c r="C320" s="350">
        <f t="shared" si="39"/>
        <v>3471.71</v>
      </c>
      <c r="D320" s="350">
        <f t="shared" si="40"/>
        <v>3471.71</v>
      </c>
      <c r="E320" s="626" t="s">
        <v>1588</v>
      </c>
      <c r="F320" s="626" t="s">
        <v>1588</v>
      </c>
      <c r="G320" s="626" t="s">
        <v>1588</v>
      </c>
      <c r="H320" s="350">
        <v>3471.71</v>
      </c>
      <c r="I320" s="626" t="s">
        <v>1588</v>
      </c>
      <c r="J320" s="390">
        <v>0</v>
      </c>
    </row>
    <row r="321" spans="1:10" ht="27.75" customHeight="1">
      <c r="A321" s="369" t="s">
        <v>1939</v>
      </c>
      <c r="B321" s="398" t="s">
        <v>421</v>
      </c>
      <c r="C321" s="350">
        <f t="shared" si="39"/>
        <v>10637</v>
      </c>
      <c r="D321" s="350">
        <f t="shared" si="40"/>
        <v>10637</v>
      </c>
      <c r="E321" s="626" t="s">
        <v>1588</v>
      </c>
      <c r="F321" s="626" t="s">
        <v>1588</v>
      </c>
      <c r="G321" s="350">
        <v>8900</v>
      </c>
      <c r="H321" s="350">
        <v>1737</v>
      </c>
      <c r="I321" s="799" t="s">
        <v>1588</v>
      </c>
      <c r="J321" s="814" t="s">
        <v>1588</v>
      </c>
    </row>
    <row r="322" spans="1:10" ht="27.75" customHeight="1">
      <c r="A322" s="370"/>
      <c r="B322" s="398" t="s">
        <v>422</v>
      </c>
      <c r="C322" s="350">
        <f t="shared" si="39"/>
        <v>15445</v>
      </c>
      <c r="D322" s="350">
        <f t="shared" si="40"/>
        <v>15445</v>
      </c>
      <c r="E322" s="626" t="s">
        <v>1588</v>
      </c>
      <c r="F322" s="626" t="s">
        <v>1588</v>
      </c>
      <c r="G322" s="350">
        <v>430</v>
      </c>
      <c r="H322" s="350">
        <v>15015</v>
      </c>
      <c r="I322" s="799" t="s">
        <v>1588</v>
      </c>
      <c r="J322" s="814" t="s">
        <v>1588</v>
      </c>
    </row>
    <row r="323" spans="1:10" ht="27.75" customHeight="1">
      <c r="A323" s="370"/>
      <c r="B323" s="398" t="s">
        <v>423</v>
      </c>
      <c r="C323" s="350">
        <f t="shared" si="39"/>
        <v>1736</v>
      </c>
      <c r="D323" s="350">
        <f t="shared" si="40"/>
        <v>1736</v>
      </c>
      <c r="E323" s="626" t="s">
        <v>1588</v>
      </c>
      <c r="F323" s="626" t="s">
        <v>1588</v>
      </c>
      <c r="G323" s="626" t="s">
        <v>1588</v>
      </c>
      <c r="H323" s="350">
        <v>1736</v>
      </c>
      <c r="I323" s="799" t="s">
        <v>1588</v>
      </c>
      <c r="J323" s="814" t="s">
        <v>1588</v>
      </c>
    </row>
    <row r="324" spans="1:10" ht="27.75" customHeight="1">
      <c r="A324" s="352" t="s">
        <v>1941</v>
      </c>
      <c r="B324" s="398" t="s">
        <v>2349</v>
      </c>
      <c r="C324" s="350">
        <f t="shared" si="39"/>
        <v>6166.26</v>
      </c>
      <c r="D324" s="350">
        <f t="shared" si="40"/>
        <v>6166.26</v>
      </c>
      <c r="E324" s="626" t="s">
        <v>1588</v>
      </c>
      <c r="F324" s="626" t="s">
        <v>1588</v>
      </c>
      <c r="G324" s="350">
        <v>1277.6300000000001</v>
      </c>
      <c r="H324" s="350">
        <v>4888.63</v>
      </c>
      <c r="I324" s="626" t="s">
        <v>1588</v>
      </c>
      <c r="J324" s="627" t="s">
        <v>1588</v>
      </c>
    </row>
    <row r="325" spans="1:10" ht="27.75" customHeight="1">
      <c r="A325" s="355"/>
      <c r="B325" s="398" t="s">
        <v>303</v>
      </c>
      <c r="C325" s="350">
        <f t="shared" si="39"/>
        <v>73.69</v>
      </c>
      <c r="D325" s="350">
        <f t="shared" si="40"/>
        <v>73.69</v>
      </c>
      <c r="E325" s="626" t="s">
        <v>1588</v>
      </c>
      <c r="F325" s="626" t="s">
        <v>1588</v>
      </c>
      <c r="G325" s="350">
        <v>73.69</v>
      </c>
      <c r="H325" s="626" t="s">
        <v>1588</v>
      </c>
      <c r="I325" s="626" t="s">
        <v>1588</v>
      </c>
      <c r="J325" s="627" t="s">
        <v>1588</v>
      </c>
    </row>
    <row r="326" spans="1:10" ht="27.75" customHeight="1">
      <c r="A326" s="355"/>
      <c r="B326" s="398" t="s">
        <v>2115</v>
      </c>
      <c r="C326" s="350">
        <f t="shared" si="39"/>
        <v>9.8000000000000007</v>
      </c>
      <c r="D326" s="350">
        <f t="shared" si="40"/>
        <v>9.8000000000000007</v>
      </c>
      <c r="E326" s="626" t="s">
        <v>1588</v>
      </c>
      <c r="F326" s="626" t="s">
        <v>1588</v>
      </c>
      <c r="G326" s="350">
        <v>9.8000000000000007</v>
      </c>
      <c r="H326" s="626" t="s">
        <v>1588</v>
      </c>
      <c r="I326" s="626" t="s">
        <v>1588</v>
      </c>
      <c r="J326" s="627" t="s">
        <v>1588</v>
      </c>
    </row>
    <row r="327" spans="1:10" ht="27.75" customHeight="1">
      <c r="A327" s="352" t="s">
        <v>1943</v>
      </c>
      <c r="B327" s="398" t="s">
        <v>304</v>
      </c>
      <c r="C327" s="350">
        <f t="shared" si="39"/>
        <v>2426.63</v>
      </c>
      <c r="D327" s="350">
        <f t="shared" si="40"/>
        <v>2426.63</v>
      </c>
      <c r="E327" s="626" t="s">
        <v>1588</v>
      </c>
      <c r="F327" s="626" t="s">
        <v>1588</v>
      </c>
      <c r="G327" s="626" t="s">
        <v>1588</v>
      </c>
      <c r="H327" s="350">
        <v>2426.63</v>
      </c>
      <c r="I327" s="626" t="s">
        <v>1588</v>
      </c>
      <c r="J327" s="627" t="s">
        <v>1588</v>
      </c>
    </row>
    <row r="328" spans="1:10" ht="27.75" customHeight="1">
      <c r="A328" s="356"/>
      <c r="B328" s="398" t="s">
        <v>1944</v>
      </c>
      <c r="C328" s="350">
        <f t="shared" si="39"/>
        <v>63.44</v>
      </c>
      <c r="D328" s="350">
        <f t="shared" si="40"/>
        <v>63.44</v>
      </c>
      <c r="E328" s="626" t="s">
        <v>1588</v>
      </c>
      <c r="F328" s="626" t="s">
        <v>1588</v>
      </c>
      <c r="G328" s="626" t="s">
        <v>1588</v>
      </c>
      <c r="H328" s="350">
        <v>63.44</v>
      </c>
      <c r="I328" s="626" t="s">
        <v>1588</v>
      </c>
      <c r="J328" s="627" t="s">
        <v>1588</v>
      </c>
    </row>
    <row r="329" spans="1:10" ht="27.75" customHeight="1">
      <c r="A329" s="356" t="s">
        <v>1771</v>
      </c>
      <c r="B329" s="397" t="s">
        <v>2352</v>
      </c>
      <c r="C329" s="350">
        <f t="shared" si="39"/>
        <v>7579.3</v>
      </c>
      <c r="D329" s="350">
        <f t="shared" si="40"/>
        <v>7579.3</v>
      </c>
      <c r="E329" s="626" t="s">
        <v>1588</v>
      </c>
      <c r="F329" s="626" t="s">
        <v>1588</v>
      </c>
      <c r="G329" s="626" t="s">
        <v>1588</v>
      </c>
      <c r="H329" s="350">
        <v>7579.3</v>
      </c>
      <c r="I329" s="626" t="s">
        <v>1588</v>
      </c>
      <c r="J329" s="627" t="s">
        <v>1588</v>
      </c>
    </row>
    <row r="330" spans="1:10" ht="27.75" customHeight="1">
      <c r="A330" s="357" t="s">
        <v>1616</v>
      </c>
      <c r="B330" s="411">
        <f>COUNTA(B331:B344)</f>
        <v>14</v>
      </c>
      <c r="C330" s="350">
        <f t="shared" si="39"/>
        <v>11938.329999999998</v>
      </c>
      <c r="D330" s="350">
        <f t="shared" si="40"/>
        <v>11938.329999999998</v>
      </c>
      <c r="E330" s="350">
        <f t="shared" ref="E330:J330" si="43">SUM(E331:E344)</f>
        <v>8070.5</v>
      </c>
      <c r="F330" s="350">
        <f t="shared" si="43"/>
        <v>1310.23</v>
      </c>
      <c r="G330" s="350">
        <f t="shared" si="43"/>
        <v>0</v>
      </c>
      <c r="H330" s="350">
        <f t="shared" si="43"/>
        <v>2557.5999999999995</v>
      </c>
      <c r="I330" s="350">
        <f t="shared" si="43"/>
        <v>0</v>
      </c>
      <c r="J330" s="351">
        <f t="shared" si="43"/>
        <v>0</v>
      </c>
    </row>
    <row r="331" spans="1:10" ht="27.75" customHeight="1">
      <c r="A331" s="352" t="s">
        <v>1774</v>
      </c>
      <c r="B331" s="397" t="s">
        <v>305</v>
      </c>
      <c r="C331" s="350">
        <f t="shared" si="39"/>
        <v>558</v>
      </c>
      <c r="D331" s="350">
        <f t="shared" si="40"/>
        <v>558</v>
      </c>
      <c r="E331" s="350">
        <v>558</v>
      </c>
      <c r="F331" s="626" t="s">
        <v>1588</v>
      </c>
      <c r="G331" s="626" t="s">
        <v>1588</v>
      </c>
      <c r="H331" s="626" t="s">
        <v>1588</v>
      </c>
      <c r="I331" s="626" t="s">
        <v>1588</v>
      </c>
      <c r="J331" s="627" t="s">
        <v>1588</v>
      </c>
    </row>
    <row r="332" spans="1:10" ht="27.75" customHeight="1">
      <c r="A332" s="369" t="s">
        <v>1775</v>
      </c>
      <c r="B332" s="399" t="s">
        <v>424</v>
      </c>
      <c r="C332" s="350">
        <f t="shared" si="39"/>
        <v>1876</v>
      </c>
      <c r="D332" s="350">
        <f t="shared" si="40"/>
        <v>1876</v>
      </c>
      <c r="E332" s="350">
        <v>1129</v>
      </c>
      <c r="F332" s="626" t="s">
        <v>1588</v>
      </c>
      <c r="G332" s="626" t="s">
        <v>1588</v>
      </c>
      <c r="H332" s="350">
        <v>747</v>
      </c>
      <c r="I332" s="626" t="s">
        <v>1588</v>
      </c>
      <c r="J332" s="627" t="s">
        <v>1588</v>
      </c>
    </row>
    <row r="333" spans="1:10" ht="27.75" customHeight="1">
      <c r="A333" s="370"/>
      <c r="B333" s="399" t="s">
        <v>425</v>
      </c>
      <c r="C333" s="350">
        <f t="shared" si="39"/>
        <v>6.8</v>
      </c>
      <c r="D333" s="350">
        <f t="shared" si="40"/>
        <v>6.8</v>
      </c>
      <c r="E333" s="350">
        <v>6.8</v>
      </c>
      <c r="F333" s="626" t="s">
        <v>1588</v>
      </c>
      <c r="G333" s="626" t="s">
        <v>1588</v>
      </c>
      <c r="H333" s="626" t="s">
        <v>1588</v>
      </c>
      <c r="I333" s="626" t="s">
        <v>1588</v>
      </c>
      <c r="J333" s="627" t="s">
        <v>1588</v>
      </c>
    </row>
    <row r="334" spans="1:10" ht="27.75" customHeight="1">
      <c r="A334" s="352" t="s">
        <v>1778</v>
      </c>
      <c r="B334" s="398" t="s">
        <v>309</v>
      </c>
      <c r="C334" s="350">
        <f t="shared" si="39"/>
        <v>281.10000000000002</v>
      </c>
      <c r="D334" s="350">
        <f t="shared" si="40"/>
        <v>281.10000000000002</v>
      </c>
      <c r="E334" s="626" t="s">
        <v>1588</v>
      </c>
      <c r="F334" s="626" t="s">
        <v>1588</v>
      </c>
      <c r="G334" s="626" t="s">
        <v>1588</v>
      </c>
      <c r="H334" s="350">
        <v>281.10000000000002</v>
      </c>
      <c r="I334" s="626" t="s">
        <v>1588</v>
      </c>
      <c r="J334" s="627" t="s">
        <v>1588</v>
      </c>
    </row>
    <row r="335" spans="1:10" ht="27.75" customHeight="1">
      <c r="A335" s="355"/>
      <c r="B335" s="398" t="s">
        <v>310</v>
      </c>
      <c r="C335" s="350">
        <f t="shared" si="39"/>
        <v>523.16</v>
      </c>
      <c r="D335" s="350">
        <f t="shared" si="40"/>
        <v>523.16</v>
      </c>
      <c r="E335" s="626" t="s">
        <v>1588</v>
      </c>
      <c r="F335" s="626" t="s">
        <v>1588</v>
      </c>
      <c r="G335" s="626" t="s">
        <v>1588</v>
      </c>
      <c r="H335" s="350">
        <v>523.16</v>
      </c>
      <c r="I335" s="626" t="s">
        <v>1588</v>
      </c>
      <c r="J335" s="627" t="s">
        <v>1588</v>
      </c>
    </row>
    <row r="336" spans="1:10" ht="27.75" customHeight="1">
      <c r="A336" s="356"/>
      <c r="B336" s="398" t="s">
        <v>311</v>
      </c>
      <c r="C336" s="350">
        <f t="shared" si="39"/>
        <v>67.11</v>
      </c>
      <c r="D336" s="350">
        <f t="shared" si="40"/>
        <v>67.11</v>
      </c>
      <c r="E336" s="626" t="s">
        <v>1588</v>
      </c>
      <c r="F336" s="626" t="s">
        <v>1588</v>
      </c>
      <c r="G336" s="626" t="s">
        <v>1588</v>
      </c>
      <c r="H336" s="350">
        <v>67.11</v>
      </c>
      <c r="I336" s="626" t="s">
        <v>1588</v>
      </c>
      <c r="J336" s="627" t="s">
        <v>1588</v>
      </c>
    </row>
    <row r="337" spans="1:10" ht="27.75" customHeight="1">
      <c r="A337" s="371" t="s">
        <v>1609</v>
      </c>
      <c r="B337" s="401" t="s">
        <v>2392</v>
      </c>
      <c r="C337" s="362">
        <f t="shared" si="39"/>
        <v>1440</v>
      </c>
      <c r="D337" s="362">
        <f t="shared" si="40"/>
        <v>1440</v>
      </c>
      <c r="E337" s="362">
        <v>1135</v>
      </c>
      <c r="F337" s="799" t="s">
        <v>1588</v>
      </c>
      <c r="G337" s="799" t="s">
        <v>1588</v>
      </c>
      <c r="H337" s="362">
        <v>305</v>
      </c>
      <c r="I337" s="799" t="s">
        <v>1588</v>
      </c>
      <c r="J337" s="814" t="s">
        <v>1588</v>
      </c>
    </row>
    <row r="338" spans="1:10" ht="27.75" customHeight="1">
      <c r="A338" s="357" t="s">
        <v>1945</v>
      </c>
      <c r="B338" s="397" t="s">
        <v>312</v>
      </c>
      <c r="C338" s="350">
        <f t="shared" si="39"/>
        <v>1310.23</v>
      </c>
      <c r="D338" s="350">
        <f t="shared" si="40"/>
        <v>1310.23</v>
      </c>
      <c r="E338" s="626" t="s">
        <v>1588</v>
      </c>
      <c r="F338" s="350">
        <v>1310.23</v>
      </c>
      <c r="G338" s="626" t="s">
        <v>1588</v>
      </c>
      <c r="H338" s="626" t="s">
        <v>1588</v>
      </c>
      <c r="I338" s="626" t="s">
        <v>1588</v>
      </c>
      <c r="J338" s="627" t="s">
        <v>1588</v>
      </c>
    </row>
    <row r="339" spans="1:10" ht="27.75" customHeight="1">
      <c r="A339" s="357" t="s">
        <v>1948</v>
      </c>
      <c r="B339" s="397" t="s">
        <v>426</v>
      </c>
      <c r="C339" s="350">
        <f t="shared" si="39"/>
        <v>620.70000000000005</v>
      </c>
      <c r="D339" s="350">
        <f t="shared" si="40"/>
        <v>620.70000000000005</v>
      </c>
      <c r="E339" s="350">
        <v>620.70000000000005</v>
      </c>
      <c r="F339" s="626" t="s">
        <v>1588</v>
      </c>
      <c r="G339" s="626" t="s">
        <v>1588</v>
      </c>
      <c r="H339" s="626" t="s">
        <v>1588</v>
      </c>
      <c r="I339" s="626" t="s">
        <v>1588</v>
      </c>
      <c r="J339" s="627" t="s">
        <v>1588</v>
      </c>
    </row>
    <row r="340" spans="1:10" ht="27.75" customHeight="1">
      <c r="A340" s="357" t="s">
        <v>1956</v>
      </c>
      <c r="B340" s="397" t="s">
        <v>314</v>
      </c>
      <c r="C340" s="350">
        <f t="shared" si="39"/>
        <v>128.73000000000002</v>
      </c>
      <c r="D340" s="350">
        <f t="shared" si="40"/>
        <v>128.73000000000002</v>
      </c>
      <c r="E340" s="350">
        <v>108.9</v>
      </c>
      <c r="F340" s="626" t="s">
        <v>1588</v>
      </c>
      <c r="G340" s="626" t="s">
        <v>1588</v>
      </c>
      <c r="H340" s="350">
        <v>19.829999999999998</v>
      </c>
      <c r="I340" s="626" t="s">
        <v>1588</v>
      </c>
      <c r="J340" s="351">
        <v>0</v>
      </c>
    </row>
    <row r="341" spans="1:10" ht="27.75" customHeight="1">
      <c r="A341" s="352" t="s">
        <v>1957</v>
      </c>
      <c r="B341" s="401" t="s">
        <v>315</v>
      </c>
      <c r="C341" s="350">
        <f t="shared" si="39"/>
        <v>748.4</v>
      </c>
      <c r="D341" s="350">
        <f t="shared" si="40"/>
        <v>748.4</v>
      </c>
      <c r="E341" s="350">
        <v>748.4</v>
      </c>
      <c r="F341" s="626" t="s">
        <v>1588</v>
      </c>
      <c r="G341" s="626" t="s">
        <v>1588</v>
      </c>
      <c r="H341" s="626" t="s">
        <v>1588</v>
      </c>
      <c r="I341" s="626" t="s">
        <v>1588</v>
      </c>
      <c r="J341" s="627" t="s">
        <v>1588</v>
      </c>
    </row>
    <row r="342" spans="1:10" ht="27.75" customHeight="1">
      <c r="A342" s="352" t="s">
        <v>1958</v>
      </c>
      <c r="B342" s="398" t="s">
        <v>2364</v>
      </c>
      <c r="C342" s="350">
        <f t="shared" si="39"/>
        <v>3638.72</v>
      </c>
      <c r="D342" s="350">
        <f t="shared" si="40"/>
        <v>3638.72</v>
      </c>
      <c r="E342" s="350">
        <v>3638.72</v>
      </c>
      <c r="F342" s="626" t="s">
        <v>1588</v>
      </c>
      <c r="G342" s="626" t="s">
        <v>1588</v>
      </c>
      <c r="H342" s="626" t="s">
        <v>1588</v>
      </c>
      <c r="I342" s="626" t="s">
        <v>1588</v>
      </c>
      <c r="J342" s="627" t="s">
        <v>1588</v>
      </c>
    </row>
    <row r="343" spans="1:10" ht="27.75" customHeight="1">
      <c r="A343" s="356"/>
      <c r="B343" s="398" t="s">
        <v>316</v>
      </c>
      <c r="C343" s="350">
        <f t="shared" si="39"/>
        <v>124.98</v>
      </c>
      <c r="D343" s="350">
        <f t="shared" si="40"/>
        <v>124.98</v>
      </c>
      <c r="E343" s="350">
        <v>124.98</v>
      </c>
      <c r="F343" s="626" t="s">
        <v>1588</v>
      </c>
      <c r="G343" s="626" t="s">
        <v>1588</v>
      </c>
      <c r="H343" s="626" t="s">
        <v>1588</v>
      </c>
      <c r="I343" s="626" t="s">
        <v>1588</v>
      </c>
      <c r="J343" s="627" t="s">
        <v>1588</v>
      </c>
    </row>
    <row r="344" spans="1:10" ht="27.75" customHeight="1">
      <c r="A344" s="356" t="s">
        <v>1960</v>
      </c>
      <c r="B344" s="397" t="s">
        <v>2052</v>
      </c>
      <c r="C344" s="350">
        <f t="shared" si="39"/>
        <v>614.4</v>
      </c>
      <c r="D344" s="350">
        <f t="shared" si="40"/>
        <v>614.4</v>
      </c>
      <c r="E344" s="350">
        <v>0</v>
      </c>
      <c r="F344" s="350">
        <v>0</v>
      </c>
      <c r="G344" s="350">
        <v>0</v>
      </c>
      <c r="H344" s="350">
        <v>614.4</v>
      </c>
      <c r="I344" s="350">
        <v>0</v>
      </c>
      <c r="J344" s="351">
        <v>0</v>
      </c>
    </row>
    <row r="345" spans="1:10" ht="27.75" customHeight="1">
      <c r="A345" s="357" t="s">
        <v>1989</v>
      </c>
      <c r="B345" s="411">
        <f>COUNTA(B346:B350)</f>
        <v>5</v>
      </c>
      <c r="C345" s="353">
        <f>SUM(D345,J345)</f>
        <v>13216.17</v>
      </c>
      <c r="D345" s="353">
        <f>SUM(E345:I345)</f>
        <v>13157.37</v>
      </c>
      <c r="E345" s="353">
        <f t="shared" ref="E345:J345" si="44">SUM(E346,E347,E348,E349,E350)</f>
        <v>0</v>
      </c>
      <c r="F345" s="353">
        <f t="shared" si="44"/>
        <v>227.77</v>
      </c>
      <c r="G345" s="353">
        <f t="shared" si="44"/>
        <v>0</v>
      </c>
      <c r="H345" s="353">
        <f t="shared" si="44"/>
        <v>12929.6</v>
      </c>
      <c r="I345" s="353">
        <f t="shared" si="44"/>
        <v>0</v>
      </c>
      <c r="J345" s="354">
        <f t="shared" si="44"/>
        <v>58.8</v>
      </c>
    </row>
    <row r="346" spans="1:10" ht="27.75" customHeight="1">
      <c r="A346" s="352" t="s">
        <v>1992</v>
      </c>
      <c r="B346" s="397" t="s">
        <v>2366</v>
      </c>
      <c r="C346" s="353">
        <f t="shared" si="39"/>
        <v>10571</v>
      </c>
      <c r="D346" s="353">
        <f t="shared" si="40"/>
        <v>10571</v>
      </c>
      <c r="E346" s="632" t="s">
        <v>1588</v>
      </c>
      <c r="F346" s="632" t="s">
        <v>1588</v>
      </c>
      <c r="G346" s="632" t="s">
        <v>1588</v>
      </c>
      <c r="H346" s="353">
        <v>10571</v>
      </c>
      <c r="I346" s="632" t="s">
        <v>1588</v>
      </c>
      <c r="J346" s="633" t="s">
        <v>1588</v>
      </c>
    </row>
    <row r="347" spans="1:10" ht="27.75" customHeight="1">
      <c r="A347" s="352" t="s">
        <v>1990</v>
      </c>
      <c r="B347" s="398" t="s">
        <v>317</v>
      </c>
      <c r="C347" s="353">
        <f t="shared" si="39"/>
        <v>1402</v>
      </c>
      <c r="D347" s="353">
        <f t="shared" si="40"/>
        <v>1402</v>
      </c>
      <c r="E347" s="632" t="s">
        <v>1588</v>
      </c>
      <c r="F347" s="632" t="s">
        <v>1588</v>
      </c>
      <c r="G347" s="632" t="s">
        <v>1588</v>
      </c>
      <c r="H347" s="353">
        <v>1402</v>
      </c>
      <c r="I347" s="632" t="s">
        <v>1588</v>
      </c>
      <c r="J347" s="354">
        <v>0</v>
      </c>
    </row>
    <row r="348" spans="1:10" ht="27.75" customHeight="1">
      <c r="A348" s="355"/>
      <c r="B348" s="398" t="s">
        <v>318</v>
      </c>
      <c r="C348" s="353">
        <f t="shared" si="39"/>
        <v>956.6</v>
      </c>
      <c r="D348" s="353">
        <f t="shared" si="40"/>
        <v>956.6</v>
      </c>
      <c r="E348" s="632" t="s">
        <v>1588</v>
      </c>
      <c r="F348" s="632" t="s">
        <v>1588</v>
      </c>
      <c r="G348" s="632" t="s">
        <v>1588</v>
      </c>
      <c r="H348" s="353">
        <v>956.6</v>
      </c>
      <c r="I348" s="632" t="s">
        <v>1588</v>
      </c>
      <c r="J348" s="354">
        <v>0</v>
      </c>
    </row>
    <row r="349" spans="1:10" ht="27.75" customHeight="1">
      <c r="A349" s="355"/>
      <c r="B349" s="398" t="s">
        <v>2250</v>
      </c>
      <c r="C349" s="353">
        <f t="shared" si="39"/>
        <v>211</v>
      </c>
      <c r="D349" s="353">
        <f t="shared" si="40"/>
        <v>211</v>
      </c>
      <c r="E349" s="632" t="s">
        <v>1588</v>
      </c>
      <c r="F349" s="353">
        <v>211</v>
      </c>
      <c r="G349" s="632" t="s">
        <v>1588</v>
      </c>
      <c r="H349" s="632" t="s">
        <v>1588</v>
      </c>
      <c r="I349" s="632" t="s">
        <v>1588</v>
      </c>
      <c r="J349" s="354">
        <v>0</v>
      </c>
    </row>
    <row r="350" spans="1:10" ht="27.75" customHeight="1" thickBot="1">
      <c r="A350" s="391"/>
      <c r="B350" s="408" t="s">
        <v>319</v>
      </c>
      <c r="C350" s="392">
        <f t="shared" si="39"/>
        <v>75.569999999999993</v>
      </c>
      <c r="D350" s="392">
        <f t="shared" si="40"/>
        <v>16.77</v>
      </c>
      <c r="E350" s="802" t="s">
        <v>1588</v>
      </c>
      <c r="F350" s="392">
        <v>16.77</v>
      </c>
      <c r="G350" s="802" t="s">
        <v>1588</v>
      </c>
      <c r="H350" s="802" t="s">
        <v>1588</v>
      </c>
      <c r="I350" s="802" t="s">
        <v>1588</v>
      </c>
      <c r="J350" s="393">
        <v>58.8</v>
      </c>
    </row>
  </sheetData>
  <mergeCells count="9">
    <mergeCell ref="C301:D301"/>
    <mergeCell ref="C303:D303"/>
    <mergeCell ref="A1:XFD1"/>
    <mergeCell ref="A2:XFD2"/>
    <mergeCell ref="A4:A5"/>
    <mergeCell ref="B4:B5"/>
    <mergeCell ref="C4:C5"/>
    <mergeCell ref="D4:I4"/>
    <mergeCell ref="J4:J5"/>
  </mergeCells>
  <phoneticPr fontId="3" type="noConversion"/>
  <conditionalFormatting sqref="D302 D304:D350 D42:D300 E42:J350 A6:J41 A42:C350">
    <cfRule type="expression" dxfId="269" priority="1" stopIfTrue="1">
      <formula>OR($A6="시부",$A6="군부")</formula>
    </cfRule>
    <cfRule type="expression" dxfId="268" priority="2" stopIfTrue="1">
      <formula>OR(RIGHT($A6,3)="특별시",RIGHT($A6,3)="광역시",RIGHT($A6,1)="도",$A6=2006)</formula>
    </cfRule>
  </conditionalFormatting>
  <pageMargins left="0.75" right="0.75" top="1" bottom="1" header="0.5" footer="0.5"/>
  <pageSetup paperSize="9" orientation="landscape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7030A0"/>
  </sheetPr>
  <dimension ref="A2:S9"/>
  <sheetViews>
    <sheetView view="pageBreakPreview" zoomScale="115" zoomScaleNormal="85" zoomScaleSheetLayoutView="115" workbookViewId="0">
      <selection activeCell="C20" sqref="C20"/>
    </sheetView>
  </sheetViews>
  <sheetFormatPr defaultColWidth="3.88671875" defaultRowHeight="12"/>
  <cols>
    <col min="1" max="1" width="12.33203125" style="929" customWidth="1"/>
    <col min="2" max="2" width="13.5546875" style="932" customWidth="1"/>
    <col min="3" max="3" width="19.109375" style="931" customWidth="1"/>
    <col min="4" max="4" width="16.33203125" style="931" customWidth="1"/>
    <col min="5" max="5" width="15.33203125" style="931" customWidth="1"/>
    <col min="6" max="6" width="18.21875" style="931" customWidth="1"/>
    <col min="7" max="7" width="13.21875" style="931" customWidth="1"/>
    <col min="8" max="8" width="14.33203125" style="931" bestFit="1" customWidth="1"/>
    <col min="9" max="9" width="15.77734375" style="931" bestFit="1" customWidth="1"/>
    <col min="10" max="10" width="12.77734375" style="931" customWidth="1"/>
    <col min="11" max="16384" width="3.88671875" style="931"/>
  </cols>
  <sheetData>
    <row r="2" spans="1:19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0"/>
      <c r="O2" s="921"/>
      <c r="P2" s="921"/>
      <c r="Q2" s="921"/>
      <c r="R2" s="920"/>
      <c r="S2" s="920"/>
    </row>
    <row r="3" spans="1:19" s="925" customFormat="1" ht="27.75" customHeight="1">
      <c r="A3" s="1597" t="s">
        <v>7680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3"/>
      <c r="O3" s="924"/>
      <c r="P3" s="924"/>
      <c r="Q3" s="924"/>
      <c r="R3" s="923"/>
      <c r="S3" s="923"/>
    </row>
    <row r="4" spans="1:19" ht="14.25" customHeight="1" thickBot="1"/>
    <row r="5" spans="1:19" s="929" customFormat="1" ht="23.25" customHeight="1">
      <c r="A5" s="2020" t="s">
        <v>444</v>
      </c>
      <c r="B5" s="2018" t="s">
        <v>8719</v>
      </c>
      <c r="C5" s="2016" t="s">
        <v>8720</v>
      </c>
      <c r="D5" s="2022" t="s">
        <v>8721</v>
      </c>
      <c r="E5" s="2023"/>
      <c r="F5" s="2024"/>
      <c r="G5" s="2014" t="s">
        <v>8758</v>
      </c>
      <c r="H5" s="2014" t="s">
        <v>8757</v>
      </c>
      <c r="I5" s="2025" t="s">
        <v>8722</v>
      </c>
      <c r="J5" s="2012" t="s">
        <v>8728</v>
      </c>
    </row>
    <row r="6" spans="1:19" ht="23.25" customHeight="1">
      <c r="A6" s="2021"/>
      <c r="B6" s="2019"/>
      <c r="C6" s="2017"/>
      <c r="D6" s="1061" t="s">
        <v>8774</v>
      </c>
      <c r="E6" s="1061" t="s">
        <v>8723</v>
      </c>
      <c r="F6" s="1062" t="s">
        <v>8724</v>
      </c>
      <c r="G6" s="2015"/>
      <c r="H6" s="2015"/>
      <c r="I6" s="2015"/>
      <c r="J6" s="2013"/>
    </row>
    <row r="7" spans="1:19" ht="32.25" customHeight="1">
      <c r="A7" s="1491" t="s">
        <v>9310</v>
      </c>
      <c r="B7" s="1497" t="s">
        <v>9315</v>
      </c>
      <c r="C7" s="1492" t="s">
        <v>9311</v>
      </c>
      <c r="D7" s="1493">
        <v>5543</v>
      </c>
      <c r="E7" s="1494">
        <v>25</v>
      </c>
      <c r="F7" s="1493">
        <v>10</v>
      </c>
      <c r="G7" s="1492" t="s">
        <v>9312</v>
      </c>
      <c r="H7" s="1492" t="s">
        <v>9312</v>
      </c>
      <c r="I7" s="1495" t="s">
        <v>9313</v>
      </c>
      <c r="J7" s="1496" t="s">
        <v>9314</v>
      </c>
    </row>
    <row r="8" spans="1:19" ht="23.25" customHeight="1">
      <c r="A8" s="915"/>
      <c r="B8" s="933"/>
      <c r="C8" s="636"/>
      <c r="D8" s="636"/>
      <c r="E8" s="982"/>
      <c r="F8" s="636"/>
      <c r="G8" s="636"/>
      <c r="H8" s="930"/>
      <c r="I8" s="1046"/>
      <c r="J8" s="634"/>
    </row>
    <row r="9" spans="1:19" ht="23.25" customHeight="1" thickBot="1">
      <c r="A9" s="1219"/>
      <c r="B9" s="1220"/>
      <c r="C9" s="1166"/>
      <c r="D9" s="1200"/>
      <c r="E9" s="1198"/>
      <c r="F9" s="1200"/>
      <c r="G9" s="1200"/>
      <c r="H9" s="1200"/>
      <c r="I9" s="1221"/>
      <c r="J9" s="1222"/>
    </row>
  </sheetData>
  <mergeCells count="10">
    <mergeCell ref="A2:E2"/>
    <mergeCell ref="A3:E3"/>
    <mergeCell ref="J5:J6"/>
    <mergeCell ref="H5:H6"/>
    <mergeCell ref="G5:G6"/>
    <mergeCell ref="C5:C6"/>
    <mergeCell ref="B5:B6"/>
    <mergeCell ref="A5:A6"/>
    <mergeCell ref="D5:F5"/>
    <mergeCell ref="I5:I6"/>
  </mergeCells>
  <phoneticPr fontId="3" type="noConversion"/>
  <conditionalFormatting sqref="A7:J9">
    <cfRule type="expression" dxfId="267" priority="5" stopIfTrue="1">
      <formula>OR($A7="시부",$A7="군부")</formula>
    </cfRule>
    <cfRule type="expression" dxfId="266" priority="6" stopIfTrue="1">
      <formula>OR(RIGHT($A7,3)="특별시",RIGHT($A7,3)="광역시",RIGHT($A7,1)="도",$A7="전국")</formula>
    </cfRule>
  </conditionalFormatting>
  <conditionalFormatting sqref="A7:J7">
    <cfRule type="expression" dxfId="265" priority="3" stopIfTrue="1">
      <formula>OR($A7="시부",$A7="군부")</formula>
    </cfRule>
    <cfRule type="expression" dxfId="264" priority="4" stopIfTrue="1">
      <formula>OR(RIGHT($A7,3)="특별시",RIGHT($A7,3)="광역시",RIGHT($A7,1)="도",$A7="전국")</formula>
    </cfRule>
  </conditionalFormatting>
  <conditionalFormatting sqref="A7:J7">
    <cfRule type="expression" dxfId="263" priority="1" stopIfTrue="1">
      <formula>OR($A7="시부",$A7="군부")</formula>
    </cfRule>
    <cfRule type="expression" dxfId="262" priority="2" stopIfTrue="1">
      <formula>OR(RIGHT($A7,3)="특별시",RIGHT($A7,3)="광역시",RIGHT($A7,1)="도",$A7="전국")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78" orientation="landscape" horizontalDpi="300" verticalDpi="300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7030A0"/>
  </sheetPr>
  <dimension ref="A2:V27"/>
  <sheetViews>
    <sheetView view="pageBreakPreview" zoomScale="115" zoomScaleNormal="85" zoomScaleSheetLayoutView="115" workbookViewId="0">
      <selection activeCell="D18" sqref="D18"/>
    </sheetView>
  </sheetViews>
  <sheetFormatPr defaultColWidth="12.44140625" defaultRowHeight="12"/>
  <cols>
    <col min="1" max="1" width="12.44140625" style="929" customWidth="1"/>
    <col min="2" max="2" width="12.44140625" style="932" customWidth="1"/>
    <col min="3" max="3" width="17" style="931" customWidth="1"/>
    <col min="4" max="16384" width="12.44140625" style="931"/>
  </cols>
  <sheetData>
    <row r="2" spans="1:22" s="922" customFormat="1" ht="27.75" customHeight="1">
      <c r="A2" s="1688"/>
      <c r="B2" s="1688"/>
      <c r="C2" s="1688"/>
      <c r="D2" s="1688"/>
      <c r="E2" s="1688"/>
      <c r="F2" s="1688"/>
      <c r="G2" s="1688"/>
      <c r="H2" s="1688"/>
      <c r="I2" s="1688"/>
      <c r="J2" s="920"/>
      <c r="K2" s="921"/>
      <c r="L2" s="921"/>
      <c r="M2" s="921"/>
      <c r="N2" s="921"/>
      <c r="O2" s="921"/>
      <c r="P2" s="921"/>
      <c r="Q2" s="920"/>
      <c r="R2" s="921"/>
      <c r="S2" s="921"/>
      <c r="T2" s="921"/>
      <c r="U2" s="920"/>
      <c r="V2" s="920"/>
    </row>
    <row r="3" spans="1:22" s="925" customFormat="1" ht="27.75" customHeight="1">
      <c r="A3" s="2026" t="s">
        <v>8736</v>
      </c>
      <c r="B3" s="2026"/>
      <c r="C3" s="2026"/>
      <c r="D3" s="2026"/>
      <c r="E3" s="2026"/>
      <c r="F3" s="2026"/>
      <c r="G3" s="2026"/>
      <c r="H3" s="2026"/>
      <c r="I3" s="2026"/>
      <c r="J3" s="942"/>
      <c r="K3" s="943"/>
      <c r="L3" s="943"/>
      <c r="M3" s="943"/>
      <c r="N3" s="924"/>
      <c r="O3" s="924"/>
      <c r="P3" s="924"/>
      <c r="Q3" s="923"/>
      <c r="R3" s="924"/>
      <c r="S3" s="924"/>
      <c r="T3" s="924"/>
      <c r="U3" s="923"/>
      <c r="V3" s="923"/>
    </row>
    <row r="4" spans="1:22" ht="14.25" customHeight="1" thickBot="1">
      <c r="A4" s="938"/>
      <c r="B4" s="894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</row>
    <row r="5" spans="1:22" s="929" customFormat="1" ht="33" customHeight="1">
      <c r="A5" s="1064" t="s">
        <v>444</v>
      </c>
      <c r="B5" s="1065" t="s">
        <v>1462</v>
      </c>
      <c r="C5" s="1057" t="s">
        <v>8729</v>
      </c>
      <c r="D5" s="1066" t="s">
        <v>8977</v>
      </c>
      <c r="E5" s="1066" t="s">
        <v>8730</v>
      </c>
      <c r="F5" s="1066" t="s">
        <v>8731</v>
      </c>
      <c r="G5" s="1066" t="s">
        <v>8778</v>
      </c>
      <c r="H5" s="1066" t="s">
        <v>8732</v>
      </c>
      <c r="I5" s="1142" t="s">
        <v>8756</v>
      </c>
      <c r="J5" s="1143" t="s">
        <v>8733</v>
      </c>
      <c r="K5" s="1067" t="s">
        <v>8734</v>
      </c>
      <c r="L5" s="1144" t="s">
        <v>8735</v>
      </c>
      <c r="M5" s="1068" t="s">
        <v>8728</v>
      </c>
    </row>
    <row r="6" spans="1:22" ht="20.25" customHeight="1">
      <c r="A6" s="2027" t="s">
        <v>9128</v>
      </c>
      <c r="B6" s="1309" t="s">
        <v>9129</v>
      </c>
      <c r="C6" s="1310" t="s">
        <v>9130</v>
      </c>
      <c r="D6" s="1309" t="s">
        <v>9131</v>
      </c>
      <c r="E6" s="1311">
        <v>9</v>
      </c>
      <c r="F6" s="1311" t="s">
        <v>9132</v>
      </c>
      <c r="G6" s="1312">
        <v>1200</v>
      </c>
      <c r="H6" s="1311" t="s">
        <v>1991</v>
      </c>
      <c r="I6" s="1313">
        <v>24</v>
      </c>
      <c r="J6" s="1312">
        <v>75</v>
      </c>
      <c r="K6" s="1311" t="s">
        <v>9133</v>
      </c>
      <c r="L6" s="1312">
        <v>0</v>
      </c>
      <c r="M6" s="1314" t="s">
        <v>9134</v>
      </c>
    </row>
    <row r="7" spans="1:22" ht="20.25" customHeight="1">
      <c r="A7" s="2028"/>
      <c r="B7" s="1309" t="s">
        <v>9135</v>
      </c>
      <c r="C7" s="1310" t="s">
        <v>9136</v>
      </c>
      <c r="D7" s="1309" t="s">
        <v>9131</v>
      </c>
      <c r="E7" s="1311">
        <v>9</v>
      </c>
      <c r="F7" s="1311" t="s">
        <v>9132</v>
      </c>
      <c r="G7" s="1312">
        <v>900</v>
      </c>
      <c r="H7" s="1311" t="s">
        <v>1991</v>
      </c>
      <c r="I7" s="1313">
        <v>24</v>
      </c>
      <c r="J7" s="1312">
        <v>75</v>
      </c>
      <c r="K7" s="1311" t="s">
        <v>9133</v>
      </c>
      <c r="L7" s="1312">
        <v>0</v>
      </c>
      <c r="M7" s="1314" t="s">
        <v>9134</v>
      </c>
    </row>
    <row r="8" spans="1:22" ht="20.25" customHeight="1">
      <c r="A8" s="2028"/>
      <c r="B8" s="1309" t="s">
        <v>9137</v>
      </c>
      <c r="C8" s="1310" t="s">
        <v>9138</v>
      </c>
      <c r="D8" s="1315">
        <v>10.199999999999999</v>
      </c>
      <c r="E8" s="1311">
        <v>10</v>
      </c>
      <c r="F8" s="1311" t="s">
        <v>9139</v>
      </c>
      <c r="G8" s="1312">
        <v>3004.2</v>
      </c>
      <c r="H8" s="1311" t="s">
        <v>1991</v>
      </c>
      <c r="I8" s="1313">
        <v>20</v>
      </c>
      <c r="J8" s="1312">
        <v>60</v>
      </c>
      <c r="K8" s="1311" t="s">
        <v>9140</v>
      </c>
      <c r="L8" s="1312">
        <v>0</v>
      </c>
      <c r="M8" s="1314" t="s">
        <v>9134</v>
      </c>
    </row>
    <row r="9" spans="1:22" ht="20.25" customHeight="1">
      <c r="A9" s="2028"/>
      <c r="B9" s="1309" t="s">
        <v>9141</v>
      </c>
      <c r="C9" s="1310" t="s">
        <v>9142</v>
      </c>
      <c r="D9" s="1315">
        <v>10.199999999999999</v>
      </c>
      <c r="E9" s="1311">
        <v>22</v>
      </c>
      <c r="F9" s="1311" t="s">
        <v>9139</v>
      </c>
      <c r="G9" s="1312">
        <v>3697.1</v>
      </c>
      <c r="H9" s="1311" t="s">
        <v>1991</v>
      </c>
      <c r="I9" s="1313">
        <v>20</v>
      </c>
      <c r="J9" s="1312">
        <v>90</v>
      </c>
      <c r="K9" s="1311" t="s">
        <v>9140</v>
      </c>
      <c r="L9" s="1312">
        <v>0</v>
      </c>
      <c r="M9" s="1314" t="s">
        <v>9134</v>
      </c>
    </row>
    <row r="10" spans="1:22" ht="20.25" customHeight="1">
      <c r="A10" s="2028"/>
      <c r="B10" s="1309" t="s">
        <v>9143</v>
      </c>
      <c r="C10" s="1310" t="s">
        <v>9144</v>
      </c>
      <c r="D10" s="1315" t="s">
        <v>9145</v>
      </c>
      <c r="E10" s="1311">
        <v>10</v>
      </c>
      <c r="F10" s="1311" t="s">
        <v>9139</v>
      </c>
      <c r="G10" s="1312">
        <v>3056.9</v>
      </c>
      <c r="H10" s="1311" t="s">
        <v>1991</v>
      </c>
      <c r="I10" s="1313">
        <v>18</v>
      </c>
      <c r="J10" s="1312">
        <v>24</v>
      </c>
      <c r="K10" s="1311" t="s">
        <v>9140</v>
      </c>
      <c r="L10" s="1312">
        <v>0</v>
      </c>
      <c r="M10" s="1314" t="s">
        <v>9134</v>
      </c>
    </row>
    <row r="11" spans="1:22" ht="20.25" customHeight="1">
      <c r="A11" s="2028"/>
      <c r="B11" s="1309" t="s">
        <v>9146</v>
      </c>
      <c r="C11" s="1310" t="s">
        <v>9147</v>
      </c>
      <c r="D11" s="1315" t="s">
        <v>9148</v>
      </c>
      <c r="E11" s="1311">
        <v>15</v>
      </c>
      <c r="F11" s="1311" t="s">
        <v>9139</v>
      </c>
      <c r="G11" s="1312">
        <v>3124</v>
      </c>
      <c r="H11" s="1311" t="s">
        <v>1991</v>
      </c>
      <c r="I11" s="1313">
        <v>35</v>
      </c>
      <c r="J11" s="1312">
        <v>60</v>
      </c>
      <c r="K11" s="1311" t="s">
        <v>9149</v>
      </c>
      <c r="L11" s="1312">
        <v>0</v>
      </c>
      <c r="M11" s="1314" t="s">
        <v>9134</v>
      </c>
    </row>
    <row r="12" spans="1:22" ht="20.25" customHeight="1">
      <c r="A12" s="2028"/>
      <c r="B12" s="1309" t="s">
        <v>9150</v>
      </c>
      <c r="C12" s="1310" t="s">
        <v>9151</v>
      </c>
      <c r="D12" s="1315" t="s">
        <v>9152</v>
      </c>
      <c r="E12" s="1311">
        <v>15</v>
      </c>
      <c r="F12" s="1311" t="s">
        <v>9139</v>
      </c>
      <c r="G12" s="1312">
        <v>3306.5</v>
      </c>
      <c r="H12" s="1311" t="s">
        <v>1991</v>
      </c>
      <c r="I12" s="1313">
        <v>35</v>
      </c>
      <c r="J12" s="1312">
        <v>240</v>
      </c>
      <c r="K12" s="1311" t="s">
        <v>9149</v>
      </c>
      <c r="L12" s="1312">
        <v>0</v>
      </c>
      <c r="M12" s="1314" t="s">
        <v>9134</v>
      </c>
    </row>
    <row r="13" spans="1:22" ht="20.25" customHeight="1">
      <c r="A13" s="2029"/>
      <c r="B13" s="1309" t="s">
        <v>9153</v>
      </c>
      <c r="C13" s="1310" t="s">
        <v>9154</v>
      </c>
      <c r="D13" s="1315" t="s">
        <v>9155</v>
      </c>
      <c r="E13" s="1311">
        <v>17</v>
      </c>
      <c r="F13" s="1311" t="s">
        <v>9139</v>
      </c>
      <c r="G13" s="1312">
        <v>3509</v>
      </c>
      <c r="H13" s="1311" t="s">
        <v>1991</v>
      </c>
      <c r="I13" s="1313">
        <v>16</v>
      </c>
      <c r="J13" s="1312">
        <v>60</v>
      </c>
      <c r="K13" s="1311" t="s">
        <v>9149</v>
      </c>
      <c r="L13" s="1312">
        <v>0</v>
      </c>
      <c r="M13" s="1314" t="s">
        <v>9134</v>
      </c>
    </row>
    <row r="14" spans="1:22" ht="20.25" customHeight="1"/>
    <row r="15" spans="1:22" ht="20.25" customHeight="1"/>
    <row r="16" spans="1:22" ht="20.25" customHeight="1"/>
    <row r="17" ht="20.25" customHeight="1"/>
    <row r="18" ht="20.25" customHeight="1"/>
    <row r="19" ht="20.25" customHeight="1"/>
    <row r="20" ht="20.25" customHeight="1"/>
    <row r="21" ht="20.25" customHeight="1"/>
    <row r="22" ht="20.25" customHeight="1"/>
    <row r="23" ht="20.25" customHeight="1"/>
    <row r="24" ht="20.25" customHeight="1"/>
    <row r="25" ht="20.25" customHeight="1"/>
    <row r="26" ht="20.25" customHeight="1"/>
    <row r="27" ht="20.25" customHeight="1"/>
  </sheetData>
  <mergeCells count="3">
    <mergeCell ref="A2:I2"/>
    <mergeCell ref="A3:I3"/>
    <mergeCell ref="A6:A13"/>
  </mergeCells>
  <phoneticPr fontId="3" type="noConversion"/>
  <conditionalFormatting sqref="A6:M13">
    <cfRule type="expression" dxfId="261" priority="9" stopIfTrue="1">
      <formula>OR($A6="시부",$A6="군부")</formula>
    </cfRule>
    <cfRule type="expression" dxfId="260" priority="10" stopIfTrue="1">
      <formula>OR(RIGHT($A6,3)="특별시",RIGHT($A6,3)="광역시",RIGHT($A6,1)="도",$A6="전국")</formula>
    </cfRule>
  </conditionalFormatting>
  <conditionalFormatting sqref="A6:M9">
    <cfRule type="expression" dxfId="259" priority="5" stopIfTrue="1">
      <formula>OR($A6="시부",$A6="군부")</formula>
    </cfRule>
    <cfRule type="expression" dxfId="258" priority="6" stopIfTrue="1">
      <formula>OR(RIGHT($A6,3)="특별시",RIGHT($A6,3)="광역시",RIGHT($A6,1)="도",$A6="전국")</formula>
    </cfRule>
  </conditionalFormatting>
  <conditionalFormatting sqref="A10:M13">
    <cfRule type="expression" dxfId="257" priority="3" stopIfTrue="1">
      <formula>OR($A10="시부",$A10="군부")</formula>
    </cfRule>
    <cfRule type="expression" dxfId="256" priority="4" stopIfTrue="1">
      <formula>OR(RIGHT($A10,3)="특별시",RIGHT($A10,3)="광역시",RIGHT($A10,1)="도",$A10="전국")</formula>
    </cfRule>
  </conditionalFormatting>
  <conditionalFormatting sqref="B6:M13">
    <cfRule type="expression" dxfId="255" priority="1" stopIfTrue="1">
      <formula>OR($A6="시부",$A6="군부")</formula>
    </cfRule>
    <cfRule type="expression" dxfId="254" priority="2" stopIfTrue="1">
      <formula>OR(RIGHT($A6,3)="특별시",RIGHT($A6,3)="광역시",RIGHT($A6,1)="도",$A6="전국")</formula>
    </cfRule>
  </conditionalFormatting>
  <dataValidations count="1">
    <dataValidation type="list" allowBlank="1" showInputMessage="1" showErrorMessage="1" promptTitle="목록에서 선택" prompt="▼버튼을 눌러 목록에서 선택하세요." sqref="M6:M13">
      <formula1>"대상, 미대상"</formula1>
    </dataValidation>
  </dataValidations>
  <pageMargins left="0.74803149606299213" right="0.74803149606299213" top="0.98425196850393704" bottom="0.98425196850393704" header="0.51181102362204722" footer="0.51181102362204722"/>
  <pageSetup paperSize="9" scale="68" orientation="landscape" horizontalDpi="300" verticalDpi="300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2:J7"/>
  <sheetViews>
    <sheetView view="pageBreakPreview" zoomScale="130" zoomScaleNormal="85" zoomScaleSheetLayoutView="130" workbookViewId="0">
      <selection activeCell="A5" sqref="A5:D5"/>
    </sheetView>
  </sheetViews>
  <sheetFormatPr defaultRowHeight="20.100000000000001" customHeight="1"/>
  <cols>
    <col min="1" max="1" width="15" bestFit="1" customWidth="1"/>
    <col min="2" max="2" width="16.109375" customWidth="1"/>
    <col min="3" max="3" width="10.44140625" bestFit="1" customWidth="1"/>
    <col min="4" max="4" width="35.21875" customWidth="1"/>
    <col min="5" max="5" width="13.77734375" customWidth="1"/>
    <col min="6" max="6" width="6.77734375" bestFit="1" customWidth="1"/>
    <col min="7" max="7" width="5.6640625" bestFit="1" customWidth="1"/>
    <col min="8" max="8" width="6.77734375" bestFit="1" customWidth="1"/>
    <col min="9" max="9" width="6.21875" customWidth="1"/>
    <col min="10" max="10" width="6.88671875" customWidth="1"/>
  </cols>
  <sheetData>
    <row r="2" spans="1:10" ht="20.100000000000001" customHeight="1">
      <c r="A2" s="2030" t="s">
        <v>8822</v>
      </c>
      <c r="B2" s="2030"/>
      <c r="C2" s="2030"/>
      <c r="D2" s="2030"/>
      <c r="E2" s="2030"/>
      <c r="F2" s="1139"/>
      <c r="G2" s="1139"/>
      <c r="H2" s="1139"/>
      <c r="I2" s="1139"/>
    </row>
    <row r="3" spans="1:10" ht="20.100000000000001" customHeight="1" thickBot="1">
      <c r="A3" s="1053"/>
      <c r="B3" s="1053"/>
      <c r="C3" s="1053"/>
      <c r="D3" s="1053"/>
      <c r="E3" s="1053"/>
      <c r="F3" s="1053"/>
      <c r="G3" s="1053"/>
      <c r="H3" s="1053"/>
      <c r="I3" s="1053"/>
      <c r="J3" s="1054"/>
    </row>
    <row r="4" spans="1:10" ht="27">
      <c r="A4" s="1223" t="s">
        <v>8819</v>
      </c>
      <c r="B4" s="1224" t="s">
        <v>8755</v>
      </c>
      <c r="C4" s="1224" t="s">
        <v>8817</v>
      </c>
      <c r="D4" s="1224" t="s">
        <v>8720</v>
      </c>
      <c r="E4" s="1225" t="s">
        <v>8818</v>
      </c>
      <c r="F4" s="19"/>
      <c r="G4" s="19"/>
      <c r="H4" s="19"/>
      <c r="I4" s="19"/>
      <c r="J4" s="19"/>
    </row>
    <row r="5" spans="1:10" ht="24.95" customHeight="1">
      <c r="A5" s="1093" t="s">
        <v>9299</v>
      </c>
      <c r="B5" s="1094"/>
      <c r="C5" s="1094"/>
      <c r="D5" s="1093" t="s">
        <v>9423</v>
      </c>
      <c r="E5" s="15"/>
    </row>
    <row r="6" spans="1:10" ht="24.95" customHeight="1">
      <c r="A6" s="14"/>
      <c r="B6" s="1178"/>
      <c r="C6" s="1178"/>
      <c r="D6" s="1178"/>
      <c r="E6" s="15"/>
    </row>
    <row r="7" spans="1:10" ht="24.95" customHeight="1" thickBot="1">
      <c r="A7" s="16"/>
      <c r="B7" s="17"/>
      <c r="C7" s="17"/>
      <c r="D7" s="17"/>
      <c r="E7" s="18"/>
    </row>
  </sheetData>
  <mergeCells count="1">
    <mergeCell ref="A2:E2"/>
  </mergeCells>
  <phoneticPr fontId="3" type="noConversion"/>
  <pageMargins left="0.7" right="0.7" top="0.75" bottom="0.75" header="0.3" footer="0.3"/>
  <pageSetup paperSize="9" scale="78" orientation="landscape" r:id="rId1"/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8"/>
  <sheetViews>
    <sheetView view="pageBreakPreview" zoomScale="82" zoomScaleNormal="85" zoomScaleSheetLayoutView="82" workbookViewId="0">
      <selection activeCell="D9" sqref="D9"/>
    </sheetView>
  </sheetViews>
  <sheetFormatPr defaultColWidth="3.6640625" defaultRowHeight="24" customHeight="1"/>
  <cols>
    <col min="1" max="1" width="9.109375" style="32" customWidth="1"/>
    <col min="2" max="2" width="11.6640625" style="32" customWidth="1"/>
    <col min="3" max="3" width="10.77734375" style="32" customWidth="1"/>
    <col min="4" max="4" width="11.77734375" style="32" customWidth="1"/>
    <col min="5" max="5" width="9.5546875" style="32" customWidth="1"/>
    <col min="6" max="6" width="6.6640625" style="32" customWidth="1"/>
    <col min="7" max="7" width="11.33203125" style="32" customWidth="1"/>
    <col min="8" max="8" width="10.21875" style="32" customWidth="1"/>
    <col min="9" max="9" width="10" style="32" customWidth="1"/>
    <col min="10" max="10" width="11.6640625" style="32" customWidth="1"/>
    <col min="11" max="11" width="10.33203125" style="32" customWidth="1"/>
    <col min="12" max="12" width="10.21875" style="32" customWidth="1"/>
    <col min="13" max="13" width="11" style="32" customWidth="1"/>
    <col min="14" max="14" width="6.88671875" style="32" customWidth="1"/>
    <col min="15" max="15" width="10.5546875" style="32" customWidth="1"/>
    <col min="16" max="16" width="10.33203125" style="32" customWidth="1"/>
    <col min="17" max="17" width="8.6640625" style="32" customWidth="1"/>
    <col min="18" max="18" width="6.6640625" style="32" customWidth="1"/>
    <col min="19" max="19" width="10.109375" style="32" customWidth="1"/>
    <col min="20" max="20" width="6.77734375" style="32" customWidth="1"/>
    <col min="21" max="21" width="10.33203125" style="32" customWidth="1"/>
    <col min="22" max="22" width="10.5546875" style="32" customWidth="1"/>
    <col min="23" max="23" width="9.44140625" style="32" customWidth="1"/>
    <col min="24" max="25" width="9.5546875" style="32" customWidth="1"/>
    <col min="26" max="26" width="8.77734375" style="32" customWidth="1"/>
    <col min="27" max="27" width="9.6640625" style="32" customWidth="1"/>
    <col min="28" max="28" width="9.77734375" style="32" customWidth="1"/>
    <col min="29" max="29" width="9.44140625" style="32" customWidth="1"/>
    <col min="30" max="30" width="7.44140625" style="32" customWidth="1"/>
    <col min="31" max="31" width="8.33203125" style="32" bestFit="1" customWidth="1"/>
    <col min="32" max="32" width="10.6640625" style="32" customWidth="1"/>
    <col min="33" max="33" width="7.6640625" style="809" customWidth="1"/>
    <col min="34" max="36" width="3.6640625" style="1"/>
    <col min="37" max="37" width="29" style="1" bestFit="1" customWidth="1"/>
    <col min="38" max="16384" width="3.6640625" style="1"/>
  </cols>
  <sheetData>
    <row r="1" spans="1:33" ht="24" customHeight="1">
      <c r="U1" s="1070" t="s">
        <v>8787</v>
      </c>
    </row>
    <row r="2" spans="1:33" s="922" customFormat="1" ht="27.75" customHeight="1">
      <c r="A2" s="1597" t="s">
        <v>8862</v>
      </c>
      <c r="B2" s="1597"/>
      <c r="C2" s="1597"/>
      <c r="D2" s="1597"/>
      <c r="E2" s="1597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33" s="925" customFormat="1" ht="27.75" customHeight="1">
      <c r="A3" s="1649" t="s">
        <v>9189</v>
      </c>
      <c r="B3" s="1649"/>
      <c r="C3" s="1649"/>
      <c r="D3" s="1649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33" ht="51" customHeight="1" thickBot="1">
      <c r="I4" s="1069"/>
    </row>
    <row r="5" spans="1:33" s="3" customFormat="1" ht="24" customHeight="1">
      <c r="A5" s="1647" t="s">
        <v>1528</v>
      </c>
      <c r="B5" s="1636" t="s">
        <v>8863</v>
      </c>
      <c r="C5" s="1636" t="s">
        <v>8797</v>
      </c>
      <c r="D5" s="1636" t="s">
        <v>8798</v>
      </c>
      <c r="E5" s="1636" t="s">
        <v>8799</v>
      </c>
      <c r="F5" s="1636" t="s">
        <v>8800</v>
      </c>
      <c r="G5" s="1636"/>
      <c r="H5" s="1636"/>
      <c r="I5" s="1636"/>
      <c r="J5" s="1636"/>
      <c r="K5" s="1636"/>
      <c r="L5" s="1636"/>
      <c r="M5" s="1636"/>
      <c r="N5" s="1636" t="s">
        <v>8801</v>
      </c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636"/>
      <c r="Z5" s="1636"/>
      <c r="AA5" s="1636"/>
      <c r="AB5" s="1636" t="s">
        <v>8802</v>
      </c>
      <c r="AC5" s="1636" t="s">
        <v>8803</v>
      </c>
      <c r="AD5" s="1646" t="s">
        <v>8804</v>
      </c>
      <c r="AE5" s="1644" t="s">
        <v>8805</v>
      </c>
      <c r="AF5" s="1636" t="s">
        <v>8806</v>
      </c>
      <c r="AG5" s="1634" t="s">
        <v>8807</v>
      </c>
    </row>
    <row r="6" spans="1:33" s="3" customFormat="1" ht="24" customHeight="1">
      <c r="A6" s="1648"/>
      <c r="B6" s="1637"/>
      <c r="C6" s="1637"/>
      <c r="D6" s="1637"/>
      <c r="E6" s="1637"/>
      <c r="F6" s="1637" t="s">
        <v>8864</v>
      </c>
      <c r="G6" s="1638" t="s">
        <v>8865</v>
      </c>
      <c r="H6" s="1638" t="s">
        <v>8808</v>
      </c>
      <c r="I6" s="1637" t="s">
        <v>8809</v>
      </c>
      <c r="J6" s="1637" t="s">
        <v>8810</v>
      </c>
      <c r="K6" s="1637"/>
      <c r="L6" s="1637" t="s">
        <v>8811</v>
      </c>
      <c r="M6" s="1638" t="s">
        <v>8812</v>
      </c>
      <c r="N6" s="1641" t="s">
        <v>8866</v>
      </c>
      <c r="O6" s="1642"/>
      <c r="P6" s="1642"/>
      <c r="Q6" s="1642"/>
      <c r="R6" s="1642"/>
      <c r="S6" s="1642"/>
      <c r="T6" s="1641" t="s">
        <v>8867</v>
      </c>
      <c r="U6" s="1642"/>
      <c r="V6" s="1642"/>
      <c r="W6" s="1642"/>
      <c r="X6" s="1642"/>
      <c r="Y6" s="1642"/>
      <c r="Z6" s="1642"/>
      <c r="AA6" s="1643"/>
      <c r="AB6" s="1637"/>
      <c r="AC6" s="1637"/>
      <c r="AD6" s="1639"/>
      <c r="AE6" s="1641"/>
      <c r="AF6" s="1637"/>
      <c r="AG6" s="1635"/>
    </row>
    <row r="7" spans="1:33" s="3" customFormat="1" ht="24" customHeight="1">
      <c r="A7" s="1648"/>
      <c r="B7" s="1637"/>
      <c r="C7" s="1637"/>
      <c r="D7" s="1637"/>
      <c r="E7" s="1637"/>
      <c r="F7" s="1637"/>
      <c r="G7" s="1639"/>
      <c r="H7" s="1639"/>
      <c r="I7" s="1637"/>
      <c r="J7" s="1637" t="s">
        <v>8813</v>
      </c>
      <c r="K7" s="1637" t="s">
        <v>8814</v>
      </c>
      <c r="L7" s="1637"/>
      <c r="M7" s="1639"/>
      <c r="N7" s="1639" t="s">
        <v>8868</v>
      </c>
      <c r="O7" s="1638" t="s">
        <v>8865</v>
      </c>
      <c r="P7" s="1637" t="s">
        <v>8808</v>
      </c>
      <c r="Q7" s="1637" t="s">
        <v>8809</v>
      </c>
      <c r="R7" s="1637" t="s">
        <v>8810</v>
      </c>
      <c r="S7" s="1637"/>
      <c r="T7" s="1639" t="s">
        <v>8868</v>
      </c>
      <c r="U7" s="1638" t="s">
        <v>8865</v>
      </c>
      <c r="V7" s="1637" t="s">
        <v>8808</v>
      </c>
      <c r="W7" s="1640" t="s">
        <v>8809</v>
      </c>
      <c r="X7" s="1640" t="s">
        <v>8810</v>
      </c>
      <c r="Y7" s="1640"/>
      <c r="Z7" s="1640" t="s">
        <v>8811</v>
      </c>
      <c r="AA7" s="1640" t="s">
        <v>8812</v>
      </c>
      <c r="AB7" s="1637"/>
      <c r="AC7" s="1637"/>
      <c r="AD7" s="1639"/>
      <c r="AE7" s="1641"/>
      <c r="AF7" s="1637"/>
      <c r="AG7" s="1635"/>
    </row>
    <row r="8" spans="1:33" s="3" customFormat="1" ht="55.5" customHeight="1">
      <c r="A8" s="1648"/>
      <c r="B8" s="1638"/>
      <c r="C8" s="1638"/>
      <c r="D8" s="1638"/>
      <c r="E8" s="1638"/>
      <c r="F8" s="1638"/>
      <c r="G8" s="1640"/>
      <c r="H8" s="1640"/>
      <c r="I8" s="1638"/>
      <c r="J8" s="1638"/>
      <c r="K8" s="1638"/>
      <c r="L8" s="1638"/>
      <c r="M8" s="1640"/>
      <c r="N8" s="1640"/>
      <c r="O8" s="1640"/>
      <c r="P8" s="1638"/>
      <c r="Q8" s="1638"/>
      <c r="R8" s="1173" t="s">
        <v>8813</v>
      </c>
      <c r="S8" s="1173" t="s">
        <v>8814</v>
      </c>
      <c r="T8" s="1640"/>
      <c r="U8" s="1640"/>
      <c r="V8" s="1638"/>
      <c r="W8" s="1638"/>
      <c r="X8" s="1173" t="s">
        <v>8813</v>
      </c>
      <c r="Y8" s="1173" t="s">
        <v>8814</v>
      </c>
      <c r="Z8" s="1638"/>
      <c r="AA8" s="1638"/>
      <c r="AB8" s="1638"/>
      <c r="AC8" s="1638"/>
      <c r="AD8" s="1640"/>
      <c r="AE8" s="1645"/>
      <c r="AF8" s="1638"/>
      <c r="AG8" s="1635"/>
    </row>
    <row r="9" spans="1:33" s="1047" customFormat="1" ht="27.75" customHeight="1">
      <c r="A9" s="1498" t="s">
        <v>9156</v>
      </c>
      <c r="B9" s="1499">
        <f>G9+O9+U9</f>
        <v>2362909</v>
      </c>
      <c r="C9" s="1499">
        <f>H9+P9+V9</f>
        <v>2362909</v>
      </c>
      <c r="D9" s="1499">
        <f>I9+Q9+W9</f>
        <v>1498894</v>
      </c>
      <c r="E9" s="1500">
        <f>IF(ISERROR(D9/C9*100),0,D9/C9*100)</f>
        <v>63.434266829573204</v>
      </c>
      <c r="F9" s="1501">
        <f>SUM(F10:F17)</f>
        <v>21</v>
      </c>
      <c r="G9" s="1501">
        <f>SUM(G10:G17)</f>
        <v>49138</v>
      </c>
      <c r="H9" s="1499">
        <f>IF(G9&lt;I9,I9,G9)</f>
        <v>49138</v>
      </c>
      <c r="I9" s="1499">
        <f>SUM(J9:M9)</f>
        <v>49138</v>
      </c>
      <c r="J9" s="1502">
        <f t="shared" ref="J9:O9" si="0">SUM(J10:J17)</f>
        <v>5619</v>
      </c>
      <c r="K9" s="1502">
        <f t="shared" si="0"/>
        <v>13888</v>
      </c>
      <c r="L9" s="1502">
        <f t="shared" si="0"/>
        <v>7125</v>
      </c>
      <c r="M9" s="1502">
        <f t="shared" si="0"/>
        <v>22506</v>
      </c>
      <c r="N9" s="1502">
        <f t="shared" si="0"/>
        <v>94</v>
      </c>
      <c r="O9" s="1499">
        <f t="shared" si="0"/>
        <v>1161149</v>
      </c>
      <c r="P9" s="1499">
        <f>IF(O9&lt;Q9,Q9,O9)</f>
        <v>1161149</v>
      </c>
      <c r="Q9" s="1499">
        <f>SUM(Q10:Q17)</f>
        <v>830016</v>
      </c>
      <c r="R9" s="1499">
        <f>SUM(R10:R17)</f>
        <v>0</v>
      </c>
      <c r="S9" s="1499">
        <f>SUM(S10:S17)</f>
        <v>830016</v>
      </c>
      <c r="T9" s="1502">
        <f>SUM(T10:T17)</f>
        <v>196</v>
      </c>
      <c r="U9" s="1499">
        <f>SUM(U10:U17)</f>
        <v>1152622</v>
      </c>
      <c r="V9" s="1499">
        <f>IF(U9&lt;W9,W9,U9)</f>
        <v>1152622</v>
      </c>
      <c r="W9" s="1499">
        <f>SUM(X9:AA9)</f>
        <v>619740</v>
      </c>
      <c r="X9" s="1499">
        <f>SUM(X10:X17)</f>
        <v>80110</v>
      </c>
      <c r="Y9" s="1499">
        <f t="shared" ref="Y9:AF9" si="1">SUM(Y10:Y17)</f>
        <v>436689</v>
      </c>
      <c r="Z9" s="1499">
        <f t="shared" si="1"/>
        <v>20248</v>
      </c>
      <c r="AA9" s="1499">
        <f t="shared" si="1"/>
        <v>82693</v>
      </c>
      <c r="AB9" s="1499">
        <f t="shared" si="1"/>
        <v>27735</v>
      </c>
      <c r="AC9" s="1499">
        <f t="shared" si="1"/>
        <v>53128</v>
      </c>
      <c r="AD9" s="1499">
        <f t="shared" si="1"/>
        <v>454</v>
      </c>
      <c r="AE9" s="1502">
        <f t="shared" si="1"/>
        <v>0</v>
      </c>
      <c r="AF9" s="1499">
        <f t="shared" si="1"/>
        <v>1092017</v>
      </c>
      <c r="AG9" s="1503">
        <f>IF(ISERROR(AF9/D9*100),0,AF9/D9*100)</f>
        <v>72.854851643945466</v>
      </c>
    </row>
    <row r="10" spans="1:33" s="1047" customFormat="1" ht="27.75" customHeight="1">
      <c r="A10" s="1498" t="s">
        <v>9157</v>
      </c>
      <c r="B10" s="1499">
        <f t="shared" ref="B10:D17" si="2">G10+O10+U10</f>
        <v>1048169</v>
      </c>
      <c r="C10" s="1499">
        <f t="shared" si="2"/>
        <v>1048169</v>
      </c>
      <c r="D10" s="1504">
        <f t="shared" si="2"/>
        <v>880764</v>
      </c>
      <c r="E10" s="1501">
        <f t="shared" ref="E10:E15" si="3">IF(ISERROR(D10/C10*100),0,D10/C10*100)</f>
        <v>84.028815963837886</v>
      </c>
      <c r="F10" s="1505">
        <v>1</v>
      </c>
      <c r="G10" s="1505">
        <v>49138</v>
      </c>
      <c r="H10" s="1499">
        <f t="shared" ref="H10:H15" si="4">IF(G10&lt;I10,I10,G10)</f>
        <v>49138</v>
      </c>
      <c r="I10" s="1499">
        <f t="shared" ref="I10:I15" si="5">SUM(J10:M10)</f>
        <v>49138</v>
      </c>
      <c r="J10" s="1505">
        <v>5619</v>
      </c>
      <c r="K10" s="1505">
        <v>13888</v>
      </c>
      <c r="L10" s="1505">
        <v>7125</v>
      </c>
      <c r="M10" s="1505">
        <v>22506</v>
      </c>
      <c r="N10" s="1505">
        <v>47</v>
      </c>
      <c r="O10" s="1506">
        <v>396594</v>
      </c>
      <c r="P10" s="1499">
        <f t="shared" ref="P10:P15" si="6">IF(O10&lt;Q10,Q10,O10)</f>
        <v>396594</v>
      </c>
      <c r="Q10" s="1499">
        <f>SUM(R10:S10)</f>
        <v>378781</v>
      </c>
      <c r="R10" s="1505">
        <v>0</v>
      </c>
      <c r="S10" s="1506">
        <v>378781</v>
      </c>
      <c r="T10" s="1505">
        <v>44</v>
      </c>
      <c r="U10" s="1506">
        <v>602437</v>
      </c>
      <c r="V10" s="1499">
        <f t="shared" ref="V10:V15" si="7">IF(U10&lt;W10,W10,U10)</f>
        <v>602437</v>
      </c>
      <c r="W10" s="1499">
        <f t="shared" ref="W10:W15" si="8">SUM(X10:AA10)</f>
        <v>452845</v>
      </c>
      <c r="X10" s="1506">
        <v>80110</v>
      </c>
      <c r="Y10" s="1506">
        <v>283517</v>
      </c>
      <c r="Z10" s="1506">
        <v>11635</v>
      </c>
      <c r="AA10" s="1506">
        <v>77583</v>
      </c>
      <c r="AB10" s="1506">
        <v>15804</v>
      </c>
      <c r="AC10" s="1506">
        <v>37391</v>
      </c>
      <c r="AD10" s="1506">
        <v>228</v>
      </c>
      <c r="AE10" s="1505">
        <v>0</v>
      </c>
      <c r="AF10" s="1506">
        <v>719138</v>
      </c>
      <c r="AG10" s="1503">
        <f t="shared" ref="AG10:AG15" si="9">IF(ISERROR(AF10/D10*100),0,AF10/D10*100)</f>
        <v>81.649340799578553</v>
      </c>
    </row>
    <row r="11" spans="1:33" s="1047" customFormat="1" ht="27.75" customHeight="1">
      <c r="A11" s="1498" t="s">
        <v>9158</v>
      </c>
      <c r="B11" s="1499">
        <f t="shared" si="2"/>
        <v>424425</v>
      </c>
      <c r="C11" s="1499">
        <f t="shared" si="2"/>
        <v>424425</v>
      </c>
      <c r="D11" s="1504">
        <f t="shared" si="2"/>
        <v>200871</v>
      </c>
      <c r="E11" s="1501">
        <f t="shared" si="3"/>
        <v>47.327796430464744</v>
      </c>
      <c r="F11" s="1505">
        <v>0</v>
      </c>
      <c r="G11" s="1505">
        <v>0</v>
      </c>
      <c r="H11" s="1499">
        <f t="shared" si="4"/>
        <v>0</v>
      </c>
      <c r="I11" s="1499">
        <f t="shared" si="5"/>
        <v>0</v>
      </c>
      <c r="J11" s="1505">
        <v>0</v>
      </c>
      <c r="K11" s="1505">
        <v>0</v>
      </c>
      <c r="L11" s="1505">
        <v>0</v>
      </c>
      <c r="M11" s="1505">
        <v>0</v>
      </c>
      <c r="N11" s="1505">
        <v>20</v>
      </c>
      <c r="O11" s="1506">
        <v>238483</v>
      </c>
      <c r="P11" s="1499">
        <f t="shared" si="6"/>
        <v>238483</v>
      </c>
      <c r="Q11" s="1499">
        <f t="shared" ref="Q11:Q17" si="10">SUM(R11:S11)</f>
        <v>118013</v>
      </c>
      <c r="R11" s="1505">
        <v>0</v>
      </c>
      <c r="S11" s="1506">
        <v>118013</v>
      </c>
      <c r="T11" s="1505">
        <v>46</v>
      </c>
      <c r="U11" s="1506">
        <v>185942</v>
      </c>
      <c r="V11" s="1499">
        <f t="shared" si="7"/>
        <v>185942</v>
      </c>
      <c r="W11" s="1499">
        <f t="shared" si="8"/>
        <v>82858</v>
      </c>
      <c r="X11" s="1505">
        <v>0</v>
      </c>
      <c r="Y11" s="1506">
        <v>80536</v>
      </c>
      <c r="Z11" s="1506">
        <v>165</v>
      </c>
      <c r="AA11" s="1506">
        <v>2157</v>
      </c>
      <c r="AB11" s="1506">
        <v>4160</v>
      </c>
      <c r="AC11" s="1506">
        <v>7132</v>
      </c>
      <c r="AD11" s="1506">
        <v>73</v>
      </c>
      <c r="AE11" s="1505">
        <v>0</v>
      </c>
      <c r="AF11" s="1506">
        <v>134690</v>
      </c>
      <c r="AG11" s="1503">
        <f t="shared" si="9"/>
        <v>67.052984253575673</v>
      </c>
    </row>
    <row r="12" spans="1:33" s="1047" customFormat="1" ht="27.75" customHeight="1">
      <c r="A12" s="1498" t="s">
        <v>9159</v>
      </c>
      <c r="B12" s="1499">
        <f t="shared" si="2"/>
        <v>203438</v>
      </c>
      <c r="C12" s="1499">
        <f t="shared" si="2"/>
        <v>203438</v>
      </c>
      <c r="D12" s="1504">
        <f t="shared" si="2"/>
        <v>118399</v>
      </c>
      <c r="E12" s="1501">
        <f t="shared" si="3"/>
        <v>58.199058189718734</v>
      </c>
      <c r="F12" s="1505">
        <v>0</v>
      </c>
      <c r="G12" s="1505">
        <v>0</v>
      </c>
      <c r="H12" s="1499">
        <f t="shared" si="4"/>
        <v>0</v>
      </c>
      <c r="I12" s="1499">
        <f t="shared" si="5"/>
        <v>0</v>
      </c>
      <c r="J12" s="1505">
        <v>0</v>
      </c>
      <c r="K12" s="1505">
        <v>0</v>
      </c>
      <c r="L12" s="1505">
        <v>0</v>
      </c>
      <c r="M12" s="1505">
        <v>0</v>
      </c>
      <c r="N12" s="1505">
        <v>7</v>
      </c>
      <c r="O12" s="1506">
        <v>115096</v>
      </c>
      <c r="P12" s="1499">
        <f t="shared" si="6"/>
        <v>115096</v>
      </c>
      <c r="Q12" s="1499">
        <f t="shared" si="10"/>
        <v>77305</v>
      </c>
      <c r="R12" s="1505">
        <v>0</v>
      </c>
      <c r="S12" s="1506">
        <v>77305</v>
      </c>
      <c r="T12" s="1505">
        <v>18</v>
      </c>
      <c r="U12" s="1506">
        <v>88342</v>
      </c>
      <c r="V12" s="1499">
        <f t="shared" si="7"/>
        <v>88342</v>
      </c>
      <c r="W12" s="1499">
        <f t="shared" si="8"/>
        <v>41094</v>
      </c>
      <c r="X12" s="1505">
        <v>0</v>
      </c>
      <c r="Y12" s="1506">
        <v>40095</v>
      </c>
      <c r="Z12" s="1506">
        <v>115</v>
      </c>
      <c r="AA12" s="1506">
        <v>884</v>
      </c>
      <c r="AB12" s="1506">
        <v>1523</v>
      </c>
      <c r="AC12" s="1506">
        <v>2060</v>
      </c>
      <c r="AD12" s="1506">
        <v>48</v>
      </c>
      <c r="AE12" s="1505">
        <v>0</v>
      </c>
      <c r="AF12" s="1506">
        <v>100488</v>
      </c>
      <c r="AG12" s="1503">
        <f t="shared" si="9"/>
        <v>84.87233844880447</v>
      </c>
    </row>
    <row r="13" spans="1:33" s="1047" customFormat="1" ht="27.75" customHeight="1">
      <c r="A13" s="1498" t="s">
        <v>9160</v>
      </c>
      <c r="B13" s="1499">
        <f t="shared" si="2"/>
        <v>201538</v>
      </c>
      <c r="C13" s="1499">
        <f t="shared" si="2"/>
        <v>201538</v>
      </c>
      <c r="D13" s="1504">
        <f t="shared" si="2"/>
        <v>110545</v>
      </c>
      <c r="E13" s="1501">
        <f t="shared" si="3"/>
        <v>54.850698131369768</v>
      </c>
      <c r="F13" s="1505">
        <v>10</v>
      </c>
      <c r="G13" s="1505">
        <v>0</v>
      </c>
      <c r="H13" s="1499">
        <f t="shared" si="4"/>
        <v>0</v>
      </c>
      <c r="I13" s="1499">
        <f t="shared" si="5"/>
        <v>0</v>
      </c>
      <c r="J13" s="1505">
        <v>0</v>
      </c>
      <c r="K13" s="1505">
        <v>0</v>
      </c>
      <c r="L13" s="1505">
        <v>0</v>
      </c>
      <c r="M13" s="1505">
        <v>0</v>
      </c>
      <c r="N13" s="1505">
        <v>10</v>
      </c>
      <c r="O13" s="1506">
        <v>128100</v>
      </c>
      <c r="P13" s="1499">
        <f t="shared" si="6"/>
        <v>128100</v>
      </c>
      <c r="Q13" s="1499">
        <f t="shared" si="10"/>
        <v>87063</v>
      </c>
      <c r="R13" s="1505">
        <v>0</v>
      </c>
      <c r="S13" s="1506">
        <v>87063</v>
      </c>
      <c r="T13" s="1505">
        <v>23</v>
      </c>
      <c r="U13" s="1506">
        <v>73438</v>
      </c>
      <c r="V13" s="1499">
        <f t="shared" si="7"/>
        <v>73438</v>
      </c>
      <c r="W13" s="1499">
        <f t="shared" si="8"/>
        <v>23482</v>
      </c>
      <c r="X13" s="1505">
        <v>0</v>
      </c>
      <c r="Y13" s="1506">
        <v>16494</v>
      </c>
      <c r="Z13" s="1506">
        <v>6988</v>
      </c>
      <c r="AA13" s="1506">
        <v>0</v>
      </c>
      <c r="AB13" s="1506">
        <v>2133</v>
      </c>
      <c r="AC13" s="1506">
        <v>2901</v>
      </c>
      <c r="AD13" s="1506">
        <v>0</v>
      </c>
      <c r="AE13" s="1505">
        <v>0</v>
      </c>
      <c r="AF13" s="1506">
        <v>58401</v>
      </c>
      <c r="AG13" s="1503">
        <f t="shared" si="9"/>
        <v>52.830069202587183</v>
      </c>
    </row>
    <row r="14" spans="1:33" s="1047" customFormat="1" ht="27.75" customHeight="1">
      <c r="A14" s="1498" t="s">
        <v>9161</v>
      </c>
      <c r="B14" s="1499">
        <f t="shared" si="2"/>
        <v>171127</v>
      </c>
      <c r="C14" s="1499">
        <f t="shared" si="2"/>
        <v>171127</v>
      </c>
      <c r="D14" s="1504">
        <f t="shared" si="2"/>
        <v>38285</v>
      </c>
      <c r="E14" s="1501">
        <f t="shared" si="3"/>
        <v>22.372273223979853</v>
      </c>
      <c r="F14" s="1505">
        <v>4</v>
      </c>
      <c r="G14" s="1505">
        <v>0</v>
      </c>
      <c r="H14" s="1499">
        <f t="shared" si="4"/>
        <v>0</v>
      </c>
      <c r="I14" s="1499">
        <f t="shared" si="5"/>
        <v>0</v>
      </c>
      <c r="J14" s="1505">
        <v>0</v>
      </c>
      <c r="K14" s="1505">
        <v>0</v>
      </c>
      <c r="L14" s="1505">
        <v>0</v>
      </c>
      <c r="M14" s="1505">
        <v>0</v>
      </c>
      <c r="N14" s="1505">
        <v>4</v>
      </c>
      <c r="O14" s="1506">
        <v>108291</v>
      </c>
      <c r="P14" s="1499">
        <f t="shared" si="6"/>
        <v>108291</v>
      </c>
      <c r="Q14" s="1499">
        <f t="shared" si="10"/>
        <v>33796</v>
      </c>
      <c r="R14" s="1505">
        <v>0</v>
      </c>
      <c r="S14" s="1506">
        <v>33796</v>
      </c>
      <c r="T14" s="1505">
        <v>18</v>
      </c>
      <c r="U14" s="1506">
        <v>62836</v>
      </c>
      <c r="V14" s="1499">
        <f t="shared" si="7"/>
        <v>62836</v>
      </c>
      <c r="W14" s="1499">
        <f t="shared" si="8"/>
        <v>4489</v>
      </c>
      <c r="X14" s="1505">
        <v>0</v>
      </c>
      <c r="Y14" s="1506">
        <v>4489</v>
      </c>
      <c r="Z14" s="1506" t="s">
        <v>1991</v>
      </c>
      <c r="AA14" s="1506">
        <v>0</v>
      </c>
      <c r="AB14" s="1506">
        <v>623</v>
      </c>
      <c r="AC14" s="1507">
        <v>724</v>
      </c>
      <c r="AD14" s="1506">
        <v>6</v>
      </c>
      <c r="AE14" s="1505">
        <v>0</v>
      </c>
      <c r="AF14" s="1506">
        <v>527</v>
      </c>
      <c r="AG14" s="1503">
        <f t="shared" si="9"/>
        <v>1.3765182186234819</v>
      </c>
    </row>
    <row r="15" spans="1:33" s="1047" customFormat="1" ht="27.75" customHeight="1">
      <c r="A15" s="1498" t="s">
        <v>9162</v>
      </c>
      <c r="B15" s="1499">
        <f t="shared" si="2"/>
        <v>76395</v>
      </c>
      <c r="C15" s="1499">
        <f t="shared" si="2"/>
        <v>76395</v>
      </c>
      <c r="D15" s="1504">
        <f t="shared" si="2"/>
        <v>16868</v>
      </c>
      <c r="E15" s="1501">
        <f t="shared" si="3"/>
        <v>22.079979056220957</v>
      </c>
      <c r="F15" s="1505">
        <v>1</v>
      </c>
      <c r="G15" s="1505">
        <v>0</v>
      </c>
      <c r="H15" s="1499">
        <f t="shared" si="4"/>
        <v>0</v>
      </c>
      <c r="I15" s="1499">
        <f t="shared" si="5"/>
        <v>0</v>
      </c>
      <c r="J15" s="1505">
        <v>0</v>
      </c>
      <c r="K15" s="1505">
        <v>0</v>
      </c>
      <c r="L15" s="1505">
        <v>0</v>
      </c>
      <c r="M15" s="1505">
        <v>0</v>
      </c>
      <c r="N15" s="1505">
        <v>1</v>
      </c>
      <c r="O15" s="1506">
        <v>46461</v>
      </c>
      <c r="P15" s="1499">
        <f t="shared" si="6"/>
        <v>46461</v>
      </c>
      <c r="Q15" s="1499">
        <f t="shared" si="10"/>
        <v>13140</v>
      </c>
      <c r="R15" s="1505">
        <v>0</v>
      </c>
      <c r="S15" s="1506">
        <v>13140</v>
      </c>
      <c r="T15" s="1505">
        <v>11</v>
      </c>
      <c r="U15" s="1506">
        <v>29934</v>
      </c>
      <c r="V15" s="1499">
        <f t="shared" si="7"/>
        <v>29934</v>
      </c>
      <c r="W15" s="1499">
        <f t="shared" si="8"/>
        <v>3728</v>
      </c>
      <c r="X15" s="1505">
        <v>0</v>
      </c>
      <c r="Y15" s="1506">
        <v>3688</v>
      </c>
      <c r="Z15" s="1506">
        <v>40</v>
      </c>
      <c r="AA15" s="1506">
        <v>0</v>
      </c>
      <c r="AB15" s="1506">
        <v>86</v>
      </c>
      <c r="AC15" s="1507">
        <v>258</v>
      </c>
      <c r="AD15" s="1506">
        <v>13</v>
      </c>
      <c r="AE15" s="1505">
        <v>0</v>
      </c>
      <c r="AF15" s="1506">
        <v>0</v>
      </c>
      <c r="AG15" s="1503">
        <f t="shared" si="9"/>
        <v>0</v>
      </c>
    </row>
    <row r="16" spans="1:33" s="1047" customFormat="1" ht="27.75" customHeight="1">
      <c r="A16" s="1498" t="s">
        <v>9163</v>
      </c>
      <c r="B16" s="1499">
        <f>G16+O16+U16</f>
        <v>151845</v>
      </c>
      <c r="C16" s="1499">
        <f>H16+P16+V16</f>
        <v>151845</v>
      </c>
      <c r="D16" s="1504">
        <f t="shared" si="2"/>
        <v>85741</v>
      </c>
      <c r="E16" s="1501">
        <f>IF(ISERROR(D16/C16*100),0,D16/C16*100)</f>
        <v>56.466133227962722</v>
      </c>
      <c r="F16" s="1505">
        <v>4</v>
      </c>
      <c r="G16" s="1505">
        <v>0</v>
      </c>
      <c r="H16" s="1499">
        <f>IF(G16&lt;I16,I16,G16)</f>
        <v>0</v>
      </c>
      <c r="I16" s="1499">
        <f>SUM(J16:M16)</f>
        <v>0</v>
      </c>
      <c r="J16" s="1505">
        <v>0</v>
      </c>
      <c r="K16" s="1505">
        <v>0</v>
      </c>
      <c r="L16" s="1505">
        <v>0</v>
      </c>
      <c r="M16" s="1505">
        <v>0</v>
      </c>
      <c r="N16" s="1505">
        <v>4</v>
      </c>
      <c r="O16" s="1506">
        <v>86480</v>
      </c>
      <c r="P16" s="1499">
        <f>IF(O16&lt;Q16,Q16,O16)</f>
        <v>86480</v>
      </c>
      <c r="Q16" s="1499">
        <f t="shared" si="10"/>
        <v>82452</v>
      </c>
      <c r="R16" s="1505">
        <v>0</v>
      </c>
      <c r="S16" s="1506">
        <v>82452</v>
      </c>
      <c r="T16" s="1505">
        <v>24</v>
      </c>
      <c r="U16" s="1506">
        <v>65365</v>
      </c>
      <c r="V16" s="1499">
        <f>IF(U16&lt;W16,W16,U16)</f>
        <v>65365</v>
      </c>
      <c r="W16" s="1499">
        <f>SUM(X16:AA16)</f>
        <v>3289</v>
      </c>
      <c r="X16" s="1505">
        <v>0</v>
      </c>
      <c r="Y16" s="1506">
        <v>2291</v>
      </c>
      <c r="Z16" s="1506">
        <v>619</v>
      </c>
      <c r="AA16" s="1506">
        <v>379</v>
      </c>
      <c r="AB16" s="1506">
        <v>1838</v>
      </c>
      <c r="AC16" s="1507">
        <v>1285</v>
      </c>
      <c r="AD16" s="1506">
        <v>43</v>
      </c>
      <c r="AE16" s="1505">
        <v>0</v>
      </c>
      <c r="AF16" s="1506">
        <v>39252</v>
      </c>
      <c r="AG16" s="1503">
        <f>IF(ISERROR(AF16/D16*100),0,AF16/D16*100)</f>
        <v>45.779731983531804</v>
      </c>
    </row>
    <row r="17" spans="1:33" s="1047" customFormat="1" ht="27.75" customHeight="1">
      <c r="A17" s="1498" t="s">
        <v>9164</v>
      </c>
      <c r="B17" s="1499">
        <f>G17+O17+U17</f>
        <v>85972</v>
      </c>
      <c r="C17" s="1499">
        <f>H17+P17+V17</f>
        <v>85972</v>
      </c>
      <c r="D17" s="1504">
        <f t="shared" si="2"/>
        <v>47421</v>
      </c>
      <c r="E17" s="1501">
        <f>IF(ISERROR(D17/C17*100),0,D17/C17*100)</f>
        <v>55.158656306704515</v>
      </c>
      <c r="F17" s="1505">
        <v>1</v>
      </c>
      <c r="G17" s="1505">
        <v>0</v>
      </c>
      <c r="H17" s="1499">
        <f>IF(G17&lt;I17,I17,G17)</f>
        <v>0</v>
      </c>
      <c r="I17" s="1499">
        <f>SUM(J17:M17)</f>
        <v>0</v>
      </c>
      <c r="J17" s="1505">
        <v>0</v>
      </c>
      <c r="K17" s="1505">
        <v>0</v>
      </c>
      <c r="L17" s="1505">
        <v>0</v>
      </c>
      <c r="M17" s="1505">
        <v>0</v>
      </c>
      <c r="N17" s="1505">
        <v>1</v>
      </c>
      <c r="O17" s="1506">
        <v>41644</v>
      </c>
      <c r="P17" s="1499">
        <f>IF(O17&lt;Q17,Q17,O17)</f>
        <v>41644</v>
      </c>
      <c r="Q17" s="1499">
        <f t="shared" si="10"/>
        <v>39466</v>
      </c>
      <c r="R17" s="1505">
        <v>0</v>
      </c>
      <c r="S17" s="1506">
        <v>39466</v>
      </c>
      <c r="T17" s="1505">
        <v>12</v>
      </c>
      <c r="U17" s="1506">
        <v>44328</v>
      </c>
      <c r="V17" s="1499">
        <f>IF(U17&lt;W17,W17,U17)</f>
        <v>44328</v>
      </c>
      <c r="W17" s="1499">
        <f>SUM(X17:AA17)</f>
        <v>7955</v>
      </c>
      <c r="X17" s="1505">
        <v>0</v>
      </c>
      <c r="Y17" s="1506">
        <v>5579</v>
      </c>
      <c r="Z17" s="1506">
        <v>686</v>
      </c>
      <c r="AA17" s="1506">
        <v>1690</v>
      </c>
      <c r="AB17" s="1506">
        <v>1568</v>
      </c>
      <c r="AC17" s="1507">
        <v>1377</v>
      </c>
      <c r="AD17" s="1506">
        <v>43</v>
      </c>
      <c r="AE17" s="1505">
        <v>0</v>
      </c>
      <c r="AF17" s="1506">
        <v>39521</v>
      </c>
      <c r="AG17" s="1503">
        <f>IF(ISERROR(AF17/D17*100),0,AF17/D17*100)</f>
        <v>83.340714029649305</v>
      </c>
    </row>
    <row r="18" spans="1:33" s="1047" customFormat="1" ht="27.75" customHeight="1">
      <c r="A18" s="1508"/>
      <c r="B18" s="1509"/>
      <c r="C18" s="1509"/>
      <c r="D18" s="1509"/>
      <c r="E18" s="1510"/>
      <c r="F18" s="1510"/>
      <c r="G18" s="1509"/>
      <c r="H18" s="1509"/>
      <c r="I18" s="1509"/>
      <c r="J18" s="1509"/>
      <c r="K18" s="1509"/>
      <c r="L18" s="1509"/>
      <c r="M18" s="1509"/>
      <c r="N18" s="1510"/>
      <c r="O18" s="1510"/>
      <c r="P18" s="1509"/>
      <c r="Q18" s="1509"/>
      <c r="R18" s="1509"/>
      <c r="S18" s="1509"/>
      <c r="T18" s="1511"/>
      <c r="U18" s="1511"/>
      <c r="V18" s="1509"/>
      <c r="W18" s="1509"/>
      <c r="X18" s="1509"/>
      <c r="Y18" s="1509"/>
      <c r="Z18" s="1509"/>
      <c r="AA18" s="1509"/>
      <c r="AB18" s="1509"/>
      <c r="AC18" s="1509"/>
      <c r="AD18" s="1509"/>
      <c r="AE18" s="1512"/>
      <c r="AF18" s="1512"/>
      <c r="AG18" s="1513"/>
    </row>
  </sheetData>
  <mergeCells count="38">
    <mergeCell ref="B5:B8"/>
    <mergeCell ref="V7:V8"/>
    <mergeCell ref="F5:M5"/>
    <mergeCell ref="K7:K8"/>
    <mergeCell ref="A2:E2"/>
    <mergeCell ref="A5:A8"/>
    <mergeCell ref="C5:C8"/>
    <mergeCell ref="D5:D8"/>
    <mergeCell ref="E5:E8"/>
    <mergeCell ref="A3:D3"/>
    <mergeCell ref="F6:F8"/>
    <mergeCell ref="I6:I8"/>
    <mergeCell ref="J6:K6"/>
    <mergeCell ref="M6:M8"/>
    <mergeCell ref="P7:P8"/>
    <mergeCell ref="N7:N8"/>
    <mergeCell ref="J7:J8"/>
    <mergeCell ref="N6:S6"/>
    <mergeCell ref="H6:H8"/>
    <mergeCell ref="G6:G8"/>
    <mergeCell ref="AB5:AB8"/>
    <mergeCell ref="R7:S7"/>
    <mergeCell ref="L6:L8"/>
    <mergeCell ref="AG5:AG8"/>
    <mergeCell ref="AC5:AC8"/>
    <mergeCell ref="T7:T8"/>
    <mergeCell ref="T6:AA6"/>
    <mergeCell ref="AF5:AF8"/>
    <mergeCell ref="AE5:AE8"/>
    <mergeCell ref="N5:AA5"/>
    <mergeCell ref="X7:Y7"/>
    <mergeCell ref="Z7:Z8"/>
    <mergeCell ref="AA7:AA8"/>
    <mergeCell ref="W7:W8"/>
    <mergeCell ref="AD5:AD8"/>
    <mergeCell ref="O7:O8"/>
    <mergeCell ref="U7:U8"/>
    <mergeCell ref="Q7:Q8"/>
  </mergeCells>
  <phoneticPr fontId="3" type="noConversion"/>
  <conditionalFormatting sqref="A9:AG18">
    <cfRule type="expression" dxfId="588" priority="24" stopIfTrue="1">
      <formula>OR($A9="전국",RIGHT($A9,3)="광역시",RIGHT($A9,3)="특별시",RIGHT($A9,1)="도")</formula>
    </cfRule>
    <cfRule type="expression" dxfId="587" priority="25" stopIfTrue="1">
      <formula>OR($A9="시부",$A9="군부",$A9="제주시",$A9="서귀포시")</formula>
    </cfRule>
  </conditionalFormatting>
  <conditionalFormatting sqref="AG9:AG18">
    <cfRule type="expression" dxfId="586" priority="22" stopIfTrue="1">
      <formula>AG9&gt;100</formula>
    </cfRule>
  </conditionalFormatting>
  <conditionalFormatting sqref="A9:AG11 Q12:Q17">
    <cfRule type="expression" dxfId="585" priority="11" stopIfTrue="1">
      <formula>OR($A9="전국",RIGHT($A9,3)="광역시",RIGHT($A9,3)="특별시",RIGHT($A9,1)="도")</formula>
    </cfRule>
    <cfRule type="expression" dxfId="584" priority="12" stopIfTrue="1">
      <formula>OR($A9="시부",$A9="군부",$A9="제주시",$A9="서귀포시")</formula>
    </cfRule>
  </conditionalFormatting>
  <conditionalFormatting sqref="A12:AG17">
    <cfRule type="expression" dxfId="583" priority="8" stopIfTrue="1">
      <formula>OR($A12="전국",RIGHT($A12,3)="광역시",RIGHT($A12,3)="특별시",RIGHT($A12,1)="도")</formula>
    </cfRule>
    <cfRule type="expression" dxfId="582" priority="9" stopIfTrue="1">
      <formula>OR($A12="시부",$A12="군부",$A12="제주시",$A12="서귀포시")</formula>
    </cfRule>
  </conditionalFormatting>
  <conditionalFormatting sqref="AG9:AG17 X9:AF9 A9:W17">
    <cfRule type="expression" dxfId="581" priority="5" stopIfTrue="1">
      <formula>OR($A9="전국",RIGHT($A9,3)="광역시",RIGHT($A9,3)="특별시",RIGHT($A9,1)="도")</formula>
    </cfRule>
    <cfRule type="expression" dxfId="580" priority="6" stopIfTrue="1">
      <formula>OR($A9="시부",$A9="군부",$A9="제주시",$A9="서귀포시")</formula>
    </cfRule>
  </conditionalFormatting>
  <conditionalFormatting sqref="G10:G17">
    <cfRule type="cellIs" dxfId="579" priority="3" stopIfTrue="1" operator="lessThan">
      <formula>H10</formula>
    </cfRule>
  </conditionalFormatting>
  <conditionalFormatting sqref="O10:O17">
    <cfRule type="cellIs" dxfId="578" priority="2" stopIfTrue="1" operator="lessThan">
      <formula>P10</formula>
    </cfRule>
  </conditionalFormatting>
  <conditionalFormatting sqref="U10:U17">
    <cfRule type="cellIs" dxfId="577" priority="1" stopIfTrue="1" operator="lessThan">
      <formula>V10</formula>
    </cfRule>
  </conditionalFormatting>
  <pageMargins left="0.19685039370078741" right="0.19685039370078741" top="0.98425196850393704" bottom="0.98425196850393704" header="0.51181102362204722" footer="0.51181102362204722"/>
  <pageSetup paperSize="8" scale="39" fitToHeight="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2:J7"/>
  <sheetViews>
    <sheetView view="pageBreakPreview" zoomScale="130" zoomScaleNormal="85" zoomScaleSheetLayoutView="130" workbookViewId="0">
      <selection activeCell="D14" sqref="D14"/>
    </sheetView>
  </sheetViews>
  <sheetFormatPr defaultRowHeight="20.100000000000001" customHeight="1"/>
  <cols>
    <col min="1" max="1" width="15" bestFit="1" customWidth="1"/>
    <col min="2" max="2" width="16.109375" customWidth="1"/>
    <col min="3" max="3" width="10.44140625" bestFit="1" customWidth="1"/>
    <col min="4" max="4" width="35.21875" customWidth="1"/>
    <col min="5" max="5" width="13.77734375" customWidth="1"/>
    <col min="6" max="6" width="6.77734375" bestFit="1" customWidth="1"/>
    <col min="7" max="7" width="5.6640625" bestFit="1" customWidth="1"/>
    <col min="8" max="8" width="6.77734375" bestFit="1" customWidth="1"/>
    <col min="9" max="9" width="6.21875" customWidth="1"/>
    <col min="10" max="10" width="6.88671875" customWidth="1"/>
  </cols>
  <sheetData>
    <row r="2" spans="1:10" ht="20.100000000000001" customHeight="1">
      <c r="A2" s="2030" t="s">
        <v>8820</v>
      </c>
      <c r="B2" s="2030"/>
      <c r="C2" s="2030"/>
      <c r="D2" s="2030"/>
      <c r="E2" s="2030"/>
      <c r="F2" s="1139"/>
      <c r="G2" s="1139"/>
      <c r="H2" s="1139"/>
      <c r="I2" s="1139"/>
    </row>
    <row r="3" spans="1:10" ht="20.100000000000001" customHeight="1" thickBot="1">
      <c r="A3" s="1053"/>
      <c r="B3" s="1053"/>
      <c r="C3" s="1053"/>
      <c r="D3" s="1053"/>
      <c r="E3" s="1053"/>
      <c r="F3" s="1053"/>
      <c r="G3" s="1053"/>
      <c r="H3" s="1053"/>
      <c r="I3" s="1053"/>
      <c r="J3" s="1054"/>
    </row>
    <row r="4" spans="1:10" ht="27">
      <c r="A4" s="1223" t="s">
        <v>8819</v>
      </c>
      <c r="B4" s="1224" t="s">
        <v>8755</v>
      </c>
      <c r="C4" s="1224" t="s">
        <v>8817</v>
      </c>
      <c r="D4" s="1224" t="s">
        <v>8720</v>
      </c>
      <c r="E4" s="1225" t="s">
        <v>8821</v>
      </c>
      <c r="F4" s="19"/>
      <c r="G4" s="19"/>
      <c r="H4" s="19"/>
      <c r="I4" s="19"/>
      <c r="J4" s="19"/>
    </row>
    <row r="5" spans="1:10" ht="24.95" customHeight="1">
      <c r="A5" s="1093" t="s">
        <v>9299</v>
      </c>
      <c r="B5" s="1094"/>
      <c r="C5" s="1094"/>
      <c r="D5" s="1093" t="s">
        <v>9423</v>
      </c>
      <c r="E5" s="15"/>
    </row>
    <row r="6" spans="1:10" ht="24.95" customHeight="1">
      <c r="A6" s="14"/>
      <c r="B6" s="1178"/>
      <c r="C6" s="1178"/>
      <c r="D6" s="1178"/>
      <c r="E6" s="15"/>
    </row>
    <row r="7" spans="1:10" ht="24.95" customHeight="1" thickBot="1">
      <c r="A7" s="16"/>
      <c r="B7" s="17"/>
      <c r="C7" s="17"/>
      <c r="D7" s="17"/>
      <c r="E7" s="18"/>
    </row>
  </sheetData>
  <mergeCells count="1">
    <mergeCell ref="A2:E2"/>
  </mergeCells>
  <phoneticPr fontId="3" type="noConversion"/>
  <pageMargins left="0.7" right="0.7" top="0.75" bottom="0.75" header="0.3" footer="0.3"/>
  <pageSetup paperSize="9" scale="84" orientation="landscape" r:id="rId1"/>
  <colBreaks count="1" manualBreakCount="1">
    <brk id="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A2:AD16"/>
  <sheetViews>
    <sheetView view="pageBreakPreview" topLeftCell="H1" zoomScale="85" zoomScaleNormal="80" zoomScaleSheetLayoutView="85" workbookViewId="0">
      <selection activeCell="M8" sqref="M8:M16"/>
    </sheetView>
  </sheetViews>
  <sheetFormatPr defaultColWidth="3.88671875" defaultRowHeight="12"/>
  <cols>
    <col min="1" max="2" width="9.5546875" style="934" customWidth="1"/>
    <col min="3" max="3" width="9.5546875" style="931" customWidth="1"/>
    <col min="4" max="5" width="11.109375" style="931" customWidth="1"/>
    <col min="6" max="9" width="7.88671875" style="931" customWidth="1"/>
    <col min="10" max="11" width="11.109375" style="931" customWidth="1"/>
    <col min="12" max="12" width="12.109375" style="931" customWidth="1"/>
    <col min="13" max="19" width="12.88671875" style="931" customWidth="1"/>
    <col min="20" max="20" width="11.88671875" style="931" customWidth="1"/>
    <col min="21" max="21" width="11.109375" style="931" bestFit="1" customWidth="1"/>
    <col min="22" max="22" width="11" style="931" bestFit="1" customWidth="1"/>
    <col min="23" max="23" width="13.44140625" style="931" bestFit="1" customWidth="1"/>
    <col min="24" max="28" width="9.5546875" style="931" customWidth="1"/>
    <col min="29" max="29" width="10.21875" style="931" customWidth="1"/>
    <col min="30" max="16384" width="3.88671875" style="931"/>
  </cols>
  <sheetData>
    <row r="2" spans="1:30" s="922" customFormat="1" ht="27.75" customHeight="1">
      <c r="A2" s="2044" t="s">
        <v>8990</v>
      </c>
      <c r="B2" s="2044"/>
      <c r="C2" s="2044"/>
      <c r="D2" s="2044"/>
      <c r="E2" s="2044"/>
      <c r="F2" s="2044"/>
      <c r="G2" s="1145"/>
      <c r="H2" s="1145"/>
      <c r="I2" s="1145"/>
      <c r="J2" s="1145"/>
      <c r="K2" s="1145"/>
      <c r="L2" s="1145"/>
      <c r="M2" s="1145"/>
      <c r="N2" s="920"/>
      <c r="O2" s="921"/>
      <c r="P2" s="921"/>
      <c r="Q2" s="921"/>
      <c r="R2" s="921"/>
      <c r="S2" s="921"/>
      <c r="T2" s="921"/>
      <c r="U2" s="921"/>
      <c r="V2" s="921"/>
      <c r="W2" s="921"/>
      <c r="X2" s="921"/>
      <c r="Y2" s="920"/>
      <c r="Z2" s="921"/>
      <c r="AA2" s="921"/>
      <c r="AB2" s="921"/>
      <c r="AC2" s="920"/>
      <c r="AD2" s="920"/>
    </row>
    <row r="3" spans="1:30" s="925" customFormat="1" ht="27.75" customHeight="1">
      <c r="A3" s="2044" t="s">
        <v>8989</v>
      </c>
      <c r="B3" s="2044"/>
      <c r="C3" s="2044"/>
      <c r="D3" s="2044"/>
      <c r="E3" s="2044"/>
      <c r="F3" s="2044"/>
      <c r="G3" s="1145"/>
      <c r="H3" s="1145"/>
      <c r="I3" s="1145"/>
      <c r="J3" s="1145"/>
      <c r="K3" s="1145"/>
      <c r="L3" s="1145"/>
      <c r="M3" s="1145"/>
      <c r="N3" s="923"/>
      <c r="O3" s="924"/>
      <c r="P3" s="924"/>
      <c r="Q3" s="924"/>
      <c r="R3" s="924"/>
      <c r="S3" s="924"/>
      <c r="T3" s="924"/>
      <c r="U3" s="924"/>
      <c r="V3" s="924"/>
      <c r="W3" s="924"/>
      <c r="X3" s="924"/>
      <c r="Y3" s="923"/>
      <c r="Z3" s="924"/>
      <c r="AA3" s="924"/>
      <c r="AB3" s="924"/>
      <c r="AC3" s="923"/>
      <c r="AD3" s="923"/>
    </row>
    <row r="4" spans="1:30" ht="26.25" customHeight="1" thickBot="1">
      <c r="R4" s="1098"/>
      <c r="AB4" s="1099"/>
    </row>
    <row r="5" spans="1:30" s="1031" customFormat="1" ht="27" customHeight="1">
      <c r="A5" s="2047" t="s">
        <v>8823</v>
      </c>
      <c r="B5" s="2048"/>
      <c r="C5" s="2049" t="s">
        <v>8891</v>
      </c>
      <c r="D5" s="2052" t="s">
        <v>8902</v>
      </c>
      <c r="E5" s="2052" t="s">
        <v>8892</v>
      </c>
      <c r="F5" s="2049" t="s">
        <v>8896</v>
      </c>
      <c r="G5" s="2049"/>
      <c r="H5" s="2049"/>
      <c r="I5" s="2049"/>
      <c r="J5" s="2052" t="s">
        <v>8991</v>
      </c>
      <c r="K5" s="2052" t="s">
        <v>8899</v>
      </c>
      <c r="L5" s="2052" t="s">
        <v>8903</v>
      </c>
      <c r="M5" s="2054" t="s">
        <v>8824</v>
      </c>
      <c r="N5" s="2055"/>
      <c r="O5" s="2054" t="s">
        <v>8825</v>
      </c>
      <c r="P5" s="2055"/>
      <c r="Q5" s="2055"/>
      <c r="R5" s="2055"/>
      <c r="S5" s="2055"/>
      <c r="T5" s="2061"/>
      <c r="U5"/>
      <c r="V5"/>
      <c r="W5"/>
      <c r="X5"/>
      <c r="Y5"/>
      <c r="Z5"/>
      <c r="AA5"/>
      <c r="AB5" s="2057"/>
      <c r="AC5" s="2057"/>
    </row>
    <row r="6" spans="1:30" s="1031" customFormat="1" ht="27" customHeight="1">
      <c r="A6" s="2051" t="s">
        <v>8826</v>
      </c>
      <c r="B6" s="2050" t="s">
        <v>8827</v>
      </c>
      <c r="C6" s="2050"/>
      <c r="D6" s="2053"/>
      <c r="E6" s="2053"/>
      <c r="F6" s="2045" t="s">
        <v>8894</v>
      </c>
      <c r="G6" s="2045" t="s">
        <v>8895</v>
      </c>
      <c r="H6" s="2045" t="s">
        <v>8898</v>
      </c>
      <c r="I6" s="2045" t="s">
        <v>8897</v>
      </c>
      <c r="J6" s="2053"/>
      <c r="K6" s="2053"/>
      <c r="L6" s="2053"/>
      <c r="M6" s="2056" t="s">
        <v>8828</v>
      </c>
      <c r="N6" s="2050" t="s">
        <v>8855</v>
      </c>
      <c r="O6" s="2053" t="s">
        <v>8829</v>
      </c>
      <c r="P6" s="2053" t="s">
        <v>8830</v>
      </c>
      <c r="Q6" s="2053" t="s">
        <v>8831</v>
      </c>
      <c r="R6" s="2053" t="s">
        <v>8832</v>
      </c>
      <c r="S6" s="2053" t="s">
        <v>8978</v>
      </c>
      <c r="T6" s="2059" t="s">
        <v>8893</v>
      </c>
      <c r="U6"/>
      <c r="V6"/>
      <c r="W6"/>
      <c r="X6"/>
      <c r="Y6"/>
      <c r="Z6"/>
      <c r="AA6"/>
      <c r="AB6" s="2057"/>
      <c r="AC6" s="2057"/>
    </row>
    <row r="7" spans="1:30" s="1032" customFormat="1" ht="46.5" customHeight="1">
      <c r="A7" s="2051"/>
      <c r="B7" s="2050"/>
      <c r="C7" s="2050"/>
      <c r="D7" s="2046"/>
      <c r="E7" s="2046"/>
      <c r="F7" s="2046"/>
      <c r="G7" s="2046"/>
      <c r="H7" s="2046"/>
      <c r="I7" s="2046"/>
      <c r="J7" s="2046"/>
      <c r="K7" s="2046"/>
      <c r="L7" s="2046"/>
      <c r="M7" s="2056"/>
      <c r="N7" s="2050"/>
      <c r="O7" s="2058"/>
      <c r="P7" s="2046"/>
      <c r="Q7" s="2058"/>
      <c r="R7" s="2058"/>
      <c r="S7" s="2058"/>
      <c r="T7" s="2060"/>
      <c r="U7"/>
      <c r="V7"/>
      <c r="W7"/>
      <c r="X7"/>
      <c r="Y7"/>
      <c r="Z7"/>
      <c r="AA7"/>
      <c r="AB7" s="2057"/>
      <c r="AC7" s="2057"/>
    </row>
    <row r="8" spans="1:30" s="1032" customFormat="1" ht="25.5" customHeight="1">
      <c r="A8" s="2031"/>
      <c r="B8" s="2039" t="s">
        <v>9296</v>
      </c>
      <c r="C8" s="1474" t="s">
        <v>9281</v>
      </c>
      <c r="D8" s="1475" t="s">
        <v>9288</v>
      </c>
      <c r="E8" s="1476">
        <v>7650</v>
      </c>
      <c r="F8" s="1477"/>
      <c r="G8" s="1477"/>
      <c r="H8" s="1476">
        <v>8419</v>
      </c>
      <c r="I8" s="1477"/>
      <c r="J8" s="2034">
        <v>100</v>
      </c>
      <c r="K8" s="2042">
        <v>17246</v>
      </c>
      <c r="L8" s="2034" t="s">
        <v>2244</v>
      </c>
      <c r="M8" s="2034">
        <v>100</v>
      </c>
      <c r="N8" s="2034" t="s">
        <v>9289</v>
      </c>
      <c r="O8" s="1477">
        <v>74.17</v>
      </c>
      <c r="P8" s="1477">
        <v>84.82</v>
      </c>
      <c r="Q8" s="2034" t="s">
        <v>9295</v>
      </c>
      <c r="R8" s="2034">
        <v>24</v>
      </c>
      <c r="S8" s="2034">
        <v>300</v>
      </c>
      <c r="T8" s="2036">
        <f t="shared" ref="T8" si="0">S8/300*100</f>
        <v>100</v>
      </c>
      <c r="U8"/>
      <c r="V8"/>
      <c r="W8"/>
      <c r="X8"/>
      <c r="Y8"/>
      <c r="Z8"/>
      <c r="AA8"/>
      <c r="AB8"/>
      <c r="AC8"/>
    </row>
    <row r="9" spans="1:30" s="1032" customFormat="1" ht="25.5" customHeight="1">
      <c r="A9" s="2032"/>
      <c r="B9" s="2040"/>
      <c r="C9" s="1474" t="s">
        <v>9282</v>
      </c>
      <c r="D9" s="1475" t="s">
        <v>9046</v>
      </c>
      <c r="E9" s="1476">
        <v>12400</v>
      </c>
      <c r="F9" s="1477"/>
      <c r="G9" s="1477"/>
      <c r="H9" s="1476">
        <v>3475</v>
      </c>
      <c r="I9" s="1477"/>
      <c r="J9" s="2034"/>
      <c r="K9" s="2042"/>
      <c r="L9" s="2034"/>
      <c r="M9" s="2034"/>
      <c r="N9" s="2034"/>
      <c r="O9" s="1477">
        <v>1.29</v>
      </c>
      <c r="P9" s="1477">
        <v>82.5</v>
      </c>
      <c r="Q9" s="2034"/>
      <c r="R9" s="2034"/>
      <c r="S9" s="2034"/>
      <c r="T9" s="2037"/>
      <c r="U9" s="1432"/>
      <c r="V9" s="1432"/>
      <c r="W9" s="1432"/>
      <c r="X9" s="1432"/>
      <c r="Y9" s="1432"/>
      <c r="Z9" s="1432"/>
      <c r="AA9" s="1432"/>
      <c r="AB9" s="1432"/>
      <c r="AC9" s="1432"/>
    </row>
    <row r="10" spans="1:30" s="1032" customFormat="1" ht="25.5" customHeight="1">
      <c r="A10" s="2032"/>
      <c r="B10" s="2040"/>
      <c r="C10" s="1474" t="s">
        <v>9290</v>
      </c>
      <c r="D10" s="1475" t="s">
        <v>9043</v>
      </c>
      <c r="E10" s="1477"/>
      <c r="F10" s="1477"/>
      <c r="G10" s="1477"/>
      <c r="H10" s="1477"/>
      <c r="I10" s="1477"/>
      <c r="J10" s="2034"/>
      <c r="K10" s="2042"/>
      <c r="L10" s="2034"/>
      <c r="M10" s="2034"/>
      <c r="N10" s="2034"/>
      <c r="O10" s="1477">
        <v>1.21</v>
      </c>
      <c r="P10" s="1477">
        <v>80.5</v>
      </c>
      <c r="Q10" s="2034"/>
      <c r="R10" s="2034"/>
      <c r="S10" s="2034"/>
      <c r="T10" s="2037"/>
      <c r="U10" s="1432"/>
      <c r="V10" s="1432"/>
      <c r="W10" s="1432"/>
      <c r="X10" s="1432"/>
      <c r="Y10" s="1432"/>
      <c r="Z10" s="1432"/>
      <c r="AA10" s="1432"/>
      <c r="AB10" s="1432"/>
      <c r="AC10" s="1432"/>
    </row>
    <row r="11" spans="1:30" s="1032" customFormat="1" ht="25.5" customHeight="1">
      <c r="A11" s="2032"/>
      <c r="B11" s="2040"/>
      <c r="C11" s="1474" t="s">
        <v>9283</v>
      </c>
      <c r="D11" s="1475" t="s">
        <v>9043</v>
      </c>
      <c r="E11" s="1477"/>
      <c r="F11" s="1477"/>
      <c r="G11" s="1477"/>
      <c r="H11" s="1477"/>
      <c r="I11" s="1477"/>
      <c r="J11" s="2034"/>
      <c r="K11" s="2042"/>
      <c r="L11" s="2034"/>
      <c r="M11" s="2034"/>
      <c r="N11" s="2034"/>
      <c r="O11" s="1477">
        <v>0.5</v>
      </c>
      <c r="P11" s="1477">
        <v>83.5</v>
      </c>
      <c r="Q11" s="2034"/>
      <c r="R11" s="2034"/>
      <c r="S11" s="2034"/>
      <c r="T11" s="2037"/>
      <c r="U11" s="1432"/>
      <c r="V11" s="1432"/>
      <c r="W11" s="1432"/>
      <c r="X11" s="1432"/>
      <c r="Y11" s="1432"/>
      <c r="Z11" s="1432"/>
      <c r="AA11" s="1432"/>
      <c r="AB11" s="1432"/>
      <c r="AC11" s="1432"/>
    </row>
    <row r="12" spans="1:30" s="1032" customFormat="1" ht="25.5" customHeight="1">
      <c r="A12" s="2032"/>
      <c r="B12" s="2040"/>
      <c r="C12" s="1474" t="s">
        <v>9284</v>
      </c>
      <c r="D12" s="1475" t="s">
        <v>9043</v>
      </c>
      <c r="E12" s="1477"/>
      <c r="F12" s="1477"/>
      <c r="G12" s="1477"/>
      <c r="H12" s="1477"/>
      <c r="I12" s="1477"/>
      <c r="J12" s="2034"/>
      <c r="K12" s="2042"/>
      <c r="L12" s="2034"/>
      <c r="M12" s="2034"/>
      <c r="N12" s="2034"/>
      <c r="O12" s="1477">
        <v>4.7300000000000004</v>
      </c>
      <c r="P12" s="1477">
        <v>84.8</v>
      </c>
      <c r="Q12" s="2034"/>
      <c r="R12" s="2034"/>
      <c r="S12" s="2034"/>
      <c r="T12" s="2037"/>
      <c r="U12" s="1432"/>
      <c r="V12" s="1432"/>
      <c r="W12" s="1432"/>
      <c r="X12" s="1432"/>
      <c r="Y12" s="1432"/>
      <c r="Z12" s="1432"/>
      <c r="AA12" s="1432"/>
      <c r="AB12" s="1432"/>
      <c r="AC12" s="1432"/>
    </row>
    <row r="13" spans="1:30" s="1032" customFormat="1" ht="25.5" customHeight="1">
      <c r="A13" s="2032"/>
      <c r="B13" s="2040"/>
      <c r="C13" s="1474" t="s">
        <v>9291</v>
      </c>
      <c r="D13" s="1475" t="s">
        <v>9043</v>
      </c>
      <c r="E13" s="1477"/>
      <c r="F13" s="1477"/>
      <c r="G13" s="1477"/>
      <c r="H13" s="1477"/>
      <c r="I13" s="1477"/>
      <c r="J13" s="2034"/>
      <c r="K13" s="2042"/>
      <c r="L13" s="2034"/>
      <c r="M13" s="2034"/>
      <c r="N13" s="2034"/>
      <c r="O13" s="1477">
        <v>0.6</v>
      </c>
      <c r="P13" s="1477">
        <v>81.2</v>
      </c>
      <c r="Q13" s="2034"/>
      <c r="R13" s="2034"/>
      <c r="S13" s="2034"/>
      <c r="T13" s="2037"/>
      <c r="U13" s="1432"/>
      <c r="V13" s="1432"/>
      <c r="W13" s="1432"/>
      <c r="X13" s="1432"/>
      <c r="Y13" s="1432"/>
      <c r="Z13" s="1432"/>
      <c r="AA13" s="1432"/>
      <c r="AB13" s="1432"/>
      <c r="AC13" s="1432"/>
    </row>
    <row r="14" spans="1:30" s="1032" customFormat="1" ht="25.5" customHeight="1">
      <c r="A14" s="2032"/>
      <c r="B14" s="2040"/>
      <c r="C14" s="1474" t="s">
        <v>9292</v>
      </c>
      <c r="D14" s="1475" t="s">
        <v>9043</v>
      </c>
      <c r="E14" s="1477"/>
      <c r="F14" s="1477"/>
      <c r="G14" s="1477"/>
      <c r="H14" s="1477"/>
      <c r="I14" s="1477"/>
      <c r="J14" s="2034"/>
      <c r="K14" s="2042"/>
      <c r="L14" s="2034"/>
      <c r="M14" s="2034"/>
      <c r="N14" s="2034"/>
      <c r="O14" s="1477">
        <v>0.3</v>
      </c>
      <c r="P14" s="1477">
        <v>83</v>
      </c>
      <c r="Q14" s="2034"/>
      <c r="R14" s="2034"/>
      <c r="S14" s="2034"/>
      <c r="T14" s="2037"/>
      <c r="U14" s="1432"/>
      <c r="V14" s="1432"/>
      <c r="W14" s="1432"/>
      <c r="X14" s="1432"/>
      <c r="Y14" s="1432"/>
      <c r="Z14" s="1432"/>
      <c r="AA14" s="1432"/>
      <c r="AB14" s="1432"/>
      <c r="AC14" s="1432"/>
    </row>
    <row r="15" spans="1:30" s="1032" customFormat="1" ht="25.5" customHeight="1">
      <c r="A15" s="2032"/>
      <c r="B15" s="2040"/>
      <c r="C15" s="1474" t="s">
        <v>9293</v>
      </c>
      <c r="D15" s="1475" t="s">
        <v>9043</v>
      </c>
      <c r="E15" s="1477"/>
      <c r="F15" s="1477"/>
      <c r="G15" s="1477"/>
      <c r="H15" s="1477"/>
      <c r="I15" s="1477"/>
      <c r="J15" s="2034"/>
      <c r="K15" s="2042"/>
      <c r="L15" s="2034"/>
      <c r="M15" s="2034"/>
      <c r="N15" s="2034"/>
      <c r="O15" s="1477">
        <v>1.1000000000000001</v>
      </c>
      <c r="P15" s="1477">
        <v>82.6</v>
      </c>
      <c r="Q15" s="2034"/>
      <c r="R15" s="2034"/>
      <c r="S15" s="2034"/>
      <c r="T15" s="2037"/>
      <c r="U15" s="1432"/>
      <c r="V15" s="1432"/>
      <c r="W15" s="1432"/>
      <c r="X15" s="1432"/>
      <c r="Y15" s="1432"/>
      <c r="Z15" s="1432"/>
      <c r="AA15" s="1432"/>
      <c r="AB15" s="1432"/>
      <c r="AC15" s="1432"/>
    </row>
    <row r="16" spans="1:30" s="1032" customFormat="1" ht="25.5" customHeight="1" thickBot="1">
      <c r="A16" s="2033"/>
      <c r="B16" s="2041"/>
      <c r="C16" s="1478" t="s">
        <v>9294</v>
      </c>
      <c r="D16" s="1479" t="s">
        <v>9043</v>
      </c>
      <c r="E16" s="1480"/>
      <c r="F16" s="1480"/>
      <c r="G16" s="1480"/>
      <c r="H16" s="1480"/>
      <c r="I16" s="1480"/>
      <c r="J16" s="2035"/>
      <c r="K16" s="2043"/>
      <c r="L16" s="2035"/>
      <c r="M16" s="2035"/>
      <c r="N16" s="2035"/>
      <c r="O16" s="1480">
        <v>0.5</v>
      </c>
      <c r="P16" s="1480">
        <v>80.8</v>
      </c>
      <c r="Q16" s="2035"/>
      <c r="R16" s="2035"/>
      <c r="S16" s="2035"/>
      <c r="T16" s="2038"/>
      <c r="U16" s="1432"/>
      <c r="V16" s="1432"/>
      <c r="W16" s="1432"/>
      <c r="X16" s="1432"/>
      <c r="Y16" s="1432"/>
      <c r="Z16" s="1432"/>
      <c r="AA16" s="1432"/>
      <c r="AB16" s="1432"/>
      <c r="AC16" s="1432"/>
    </row>
  </sheetData>
  <mergeCells count="39">
    <mergeCell ref="AC5:AC7"/>
    <mergeCell ref="AB5:AB7"/>
    <mergeCell ref="P6:P7"/>
    <mergeCell ref="Q6:Q7"/>
    <mergeCell ref="O6:O7"/>
    <mergeCell ref="R6:R7"/>
    <mergeCell ref="S6:S7"/>
    <mergeCell ref="T6:T7"/>
    <mergeCell ref="O5:T5"/>
    <mergeCell ref="J5:J7"/>
    <mergeCell ref="M5:N5"/>
    <mergeCell ref="L5:L7"/>
    <mergeCell ref="D5:D7"/>
    <mergeCell ref="K5:K7"/>
    <mergeCell ref="E5:E7"/>
    <mergeCell ref="F5:I5"/>
    <mergeCell ref="F6:F7"/>
    <mergeCell ref="G6:G7"/>
    <mergeCell ref="M6:M7"/>
    <mergeCell ref="N6:N7"/>
    <mergeCell ref="A2:F2"/>
    <mergeCell ref="A3:F3"/>
    <mergeCell ref="H6:H7"/>
    <mergeCell ref="I6:I7"/>
    <mergeCell ref="A5:B5"/>
    <mergeCell ref="C5:C7"/>
    <mergeCell ref="A6:A7"/>
    <mergeCell ref="B6:B7"/>
    <mergeCell ref="A8:A16"/>
    <mergeCell ref="Q8:Q16"/>
    <mergeCell ref="R8:R16"/>
    <mergeCell ref="S8:S16"/>
    <mergeCell ref="T8:T16"/>
    <mergeCell ref="B8:B16"/>
    <mergeCell ref="J8:J16"/>
    <mergeCell ref="K8:K16"/>
    <mergeCell ref="L8:L16"/>
    <mergeCell ref="M8:M16"/>
    <mergeCell ref="N8:N16"/>
  </mergeCells>
  <phoneticPr fontId="3" type="noConversion"/>
  <conditionalFormatting sqref="U8:AC16 A8:B16 Q8:S16">
    <cfRule type="expression" dxfId="253" priority="34" stopIfTrue="1">
      <formula>OR($A8="시부",$A8="군부")</formula>
    </cfRule>
    <cfRule type="expression" dxfId="252" priority="35" stopIfTrue="1">
      <formula>OR(RIGHT($A8,3)="특별시",RIGHT($A8,3)="광역시",RIGHT($A8,1)="도",$A8="전국")</formula>
    </cfRule>
  </conditionalFormatting>
  <conditionalFormatting sqref="T8:T16">
    <cfRule type="expression" dxfId="251" priority="23" stopIfTrue="1">
      <formula>OR(#REF!="시부",#REF!="군부")</formula>
    </cfRule>
    <cfRule type="expression" dxfId="250" priority="24" stopIfTrue="1">
      <formula>OR(RIGHT(#REF!,3)="특별시",RIGHT(#REF!,3)="광역시",RIGHT(#REF!,1)="도",#REF!="전국")</formula>
    </cfRule>
  </conditionalFormatting>
  <conditionalFormatting sqref="C8:P8 C9:I14 O9:P15 D15:I15 C15:C16">
    <cfRule type="expression" dxfId="249" priority="21" stopIfTrue="1">
      <formula>OR($A8="시부",$A8="군부")</formula>
    </cfRule>
    <cfRule type="expression" dxfId="248" priority="22" stopIfTrue="1">
      <formula>OR(RIGHT($A8,3)="특별시",RIGHT($A8,3)="광역시",RIGHT($A8,1)="도",$A8="전국")</formula>
    </cfRule>
  </conditionalFormatting>
  <conditionalFormatting sqref="C8:C12">
    <cfRule type="expression" dxfId="247" priority="19" stopIfTrue="1">
      <formula>OR($A8="시부",$A8="군부")</formula>
    </cfRule>
    <cfRule type="expression" dxfId="246" priority="20" stopIfTrue="1">
      <formula>OR(RIGHT($A8,3)="특별시",RIGHT($A8,3)="광역시",RIGHT($A8,1)="도",$A8="전국")</formula>
    </cfRule>
  </conditionalFormatting>
  <conditionalFormatting sqref="C10:C16">
    <cfRule type="expression" dxfId="245" priority="17" stopIfTrue="1">
      <formula>OR($A10="시부",$A10="군부")</formula>
    </cfRule>
    <cfRule type="expression" dxfId="244" priority="18" stopIfTrue="1">
      <formula>OR(RIGHT($A10,3)="특별시",RIGHT($A10,3)="광역시",RIGHT($A10,1)="도",$A10="전국")</formula>
    </cfRule>
  </conditionalFormatting>
  <conditionalFormatting sqref="C9">
    <cfRule type="expression" dxfId="243" priority="15" stopIfTrue="1">
      <formula>OR($A9="시부",$A9="군부")</formula>
    </cfRule>
    <cfRule type="expression" dxfId="242" priority="16" stopIfTrue="1">
      <formula>OR(RIGHT($A9,3)="특별시",RIGHT($A9,3)="광역시",RIGHT($A9,1)="도",$A9="전국")</formula>
    </cfRule>
  </conditionalFormatting>
  <conditionalFormatting sqref="C11">
    <cfRule type="expression" dxfId="241" priority="13" stopIfTrue="1">
      <formula>OR($A11="시부",$A11="군부")</formula>
    </cfRule>
    <cfRule type="expression" dxfId="240" priority="14" stopIfTrue="1">
      <formula>OR(RIGHT($A11,3)="특별시",RIGHT($A11,3)="광역시",RIGHT($A11,1)="도",$A11="전국")</formula>
    </cfRule>
  </conditionalFormatting>
  <conditionalFormatting sqref="C8">
    <cfRule type="expression" dxfId="239" priority="11" stopIfTrue="1">
      <formula>OR($A8="시부",$A8="군부")</formula>
    </cfRule>
    <cfRule type="expression" dxfId="238" priority="12" stopIfTrue="1">
      <formula>OR(RIGHT($A8,3)="특별시",RIGHT($A8,3)="광역시",RIGHT($A8,1)="도",$A8="전국")</formula>
    </cfRule>
  </conditionalFormatting>
  <conditionalFormatting sqref="J8:P8 O9:P15">
    <cfRule type="expression" dxfId="237" priority="9" stopIfTrue="1">
      <formula>OR($A8="시부",$A8="군부")</formula>
    </cfRule>
    <cfRule type="expression" dxfId="236" priority="10" stopIfTrue="1">
      <formula>OR(RIGHT($A8,3)="특별시",RIGHT($A8,3)="광역시",RIGHT($A8,1)="도",$A8="전국")</formula>
    </cfRule>
  </conditionalFormatting>
  <conditionalFormatting sqref="D16:I16 O16:P16">
    <cfRule type="expression" dxfId="235" priority="7" stopIfTrue="1">
      <formula>OR($A16="시부",$A16="군부")</formula>
    </cfRule>
    <cfRule type="expression" dxfId="234" priority="8" stopIfTrue="1">
      <formula>OR(RIGHT($A16,3)="특별시",RIGHT($A16,3)="광역시",RIGHT($A16,1)="도",$A16="전국")</formula>
    </cfRule>
  </conditionalFormatting>
  <conditionalFormatting sqref="O16:P16">
    <cfRule type="expression" dxfId="233" priority="5" stopIfTrue="1">
      <formula>OR($A16="시부",$A16="군부")</formula>
    </cfRule>
    <cfRule type="expression" dxfId="232" priority="6" stopIfTrue="1">
      <formula>OR(RIGHT($A16,3)="특별시",RIGHT($A16,3)="광역시",RIGHT($A16,1)="도",$A16="전국")</formula>
    </cfRule>
  </conditionalFormatting>
  <conditionalFormatting sqref="Q8:S8">
    <cfRule type="expression" dxfId="231" priority="3" stopIfTrue="1">
      <formula>OR($A8="시부",$A8="군부")</formula>
    </cfRule>
    <cfRule type="expression" dxfId="230" priority="4" stopIfTrue="1">
      <formula>OR(RIGHT($A8,3)="특별시",RIGHT($A8,3)="광역시",RIGHT($A8,1)="도",$A8="전국")</formula>
    </cfRule>
  </conditionalFormatting>
  <conditionalFormatting sqref="Q8:S8">
    <cfRule type="expression" dxfId="229" priority="1" stopIfTrue="1">
      <formula>OR($A8="시부",$A8="군부")</formula>
    </cfRule>
    <cfRule type="expression" dxfId="228" priority="2" stopIfTrue="1">
      <formula>OR(RIGHT($A8,3)="특별시",RIGHT($A8,3)="광역시",RIGHT($A8,1)="도",$A8="전국")</formula>
    </cfRule>
  </conditionalFormatting>
  <dataValidations count="5">
    <dataValidation type="list" allowBlank="1" showInputMessage="1" showErrorMessage="1" sqref="A8:A16">
      <formula1>"서울특별시,부산광역시,대구광역시,인천광역시,대전광역시,광주광역시,울산광역시,세종특별자치시,경기도,강원도,충청북도,충청남도,전라북도,전라남도,경상북도,경상남도,제주특별자치도"</formula1>
    </dataValidation>
    <dataValidation type="whole" allowBlank="1" showInputMessage="1" showErrorMessage="1" errorTitle="입력범위" error="1~24 사이의 값을 입력하세요." promptTitle="입력범위" prompt="1~24 사이의 값을 입력하세요." sqref="R8">
      <formula1>0</formula1>
      <formula2>24</formula2>
    </dataValidation>
    <dataValidation type="list" allowBlank="1" showInputMessage="1" showErrorMessage="1" promptTitle="목록에서 선택" prompt="▼버튼을 눌러 목록에서 선택하세요." sqref="L8">
      <formula1>"직영, 공기업, 민간위탁"</formula1>
    </dataValidation>
    <dataValidation type="list" allowBlank="1" showInputMessage="1" showErrorMessage="1" promptTitle="목록에서 선택" prompt="▼버튼을 눌러 목록에서 선택하세요." sqref="D8:D16">
      <formula1>"유, 무"</formula1>
    </dataValidation>
    <dataValidation type="whole" allowBlank="1" showInputMessage="1" showErrorMessage="1" errorTitle="입력범위" error="1~300 사이의 값을 입력하세요." promptTitle="입력범위" prompt="1~300 사이의 값을 입력하세요." sqref="S8">
      <formula1>0</formula1>
      <formula2>300</formula2>
    </dataValidation>
  </dataValidations>
  <pageMargins left="0.75" right="0.75" top="1" bottom="1" header="0.5" footer="0.5"/>
  <pageSetup paperSize="9" scale="36" orientation="landscape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7030A0"/>
  </sheetPr>
  <dimension ref="A2:I10"/>
  <sheetViews>
    <sheetView view="pageBreakPreview" zoomScale="130" zoomScaleNormal="80" zoomScaleSheetLayoutView="130" workbookViewId="0">
      <selection activeCell="B8" sqref="B8"/>
    </sheetView>
  </sheetViews>
  <sheetFormatPr defaultColWidth="3.88671875" defaultRowHeight="12"/>
  <cols>
    <col min="1" max="2" width="9.5546875" style="934" customWidth="1"/>
    <col min="3" max="3" width="11" style="931" bestFit="1" customWidth="1"/>
    <col min="4" max="4" width="13.44140625" style="931" bestFit="1" customWidth="1"/>
    <col min="5" max="5" width="11.109375" style="931" customWidth="1"/>
    <col min="6" max="8" width="7.88671875" style="931" customWidth="1"/>
    <col min="9" max="9" width="15.5546875" style="931" bestFit="1" customWidth="1"/>
    <col min="10" max="16384" width="3.88671875" style="931"/>
  </cols>
  <sheetData>
    <row r="2" spans="1:9" s="922" customFormat="1" ht="27.75" customHeight="1">
      <c r="A2" s="2044" t="s">
        <v>9425</v>
      </c>
      <c r="B2" s="2044"/>
      <c r="C2" s="2044"/>
      <c r="D2" s="2044"/>
      <c r="E2" s="2044"/>
      <c r="F2" s="2044"/>
      <c r="G2" s="1159"/>
      <c r="H2" s="1159"/>
      <c r="I2" s="1159"/>
    </row>
    <row r="3" spans="1:9" s="925" customFormat="1" ht="27.75" customHeight="1">
      <c r="A3" s="2044" t="s">
        <v>9424</v>
      </c>
      <c r="B3" s="2044"/>
      <c r="C3" s="2044"/>
      <c r="D3" s="2044"/>
      <c r="E3" s="2044"/>
      <c r="F3" s="2044"/>
      <c r="G3" s="1159"/>
      <c r="H3" s="1159"/>
      <c r="I3" s="1159"/>
    </row>
    <row r="4" spans="1:9" ht="26.25" customHeight="1" thickBot="1"/>
    <row r="5" spans="1:9" s="1031" customFormat="1" ht="27" customHeight="1">
      <c r="A5" s="2054" t="s">
        <v>8980</v>
      </c>
      <c r="B5" s="2055"/>
      <c r="C5" s="2055"/>
      <c r="D5" s="2055"/>
      <c r="E5" s="2055"/>
      <c r="F5" s="2055"/>
      <c r="G5" s="2055"/>
      <c r="H5" s="2055"/>
      <c r="I5" s="2062" t="s">
        <v>8981</v>
      </c>
    </row>
    <row r="6" spans="1:9" s="1031" customFormat="1" ht="27" customHeight="1">
      <c r="A6" s="2045" t="s">
        <v>1403</v>
      </c>
      <c r="B6" s="2058" t="s">
        <v>8833</v>
      </c>
      <c r="C6" s="2058"/>
      <c r="D6" s="2058"/>
      <c r="E6" s="2058" t="s">
        <v>8834</v>
      </c>
      <c r="F6" s="2058" t="s">
        <v>8835</v>
      </c>
      <c r="G6" s="2058" t="s">
        <v>8836</v>
      </c>
      <c r="H6" s="2064" t="s">
        <v>8837</v>
      </c>
      <c r="I6" s="2063"/>
    </row>
    <row r="7" spans="1:9" s="1032" customFormat="1" ht="40.5">
      <c r="A7" s="2046"/>
      <c r="B7" s="1160" t="s">
        <v>8979</v>
      </c>
      <c r="C7" s="1160" t="s">
        <v>8900</v>
      </c>
      <c r="D7" s="1160" t="s">
        <v>8901</v>
      </c>
      <c r="E7" s="2056"/>
      <c r="F7" s="2056"/>
      <c r="G7" s="2056"/>
      <c r="H7" s="2065"/>
      <c r="I7" s="2063"/>
    </row>
    <row r="8" spans="1:9" s="1032" customFormat="1" ht="25.5" customHeight="1">
      <c r="A8" s="1146">
        <v>122</v>
      </c>
      <c r="B8" s="1094">
        <v>80.86</v>
      </c>
      <c r="C8" s="1094">
        <v>11.27</v>
      </c>
      <c r="D8" s="1094">
        <v>30.37</v>
      </c>
      <c r="E8" s="1094"/>
      <c r="F8" s="1094"/>
      <c r="G8" s="1094"/>
      <c r="H8" s="1095"/>
      <c r="I8" s="1167"/>
    </row>
    <row r="9" spans="1:9" s="1032" customFormat="1" ht="25.5" customHeight="1">
      <c r="A9" s="1146">
        <f t="shared" ref="A9:A10" si="0">SUM(B9:H9)</f>
        <v>0</v>
      </c>
      <c r="B9" s="1094"/>
      <c r="C9" s="1094"/>
      <c r="D9" s="1094"/>
      <c r="E9" s="1094"/>
      <c r="F9" s="1094"/>
      <c r="G9" s="1094"/>
      <c r="H9" s="1095"/>
      <c r="I9" s="1167"/>
    </row>
    <row r="10" spans="1:9" ht="25.5" customHeight="1" thickBot="1">
      <c r="A10" s="1147">
        <f t="shared" si="0"/>
        <v>0</v>
      </c>
      <c r="B10" s="1096"/>
      <c r="C10" s="1096"/>
      <c r="D10" s="1096"/>
      <c r="E10" s="1096"/>
      <c r="F10" s="1096"/>
      <c r="G10" s="1096"/>
      <c r="H10" s="1097"/>
      <c r="I10" s="1168"/>
    </row>
  </sheetData>
  <mergeCells count="10">
    <mergeCell ref="I5:I7"/>
    <mergeCell ref="A5:H5"/>
    <mergeCell ref="A2:F2"/>
    <mergeCell ref="A3:F3"/>
    <mergeCell ref="H6:H7"/>
    <mergeCell ref="A6:A7"/>
    <mergeCell ref="B6:D6"/>
    <mergeCell ref="E6:E7"/>
    <mergeCell ref="F6:F7"/>
    <mergeCell ref="G6:G7"/>
  </mergeCells>
  <phoneticPr fontId="3" type="noConversion"/>
  <conditionalFormatting sqref="A8:I10">
    <cfRule type="expression" dxfId="227" priority="31" stopIfTrue="1">
      <formula>OR(#REF!="시부",#REF!="군부")</formula>
    </cfRule>
    <cfRule type="expression" dxfId="226" priority="32" stopIfTrue="1">
      <formula>OR(RIGHT(#REF!,3)="특별시",RIGHT(#REF!,3)="광역시",RIGHT(#REF!,1)="도",#REF!="전국")</formula>
    </cfRule>
  </conditionalFormatting>
  <dataValidations count="1">
    <dataValidation type="whole" allowBlank="1" showInputMessage="1" showErrorMessage="1" sqref="A8:A10">
      <formula1>0</formula1>
      <formula2>365</formula2>
    </dataValidation>
  </dataValidations>
  <pageMargins left="0.75" right="0.75" top="1" bottom="1" header="0.5" footer="0.5"/>
  <pageSetup paperSize="9" scale="84" orientation="landscape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18">
    <tabColor rgb="FF7030A0"/>
    <pageSetUpPr fitToPage="1"/>
  </sheetPr>
  <dimension ref="A2:V7"/>
  <sheetViews>
    <sheetView view="pageBreakPreview" zoomScale="115" zoomScaleNormal="85" zoomScaleSheetLayoutView="115" workbookViewId="0">
      <selection activeCell="D15" sqref="D15"/>
    </sheetView>
  </sheetViews>
  <sheetFormatPr defaultColWidth="3.88671875" defaultRowHeight="12"/>
  <cols>
    <col min="1" max="1" width="13" style="395" customWidth="1"/>
    <col min="2" max="2" width="22.33203125" style="395" customWidth="1"/>
    <col min="3" max="3" width="13.5546875" style="3" customWidth="1"/>
    <col min="4" max="4" width="11.5546875" style="3" customWidth="1"/>
    <col min="5" max="5" width="9.33203125" style="3" customWidth="1"/>
    <col min="6" max="7" width="10" style="3" customWidth="1"/>
    <col min="8" max="9" width="10.6640625" style="3" customWidth="1"/>
    <col min="10" max="10" width="12.6640625" style="45" customWidth="1"/>
    <col min="11" max="11" width="14.21875" style="3" customWidth="1"/>
    <col min="12" max="16384" width="3.88671875" style="3"/>
  </cols>
  <sheetData>
    <row r="2" spans="1:22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0"/>
      <c r="R2" s="921"/>
      <c r="S2" s="921"/>
      <c r="T2" s="921"/>
      <c r="U2" s="920"/>
      <c r="V2" s="920"/>
    </row>
    <row r="3" spans="1:22" s="925" customFormat="1" ht="27.75" customHeight="1">
      <c r="A3" s="1613" t="s">
        <v>9426</v>
      </c>
      <c r="B3" s="1613"/>
      <c r="C3" s="1613"/>
      <c r="D3" s="1613"/>
      <c r="E3" s="1613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3"/>
      <c r="R3" s="924"/>
      <c r="S3" s="924"/>
      <c r="T3" s="924"/>
      <c r="U3" s="923"/>
      <c r="V3" s="923"/>
    </row>
    <row r="4" spans="1:22" ht="11.25" customHeight="1" thickBot="1">
      <c r="K4" s="3" t="s">
        <v>1501</v>
      </c>
    </row>
    <row r="5" spans="1:22" s="2" customFormat="1" ht="27" customHeight="1">
      <c r="A5" s="1671" t="s">
        <v>444</v>
      </c>
      <c r="B5" s="1672" t="s">
        <v>1502</v>
      </c>
      <c r="C5" s="1653" t="s">
        <v>445</v>
      </c>
      <c r="D5" s="1653" t="s">
        <v>446</v>
      </c>
      <c r="E5" s="1653"/>
      <c r="F5" s="1653"/>
      <c r="G5" s="1653"/>
      <c r="H5" s="1653"/>
      <c r="I5" s="1653"/>
      <c r="J5" s="1653"/>
      <c r="K5" s="1658" t="s">
        <v>447</v>
      </c>
    </row>
    <row r="6" spans="1:22" s="2" customFormat="1" ht="27" customHeight="1">
      <c r="A6" s="2067"/>
      <c r="B6" s="2068"/>
      <c r="C6" s="1839"/>
      <c r="D6" s="1186" t="s">
        <v>448</v>
      </c>
      <c r="E6" s="1186" t="s">
        <v>449</v>
      </c>
      <c r="F6" s="1186" t="s">
        <v>450</v>
      </c>
      <c r="G6" s="1186" t="s">
        <v>451</v>
      </c>
      <c r="H6" s="1186" t="s">
        <v>452</v>
      </c>
      <c r="I6" s="1186" t="s">
        <v>8737</v>
      </c>
      <c r="J6" s="1188" t="s">
        <v>453</v>
      </c>
      <c r="K6" s="2066"/>
    </row>
    <row r="7" spans="1:22" s="2" customFormat="1" ht="27" customHeight="1">
      <c r="A7" s="1306" t="s">
        <v>9120</v>
      </c>
      <c r="B7" s="1426" t="s">
        <v>9297</v>
      </c>
      <c r="C7" s="1427"/>
      <c r="D7" s="1427"/>
      <c r="E7" s="1427"/>
      <c r="F7" s="1427"/>
      <c r="G7" s="1427"/>
      <c r="H7" s="1427"/>
      <c r="I7" s="1427"/>
      <c r="J7" s="1481" t="s">
        <v>9298</v>
      </c>
      <c r="K7" s="633"/>
    </row>
  </sheetData>
  <mergeCells count="7">
    <mergeCell ref="K5:K6"/>
    <mergeCell ref="A2:E2"/>
    <mergeCell ref="A3:E3"/>
    <mergeCell ref="A5:A6"/>
    <mergeCell ref="B5:B6"/>
    <mergeCell ref="C5:C6"/>
    <mergeCell ref="D5:J5"/>
  </mergeCells>
  <phoneticPr fontId="3" type="noConversion"/>
  <conditionalFormatting sqref="A7:K7">
    <cfRule type="expression" dxfId="225" priority="12" stopIfTrue="1">
      <formula>OR($A7="시부",$A7="군부")</formula>
    </cfRule>
    <cfRule type="expression" dxfId="224" priority="13" stopIfTrue="1">
      <formula>OR(RIGHT($A7,3)="특별시",RIGHT($A7,3)="광역시",RIGHT($A7,1)="도",$A7="전국")</formula>
    </cfRule>
  </conditionalFormatting>
  <conditionalFormatting sqref="A7">
    <cfRule type="expression" dxfId="223" priority="4" stopIfTrue="1">
      <formula>OR(RIGHT($A7,3)="특별시",RIGHT($A7,3)="광역시",RIGHT($A7,1)="도",$A7="전국")</formula>
    </cfRule>
  </conditionalFormatting>
  <conditionalFormatting sqref="A7">
    <cfRule type="expression" dxfId="222" priority="3" stopIfTrue="1">
      <formula>OR(RIGHT($A7,3)="특별시",RIGHT($A7,3)="광역시",RIGHT($A7,1)="도",$A7="전국")</formula>
    </cfRule>
  </conditionalFormatting>
  <conditionalFormatting sqref="B7">
    <cfRule type="expression" dxfId="221" priority="2" stopIfTrue="1">
      <formula>OR(RIGHT($A7,3)="특별시",RIGHT($A7,3)="광역시",RIGHT($A7,1)="도",$A7="전국")</formula>
    </cfRule>
  </conditionalFormatting>
  <conditionalFormatting sqref="B7">
    <cfRule type="expression" dxfId="220" priority="1" stopIfTrue="1">
      <formula>OR(RIGHT($A7,3)="특별시",RIGHT($A7,3)="광역시",RIGHT($A7,1)="도",$A7="전국")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82" orientation="landscape" horizontalDpi="300" verticalDpi="3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2:U10"/>
  <sheetViews>
    <sheetView view="pageBreakPreview" zoomScale="115" zoomScaleNormal="85" zoomScaleSheetLayoutView="115" workbookViewId="0">
      <selection activeCell="C8" sqref="C8"/>
    </sheetView>
  </sheetViews>
  <sheetFormatPr defaultColWidth="3.88671875" defaultRowHeight="12"/>
  <cols>
    <col min="1" max="1" width="13.88671875" style="395" customWidth="1"/>
    <col min="2" max="2" width="18.44140625" style="2" customWidth="1"/>
    <col min="3" max="3" width="9.109375" style="3" customWidth="1"/>
    <col min="4" max="4" width="9.21875" style="3" customWidth="1"/>
    <col min="5" max="13" width="9.6640625" style="3" customWidth="1"/>
    <col min="14" max="16384" width="3.88671875" style="3"/>
  </cols>
  <sheetData>
    <row r="2" spans="1:21" s="941" customFormat="1" ht="27.75" customHeight="1">
      <c r="A2" s="2069"/>
      <c r="B2" s="2069"/>
      <c r="C2" s="2069"/>
      <c r="D2" s="2069"/>
      <c r="E2" s="2069"/>
      <c r="F2" s="939"/>
      <c r="G2" s="940"/>
      <c r="H2" s="940"/>
      <c r="I2" s="940"/>
      <c r="J2" s="940"/>
      <c r="K2" s="940"/>
      <c r="L2" s="940"/>
      <c r="M2" s="940"/>
      <c r="N2" s="940"/>
      <c r="O2" s="940"/>
      <c r="P2" s="939"/>
      <c r="Q2" s="940"/>
      <c r="R2" s="940"/>
      <c r="S2" s="940"/>
      <c r="T2" s="939"/>
      <c r="U2" s="939"/>
    </row>
    <row r="3" spans="1:21" s="925" customFormat="1" ht="27.75" customHeight="1">
      <c r="A3" s="1597" t="s">
        <v>7686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s="925" customFormat="1" ht="27.75" customHeight="1">
      <c r="A4" s="1597" t="s">
        <v>8982</v>
      </c>
      <c r="B4" s="1597"/>
      <c r="C4" s="1597"/>
      <c r="D4" s="1597"/>
      <c r="E4" s="1597"/>
      <c r="F4" s="923"/>
      <c r="G4" s="924"/>
      <c r="H4" s="924"/>
      <c r="I4" s="924"/>
      <c r="J4" s="924"/>
      <c r="K4" s="924"/>
      <c r="L4" s="924"/>
      <c r="M4" s="924"/>
      <c r="N4" s="924"/>
      <c r="O4" s="924"/>
      <c r="P4" s="923"/>
      <c r="Q4" s="924"/>
      <c r="R4" s="924"/>
      <c r="S4" s="924"/>
      <c r="T4" s="923"/>
      <c r="U4" s="923"/>
    </row>
    <row r="5" spans="1:21" ht="12.75" thickBot="1">
      <c r="M5" s="3" t="s">
        <v>1578</v>
      </c>
    </row>
    <row r="6" spans="1:21" ht="27" customHeight="1">
      <c r="A6" s="1671" t="s">
        <v>454</v>
      </c>
      <c r="B6" s="1672" t="s">
        <v>455</v>
      </c>
      <c r="C6" s="1672" t="s">
        <v>456</v>
      </c>
      <c r="D6" s="1672" t="s">
        <v>457</v>
      </c>
      <c r="E6" s="1672" t="s">
        <v>458</v>
      </c>
      <c r="F6" s="1672"/>
      <c r="G6" s="1672"/>
      <c r="H6" s="1672"/>
      <c r="I6" s="1672"/>
      <c r="J6" s="1672"/>
      <c r="K6" s="1672"/>
      <c r="L6" s="1672" t="s">
        <v>459</v>
      </c>
      <c r="M6" s="1668" t="s">
        <v>453</v>
      </c>
    </row>
    <row r="7" spans="1:21" ht="27" customHeight="1">
      <c r="A7" s="2067"/>
      <c r="B7" s="2068"/>
      <c r="C7" s="2068"/>
      <c r="D7" s="2068"/>
      <c r="E7" s="1196" t="s">
        <v>443</v>
      </c>
      <c r="F7" s="1196" t="s">
        <v>460</v>
      </c>
      <c r="G7" s="1196" t="s">
        <v>461</v>
      </c>
      <c r="H7" s="1196" t="s">
        <v>462</v>
      </c>
      <c r="I7" s="1196" t="s">
        <v>463</v>
      </c>
      <c r="J7" s="1196" t="s">
        <v>464</v>
      </c>
      <c r="K7" s="1196" t="s">
        <v>453</v>
      </c>
      <c r="L7" s="2068"/>
      <c r="M7" s="2070"/>
    </row>
    <row r="8" spans="1:21" ht="27.75" customHeight="1">
      <c r="A8" s="793" t="s">
        <v>9245</v>
      </c>
      <c r="B8" s="448" t="s">
        <v>9246</v>
      </c>
      <c r="C8" s="1030">
        <f>SUM(D8,E8,L8,M8)</f>
        <v>39</v>
      </c>
      <c r="D8" s="626">
        <v>5</v>
      </c>
      <c r="E8" s="1030">
        <f>SUM(F8:K8)</f>
        <v>21</v>
      </c>
      <c r="F8" s="626">
        <v>11</v>
      </c>
      <c r="G8" s="626">
        <v>3</v>
      </c>
      <c r="H8" s="626">
        <v>3</v>
      </c>
      <c r="I8" s="626">
        <v>1</v>
      </c>
      <c r="J8" s="626">
        <v>2</v>
      </c>
      <c r="K8" s="626">
        <v>1</v>
      </c>
      <c r="L8" s="626">
        <v>1</v>
      </c>
      <c r="M8" s="627">
        <v>12</v>
      </c>
    </row>
    <row r="9" spans="1:21" ht="27.75" customHeight="1">
      <c r="A9" s="349"/>
      <c r="B9" s="397"/>
      <c r="C9" s="1014">
        <f t="shared" ref="C9:C10" si="0">SUM(D9,E9,L9,M9)</f>
        <v>0</v>
      </c>
      <c r="D9" s="350"/>
      <c r="E9" s="1014">
        <f t="shared" ref="E9:E10" si="1">SUM(F9:K9)</f>
        <v>0</v>
      </c>
      <c r="F9" s="350"/>
      <c r="G9" s="626"/>
      <c r="H9" s="626"/>
      <c r="I9" s="626"/>
      <c r="J9" s="626"/>
      <c r="K9" s="626"/>
      <c r="L9" s="626"/>
      <c r="M9" s="351"/>
    </row>
    <row r="10" spans="1:21" ht="27.75" customHeight="1" thickBot="1">
      <c r="A10" s="1226"/>
      <c r="B10" s="1227"/>
      <c r="C10" s="1228">
        <f t="shared" si="0"/>
        <v>0</v>
      </c>
      <c r="D10" s="421"/>
      <c r="E10" s="1228">
        <f t="shared" si="1"/>
        <v>0</v>
      </c>
      <c r="F10" s="421"/>
      <c r="G10" s="637"/>
      <c r="H10" s="637"/>
      <c r="I10" s="637"/>
      <c r="J10" s="637"/>
      <c r="K10" s="637"/>
      <c r="L10" s="421"/>
      <c r="M10" s="1204"/>
    </row>
  </sheetData>
  <mergeCells count="10">
    <mergeCell ref="A2:E2"/>
    <mergeCell ref="A3:E3"/>
    <mergeCell ref="A4:E4"/>
    <mergeCell ref="A6:A7"/>
    <mergeCell ref="M6:M7"/>
    <mergeCell ref="D6:D7"/>
    <mergeCell ref="E6:K6"/>
    <mergeCell ref="L6:L7"/>
    <mergeCell ref="C6:C7"/>
    <mergeCell ref="B6:B7"/>
  </mergeCells>
  <phoneticPr fontId="3" type="noConversion"/>
  <conditionalFormatting sqref="A8:M10">
    <cfRule type="expression" dxfId="219" priority="11" stopIfTrue="1">
      <formula>OR(RIGHT($A8,3)="특별시",RIGHT($A8,3)="광역시",RIGHT($A8,1)="도",$A8="전국")</formula>
    </cfRule>
  </conditionalFormatting>
  <conditionalFormatting sqref="A8:M8">
    <cfRule type="expression" dxfId="218" priority="2" stopIfTrue="1">
      <formula>OR(RIGHT($A8,3)="특별시",RIGHT($A8,3)="광역시",RIGHT($A8,1)="도",$A8="전국")</formula>
    </cfRule>
  </conditionalFormatting>
  <conditionalFormatting sqref="A8:M8">
    <cfRule type="expression" dxfId="217" priority="1" stopIfTrue="1">
      <formula>OR(RIGHT($A8,3)="특별시",RIGHT($A8,3)="광역시",RIGHT($A8,1)="도",$A8="전국")</formula>
    </cfRule>
  </conditionalFormatting>
  <pageMargins left="0.75" right="0.75" top="1" bottom="1" header="0.5" footer="0.5"/>
  <pageSetup paperSize="9" scale="82" orientation="landscape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20"/>
  <dimension ref="A2:U12"/>
  <sheetViews>
    <sheetView view="pageBreakPreview" zoomScale="115" zoomScaleNormal="85" zoomScaleSheetLayoutView="115" workbookViewId="0">
      <selection activeCell="I7" sqref="I7"/>
    </sheetView>
  </sheetViews>
  <sheetFormatPr defaultColWidth="3.88671875" defaultRowHeight="12"/>
  <cols>
    <col min="1" max="1" width="11.21875" style="2" customWidth="1"/>
    <col min="2" max="2" width="18.33203125" style="2" customWidth="1"/>
    <col min="3" max="13" width="10.33203125" style="3" customWidth="1"/>
    <col min="14" max="16384" width="3.88671875" style="3"/>
  </cols>
  <sheetData>
    <row r="2" spans="1:21" s="941" customFormat="1" ht="27.75" customHeight="1">
      <c r="A2" s="2069"/>
      <c r="B2" s="2069"/>
      <c r="C2" s="2069"/>
      <c r="D2" s="2069"/>
      <c r="E2" s="2069"/>
      <c r="F2" s="939"/>
      <c r="G2" s="940"/>
      <c r="H2" s="940"/>
      <c r="I2" s="940"/>
      <c r="J2" s="940"/>
      <c r="K2" s="940"/>
      <c r="L2" s="940"/>
      <c r="M2" s="940"/>
      <c r="N2" s="940"/>
      <c r="O2" s="940"/>
      <c r="P2" s="939"/>
      <c r="Q2" s="940"/>
      <c r="R2" s="940"/>
      <c r="S2" s="940"/>
      <c r="T2" s="939"/>
      <c r="U2" s="939"/>
    </row>
    <row r="3" spans="1:21" s="925" customFormat="1" ht="27.75" customHeight="1">
      <c r="A3" s="1597" t="s">
        <v>8983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3"/>
      <c r="Q3" s="924"/>
      <c r="R3" s="924"/>
      <c r="S3" s="924"/>
      <c r="T3" s="923"/>
      <c r="U3" s="923"/>
    </row>
    <row r="4" spans="1:21" ht="12.75" thickBot="1">
      <c r="M4" s="3" t="s">
        <v>1495</v>
      </c>
    </row>
    <row r="5" spans="1:21" s="416" customFormat="1" ht="27.75" customHeight="1">
      <c r="A5" s="2074" t="s">
        <v>1474</v>
      </c>
      <c r="B5" s="1842" t="s">
        <v>1577</v>
      </c>
      <c r="C5" s="1842" t="s">
        <v>1453</v>
      </c>
      <c r="D5" s="1842" t="s">
        <v>1427</v>
      </c>
      <c r="E5" s="1844" t="s">
        <v>1428</v>
      </c>
      <c r="F5" s="1845"/>
      <c r="G5" s="1845"/>
      <c r="H5" s="1845"/>
      <c r="I5" s="1845"/>
      <c r="J5" s="1845"/>
      <c r="K5" s="1955"/>
      <c r="L5" s="1842" t="s">
        <v>1435</v>
      </c>
      <c r="M5" s="2071" t="s">
        <v>1404</v>
      </c>
    </row>
    <row r="6" spans="1:21" s="416" customFormat="1" ht="27.75" customHeight="1">
      <c r="A6" s="2075"/>
      <c r="B6" s="2076"/>
      <c r="C6" s="2073"/>
      <c r="D6" s="2073"/>
      <c r="E6" s="1186" t="s">
        <v>1429</v>
      </c>
      <c r="F6" s="1186" t="s">
        <v>1430</v>
      </c>
      <c r="G6" s="1186" t="s">
        <v>1431</v>
      </c>
      <c r="H6" s="1186" t="s">
        <v>1432</v>
      </c>
      <c r="I6" s="1186" t="s">
        <v>1433</v>
      </c>
      <c r="J6" s="1186" t="s">
        <v>1434</v>
      </c>
      <c r="K6" s="1186" t="s">
        <v>1404</v>
      </c>
      <c r="L6" s="2073"/>
      <c r="M6" s="2072"/>
    </row>
    <row r="7" spans="1:21" s="416" customFormat="1" ht="27.75" customHeight="1">
      <c r="A7" s="793" t="s">
        <v>9244</v>
      </c>
      <c r="B7" s="448" t="s">
        <v>9247</v>
      </c>
      <c r="C7" s="1422">
        <f>SUM(D7,E7,L7,M7)</f>
        <v>4</v>
      </c>
      <c r="D7" s="783">
        <v>0</v>
      </c>
      <c r="E7" s="1422">
        <f>SUM(F7:K7)</f>
        <v>3</v>
      </c>
      <c r="F7" s="783">
        <v>0</v>
      </c>
      <c r="G7" s="783">
        <v>0</v>
      </c>
      <c r="H7" s="783">
        <v>0</v>
      </c>
      <c r="I7" s="783" t="s">
        <v>9248</v>
      </c>
      <c r="J7" s="783">
        <v>2</v>
      </c>
      <c r="K7" s="783">
        <v>1</v>
      </c>
      <c r="L7" s="783">
        <v>0</v>
      </c>
      <c r="M7" s="800">
        <v>1</v>
      </c>
    </row>
    <row r="8" spans="1:21" s="416" customFormat="1" ht="27.75" customHeight="1">
      <c r="A8" s="349"/>
      <c r="B8" s="397"/>
      <c r="C8" s="1015">
        <f t="shared" ref="C8:C12" si="0">SUM(D8,E8,L8,M8)</f>
        <v>0</v>
      </c>
      <c r="D8" s="783"/>
      <c r="E8" s="1015">
        <f t="shared" ref="E8:E12" si="1">SUM(F8:K8)</f>
        <v>0</v>
      </c>
      <c r="F8" s="783"/>
      <c r="G8" s="783"/>
      <c r="H8" s="783"/>
      <c r="I8" s="374"/>
      <c r="J8" s="783"/>
      <c r="K8" s="783"/>
      <c r="L8" s="783"/>
      <c r="M8" s="800"/>
    </row>
    <row r="9" spans="1:21" s="416" customFormat="1" ht="27.75" customHeight="1">
      <c r="A9" s="349"/>
      <c r="B9" s="397"/>
      <c r="C9" s="1015">
        <f t="shared" si="0"/>
        <v>0</v>
      </c>
      <c r="D9" s="374"/>
      <c r="E9" s="1015">
        <f t="shared" si="1"/>
        <v>0</v>
      </c>
      <c r="F9" s="783"/>
      <c r="G9" s="783"/>
      <c r="H9" s="783"/>
      <c r="I9" s="783"/>
      <c r="J9" s="783"/>
      <c r="K9" s="783"/>
      <c r="L9" s="783"/>
      <c r="M9" s="800"/>
    </row>
    <row r="10" spans="1:21" s="416" customFormat="1" ht="27.75" customHeight="1">
      <c r="A10" s="349"/>
      <c r="B10" s="397"/>
      <c r="C10" s="1015">
        <f t="shared" si="0"/>
        <v>0</v>
      </c>
      <c r="D10" s="783"/>
      <c r="E10" s="1015">
        <f t="shared" si="1"/>
        <v>0</v>
      </c>
      <c r="F10" s="783"/>
      <c r="G10" s="783"/>
      <c r="H10" s="783"/>
      <c r="I10" s="374"/>
      <c r="J10" s="783"/>
      <c r="K10" s="783"/>
      <c r="L10" s="783"/>
      <c r="M10" s="800"/>
    </row>
    <row r="11" spans="1:21" s="416" customFormat="1" ht="27.75" customHeight="1">
      <c r="A11" s="349"/>
      <c r="B11" s="397"/>
      <c r="C11" s="1015">
        <f t="shared" si="0"/>
        <v>0</v>
      </c>
      <c r="D11" s="783"/>
      <c r="E11" s="1015">
        <f t="shared" si="1"/>
        <v>0</v>
      </c>
      <c r="F11" s="783"/>
      <c r="G11" s="783"/>
      <c r="H11" s="783"/>
      <c r="I11" s="374"/>
      <c r="J11" s="783"/>
      <c r="K11" s="783"/>
      <c r="L11" s="374"/>
      <c r="M11" s="800"/>
    </row>
    <row r="12" spans="1:21" s="416" customFormat="1" ht="27.75" customHeight="1" thickBot="1">
      <c r="A12" s="1226"/>
      <c r="B12" s="1227"/>
      <c r="C12" s="1229">
        <f t="shared" si="0"/>
        <v>0</v>
      </c>
      <c r="D12" s="1212"/>
      <c r="E12" s="1229">
        <f t="shared" si="1"/>
        <v>0</v>
      </c>
      <c r="F12" s="1212"/>
      <c r="G12" s="1212"/>
      <c r="H12" s="1212"/>
      <c r="I12" s="1212"/>
      <c r="J12" s="1230"/>
      <c r="K12" s="1212"/>
      <c r="L12" s="1212"/>
      <c r="M12" s="1231"/>
    </row>
  </sheetData>
  <mergeCells count="9">
    <mergeCell ref="A2:E2"/>
    <mergeCell ref="A3:E3"/>
    <mergeCell ref="M5:M6"/>
    <mergeCell ref="D5:D6"/>
    <mergeCell ref="E5:K5"/>
    <mergeCell ref="L5:L6"/>
    <mergeCell ref="A5:A6"/>
    <mergeCell ref="C5:C6"/>
    <mergeCell ref="B5:B6"/>
  </mergeCells>
  <phoneticPr fontId="3" type="noConversion"/>
  <conditionalFormatting sqref="A7:M12">
    <cfRule type="expression" dxfId="216" priority="6" stopIfTrue="1">
      <formula>OR(RIGHT($A7,3)="특별시",RIGHT($A7,3)="광역시",RIGHT($A7,1)="도",$A7="전국")</formula>
    </cfRule>
  </conditionalFormatting>
  <conditionalFormatting sqref="B7:M7">
    <cfRule type="expression" dxfId="215" priority="2" stopIfTrue="1">
      <formula>OR(RIGHT($A7,3)="특별시",RIGHT($A7,3)="광역시",RIGHT($A7,1)="도",$A7="전국")</formula>
    </cfRule>
  </conditionalFormatting>
  <conditionalFormatting sqref="B7:M7">
    <cfRule type="expression" dxfId="214" priority="1" stopIfTrue="1">
      <formula>OR(RIGHT($A7,3)="특별시",RIGHT($A7,3)="광역시",RIGHT($A7,1)="도",$A7="전국")</formula>
    </cfRule>
  </conditionalFormatting>
  <pageMargins left="0.75" right="0.75" top="1" bottom="1" header="0.5" footer="0.5"/>
  <pageSetup paperSize="9" scale="78" orientation="landscape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U15"/>
  <sheetViews>
    <sheetView view="pageBreakPreview" zoomScale="92" zoomScaleNormal="85" zoomScaleSheetLayoutView="92" workbookViewId="0">
      <selection activeCell="M29" sqref="M29"/>
    </sheetView>
  </sheetViews>
  <sheetFormatPr defaultColWidth="3.88671875" defaultRowHeight="12"/>
  <cols>
    <col min="1" max="1" width="12.21875" style="938" bestFit="1" customWidth="1"/>
    <col min="2" max="2" width="21.88671875" style="937" customWidth="1"/>
    <col min="3" max="3" width="15.77734375" style="937" customWidth="1"/>
    <col min="4" max="11" width="7.6640625" style="937" customWidth="1"/>
    <col min="12" max="12" width="9" style="937" customWidth="1"/>
    <col min="13" max="13" width="9.77734375" style="937" customWidth="1"/>
    <col min="14" max="15" width="9" style="937" customWidth="1"/>
    <col min="16" max="16" width="11.6640625" style="937" customWidth="1"/>
    <col min="17" max="17" width="6.6640625" style="937" bestFit="1" customWidth="1"/>
    <col min="18" max="16384" width="3.88671875" style="937"/>
  </cols>
  <sheetData>
    <row r="1" spans="1:21" s="946" customFormat="1" ht="21.75" customHeight="1"/>
    <row r="2" spans="1:21" s="941" customFormat="1" ht="27.75" customHeight="1">
      <c r="A2" s="2069"/>
      <c r="B2" s="2069"/>
      <c r="C2" s="2069"/>
      <c r="D2" s="2069"/>
      <c r="E2" s="2069"/>
      <c r="F2" s="2069"/>
      <c r="G2" s="939"/>
      <c r="H2" s="940"/>
      <c r="I2" s="940"/>
      <c r="J2" s="940"/>
      <c r="K2" s="940"/>
      <c r="L2" s="940"/>
      <c r="M2" s="940"/>
      <c r="N2" s="940"/>
      <c r="O2" s="940"/>
      <c r="P2" s="939"/>
      <c r="Q2" s="940"/>
      <c r="R2" s="940"/>
      <c r="S2" s="940"/>
      <c r="T2" s="939"/>
      <c r="U2" s="939"/>
    </row>
    <row r="3" spans="1:21" s="944" customFormat="1" ht="27.75" customHeight="1">
      <c r="A3" s="2026" t="s">
        <v>7687</v>
      </c>
      <c r="B3" s="2026"/>
      <c r="C3" s="2026"/>
      <c r="D3" s="2026"/>
      <c r="E3" s="2026"/>
      <c r="F3" s="2026"/>
      <c r="G3" s="942"/>
      <c r="H3" s="943"/>
      <c r="I3" s="943"/>
      <c r="J3" s="943"/>
      <c r="K3" s="943"/>
      <c r="L3" s="943"/>
      <c r="M3" s="943"/>
      <c r="N3" s="943"/>
      <c r="O3" s="943"/>
      <c r="P3" s="942"/>
      <c r="Q3" s="943"/>
      <c r="R3" s="943"/>
      <c r="S3" s="943"/>
      <c r="T3" s="942"/>
      <c r="U3" s="942"/>
    </row>
    <row r="4" spans="1:21" ht="24.75" customHeight="1" thickBot="1">
      <c r="L4" s="2078"/>
      <c r="M4" s="2078"/>
    </row>
    <row r="5" spans="1:21" ht="27" customHeight="1">
      <c r="A5" s="2079" t="s">
        <v>1474</v>
      </c>
      <c r="B5" s="1646" t="s">
        <v>7587</v>
      </c>
      <c r="C5" s="1646" t="s">
        <v>8775</v>
      </c>
      <c r="D5" s="1646" t="s">
        <v>7404</v>
      </c>
      <c r="E5" s="1646" t="s">
        <v>7405</v>
      </c>
      <c r="F5" s="1644" t="s">
        <v>7406</v>
      </c>
      <c r="G5" s="2081"/>
      <c r="H5" s="2081"/>
      <c r="I5" s="2081"/>
      <c r="J5" s="2081"/>
      <c r="K5" s="2077"/>
      <c r="L5" s="1646" t="s">
        <v>7407</v>
      </c>
      <c r="M5" s="1646" t="s">
        <v>7408</v>
      </c>
      <c r="N5" s="1644" t="s">
        <v>7409</v>
      </c>
      <c r="O5" s="2077"/>
      <c r="P5" s="1634" t="s">
        <v>7410</v>
      </c>
    </row>
    <row r="6" spans="1:21" ht="27" customHeight="1">
      <c r="A6" s="2080"/>
      <c r="B6" s="1639"/>
      <c r="C6" s="1639"/>
      <c r="D6" s="1639"/>
      <c r="E6" s="1639"/>
      <c r="F6" s="1173" t="s">
        <v>1429</v>
      </c>
      <c r="G6" s="1173" t="s">
        <v>7411</v>
      </c>
      <c r="H6" s="1173" t="s">
        <v>7412</v>
      </c>
      <c r="I6" s="1173" t="s">
        <v>7413</v>
      </c>
      <c r="J6" s="1173" t="s">
        <v>7414</v>
      </c>
      <c r="K6" s="1173" t="s">
        <v>1404</v>
      </c>
      <c r="L6" s="1639"/>
      <c r="M6" s="1639"/>
      <c r="N6" s="1173" t="s">
        <v>7415</v>
      </c>
      <c r="O6" s="1173" t="s">
        <v>7416</v>
      </c>
      <c r="P6" s="1635"/>
    </row>
    <row r="7" spans="1:21" ht="27" customHeight="1">
      <c r="A7" s="1463" t="s">
        <v>9281</v>
      </c>
      <c r="B7" s="1463" t="s">
        <v>9285</v>
      </c>
      <c r="C7" s="1464">
        <f>SUM(D7,E7,K7,L7)</f>
        <v>26</v>
      </c>
      <c r="D7" s="1464">
        <v>2</v>
      </c>
      <c r="E7" s="1464">
        <f>SUM(F7:J7)</f>
        <v>23</v>
      </c>
      <c r="F7" s="1464"/>
      <c r="G7" s="1464">
        <v>7</v>
      </c>
      <c r="H7" s="1464">
        <v>8</v>
      </c>
      <c r="I7" s="1464">
        <v>3</v>
      </c>
      <c r="J7" s="1464">
        <v>5</v>
      </c>
      <c r="K7" s="1464">
        <v>0</v>
      </c>
      <c r="L7" s="1464">
        <v>1</v>
      </c>
      <c r="M7" s="1464">
        <v>8</v>
      </c>
      <c r="N7" s="1465">
        <v>6.3</v>
      </c>
      <c r="O7" s="1466">
        <v>3.5</v>
      </c>
      <c r="P7" s="1467">
        <v>0</v>
      </c>
    </row>
    <row r="8" spans="1:21" ht="27" customHeight="1">
      <c r="A8" s="1428" t="s">
        <v>9282</v>
      </c>
      <c r="B8" s="1428" t="s">
        <v>9285</v>
      </c>
      <c r="C8" s="1464">
        <f>SUM(D8,E8,K8,L8)</f>
        <v>18</v>
      </c>
      <c r="D8" s="1464">
        <v>3</v>
      </c>
      <c r="E8" s="1464">
        <f>SUM(F8:J8)</f>
        <v>15</v>
      </c>
      <c r="F8" s="1464">
        <v>0</v>
      </c>
      <c r="G8" s="1464">
        <v>10</v>
      </c>
      <c r="H8" s="1464">
        <v>3</v>
      </c>
      <c r="I8" s="1464">
        <v>1</v>
      </c>
      <c r="J8" s="1464">
        <v>1</v>
      </c>
      <c r="K8" s="1464">
        <v>0</v>
      </c>
      <c r="L8" s="1464">
        <v>0</v>
      </c>
      <c r="M8" s="1464">
        <v>6.83</v>
      </c>
      <c r="N8" s="1468">
        <v>6.7</v>
      </c>
      <c r="O8" s="1466">
        <v>2</v>
      </c>
      <c r="P8" s="1467">
        <v>0</v>
      </c>
    </row>
    <row r="9" spans="1:21" ht="27" customHeight="1">
      <c r="A9" s="1428" t="s">
        <v>9283</v>
      </c>
      <c r="B9" s="1428" t="s">
        <v>9285</v>
      </c>
      <c r="C9" s="1469" t="s">
        <v>9286</v>
      </c>
      <c r="D9" s="1464"/>
      <c r="E9" s="1464">
        <f t="shared" ref="E9:E15" si="0">SUM(F9:J9)</f>
        <v>0</v>
      </c>
      <c r="F9" s="1464"/>
      <c r="G9" s="1464"/>
      <c r="H9" s="1464"/>
      <c r="I9" s="1464"/>
      <c r="J9" s="1464"/>
      <c r="K9" s="1464"/>
      <c r="L9" s="1464"/>
      <c r="M9" s="1464"/>
      <c r="N9" s="1468"/>
      <c r="O9" s="1466"/>
      <c r="P9" s="1467">
        <v>0</v>
      </c>
    </row>
    <row r="10" spans="1:21" ht="27" customHeight="1">
      <c r="A10" s="1463" t="s">
        <v>9174</v>
      </c>
      <c r="B10" s="1463" t="s">
        <v>9287</v>
      </c>
      <c r="C10" s="1464">
        <f t="shared" ref="C10:C15" si="1">SUM(D10,E10,K10,L10)</f>
        <v>14</v>
      </c>
      <c r="D10" s="1464">
        <v>3</v>
      </c>
      <c r="E10" s="1464">
        <f t="shared" si="0"/>
        <v>9</v>
      </c>
      <c r="F10" s="1464"/>
      <c r="G10" s="1464">
        <v>6</v>
      </c>
      <c r="H10" s="1464">
        <v>2</v>
      </c>
      <c r="I10" s="1464"/>
      <c r="J10" s="1464">
        <v>1</v>
      </c>
      <c r="K10" s="1464"/>
      <c r="L10" s="1464">
        <v>2</v>
      </c>
      <c r="M10" s="1464">
        <v>7.1</v>
      </c>
      <c r="N10" s="1465">
        <v>3.9</v>
      </c>
      <c r="O10" s="1466">
        <v>4.6100000000000003</v>
      </c>
      <c r="P10" s="1467">
        <v>0</v>
      </c>
    </row>
    <row r="11" spans="1:21" ht="27" customHeight="1">
      <c r="A11" s="1463" t="s">
        <v>9176</v>
      </c>
      <c r="B11" s="1463" t="s">
        <v>9287</v>
      </c>
      <c r="C11" s="1464">
        <f t="shared" si="1"/>
        <v>3</v>
      </c>
      <c r="D11" s="1464"/>
      <c r="E11" s="1464">
        <f t="shared" si="0"/>
        <v>3</v>
      </c>
      <c r="F11" s="1464"/>
      <c r="G11" s="1464">
        <v>2</v>
      </c>
      <c r="H11" s="1464">
        <v>1</v>
      </c>
      <c r="I11" s="1464"/>
      <c r="J11" s="1464"/>
      <c r="K11" s="1464"/>
      <c r="L11" s="1464"/>
      <c r="M11" s="1464">
        <v>7.1</v>
      </c>
      <c r="N11" s="1465">
        <v>4.8</v>
      </c>
      <c r="O11" s="1466">
        <v>2.1</v>
      </c>
      <c r="P11" s="1467">
        <v>0</v>
      </c>
    </row>
    <row r="12" spans="1:21" ht="27" customHeight="1">
      <c r="A12" s="1463" t="s">
        <v>9178</v>
      </c>
      <c r="B12" s="1463" t="s">
        <v>9287</v>
      </c>
      <c r="C12" s="1464">
        <f t="shared" si="1"/>
        <v>3</v>
      </c>
      <c r="D12" s="1464"/>
      <c r="E12" s="1464">
        <f t="shared" si="0"/>
        <v>3</v>
      </c>
      <c r="F12" s="1464"/>
      <c r="G12" s="1464">
        <v>1</v>
      </c>
      <c r="H12" s="1464">
        <v>1</v>
      </c>
      <c r="I12" s="1464">
        <v>1</v>
      </c>
      <c r="J12" s="1464"/>
      <c r="K12" s="1464"/>
      <c r="L12" s="1464"/>
      <c r="M12" s="1464">
        <v>10</v>
      </c>
      <c r="N12" s="1465">
        <v>1.9</v>
      </c>
      <c r="O12" s="1466">
        <v>8.3000000000000007</v>
      </c>
      <c r="P12" s="1467">
        <v>0</v>
      </c>
    </row>
    <row r="13" spans="1:21" ht="27" customHeight="1">
      <c r="A13" s="1463" t="s">
        <v>9182</v>
      </c>
      <c r="B13" s="1463" t="s">
        <v>9287</v>
      </c>
      <c r="C13" s="1464">
        <f t="shared" si="1"/>
        <v>7</v>
      </c>
      <c r="D13" s="1464">
        <v>2</v>
      </c>
      <c r="E13" s="1464">
        <f t="shared" si="0"/>
        <v>5</v>
      </c>
      <c r="F13" s="1464"/>
      <c r="G13" s="1464">
        <v>4</v>
      </c>
      <c r="H13" s="1464">
        <v>1</v>
      </c>
      <c r="I13" s="1464"/>
      <c r="J13" s="1464"/>
      <c r="K13" s="1464"/>
      <c r="L13" s="1464"/>
      <c r="M13" s="1464">
        <v>5</v>
      </c>
      <c r="N13" s="1465">
        <v>2.2000000000000002</v>
      </c>
      <c r="O13" s="1466">
        <v>7.4</v>
      </c>
      <c r="P13" s="1467">
        <v>0</v>
      </c>
    </row>
    <row r="14" spans="1:21" ht="27" customHeight="1">
      <c r="A14" s="1463" t="s">
        <v>9253</v>
      </c>
      <c r="B14" s="1463" t="s">
        <v>9287</v>
      </c>
      <c r="C14" s="1464">
        <f t="shared" si="1"/>
        <v>3</v>
      </c>
      <c r="D14" s="1464"/>
      <c r="E14" s="1464">
        <f t="shared" si="0"/>
        <v>3</v>
      </c>
      <c r="F14" s="1464"/>
      <c r="G14" s="1464">
        <v>2</v>
      </c>
      <c r="H14" s="1464">
        <v>1</v>
      </c>
      <c r="I14" s="1464"/>
      <c r="J14" s="1464"/>
      <c r="K14" s="1464"/>
      <c r="L14" s="1464"/>
      <c r="M14" s="1464">
        <v>3</v>
      </c>
      <c r="N14" s="1465">
        <v>1.1000000000000001</v>
      </c>
      <c r="O14" s="1466">
        <v>8.3000000000000007</v>
      </c>
      <c r="P14" s="1467">
        <v>0</v>
      </c>
    </row>
    <row r="15" spans="1:21" ht="27" customHeight="1" thickBot="1">
      <c r="A15" s="1470" t="s">
        <v>9254</v>
      </c>
      <c r="B15" s="1470" t="s">
        <v>9287</v>
      </c>
      <c r="C15" s="1471">
        <f t="shared" si="1"/>
        <v>5</v>
      </c>
      <c r="D15" s="1471"/>
      <c r="E15" s="1471">
        <f t="shared" si="0"/>
        <v>5</v>
      </c>
      <c r="F15" s="1471"/>
      <c r="G15" s="1471">
        <v>2</v>
      </c>
      <c r="H15" s="1471">
        <v>2</v>
      </c>
      <c r="I15" s="1471">
        <v>1</v>
      </c>
      <c r="J15" s="1471"/>
      <c r="K15" s="1471"/>
      <c r="L15" s="1471"/>
      <c r="M15" s="1471">
        <v>6</v>
      </c>
      <c r="N15" s="1472">
        <v>1.6</v>
      </c>
      <c r="O15" s="1085">
        <v>5.2</v>
      </c>
      <c r="P15" s="1473">
        <v>0</v>
      </c>
    </row>
  </sheetData>
  <mergeCells count="13">
    <mergeCell ref="N5:O5"/>
    <mergeCell ref="P5:P6"/>
    <mergeCell ref="A2:F2"/>
    <mergeCell ref="A3:F3"/>
    <mergeCell ref="L4:M4"/>
    <mergeCell ref="A5:A6"/>
    <mergeCell ref="B5:B6"/>
    <mergeCell ref="D5:D6"/>
    <mergeCell ref="E5:E6"/>
    <mergeCell ref="F5:K5"/>
    <mergeCell ref="C5:C6"/>
    <mergeCell ref="L5:L6"/>
    <mergeCell ref="M5:M6"/>
  </mergeCells>
  <phoneticPr fontId="3" type="noConversion"/>
  <conditionalFormatting sqref="A10:D12 F10:P12 C13:C15">
    <cfRule type="expression" dxfId="213" priority="19" stopIfTrue="1">
      <formula>OR($A10="시부",$A10="군부")</formula>
    </cfRule>
    <cfRule type="expression" dxfId="212" priority="20" stopIfTrue="1">
      <formula>OR(RIGHT($A10,3)="특별시",RIGHT($A10,3)="광역시",RIGHT($A10,1)="도",$A10="전국")</formula>
    </cfRule>
  </conditionalFormatting>
  <conditionalFormatting sqref="A10:D13 F10:P13 C14:C15">
    <cfRule type="expression" dxfId="211" priority="17" stopIfTrue="1">
      <formula>OR($A10="시부",$A10="군부")</formula>
    </cfRule>
    <cfRule type="expression" dxfId="210" priority="18" stopIfTrue="1">
      <formula>OR(RIGHT($A10,3)="특별시",RIGHT($A10,3)="광역시",RIGHT($A10,1)="도",$A10="전국")</formula>
    </cfRule>
  </conditionalFormatting>
  <conditionalFormatting sqref="A10:D13 F10:P13 C14:C15">
    <cfRule type="expression" dxfId="209" priority="15" stopIfTrue="1">
      <formula>OR($A10="시부",$A10="군부")</formula>
    </cfRule>
    <cfRule type="expression" dxfId="208" priority="16" stopIfTrue="1">
      <formula>OR(RIGHT($A10,3)="특별시",RIGHT($A10,3)="광역시",RIGHT($A10,1)="도",$A10="전국")</formula>
    </cfRule>
  </conditionalFormatting>
  <conditionalFormatting sqref="C10:C15">
    <cfRule type="expression" dxfId="207" priority="13" stopIfTrue="1">
      <formula>OR($A10="시부",$A10="군부")</formula>
    </cfRule>
    <cfRule type="expression" dxfId="206" priority="14" stopIfTrue="1">
      <formula>OR(RIGHT($A10,3)="특별시",RIGHT($A10,3)="광역시",RIGHT($A10,1)="도",$A10="전국")</formula>
    </cfRule>
  </conditionalFormatting>
  <conditionalFormatting sqref="A14:D14 F14:P14">
    <cfRule type="expression" dxfId="205" priority="11" stopIfTrue="1">
      <formula>OR($A14="시부",$A14="군부")</formula>
    </cfRule>
    <cfRule type="expression" dxfId="204" priority="12" stopIfTrue="1">
      <formula>OR(RIGHT($A14,3)="특별시",RIGHT($A14,3)="광역시",RIGHT($A14,1)="도",$A14="전국")</formula>
    </cfRule>
  </conditionalFormatting>
  <conditionalFormatting sqref="A14:D15 F14:P15">
    <cfRule type="expression" dxfId="203" priority="9" stopIfTrue="1">
      <formula>OR($A14="시부",$A14="군부")</formula>
    </cfRule>
    <cfRule type="expression" dxfId="202" priority="10" stopIfTrue="1">
      <formula>OR(RIGHT($A14,3)="특별시",RIGHT($A14,3)="광역시",RIGHT($A14,1)="도",$A14="전국")</formula>
    </cfRule>
  </conditionalFormatting>
  <conditionalFormatting sqref="A14:D15 F14:P15">
    <cfRule type="expression" dxfId="201" priority="7" stopIfTrue="1">
      <formula>OR($A14="시부",$A14="군부")</formula>
    </cfRule>
    <cfRule type="expression" dxfId="200" priority="8" stopIfTrue="1">
      <formula>OR(RIGHT($A14,3)="특별시",RIGHT($A14,3)="광역시",RIGHT($A14,1)="도",$A14="전국")</formula>
    </cfRule>
  </conditionalFormatting>
  <conditionalFormatting sqref="A7:P8 A9:D9 F9:P9 E9:E15">
    <cfRule type="expression" dxfId="199" priority="5" stopIfTrue="1">
      <formula>OR($A7="시부",$A7="군부")</formula>
    </cfRule>
    <cfRule type="expression" dxfId="198" priority="6" stopIfTrue="1">
      <formula>OR(RIGHT($A7,3)="특별시",RIGHT($A7,3)="광역시",RIGHT($A7,1)="도",$A7="전국")</formula>
    </cfRule>
  </conditionalFormatting>
  <conditionalFormatting sqref="C8:P8 C9:D9 F9:P9 E9:E15">
    <cfRule type="expression" dxfId="197" priority="3" stopIfTrue="1">
      <formula>OR($A8="시부",$A8="군부")</formula>
    </cfRule>
    <cfRule type="expression" dxfId="196" priority="4" stopIfTrue="1">
      <formula>OR(RIGHT($A8,3)="특별시",RIGHT($A8,3)="광역시",RIGHT($A8,1)="도",$A8="전국")</formula>
    </cfRule>
  </conditionalFormatting>
  <conditionalFormatting sqref="A7:P7">
    <cfRule type="expression" dxfId="195" priority="1" stopIfTrue="1">
      <formula>OR($A7="시부",$A7="군부")</formula>
    </cfRule>
    <cfRule type="expression" dxfId="194" priority="2" stopIfTrue="1">
      <formula>OR(RIGHT($A7,3)="특별시",RIGHT($A7,3)="광역시",RIGHT($A7,1)="도",$A7="전국")</formula>
    </cfRule>
  </conditionalFormatting>
  <dataValidations count="1">
    <dataValidation type="list" allowBlank="1" showInputMessage="1" showErrorMessage="1" sqref="B7:B15">
      <formula1>"자체(직영),공기업,민간위탁, 기타(일부위탁)"</formula1>
    </dataValidation>
  </dataValidations>
  <pageMargins left="0.74803149606299213" right="0.74803149606299213" top="0.98425196850393704" bottom="0.98425196850393704" header="0.51181102362204722" footer="0.51181102362204722"/>
  <pageSetup paperSize="9" scale="70" orientation="landscape" horizontalDpi="300" verticalDpi="300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21"/>
  <dimension ref="A2:U9"/>
  <sheetViews>
    <sheetView view="pageBreakPreview" zoomScale="115" zoomScaleNormal="86" zoomScaleSheetLayoutView="115" workbookViewId="0">
      <selection activeCell="I7" sqref="I7"/>
    </sheetView>
  </sheetViews>
  <sheetFormatPr defaultColWidth="3.88671875" defaultRowHeight="12"/>
  <cols>
    <col min="1" max="1" width="12.109375" style="3" customWidth="1"/>
    <col min="2" max="2" width="13.6640625" style="3" customWidth="1"/>
    <col min="3" max="3" width="13.21875" style="3" customWidth="1"/>
    <col min="4" max="8" width="13.109375" style="3" customWidth="1"/>
    <col min="9" max="9" width="16.33203125" style="3" customWidth="1"/>
    <col min="10" max="16384" width="3.88671875" style="3"/>
  </cols>
  <sheetData>
    <row r="2" spans="1:21" s="941" customFormat="1" ht="27.75" customHeight="1">
      <c r="A2" s="2069"/>
      <c r="B2" s="2069"/>
      <c r="C2" s="2069"/>
      <c r="D2" s="2069"/>
      <c r="E2" s="2069"/>
      <c r="F2" s="939"/>
      <c r="G2" s="940"/>
      <c r="H2" s="940"/>
      <c r="I2" s="940"/>
      <c r="J2" s="940"/>
      <c r="K2" s="940"/>
      <c r="L2" s="940"/>
      <c r="M2" s="940"/>
      <c r="N2" s="940"/>
      <c r="O2" s="940"/>
      <c r="P2" s="939"/>
      <c r="Q2" s="940"/>
      <c r="R2" s="940"/>
      <c r="S2" s="940"/>
      <c r="T2" s="939"/>
      <c r="U2" s="939"/>
    </row>
    <row r="3" spans="1:21" s="944" customFormat="1" ht="27.75" customHeight="1">
      <c r="A3" s="2026" t="s">
        <v>7688</v>
      </c>
      <c r="B3" s="2026"/>
      <c r="C3" s="2026"/>
      <c r="D3" s="2026"/>
      <c r="E3" s="2026"/>
      <c r="F3" s="942"/>
      <c r="G3" s="943"/>
      <c r="H3" s="943"/>
      <c r="I3" s="943"/>
      <c r="J3" s="943"/>
      <c r="K3" s="943"/>
      <c r="L3" s="943"/>
      <c r="M3" s="943"/>
      <c r="N3" s="943"/>
      <c r="O3" s="943"/>
      <c r="P3" s="942"/>
      <c r="Q3" s="943"/>
      <c r="R3" s="943"/>
      <c r="S3" s="943"/>
      <c r="T3" s="942"/>
      <c r="U3" s="942"/>
    </row>
    <row r="4" spans="1:21" ht="12.75" thickBot="1"/>
    <row r="5" spans="1:21" s="2" customFormat="1" ht="24.75" customHeight="1">
      <c r="A5" s="1671" t="s">
        <v>1474</v>
      </c>
      <c r="B5" s="1672" t="s">
        <v>1436</v>
      </c>
      <c r="C5" s="1672" t="s">
        <v>1496</v>
      </c>
      <c r="D5" s="1672" t="s">
        <v>1437</v>
      </c>
      <c r="E5" s="1672"/>
      <c r="F5" s="1672"/>
      <c r="G5" s="1672"/>
      <c r="H5" s="1672"/>
      <c r="I5" s="1668" t="s">
        <v>1475</v>
      </c>
    </row>
    <row r="6" spans="1:21" s="2" customFormat="1" ht="27" customHeight="1">
      <c r="A6" s="2067"/>
      <c r="B6" s="2068"/>
      <c r="C6" s="2068"/>
      <c r="D6" s="1196" t="s">
        <v>1403</v>
      </c>
      <c r="E6" s="1196" t="s">
        <v>1440</v>
      </c>
      <c r="F6" s="1196" t="s">
        <v>1438</v>
      </c>
      <c r="G6" s="1196" t="s">
        <v>1439</v>
      </c>
      <c r="H6" s="1196" t="s">
        <v>1404</v>
      </c>
      <c r="I6" s="2070"/>
    </row>
    <row r="7" spans="1:21" ht="27" customHeight="1">
      <c r="A7" s="1434" t="s">
        <v>9249</v>
      </c>
      <c r="B7" s="1269">
        <v>3</v>
      </c>
      <c r="C7" s="1269">
        <v>18</v>
      </c>
      <c r="D7" s="1435">
        <f t="shared" ref="D7" si="0">SUM(E7:H7)</f>
        <v>12</v>
      </c>
      <c r="E7" s="1269">
        <v>2</v>
      </c>
      <c r="F7" s="1269">
        <v>0</v>
      </c>
      <c r="G7" s="1269">
        <v>6</v>
      </c>
      <c r="H7" s="1269">
        <v>4</v>
      </c>
      <c r="I7" s="627">
        <v>48416</v>
      </c>
    </row>
    <row r="8" spans="1:21" ht="27" customHeight="1">
      <c r="A8" s="349"/>
      <c r="B8" s="353"/>
      <c r="C8" s="353"/>
      <c r="D8" s="1017">
        <f t="shared" ref="D8:D9" si="1">SUM(E8:H8)</f>
        <v>0</v>
      </c>
      <c r="E8" s="353"/>
      <c r="F8" s="353"/>
      <c r="G8" s="353"/>
      <c r="H8" s="353"/>
      <c r="I8" s="351"/>
    </row>
    <row r="9" spans="1:21" ht="27" customHeight="1" thickBot="1">
      <c r="A9" s="1226"/>
      <c r="B9" s="392"/>
      <c r="C9" s="392"/>
      <c r="D9" s="1233">
        <f t="shared" si="1"/>
        <v>0</v>
      </c>
      <c r="E9" s="802"/>
      <c r="F9" s="392"/>
      <c r="G9" s="392"/>
      <c r="H9" s="392"/>
      <c r="I9" s="1234"/>
    </row>
  </sheetData>
  <mergeCells count="7">
    <mergeCell ref="I5:I6"/>
    <mergeCell ref="A2:E2"/>
    <mergeCell ref="A3:E3"/>
    <mergeCell ref="A5:A6"/>
    <mergeCell ref="B5:B6"/>
    <mergeCell ref="C5:C6"/>
    <mergeCell ref="D5:H5"/>
  </mergeCells>
  <phoneticPr fontId="3" type="noConversion"/>
  <conditionalFormatting sqref="A7:I9">
    <cfRule type="expression" dxfId="193" priority="10" stopIfTrue="1">
      <formula>OR($A7="시부",$A7="군부")</formula>
    </cfRule>
    <cfRule type="expression" dxfId="192" priority="11" stopIfTrue="1">
      <formula>OR(RIGHT($A7,3)="특별시",RIGHT($A7,3)="광역시",RIGHT($A7,1)="도",$A7="전국")</formula>
    </cfRule>
  </conditionalFormatting>
  <conditionalFormatting sqref="A7:I7">
    <cfRule type="expression" dxfId="191" priority="5" stopIfTrue="1">
      <formula>OR($A7="시부",$A7="군부")</formula>
    </cfRule>
    <cfRule type="expression" dxfId="190" priority="6" stopIfTrue="1">
      <formula>OR(RIGHT($A7,3)="특별시",RIGHT($A7,3)="광역시",RIGHT($A7,1)="도",$A7="전국")</formula>
    </cfRule>
  </conditionalFormatting>
  <conditionalFormatting sqref="A7:I7">
    <cfRule type="expression" dxfId="189" priority="3" stopIfTrue="1">
      <formula>OR($A7="시부",$A7="군부")</formula>
    </cfRule>
    <cfRule type="expression" dxfId="188" priority="4" stopIfTrue="1">
      <formula>OR(RIGHT($A7,3)="특별시",RIGHT($A7,3)="광역시",RIGHT($A7,1)="도",$A7="전국")</formula>
    </cfRule>
  </conditionalFormatting>
  <conditionalFormatting sqref="A7:I7">
    <cfRule type="expression" dxfId="187" priority="1" stopIfTrue="1">
      <formula>OR($A7="시부",$A7="군부")</formula>
    </cfRule>
    <cfRule type="expression" dxfId="186" priority="2" stopIfTrue="1">
      <formula>OR(RIGHT($A7,3)="특별시",RIGHT($A7,3)="광역시",RIGHT($A7,1)="도",$A7="전국")</formula>
    </cfRule>
  </conditionalFormatting>
  <pageMargins left="0.75" right="0.75" top="1" bottom="1" header="0.5" footer="0.5"/>
  <pageSetup paperSize="9" scale="93" orientation="landscape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22">
    <pageSetUpPr fitToPage="1"/>
  </sheetPr>
  <dimension ref="A2:X13"/>
  <sheetViews>
    <sheetView view="pageBreakPreview" topLeftCell="G1" zoomScale="115" zoomScaleNormal="85" zoomScaleSheetLayoutView="115" workbookViewId="0">
      <selection activeCell="D11" sqref="D11"/>
    </sheetView>
  </sheetViews>
  <sheetFormatPr defaultColWidth="3.88671875" defaultRowHeight="12"/>
  <cols>
    <col min="1" max="1" width="12.33203125" style="3" customWidth="1"/>
    <col min="2" max="3" width="12.21875" style="3" customWidth="1"/>
    <col min="4" max="5" width="13.5546875" style="3" customWidth="1"/>
    <col min="6" max="7" width="12.21875" style="3" customWidth="1"/>
    <col min="8" max="9" width="13.5546875" style="3" customWidth="1"/>
    <col min="10" max="11" width="12.21875" style="3" customWidth="1"/>
    <col min="12" max="13" width="13.5546875" style="3" customWidth="1"/>
    <col min="14" max="16384" width="3.88671875" style="3"/>
  </cols>
  <sheetData>
    <row r="2" spans="1:24" s="941" customFormat="1" ht="27.75" customHeight="1">
      <c r="A2" s="2069"/>
      <c r="B2" s="2069"/>
      <c r="C2" s="2069"/>
      <c r="D2" s="2069"/>
      <c r="E2" s="2069"/>
      <c r="F2" s="2069"/>
      <c r="G2" s="1043"/>
      <c r="H2" s="939"/>
      <c r="I2" s="940"/>
      <c r="J2" s="940"/>
      <c r="K2" s="940"/>
      <c r="L2" s="940"/>
      <c r="M2" s="940"/>
      <c r="N2" s="940"/>
      <c r="O2" s="940"/>
      <c r="P2" s="940"/>
      <c r="Q2" s="940"/>
      <c r="R2" s="940"/>
      <c r="S2" s="939"/>
      <c r="T2" s="940"/>
      <c r="U2" s="940"/>
      <c r="V2" s="940"/>
      <c r="W2" s="939"/>
      <c r="X2" s="939"/>
    </row>
    <row r="3" spans="1:24" s="944" customFormat="1" ht="27.75" customHeight="1">
      <c r="A3" s="2026" t="s">
        <v>7689</v>
      </c>
      <c r="B3" s="2026"/>
      <c r="C3" s="2026"/>
      <c r="D3" s="2026"/>
      <c r="E3" s="2026"/>
      <c r="F3" s="2026"/>
      <c r="G3" s="1044"/>
      <c r="H3" s="942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2"/>
      <c r="T3" s="943"/>
      <c r="U3" s="943"/>
      <c r="V3" s="943"/>
      <c r="W3" s="942"/>
      <c r="X3" s="942"/>
    </row>
    <row r="4" spans="1:24" ht="21.75" customHeight="1" thickBot="1"/>
    <row r="5" spans="1:24" ht="27" customHeight="1">
      <c r="A5" s="1840" t="s">
        <v>1455</v>
      </c>
      <c r="B5" s="1653" t="s">
        <v>7690</v>
      </c>
      <c r="C5" s="1653"/>
      <c r="D5" s="1653"/>
      <c r="E5" s="1653"/>
      <c r="F5" s="1653" t="s">
        <v>7691</v>
      </c>
      <c r="G5" s="1653"/>
      <c r="H5" s="1653"/>
      <c r="I5" s="1653"/>
      <c r="J5" s="1653" t="s">
        <v>7692</v>
      </c>
      <c r="K5" s="1653"/>
      <c r="L5" s="1653"/>
      <c r="M5" s="1658"/>
    </row>
    <row r="6" spans="1:24" ht="27" customHeight="1">
      <c r="A6" s="2082"/>
      <c r="B6" s="1654" t="s">
        <v>1441</v>
      </c>
      <c r="C6" s="1654" t="s">
        <v>8776</v>
      </c>
      <c r="D6" s="1654" t="s">
        <v>1477</v>
      </c>
      <c r="E6" s="1654"/>
      <c r="F6" s="1654" t="s">
        <v>1441</v>
      </c>
      <c r="G6" s="1654" t="s">
        <v>8984</v>
      </c>
      <c r="H6" s="1654" t="s">
        <v>1444</v>
      </c>
      <c r="I6" s="1654"/>
      <c r="J6" s="1654" t="s">
        <v>1441</v>
      </c>
      <c r="K6" s="1654" t="s">
        <v>8776</v>
      </c>
      <c r="L6" s="1654" t="s">
        <v>1445</v>
      </c>
      <c r="M6" s="1659"/>
    </row>
    <row r="7" spans="1:24" ht="27" customHeight="1">
      <c r="A7" s="1841"/>
      <c r="B7" s="1839"/>
      <c r="C7" s="1839"/>
      <c r="D7" s="1186" t="s">
        <v>1442</v>
      </c>
      <c r="E7" s="1186" t="s">
        <v>1443</v>
      </c>
      <c r="F7" s="1839"/>
      <c r="G7" s="1839"/>
      <c r="H7" s="1186" t="s">
        <v>1497</v>
      </c>
      <c r="I7" s="1186" t="s">
        <v>7650</v>
      </c>
      <c r="J7" s="1839"/>
      <c r="K7" s="1839"/>
      <c r="L7" s="1186" t="s">
        <v>1497</v>
      </c>
      <c r="M7" s="1195" t="s">
        <v>7650</v>
      </c>
    </row>
    <row r="8" spans="1:24" ht="27" customHeight="1">
      <c r="A8" s="793" t="s">
        <v>9249</v>
      </c>
      <c r="B8" s="1269">
        <v>4</v>
      </c>
      <c r="C8" s="1269">
        <v>33</v>
      </c>
      <c r="D8" s="1269">
        <v>395</v>
      </c>
      <c r="E8" s="1269">
        <v>3023</v>
      </c>
      <c r="F8" s="1269">
        <v>1</v>
      </c>
      <c r="G8" s="1269">
        <v>8</v>
      </c>
      <c r="H8" s="1269">
        <v>12</v>
      </c>
      <c r="I8" s="1269">
        <v>0</v>
      </c>
      <c r="J8" s="1269">
        <v>7</v>
      </c>
      <c r="K8" s="1269">
        <v>35</v>
      </c>
      <c r="L8" s="1269">
        <v>479</v>
      </c>
      <c r="M8" s="1436" t="s">
        <v>9250</v>
      </c>
    </row>
    <row r="9" spans="1:24" ht="27" customHeight="1">
      <c r="A9" s="349"/>
      <c r="B9" s="353"/>
      <c r="C9" s="353"/>
      <c r="D9" s="350"/>
      <c r="E9" s="350"/>
      <c r="F9" s="632"/>
      <c r="G9" s="632"/>
      <c r="H9" s="632"/>
      <c r="I9" s="632"/>
      <c r="J9" s="632"/>
      <c r="K9" s="632"/>
      <c r="L9" s="626"/>
      <c r="M9" s="627"/>
    </row>
    <row r="10" spans="1:24" ht="27" customHeight="1">
      <c r="A10" s="349"/>
      <c r="B10" s="353"/>
      <c r="C10" s="353"/>
      <c r="D10" s="350"/>
      <c r="E10" s="350"/>
      <c r="F10" s="632"/>
      <c r="G10" s="632"/>
      <c r="H10" s="632"/>
      <c r="I10" s="632"/>
      <c r="J10" s="353"/>
      <c r="K10" s="353"/>
      <c r="L10" s="350"/>
      <c r="M10" s="351"/>
    </row>
    <row r="11" spans="1:24" ht="27" customHeight="1">
      <c r="A11" s="349"/>
      <c r="B11" s="353"/>
      <c r="C11" s="353"/>
      <c r="D11" s="350"/>
      <c r="E11" s="350"/>
      <c r="F11" s="632"/>
      <c r="G11" s="632"/>
      <c r="H11" s="632"/>
      <c r="I11" s="632"/>
      <c r="J11" s="632"/>
      <c r="K11" s="632"/>
      <c r="L11" s="626"/>
      <c r="M11" s="627"/>
    </row>
    <row r="12" spans="1:24" ht="27" customHeight="1">
      <c r="A12" s="349"/>
      <c r="B12" s="353"/>
      <c r="C12" s="353"/>
      <c r="D12" s="350"/>
      <c r="E12" s="350"/>
      <c r="F12" s="632"/>
      <c r="G12" s="632"/>
      <c r="H12" s="632"/>
      <c r="I12" s="632"/>
      <c r="J12" s="353"/>
      <c r="K12" s="353"/>
      <c r="L12" s="350"/>
      <c r="M12" s="351"/>
    </row>
    <row r="13" spans="1:24" ht="27" customHeight="1" thickBot="1">
      <c r="A13" s="1226"/>
      <c r="B13" s="392"/>
      <c r="C13" s="392"/>
      <c r="D13" s="421"/>
      <c r="E13" s="421"/>
      <c r="F13" s="802"/>
      <c r="G13" s="802"/>
      <c r="H13" s="802"/>
      <c r="I13" s="802"/>
      <c r="J13" s="392"/>
      <c r="K13" s="392"/>
      <c r="L13" s="421"/>
      <c r="M13" s="1234"/>
    </row>
  </sheetData>
  <mergeCells count="15">
    <mergeCell ref="A2:F2"/>
    <mergeCell ref="A3:F3"/>
    <mergeCell ref="H6:I6"/>
    <mergeCell ref="J5:M5"/>
    <mergeCell ref="J6:J7"/>
    <mergeCell ref="L6:M6"/>
    <mergeCell ref="A5:A7"/>
    <mergeCell ref="B5:E5"/>
    <mergeCell ref="B6:B7"/>
    <mergeCell ref="D6:E6"/>
    <mergeCell ref="C6:C7"/>
    <mergeCell ref="G6:G7"/>
    <mergeCell ref="K6:K7"/>
    <mergeCell ref="F5:I5"/>
    <mergeCell ref="F6:F7"/>
  </mergeCells>
  <phoneticPr fontId="3" type="noConversion"/>
  <conditionalFormatting sqref="A8:M13">
    <cfRule type="expression" dxfId="185" priority="6" stopIfTrue="1">
      <formula>OR($A8="시부",$A8="군부")</formula>
    </cfRule>
    <cfRule type="expression" dxfId="184" priority="7" stopIfTrue="1">
      <formula>OR(RIGHT($A8,3)="특별시",RIGHT($A8,3)="광역시",RIGHT($A8,1)="도",$A8="전국")</formula>
    </cfRule>
  </conditionalFormatting>
  <conditionalFormatting sqref="A8:M8">
    <cfRule type="expression" dxfId="183" priority="1" stopIfTrue="1">
      <formula>OR($A8="시부",$A8="군부")</formula>
    </cfRule>
    <cfRule type="expression" dxfId="182" priority="2" stopIfTrue="1">
      <formula>OR(RIGHT($A8,3)="특별시",RIGHT($A8,3)="광역시",RIGHT($A8,1)="도",$A8="전국")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67" orientation="landscape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3">
    <tabColor rgb="FF7030A0"/>
  </sheetPr>
  <dimension ref="A2:T80"/>
  <sheetViews>
    <sheetView view="pageBreakPreview" zoomScale="82" zoomScaleNormal="85" zoomScaleSheetLayoutView="82" workbookViewId="0">
      <selection activeCell="D23" sqref="D23"/>
    </sheetView>
  </sheetViews>
  <sheetFormatPr defaultColWidth="3.88671875" defaultRowHeight="12"/>
  <cols>
    <col min="1" max="1" width="11.77734375" style="2" customWidth="1"/>
    <col min="2" max="2" width="17.88671875" style="2" customWidth="1"/>
    <col min="3" max="3" width="14.77734375" style="2" customWidth="1"/>
    <col min="4" max="8" width="14.77734375" style="830" customWidth="1"/>
    <col min="9" max="9" width="14.77734375" style="3" customWidth="1"/>
    <col min="10" max="10" width="12.5546875" style="3" customWidth="1"/>
    <col min="11" max="27" width="3.88671875" style="3" customWidth="1"/>
    <col min="28" max="28" width="4" style="3" customWidth="1"/>
    <col min="29" max="16384" width="3.88671875" style="3"/>
  </cols>
  <sheetData>
    <row r="2" spans="1:20" s="941" customFormat="1" ht="27.75" customHeight="1">
      <c r="A2" s="2026" t="s">
        <v>7693</v>
      </c>
      <c r="B2" s="2026"/>
      <c r="C2" s="2026"/>
      <c r="D2" s="2026"/>
      <c r="E2" s="939"/>
      <c r="F2" s="940"/>
      <c r="G2" s="940"/>
      <c r="H2" s="940"/>
      <c r="I2" s="940"/>
      <c r="J2" s="940"/>
      <c r="K2" s="940"/>
      <c r="L2" s="940"/>
      <c r="M2" s="940"/>
      <c r="N2" s="940"/>
      <c r="O2" s="939"/>
      <c r="P2" s="940"/>
      <c r="Q2" s="940"/>
      <c r="R2" s="940"/>
      <c r="S2" s="939"/>
      <c r="T2" s="939"/>
    </row>
    <row r="3" spans="1:20" s="944" customFormat="1" ht="27.75" customHeight="1">
      <c r="A3" s="2026" t="s">
        <v>7694</v>
      </c>
      <c r="B3" s="2026"/>
      <c r="C3" s="2026"/>
      <c r="D3" s="2026"/>
      <c r="E3" s="942"/>
      <c r="F3" s="943"/>
      <c r="G3" s="943"/>
      <c r="H3" s="943"/>
      <c r="I3" s="943"/>
      <c r="J3" s="943"/>
      <c r="K3" s="943"/>
      <c r="L3" s="943"/>
      <c r="M3" s="943"/>
      <c r="N3" s="943"/>
      <c r="O3" s="942"/>
      <c r="P3" s="943"/>
      <c r="Q3" s="943"/>
      <c r="R3" s="943"/>
      <c r="S3" s="942"/>
      <c r="T3" s="942"/>
    </row>
    <row r="4" spans="1:20" ht="14.25" customHeight="1" thickBot="1">
      <c r="H4" s="2083" t="s">
        <v>1499</v>
      </c>
      <c r="I4" s="2083"/>
    </row>
    <row r="5" spans="1:20" ht="27.75" customHeight="1">
      <c r="A5" s="1187" t="s">
        <v>1478</v>
      </c>
      <c r="B5" s="1175" t="s">
        <v>1498</v>
      </c>
      <c r="C5" s="1175" t="s">
        <v>1446</v>
      </c>
      <c r="D5" s="831" t="s">
        <v>1447</v>
      </c>
      <c r="E5" s="831" t="s">
        <v>1448</v>
      </c>
      <c r="F5" s="831" t="s">
        <v>1449</v>
      </c>
      <c r="G5" s="831" t="s">
        <v>1450</v>
      </c>
      <c r="H5" s="831" t="s">
        <v>1451</v>
      </c>
      <c r="I5" s="1197" t="s">
        <v>1452</v>
      </c>
    </row>
    <row r="6" spans="1:20" ht="27" customHeight="1">
      <c r="A6" s="2085" t="s">
        <v>9270</v>
      </c>
      <c r="B6" s="1839" t="s">
        <v>9271</v>
      </c>
      <c r="C6" s="1431" t="s">
        <v>7695</v>
      </c>
      <c r="D6" s="1437">
        <v>195.4</v>
      </c>
      <c r="E6" s="1437">
        <v>103.7</v>
      </c>
      <c r="F6" s="1437">
        <v>210.8</v>
      </c>
      <c r="G6" s="1438">
        <v>45.381999999999998</v>
      </c>
      <c r="H6" s="1438">
        <v>5.4509999999999996</v>
      </c>
      <c r="I6" s="1439">
        <v>293151</v>
      </c>
    </row>
    <row r="7" spans="1:20" ht="27" customHeight="1">
      <c r="A7" s="2086"/>
      <c r="B7" s="1843"/>
      <c r="C7" s="1431" t="s">
        <v>7696</v>
      </c>
      <c r="D7" s="1437">
        <v>1</v>
      </c>
      <c r="E7" s="1437">
        <v>7.3</v>
      </c>
      <c r="F7" s="1437">
        <v>0.5</v>
      </c>
      <c r="G7" s="1438">
        <v>8.2110000000000003</v>
      </c>
      <c r="H7" s="1438">
        <v>5.7000000000000002E-2</v>
      </c>
      <c r="I7" s="1440" t="s">
        <v>9252</v>
      </c>
    </row>
    <row r="8" spans="1:20" ht="27" customHeight="1">
      <c r="A8" s="2086"/>
      <c r="B8" s="1839" t="s">
        <v>9272</v>
      </c>
      <c r="C8" s="1431" t="s">
        <v>7695</v>
      </c>
      <c r="D8" s="1441">
        <v>164.7</v>
      </c>
      <c r="E8" s="1441">
        <v>78.599999999999994</v>
      </c>
      <c r="F8" s="1441">
        <v>156.30000000000001</v>
      </c>
      <c r="G8" s="1442">
        <v>39.232999999999997</v>
      </c>
      <c r="H8" s="1442">
        <v>4.181</v>
      </c>
      <c r="I8" s="1443">
        <v>214356</v>
      </c>
    </row>
    <row r="9" spans="1:20" ht="27" customHeight="1">
      <c r="A9" s="2086"/>
      <c r="B9" s="1843"/>
      <c r="C9" s="1431" t="s">
        <v>7696</v>
      </c>
      <c r="D9" s="1441">
        <v>1.2093150684931506</v>
      </c>
      <c r="E9" s="1441">
        <v>7.9</v>
      </c>
      <c r="F9" s="1441">
        <v>1.2495890410958901</v>
      </c>
      <c r="G9" s="1442">
        <v>6.1719999999999997</v>
      </c>
      <c r="H9" s="1442">
        <v>0.122</v>
      </c>
      <c r="I9" s="1443" t="s">
        <v>9252</v>
      </c>
    </row>
    <row r="10" spans="1:20" ht="27" customHeight="1">
      <c r="A10" s="2086"/>
      <c r="B10" s="1839" t="s">
        <v>9273</v>
      </c>
      <c r="C10" s="1431" t="s">
        <v>7695</v>
      </c>
      <c r="D10" s="1441">
        <v>177.8</v>
      </c>
      <c r="E10" s="1441">
        <v>86.5</v>
      </c>
      <c r="F10" s="1441">
        <v>113.1</v>
      </c>
      <c r="G10" s="1442">
        <v>40.564</v>
      </c>
      <c r="H10" s="1442">
        <v>5.0129999999999999</v>
      </c>
      <c r="I10" s="1443">
        <v>200520</v>
      </c>
    </row>
    <row r="11" spans="1:20" ht="27" customHeight="1" thickBot="1">
      <c r="A11" s="2086"/>
      <c r="B11" s="2084"/>
      <c r="C11" s="1433" t="s">
        <v>7696</v>
      </c>
      <c r="D11" s="1441">
        <v>0.9</v>
      </c>
      <c r="E11" s="1441">
        <v>5.9</v>
      </c>
      <c r="F11" s="1441">
        <v>0.6</v>
      </c>
      <c r="G11" s="1442">
        <v>8.1720000000000006</v>
      </c>
      <c r="H11" s="1442">
        <v>0.04</v>
      </c>
      <c r="I11" s="1443" t="s">
        <v>9252</v>
      </c>
    </row>
    <row r="12" spans="1:20" ht="27" customHeight="1">
      <c r="A12" s="2086"/>
      <c r="B12" s="1839" t="s">
        <v>9274</v>
      </c>
      <c r="C12" s="1431" t="s">
        <v>7695</v>
      </c>
      <c r="D12" s="1444">
        <v>196.8</v>
      </c>
      <c r="E12" s="1444">
        <v>114.8</v>
      </c>
      <c r="F12" s="1444">
        <v>223.2</v>
      </c>
      <c r="G12" s="1438">
        <v>54.603999999999999</v>
      </c>
      <c r="H12" s="1438">
        <v>5.71</v>
      </c>
      <c r="I12" s="1443">
        <v>277781</v>
      </c>
    </row>
    <row r="13" spans="1:20" ht="27" customHeight="1">
      <c r="A13" s="2086"/>
      <c r="B13" s="1843"/>
      <c r="C13" s="1431" t="s">
        <v>7696</v>
      </c>
      <c r="D13" s="1444">
        <v>0.9</v>
      </c>
      <c r="E13" s="1444">
        <v>7.3</v>
      </c>
      <c r="F13" s="1444">
        <v>2.5</v>
      </c>
      <c r="G13" s="1438">
        <v>8.6829999999999998</v>
      </c>
      <c r="H13" s="1438">
        <v>4.2000000000000003E-2</v>
      </c>
      <c r="I13" s="1443" t="s">
        <v>9252</v>
      </c>
    </row>
    <row r="14" spans="1:20" ht="27" customHeight="1">
      <c r="A14" s="2086"/>
      <c r="B14" s="1839" t="s">
        <v>9275</v>
      </c>
      <c r="C14" s="1431" t="s">
        <v>7695</v>
      </c>
      <c r="D14" s="1444">
        <v>207.3</v>
      </c>
      <c r="E14" s="1444">
        <v>120.8</v>
      </c>
      <c r="F14" s="1444">
        <v>242.1</v>
      </c>
      <c r="G14" s="1438">
        <v>52.77</v>
      </c>
      <c r="H14" s="1438">
        <v>5.8719999999999999</v>
      </c>
      <c r="I14" s="1443">
        <v>287740</v>
      </c>
    </row>
    <row r="15" spans="1:20" ht="27" customHeight="1">
      <c r="A15" s="2086"/>
      <c r="B15" s="1843"/>
      <c r="C15" s="1431" t="s">
        <v>7696</v>
      </c>
      <c r="D15" s="1444">
        <v>1.3</v>
      </c>
      <c r="E15" s="1444">
        <v>8.1999999999999993</v>
      </c>
      <c r="F15" s="1444">
        <v>1.8</v>
      </c>
      <c r="G15" s="1438">
        <v>6.766</v>
      </c>
      <c r="H15" s="1438">
        <v>5.3999999999999999E-2</v>
      </c>
      <c r="I15" s="1443" t="s">
        <v>9252</v>
      </c>
    </row>
    <row r="16" spans="1:20" ht="27" customHeight="1">
      <c r="A16" s="2086"/>
      <c r="B16" s="1654" t="s">
        <v>9178</v>
      </c>
      <c r="C16" s="1431" t="s">
        <v>7695</v>
      </c>
      <c r="D16" s="1444">
        <v>142.30000000000001</v>
      </c>
      <c r="E16" s="1444">
        <v>81.8</v>
      </c>
      <c r="F16" s="1444">
        <v>138.69999999999999</v>
      </c>
      <c r="G16" s="1438">
        <v>38.701000000000001</v>
      </c>
      <c r="H16" s="1438">
        <v>4.3</v>
      </c>
      <c r="I16" s="1443">
        <v>127876</v>
      </c>
    </row>
    <row r="17" spans="1:9" ht="27" customHeight="1" thickBot="1">
      <c r="A17" s="2086"/>
      <c r="B17" s="1654"/>
      <c r="C17" s="1433" t="s">
        <v>7696</v>
      </c>
      <c r="D17" s="1444">
        <v>1</v>
      </c>
      <c r="E17" s="1444">
        <v>6.2</v>
      </c>
      <c r="F17" s="1444">
        <v>1.5</v>
      </c>
      <c r="G17" s="1438">
        <v>7.5609999999999999</v>
      </c>
      <c r="H17" s="1438">
        <v>4.4999999999999998E-2</v>
      </c>
      <c r="I17" s="1443" t="s">
        <v>9252</v>
      </c>
    </row>
    <row r="18" spans="1:9" ht="27" customHeight="1">
      <c r="A18" s="2086"/>
      <c r="B18" s="1654" t="s">
        <v>9182</v>
      </c>
      <c r="C18" s="1431" t="s">
        <v>7695</v>
      </c>
      <c r="D18" s="1444">
        <v>127.8</v>
      </c>
      <c r="E18" s="1444">
        <v>64.900000000000006</v>
      </c>
      <c r="F18" s="1444">
        <v>139.19999999999999</v>
      </c>
      <c r="G18" s="1438">
        <v>25.001000000000001</v>
      </c>
      <c r="H18" s="1438">
        <v>2.6349999999999998</v>
      </c>
      <c r="I18" s="1443">
        <v>119120</v>
      </c>
    </row>
    <row r="19" spans="1:9" ht="27" customHeight="1">
      <c r="A19" s="2086"/>
      <c r="B19" s="1654"/>
      <c r="C19" s="1431" t="s">
        <v>7696</v>
      </c>
      <c r="D19" s="1444">
        <v>1.6</v>
      </c>
      <c r="E19" s="1444">
        <v>5.6</v>
      </c>
      <c r="F19" s="1444">
        <v>1.8</v>
      </c>
      <c r="G19" s="1438">
        <v>5.8390000000000004</v>
      </c>
      <c r="H19" s="1438">
        <v>6.9000000000000006E-2</v>
      </c>
      <c r="I19" s="1443" t="s">
        <v>9252</v>
      </c>
    </row>
    <row r="20" spans="1:9" ht="27" customHeight="1">
      <c r="A20" s="2086"/>
      <c r="B20" s="1654" t="s">
        <v>9253</v>
      </c>
      <c r="C20" s="1431" t="s">
        <v>7695</v>
      </c>
      <c r="D20" s="1444">
        <v>180.7</v>
      </c>
      <c r="E20" s="1444">
        <v>124.2</v>
      </c>
      <c r="F20" s="1444">
        <v>200.8</v>
      </c>
      <c r="G20" s="1438">
        <v>38.256</v>
      </c>
      <c r="H20" s="1438">
        <v>4.327</v>
      </c>
      <c r="I20" s="1443">
        <v>170693</v>
      </c>
    </row>
    <row r="21" spans="1:9" ht="27" customHeight="1">
      <c r="A21" s="2086"/>
      <c r="B21" s="1654"/>
      <c r="C21" s="1431" t="s">
        <v>7696</v>
      </c>
      <c r="D21" s="1444">
        <v>1.6</v>
      </c>
      <c r="E21" s="1444">
        <v>10.5</v>
      </c>
      <c r="F21" s="1444">
        <v>4.5</v>
      </c>
      <c r="G21" s="1438">
        <v>8.0389999999999997</v>
      </c>
      <c r="H21" s="1438">
        <v>7.6999999999999999E-2</v>
      </c>
      <c r="I21" s="1443" t="s">
        <v>9252</v>
      </c>
    </row>
    <row r="22" spans="1:9" ht="27" customHeight="1">
      <c r="A22" s="2086"/>
      <c r="B22" s="1654" t="s">
        <v>9254</v>
      </c>
      <c r="C22" s="1431" t="s">
        <v>7695</v>
      </c>
      <c r="D22" s="1444">
        <v>198.4</v>
      </c>
      <c r="E22" s="1444">
        <v>109.1</v>
      </c>
      <c r="F22" s="1444">
        <v>263.7</v>
      </c>
      <c r="G22" s="1438">
        <v>45.228000000000002</v>
      </c>
      <c r="H22" s="1438">
        <v>5.05</v>
      </c>
      <c r="I22" s="1443">
        <v>99717</v>
      </c>
    </row>
    <row r="23" spans="1:9" ht="27" customHeight="1" thickBot="1">
      <c r="A23" s="2086"/>
      <c r="B23" s="1654"/>
      <c r="C23" s="1433" t="s">
        <v>7696</v>
      </c>
      <c r="D23" s="1444">
        <v>1</v>
      </c>
      <c r="E23" s="1444">
        <v>5.9</v>
      </c>
      <c r="F23" s="1444">
        <v>0.6</v>
      </c>
      <c r="G23" s="1438">
        <v>8.0150000000000006</v>
      </c>
      <c r="H23" s="1438">
        <v>8.5999999999999993E-2</v>
      </c>
      <c r="I23" s="1443" t="s">
        <v>9252</v>
      </c>
    </row>
    <row r="24" spans="1:9" ht="27" customHeight="1">
      <c r="A24" s="2086"/>
      <c r="B24" s="1654" t="s">
        <v>9255</v>
      </c>
      <c r="C24" s="1431" t="s">
        <v>7695</v>
      </c>
      <c r="D24" s="1444">
        <v>155</v>
      </c>
      <c r="E24" s="1444">
        <v>95.5</v>
      </c>
      <c r="F24" s="1444">
        <v>149.6</v>
      </c>
      <c r="G24" s="1438">
        <v>42.883000000000003</v>
      </c>
      <c r="H24" s="1438">
        <v>4.9290000000000003</v>
      </c>
      <c r="I24" s="1443">
        <v>171346</v>
      </c>
    </row>
    <row r="25" spans="1:9" ht="27" customHeight="1">
      <c r="A25" s="2086"/>
      <c r="B25" s="1654"/>
      <c r="C25" s="1431" t="s">
        <v>7696</v>
      </c>
      <c r="D25" s="1444">
        <v>3.8</v>
      </c>
      <c r="E25" s="1444">
        <v>8.9</v>
      </c>
      <c r="F25" s="1444">
        <v>6.8</v>
      </c>
      <c r="G25" s="1438">
        <v>13.558999999999999</v>
      </c>
      <c r="H25" s="1438">
        <v>0.41899999999999998</v>
      </c>
      <c r="I25" s="1443" t="s">
        <v>9252</v>
      </c>
    </row>
    <row r="26" spans="1:9" ht="27" customHeight="1">
      <c r="A26" s="2086"/>
      <c r="B26" s="1654" t="s">
        <v>9256</v>
      </c>
      <c r="C26" s="1431" t="s">
        <v>7695</v>
      </c>
      <c r="D26" s="1444">
        <v>145.69999999999999</v>
      </c>
      <c r="E26" s="1444">
        <v>83.4</v>
      </c>
      <c r="F26" s="1444">
        <v>135.80000000000001</v>
      </c>
      <c r="G26" s="1438">
        <v>38.534999999999997</v>
      </c>
      <c r="H26" s="1438">
        <v>4.3390000000000004</v>
      </c>
      <c r="I26" s="1443">
        <v>159038</v>
      </c>
    </row>
    <row r="27" spans="1:9" ht="27" customHeight="1">
      <c r="A27" s="2086"/>
      <c r="B27" s="1654"/>
      <c r="C27" s="1431" t="s">
        <v>7696</v>
      </c>
      <c r="D27" s="1444">
        <v>2.7</v>
      </c>
      <c r="E27" s="1444">
        <v>8.1999999999999993</v>
      </c>
      <c r="F27" s="1444">
        <v>3.5</v>
      </c>
      <c r="G27" s="1438">
        <v>11.882</v>
      </c>
      <c r="H27" s="1438">
        <v>0.29399999999999998</v>
      </c>
      <c r="I27" s="1443" t="s">
        <v>9252</v>
      </c>
    </row>
    <row r="28" spans="1:9" ht="27" customHeight="1">
      <c r="A28" s="2086"/>
      <c r="B28" s="1654" t="s">
        <v>9257</v>
      </c>
      <c r="C28" s="1431" t="s">
        <v>7695</v>
      </c>
      <c r="D28" s="1444">
        <v>128.19999999999999</v>
      </c>
      <c r="E28" s="1444">
        <v>88.5</v>
      </c>
      <c r="F28" s="1444">
        <v>139.5</v>
      </c>
      <c r="G28" s="1438">
        <v>40.887</v>
      </c>
      <c r="H28" s="1438">
        <v>5.0629999999999997</v>
      </c>
      <c r="I28" s="1443">
        <v>171730</v>
      </c>
    </row>
    <row r="29" spans="1:9" ht="27" customHeight="1" thickBot="1">
      <c r="A29" s="2086"/>
      <c r="B29" s="1654"/>
      <c r="C29" s="1433" t="s">
        <v>7696</v>
      </c>
      <c r="D29" s="1444">
        <v>4.3</v>
      </c>
      <c r="E29" s="1444">
        <v>9.6</v>
      </c>
      <c r="F29" s="1444">
        <v>5.3</v>
      </c>
      <c r="G29" s="1438">
        <v>8.0169999999999995</v>
      </c>
      <c r="H29" s="1438">
        <v>0.30199999999999999</v>
      </c>
      <c r="I29" s="1443" t="s">
        <v>9252</v>
      </c>
    </row>
    <row r="30" spans="1:9" ht="27" customHeight="1">
      <c r="A30" s="2086"/>
      <c r="B30" s="1654" t="s">
        <v>9258</v>
      </c>
      <c r="C30" s="1431" t="s">
        <v>7695</v>
      </c>
      <c r="D30" s="1444">
        <v>145.9</v>
      </c>
      <c r="E30" s="1444">
        <v>93.2</v>
      </c>
      <c r="F30" s="1444">
        <v>170.7</v>
      </c>
      <c r="G30" s="1438">
        <v>45.774000000000001</v>
      </c>
      <c r="H30" s="1438">
        <v>5.2830000000000004</v>
      </c>
      <c r="I30" s="1443">
        <v>188846</v>
      </c>
    </row>
    <row r="31" spans="1:9" ht="27" customHeight="1">
      <c r="A31" s="2086"/>
      <c r="B31" s="1654"/>
      <c r="C31" s="1431" t="s">
        <v>7696</v>
      </c>
      <c r="D31" s="1444">
        <v>4.3</v>
      </c>
      <c r="E31" s="1444">
        <v>8.8000000000000007</v>
      </c>
      <c r="F31" s="1444">
        <v>4.3</v>
      </c>
      <c r="G31" s="1438">
        <v>8.5890000000000004</v>
      </c>
      <c r="H31" s="1438">
        <v>0.34</v>
      </c>
      <c r="I31" s="1443" t="s">
        <v>9252</v>
      </c>
    </row>
    <row r="32" spans="1:9" ht="27" customHeight="1">
      <c r="A32" s="2086"/>
      <c r="B32" s="1654" t="s">
        <v>9259</v>
      </c>
      <c r="C32" s="1431" t="s">
        <v>7695</v>
      </c>
      <c r="D32" s="1444">
        <v>131.4</v>
      </c>
      <c r="E32" s="1444">
        <v>88</v>
      </c>
      <c r="F32" s="1444">
        <v>138.5</v>
      </c>
      <c r="G32" s="1438">
        <v>39.89</v>
      </c>
      <c r="H32" s="1438">
        <v>5.0640000000000001</v>
      </c>
      <c r="I32" s="1443">
        <v>176730</v>
      </c>
    </row>
    <row r="33" spans="1:9" ht="27" customHeight="1">
      <c r="A33" s="2086"/>
      <c r="B33" s="1654"/>
      <c r="C33" s="1431" t="s">
        <v>7696</v>
      </c>
      <c r="D33" s="1444">
        <v>3.6</v>
      </c>
      <c r="E33" s="1444">
        <v>7.8</v>
      </c>
      <c r="F33" s="1444">
        <v>5.2</v>
      </c>
      <c r="G33" s="1438">
        <v>11.753</v>
      </c>
      <c r="H33" s="1438">
        <v>0.40200000000000002</v>
      </c>
      <c r="I33" s="1443" t="s">
        <v>9252</v>
      </c>
    </row>
    <row r="34" spans="1:9" ht="27" customHeight="1">
      <c r="A34" s="2086"/>
      <c r="B34" s="1654" t="s">
        <v>9260</v>
      </c>
      <c r="C34" s="1431" t="s">
        <v>7695</v>
      </c>
      <c r="D34" s="1444">
        <v>138.80000000000001</v>
      </c>
      <c r="E34" s="1444">
        <v>86.3</v>
      </c>
      <c r="F34" s="1444">
        <v>135.9</v>
      </c>
      <c r="G34" s="1438">
        <v>38.972000000000001</v>
      </c>
      <c r="H34" s="1438">
        <v>4.5890000000000004</v>
      </c>
      <c r="I34" s="1443">
        <v>156278</v>
      </c>
    </row>
    <row r="35" spans="1:9" ht="27" customHeight="1" thickBot="1">
      <c r="A35" s="2086"/>
      <c r="B35" s="1654"/>
      <c r="C35" s="1433" t="s">
        <v>7696</v>
      </c>
      <c r="D35" s="1444">
        <v>2.5</v>
      </c>
      <c r="E35" s="1444">
        <v>7.7</v>
      </c>
      <c r="F35" s="1444">
        <v>3.4</v>
      </c>
      <c r="G35" s="1438">
        <v>5.5369999999999999</v>
      </c>
      <c r="H35" s="1438">
        <v>0.21299999999999999</v>
      </c>
      <c r="I35" s="1443" t="s">
        <v>9252</v>
      </c>
    </row>
    <row r="36" spans="1:9" ht="27" customHeight="1">
      <c r="A36" s="2086"/>
      <c r="B36" s="1654" t="s">
        <v>9261</v>
      </c>
      <c r="C36" s="1431" t="s">
        <v>7695</v>
      </c>
      <c r="D36" s="1444">
        <v>127.1</v>
      </c>
      <c r="E36" s="1444">
        <v>89.1</v>
      </c>
      <c r="F36" s="1444">
        <v>135.1</v>
      </c>
      <c r="G36" s="1438">
        <v>43.088000000000001</v>
      </c>
      <c r="H36" s="1438">
        <v>5.1340000000000003</v>
      </c>
      <c r="I36" s="1443">
        <v>169038</v>
      </c>
    </row>
    <row r="37" spans="1:9" ht="27" customHeight="1">
      <c r="A37" s="2086"/>
      <c r="B37" s="1654"/>
      <c r="C37" s="1431" t="s">
        <v>7696</v>
      </c>
      <c r="D37" s="1444">
        <v>3.3</v>
      </c>
      <c r="E37" s="1444">
        <v>6.7</v>
      </c>
      <c r="F37" s="1444">
        <v>3.4</v>
      </c>
      <c r="G37" s="1438">
        <v>10.233000000000001</v>
      </c>
      <c r="H37" s="1438">
        <v>0.316</v>
      </c>
      <c r="I37" s="1443" t="s">
        <v>9252</v>
      </c>
    </row>
    <row r="38" spans="1:9" ht="27" customHeight="1">
      <c r="A38" s="2086"/>
      <c r="B38" s="1654" t="s">
        <v>9262</v>
      </c>
      <c r="C38" s="1431" t="s">
        <v>7695</v>
      </c>
      <c r="D38" s="1444">
        <v>155.19999999999999</v>
      </c>
      <c r="E38" s="1444">
        <v>100.4</v>
      </c>
      <c r="F38" s="1444">
        <v>153</v>
      </c>
      <c r="G38" s="1438">
        <v>41.826000000000001</v>
      </c>
      <c r="H38" s="1438">
        <v>5</v>
      </c>
      <c r="I38" s="1443">
        <v>167500</v>
      </c>
    </row>
    <row r="39" spans="1:9" ht="27" customHeight="1">
      <c r="A39" s="2086"/>
      <c r="B39" s="1654"/>
      <c r="C39" s="1431" t="s">
        <v>7696</v>
      </c>
      <c r="D39" s="1444">
        <v>4.0999999999999996</v>
      </c>
      <c r="E39" s="1444">
        <v>9.6</v>
      </c>
      <c r="F39" s="1444">
        <v>4.0999999999999996</v>
      </c>
      <c r="G39" s="1438">
        <v>9.8789999999999996</v>
      </c>
      <c r="H39" s="1438">
        <v>0.315</v>
      </c>
      <c r="I39" s="1443" t="s">
        <v>9252</v>
      </c>
    </row>
    <row r="40" spans="1:9" ht="27" customHeight="1">
      <c r="A40" s="2086"/>
      <c r="B40" s="1654" t="s">
        <v>9263</v>
      </c>
      <c r="C40" s="1431" t="s">
        <v>7695</v>
      </c>
      <c r="D40" s="1444">
        <v>137.4</v>
      </c>
      <c r="E40" s="1444">
        <v>80.8</v>
      </c>
      <c r="F40" s="1444">
        <v>129.1</v>
      </c>
      <c r="G40" s="1438">
        <v>33.197000000000003</v>
      </c>
      <c r="H40" s="1438">
        <v>4.3680000000000003</v>
      </c>
      <c r="I40" s="1443">
        <v>150833</v>
      </c>
    </row>
    <row r="41" spans="1:9" ht="27" customHeight="1" thickBot="1">
      <c r="A41" s="2086"/>
      <c r="B41" s="1654"/>
      <c r="C41" s="1433" t="s">
        <v>7696</v>
      </c>
      <c r="D41" s="1444">
        <v>4.4000000000000004</v>
      </c>
      <c r="E41" s="1444">
        <v>9.5</v>
      </c>
      <c r="F41" s="1444">
        <v>5.3</v>
      </c>
      <c r="G41" s="1438">
        <v>16.001000000000001</v>
      </c>
      <c r="H41" s="1438">
        <v>0.76</v>
      </c>
      <c r="I41" s="1443" t="s">
        <v>9252</v>
      </c>
    </row>
    <row r="42" spans="1:9" ht="27" customHeight="1">
      <c r="A42" s="2086"/>
      <c r="B42" s="1654" t="s">
        <v>9264</v>
      </c>
      <c r="C42" s="1431" t="s">
        <v>7695</v>
      </c>
      <c r="D42" s="1444">
        <v>129</v>
      </c>
      <c r="E42" s="1444">
        <v>88</v>
      </c>
      <c r="F42" s="1444">
        <v>128.1</v>
      </c>
      <c r="G42" s="1438">
        <v>42.77</v>
      </c>
      <c r="H42" s="1438">
        <v>5.0890000000000004</v>
      </c>
      <c r="I42" s="1443">
        <v>174423</v>
      </c>
    </row>
    <row r="43" spans="1:9" ht="27" customHeight="1">
      <c r="A43" s="2086"/>
      <c r="B43" s="1654"/>
      <c r="C43" s="1431" t="s">
        <v>7696</v>
      </c>
      <c r="D43" s="1444">
        <v>3.8</v>
      </c>
      <c r="E43" s="1444">
        <v>7.2</v>
      </c>
      <c r="F43" s="1444">
        <v>3.9</v>
      </c>
      <c r="G43" s="1438">
        <v>7.7560000000000002</v>
      </c>
      <c r="H43" s="1438">
        <v>0.58799999999999997</v>
      </c>
      <c r="I43" s="1443" t="s">
        <v>9252</v>
      </c>
    </row>
    <row r="44" spans="1:9" ht="27" customHeight="1">
      <c r="A44" s="2086"/>
      <c r="B44" s="1654" t="s">
        <v>9265</v>
      </c>
      <c r="C44" s="1431" t="s">
        <v>7695</v>
      </c>
      <c r="D44" s="1444">
        <v>117.7</v>
      </c>
      <c r="E44" s="1444">
        <v>82.9</v>
      </c>
      <c r="F44" s="1444">
        <v>116.8</v>
      </c>
      <c r="G44" s="1438">
        <v>34.262999999999998</v>
      </c>
      <c r="H44" s="1438">
        <v>2.4449999999999998</v>
      </c>
      <c r="I44" s="1443">
        <v>155000</v>
      </c>
    </row>
    <row r="45" spans="1:9" ht="27" customHeight="1">
      <c r="A45" s="2086"/>
      <c r="B45" s="1654"/>
      <c r="C45" s="1431" t="s">
        <v>7696</v>
      </c>
      <c r="D45" s="1444">
        <v>4.0999999999999996</v>
      </c>
      <c r="E45" s="1444">
        <v>8</v>
      </c>
      <c r="F45" s="1444">
        <v>3.6</v>
      </c>
      <c r="G45" s="1438">
        <v>9.9260000000000002</v>
      </c>
      <c r="H45" s="1438">
        <v>0.45</v>
      </c>
      <c r="I45" s="1443" t="s">
        <v>9252</v>
      </c>
    </row>
    <row r="46" spans="1:9" ht="27" customHeight="1">
      <c r="A46" s="2086"/>
      <c r="B46" s="1654" t="s">
        <v>9266</v>
      </c>
      <c r="C46" s="1431" t="s">
        <v>7695</v>
      </c>
      <c r="D46" s="1444">
        <v>125.8</v>
      </c>
      <c r="E46" s="1444">
        <v>83.1</v>
      </c>
      <c r="F46" s="1444">
        <v>124</v>
      </c>
      <c r="G46" s="1438">
        <v>35.65</v>
      </c>
      <c r="H46" s="1438">
        <v>3.3090000000000002</v>
      </c>
      <c r="I46" s="1443">
        <v>158333</v>
      </c>
    </row>
    <row r="47" spans="1:9" ht="27" customHeight="1" thickBot="1">
      <c r="A47" s="2086"/>
      <c r="B47" s="1654"/>
      <c r="C47" s="1433" t="s">
        <v>7696</v>
      </c>
      <c r="D47" s="1444">
        <v>3.4</v>
      </c>
      <c r="E47" s="1444">
        <v>8.1999999999999993</v>
      </c>
      <c r="F47" s="1444">
        <v>4.0999999999999996</v>
      </c>
      <c r="G47" s="1438">
        <v>11.016</v>
      </c>
      <c r="H47" s="1438">
        <v>0.35899999999999999</v>
      </c>
      <c r="I47" s="1443" t="s">
        <v>9252</v>
      </c>
    </row>
    <row r="48" spans="1:9" ht="27" customHeight="1">
      <c r="A48" s="2086"/>
      <c r="B48" s="1654" t="s">
        <v>9267</v>
      </c>
      <c r="C48" s="1431" t="s">
        <v>7695</v>
      </c>
      <c r="D48" s="1444">
        <v>139</v>
      </c>
      <c r="E48" s="1444">
        <v>87.1</v>
      </c>
      <c r="F48" s="1444">
        <v>134</v>
      </c>
      <c r="G48" s="1438">
        <v>32.481000000000002</v>
      </c>
      <c r="H48" s="1438">
        <v>4.2309999999999999</v>
      </c>
      <c r="I48" s="1443">
        <v>162500</v>
      </c>
    </row>
    <row r="49" spans="1:9" ht="27" customHeight="1">
      <c r="A49" s="2086"/>
      <c r="B49" s="1654"/>
      <c r="C49" s="1431" t="s">
        <v>7696</v>
      </c>
      <c r="D49" s="1444">
        <v>6.1</v>
      </c>
      <c r="E49" s="1444">
        <v>10.199999999999999</v>
      </c>
      <c r="F49" s="1444">
        <v>7</v>
      </c>
      <c r="G49" s="1438">
        <v>14.895</v>
      </c>
      <c r="H49" s="1438">
        <v>0.88900000000000001</v>
      </c>
      <c r="I49" s="1443" t="s">
        <v>9252</v>
      </c>
    </row>
    <row r="50" spans="1:9" ht="27" customHeight="1">
      <c r="A50" s="2086"/>
      <c r="B50" s="1654" t="s">
        <v>9276</v>
      </c>
      <c r="C50" s="1431" t="s">
        <v>7695</v>
      </c>
      <c r="D50" s="1444">
        <v>118.5</v>
      </c>
      <c r="E50" s="1444">
        <v>71.900000000000006</v>
      </c>
      <c r="F50" s="1444">
        <v>116.6</v>
      </c>
      <c r="G50" s="1438">
        <v>33.804000000000002</v>
      </c>
      <c r="H50" s="1438">
        <v>4.2060000000000004</v>
      </c>
      <c r="I50" s="1443">
        <v>143917</v>
      </c>
    </row>
    <row r="51" spans="1:9" ht="27" customHeight="1">
      <c r="A51" s="2086"/>
      <c r="B51" s="1654"/>
      <c r="C51" s="1431" t="s">
        <v>7696</v>
      </c>
      <c r="D51" s="1444">
        <v>3.6</v>
      </c>
      <c r="E51" s="1444">
        <v>10.3</v>
      </c>
      <c r="F51" s="1444">
        <v>4.5999999999999996</v>
      </c>
      <c r="G51" s="1438">
        <v>16.741</v>
      </c>
      <c r="H51" s="1438">
        <v>1.04</v>
      </c>
      <c r="I51" s="1443" t="s">
        <v>9252</v>
      </c>
    </row>
    <row r="52" spans="1:9" ht="27" customHeight="1">
      <c r="A52" s="2086"/>
      <c r="B52" s="1654" t="s">
        <v>9277</v>
      </c>
      <c r="C52" s="1431" t="s">
        <v>7695</v>
      </c>
      <c r="D52" s="1441">
        <v>157.9</v>
      </c>
      <c r="E52" s="1441">
        <v>77.5</v>
      </c>
      <c r="F52" s="1441">
        <v>148.19999999999999</v>
      </c>
      <c r="G52" s="1442">
        <v>38.301000000000002</v>
      </c>
      <c r="H52" s="1442">
        <v>4.4530000000000003</v>
      </c>
      <c r="I52" s="1443">
        <v>139554</v>
      </c>
    </row>
    <row r="53" spans="1:9" ht="27" customHeight="1" thickBot="1">
      <c r="A53" s="2086"/>
      <c r="B53" s="1654"/>
      <c r="C53" s="1433" t="s">
        <v>7696</v>
      </c>
      <c r="D53" s="1441">
        <v>1.1000000000000001</v>
      </c>
      <c r="E53" s="1441">
        <v>5.8</v>
      </c>
      <c r="F53" s="1441">
        <v>1.3</v>
      </c>
      <c r="G53" s="1442">
        <v>7.0439999999999996</v>
      </c>
      <c r="H53" s="1442">
        <v>0.11</v>
      </c>
      <c r="I53" s="1443" t="s">
        <v>9252</v>
      </c>
    </row>
    <row r="54" spans="1:9" ht="27" customHeight="1">
      <c r="A54" s="2086"/>
      <c r="B54" s="1654" t="s">
        <v>9278</v>
      </c>
      <c r="C54" s="1431" t="s">
        <v>7695</v>
      </c>
      <c r="D54" s="1441">
        <v>164.4</v>
      </c>
      <c r="E54" s="1441">
        <v>91.8</v>
      </c>
      <c r="F54" s="1441">
        <v>93.4</v>
      </c>
      <c r="G54" s="1442">
        <v>37.246000000000002</v>
      </c>
      <c r="H54" s="1442">
        <v>5.0330000000000004</v>
      </c>
      <c r="I54" s="1443">
        <v>98942</v>
      </c>
    </row>
    <row r="55" spans="1:9" ht="27" customHeight="1">
      <c r="A55" s="2086"/>
      <c r="B55" s="1654"/>
      <c r="C55" s="1431" t="s">
        <v>7696</v>
      </c>
      <c r="D55" s="1441">
        <v>3.5</v>
      </c>
      <c r="E55" s="1441">
        <v>7</v>
      </c>
      <c r="F55" s="1441">
        <v>3.1</v>
      </c>
      <c r="G55" s="1442">
        <v>8.9359999999999999</v>
      </c>
      <c r="H55" s="1442">
        <v>0.23200000000000001</v>
      </c>
      <c r="I55" s="1443" t="s">
        <v>9252</v>
      </c>
    </row>
    <row r="56" spans="1:9" ht="27" customHeight="1">
      <c r="A56" s="2086"/>
      <c r="B56" s="1654" t="s">
        <v>9279</v>
      </c>
      <c r="C56" s="1431" t="s">
        <v>7695</v>
      </c>
      <c r="D56" s="1441">
        <v>165.8</v>
      </c>
      <c r="E56" s="1441">
        <v>81.099999999999994</v>
      </c>
      <c r="F56" s="1441">
        <v>92.3</v>
      </c>
      <c r="G56" s="1442">
        <v>37.43</v>
      </c>
      <c r="H56" s="1442">
        <v>5.2119999999999997</v>
      </c>
      <c r="I56" s="1443">
        <v>102025</v>
      </c>
    </row>
    <row r="57" spans="1:9" ht="27" customHeight="1" thickBot="1">
      <c r="A57" s="2087"/>
      <c r="B57" s="2088"/>
      <c r="C57" s="1431" t="s">
        <v>7696</v>
      </c>
      <c r="D57" s="1445">
        <v>3.8</v>
      </c>
      <c r="E57" s="1445">
        <v>7.5</v>
      </c>
      <c r="F57" s="1445">
        <v>3.7</v>
      </c>
      <c r="G57" s="1446">
        <v>9.16</v>
      </c>
      <c r="H57" s="1446">
        <v>0.23799999999999999</v>
      </c>
      <c r="I57" s="1447" t="s">
        <v>9252</v>
      </c>
    </row>
    <row r="58" spans="1:9" ht="27.6" customHeight="1">
      <c r="A58" s="1448"/>
      <c r="B58" s="1448"/>
      <c r="C58" s="1448"/>
      <c r="D58" s="1449"/>
      <c r="E58" s="1449"/>
      <c r="F58" s="1449"/>
      <c r="G58" s="1449"/>
      <c r="H58" s="1449"/>
      <c r="I58" s="1448"/>
    </row>
    <row r="59" spans="1:9" ht="27.6" customHeight="1">
      <c r="A59" s="1448"/>
      <c r="B59" s="1448"/>
      <c r="C59" s="1448"/>
      <c r="D59" s="1449"/>
      <c r="E59" s="1449"/>
      <c r="F59" s="1449"/>
      <c r="G59" s="1449"/>
      <c r="H59" s="1449"/>
      <c r="I59" s="1448"/>
    </row>
    <row r="60" spans="1:9" ht="27.6" customHeight="1">
      <c r="A60" s="1448"/>
      <c r="B60" s="1448"/>
      <c r="C60" s="1448"/>
      <c r="D60" s="1449"/>
      <c r="E60" s="1449"/>
      <c r="F60" s="1449"/>
      <c r="G60" s="1449"/>
      <c r="H60" s="1449"/>
      <c r="I60" s="1448"/>
    </row>
    <row r="61" spans="1:9" ht="27.6" customHeight="1">
      <c r="A61" s="1448"/>
      <c r="B61" s="1448"/>
      <c r="C61" s="1448"/>
      <c r="D61" s="1449"/>
      <c r="E61" s="1449"/>
      <c r="F61" s="1449"/>
      <c r="G61" s="1449"/>
      <c r="H61" s="1449"/>
      <c r="I61" s="1448"/>
    </row>
    <row r="62" spans="1:9" ht="27.6" customHeight="1">
      <c r="A62" s="1448"/>
      <c r="B62" s="1448"/>
      <c r="C62" s="1448"/>
      <c r="D62" s="1449"/>
      <c r="E62" s="1449"/>
      <c r="F62" s="1449"/>
      <c r="G62" s="1449"/>
      <c r="H62" s="1449"/>
      <c r="I62" s="1448"/>
    </row>
    <row r="63" spans="1:9" ht="27.6" customHeight="1">
      <c r="A63" s="1448"/>
      <c r="B63" s="1448"/>
      <c r="C63" s="1448"/>
      <c r="D63" s="1449"/>
      <c r="E63" s="1449"/>
      <c r="F63" s="1449"/>
      <c r="G63" s="1449"/>
      <c r="H63" s="1449"/>
      <c r="I63" s="1448"/>
    </row>
    <row r="64" spans="1:9" ht="27.6" customHeight="1">
      <c r="A64" s="1448"/>
      <c r="B64" s="1448"/>
      <c r="C64" s="1448"/>
      <c r="D64" s="1449"/>
      <c r="E64" s="1449"/>
      <c r="F64" s="1449"/>
      <c r="G64" s="1449"/>
      <c r="H64" s="1449"/>
      <c r="I64" s="1448"/>
    </row>
    <row r="65" spans="1:9" ht="27.6" customHeight="1">
      <c r="A65" s="1448"/>
      <c r="B65" s="1448"/>
      <c r="C65" s="1448"/>
      <c r="D65" s="1449"/>
      <c r="E65" s="1449"/>
      <c r="F65" s="1449"/>
      <c r="G65" s="1449"/>
      <c r="H65" s="1449"/>
      <c r="I65" s="1448"/>
    </row>
    <row r="66" spans="1:9" ht="27.6" customHeight="1">
      <c r="A66" s="1448"/>
      <c r="B66" s="1448"/>
      <c r="C66" s="1448"/>
      <c r="D66" s="1449"/>
      <c r="E66" s="1449"/>
      <c r="F66" s="1449"/>
      <c r="G66" s="1449"/>
      <c r="H66" s="1449"/>
      <c r="I66" s="1448"/>
    </row>
    <row r="67" spans="1:9" ht="27.6" customHeight="1">
      <c r="A67" s="1448"/>
      <c r="B67" s="1448"/>
      <c r="C67" s="1448"/>
      <c r="D67" s="1449"/>
      <c r="E67" s="1449"/>
      <c r="F67" s="1449"/>
      <c r="G67" s="1449"/>
      <c r="H67" s="1449"/>
      <c r="I67" s="1448"/>
    </row>
    <row r="68" spans="1:9" ht="27.6" customHeight="1">
      <c r="A68" s="1448"/>
      <c r="B68" s="1448"/>
      <c r="C68" s="1448"/>
      <c r="D68" s="1449"/>
      <c r="E68" s="1449"/>
      <c r="F68" s="1449"/>
      <c r="G68" s="1449"/>
      <c r="H68" s="1449"/>
      <c r="I68" s="1448"/>
    </row>
    <row r="69" spans="1:9" ht="27.6" customHeight="1">
      <c r="A69" s="1448"/>
      <c r="B69" s="1448"/>
      <c r="C69" s="1448"/>
      <c r="D69" s="1449"/>
      <c r="E69" s="1449"/>
      <c r="F69" s="1449"/>
      <c r="G69" s="1449"/>
      <c r="H69" s="1449"/>
      <c r="I69" s="1448"/>
    </row>
    <row r="70" spans="1:9" ht="27.6" customHeight="1">
      <c r="A70" s="1448"/>
      <c r="B70" s="1448"/>
      <c r="C70" s="1448"/>
      <c r="D70" s="1449"/>
      <c r="E70" s="1449"/>
      <c r="F70" s="1449"/>
      <c r="G70" s="1449"/>
      <c r="H70" s="1449"/>
      <c r="I70" s="1448"/>
    </row>
    <row r="71" spans="1:9" ht="27.6" customHeight="1">
      <c r="A71" s="1448"/>
      <c r="B71" s="1448"/>
      <c r="C71" s="1448"/>
      <c r="D71" s="1449"/>
      <c r="E71" s="1449"/>
      <c r="F71" s="1449"/>
      <c r="G71" s="1449"/>
      <c r="H71" s="1449"/>
      <c r="I71" s="1448"/>
    </row>
    <row r="72" spans="1:9" ht="27.6" customHeight="1">
      <c r="A72" s="1448"/>
      <c r="B72" s="1448"/>
      <c r="C72" s="1448"/>
      <c r="D72" s="1449"/>
      <c r="E72" s="1449"/>
      <c r="F72" s="1449"/>
      <c r="G72" s="1449"/>
      <c r="H72" s="1449"/>
      <c r="I72" s="1448"/>
    </row>
    <row r="73" spans="1:9" ht="27.6" customHeight="1">
      <c r="A73" s="1448"/>
      <c r="B73" s="1448"/>
      <c r="C73" s="1448"/>
      <c r="D73" s="1449"/>
      <c r="E73" s="1449"/>
      <c r="F73" s="1449"/>
      <c r="G73" s="1449"/>
      <c r="H73" s="1449"/>
      <c r="I73" s="1448"/>
    </row>
    <row r="74" spans="1:9" ht="27.6" customHeight="1">
      <c r="A74" s="1448"/>
      <c r="B74" s="1448"/>
      <c r="C74" s="1448"/>
      <c r="D74" s="1449"/>
      <c r="E74" s="1449"/>
      <c r="F74" s="1449"/>
      <c r="G74" s="1449"/>
      <c r="H74" s="1449"/>
      <c r="I74" s="1448"/>
    </row>
    <row r="75" spans="1:9" ht="27.6" customHeight="1">
      <c r="A75" s="1448"/>
      <c r="B75" s="1448"/>
      <c r="C75" s="1448"/>
      <c r="D75" s="1449"/>
      <c r="E75" s="1449"/>
      <c r="F75" s="1449"/>
      <c r="G75" s="1449"/>
      <c r="H75" s="1449"/>
      <c r="I75" s="1448"/>
    </row>
    <row r="76" spans="1:9" ht="27.6" customHeight="1">
      <c r="A76" s="1448"/>
      <c r="B76" s="1448"/>
      <c r="C76" s="1448"/>
      <c r="D76" s="1449"/>
      <c r="E76" s="1449"/>
      <c r="F76" s="1449"/>
      <c r="G76" s="1449"/>
      <c r="H76" s="1449"/>
      <c r="I76" s="1448"/>
    </row>
    <row r="77" spans="1:9" ht="27.6" customHeight="1">
      <c r="A77" s="1448"/>
    </row>
    <row r="78" spans="1:9" ht="27.6" customHeight="1">
      <c r="A78" s="1448"/>
    </row>
    <row r="80" spans="1:9" ht="12.75">
      <c r="A80" s="1063" t="s">
        <v>8985</v>
      </c>
    </row>
  </sheetData>
  <mergeCells count="30">
    <mergeCell ref="A2:D2"/>
    <mergeCell ref="A3:D3"/>
    <mergeCell ref="B8:B9"/>
    <mergeCell ref="B6:B7"/>
    <mergeCell ref="B16:B17"/>
    <mergeCell ref="A6:A57"/>
    <mergeCell ref="B32:B33"/>
    <mergeCell ref="B34:B35"/>
    <mergeCell ref="B18:B19"/>
    <mergeCell ref="B12:B13"/>
    <mergeCell ref="B56:B57"/>
    <mergeCell ref="B52:B53"/>
    <mergeCell ref="B54:B55"/>
    <mergeCell ref="B48:B49"/>
    <mergeCell ref="B50:B51"/>
    <mergeCell ref="B44:B45"/>
    <mergeCell ref="H4:I4"/>
    <mergeCell ref="B10:B11"/>
    <mergeCell ref="B28:B29"/>
    <mergeCell ref="B14:B15"/>
    <mergeCell ref="B30:B31"/>
    <mergeCell ref="B24:B25"/>
    <mergeCell ref="B26:B27"/>
    <mergeCell ref="B20:B21"/>
    <mergeCell ref="B22:B23"/>
    <mergeCell ref="B46:B47"/>
    <mergeCell ref="B40:B41"/>
    <mergeCell ref="B42:B43"/>
    <mergeCell ref="B36:B37"/>
    <mergeCell ref="B38:B39"/>
  </mergeCells>
  <phoneticPr fontId="3" type="noConversion"/>
  <pageMargins left="0.75" right="0.75" top="1" bottom="1" header="0.5" footer="0.5"/>
  <pageSetup paperSize="9" scale="76" orientation="landscape" horizontalDpi="300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V16"/>
  <sheetViews>
    <sheetView view="pageBreakPreview" zoomScale="96" zoomScaleNormal="100" zoomScaleSheetLayoutView="96" workbookViewId="0">
      <selection activeCell="K23" sqref="K23"/>
    </sheetView>
  </sheetViews>
  <sheetFormatPr defaultColWidth="3.6640625" defaultRowHeight="24" customHeight="1"/>
  <cols>
    <col min="1" max="3" width="9.109375" style="32" customWidth="1"/>
    <col min="4" max="4" width="7.88671875" style="1" bestFit="1" customWidth="1"/>
    <col min="5" max="5" width="7.5546875" style="1" customWidth="1"/>
    <col min="6" max="6" width="7.6640625" style="1" customWidth="1"/>
    <col min="7" max="7" width="7.109375" style="1" customWidth="1"/>
    <col min="8" max="8" width="7" style="1" customWidth="1"/>
    <col min="9" max="9" width="7.6640625" style="1" customWidth="1"/>
    <col min="10" max="10" width="8" style="1" customWidth="1"/>
    <col min="11" max="11" width="3.6640625" style="1"/>
    <col min="12" max="12" width="10.6640625" style="1" customWidth="1"/>
    <col min="13" max="13" width="7.109375" style="1" customWidth="1"/>
    <col min="14" max="14" width="7" style="1" customWidth="1"/>
    <col min="15" max="15" width="10.33203125" style="1" customWidth="1"/>
    <col min="16" max="16" width="6.109375" style="1" customWidth="1"/>
    <col min="17" max="17" width="5.5546875" style="1" customWidth="1"/>
    <col min="18" max="18" width="3.6640625" style="1"/>
    <col min="19" max="19" width="4.88671875" style="1" bestFit="1" customWidth="1"/>
    <col min="20" max="16384" width="3.6640625" style="1"/>
  </cols>
  <sheetData>
    <row r="2" spans="1:22" s="922" customFormat="1" ht="27.75" customHeight="1">
      <c r="A2" s="1597" t="s">
        <v>8862</v>
      </c>
      <c r="B2" s="1597"/>
      <c r="C2" s="1597"/>
    </row>
    <row r="3" spans="1:22" s="925" customFormat="1" ht="27.75" customHeight="1">
      <c r="A3" s="1652" t="s">
        <v>9190</v>
      </c>
      <c r="B3" s="1652"/>
      <c r="C3" s="1652"/>
      <c r="D3" s="1652"/>
      <c r="E3" s="1652"/>
      <c r="F3" s="1652"/>
      <c r="G3" s="1652"/>
    </row>
    <row r="4" spans="1:22" ht="12.75" thickBot="1"/>
    <row r="5" spans="1:22" s="3" customFormat="1" ht="24" customHeight="1">
      <c r="A5" s="1650" t="s">
        <v>1528</v>
      </c>
      <c r="B5" s="1655" t="s">
        <v>8869</v>
      </c>
      <c r="C5" s="1655" t="s">
        <v>8870</v>
      </c>
      <c r="D5" s="1653" t="s">
        <v>8871</v>
      </c>
      <c r="E5" s="1653"/>
      <c r="F5" s="1653"/>
      <c r="G5" s="1653" t="s">
        <v>8872</v>
      </c>
      <c r="H5" s="1653"/>
      <c r="I5" s="1653"/>
      <c r="J5" s="1653"/>
      <c r="K5" s="1653"/>
      <c r="L5" s="1653" t="s">
        <v>8876</v>
      </c>
      <c r="M5" s="1653"/>
      <c r="N5" s="1653"/>
      <c r="O5" s="1653"/>
      <c r="P5" s="1653"/>
      <c r="Q5" s="1653"/>
      <c r="R5" s="1653"/>
      <c r="S5" s="1653"/>
      <c r="T5" s="1653"/>
      <c r="U5" s="1653"/>
      <c r="V5" s="1658"/>
    </row>
    <row r="6" spans="1:22" s="3" customFormat="1" ht="27.75" customHeight="1">
      <c r="A6" s="1651"/>
      <c r="B6" s="1656"/>
      <c r="C6" s="1656"/>
      <c r="D6" s="1654"/>
      <c r="E6" s="1654"/>
      <c r="F6" s="1654"/>
      <c r="G6" s="1654"/>
      <c r="H6" s="1654"/>
      <c r="I6" s="1654"/>
      <c r="J6" s="1654"/>
      <c r="K6" s="1654"/>
      <c r="L6" s="1654" t="s">
        <v>8879</v>
      </c>
      <c r="M6" s="1654" t="s">
        <v>8875</v>
      </c>
      <c r="N6" s="1654"/>
      <c r="O6" s="1654"/>
      <c r="P6" s="1654" t="s">
        <v>8877</v>
      </c>
      <c r="Q6" s="1654"/>
      <c r="R6" s="1654"/>
      <c r="S6" s="1654" t="s">
        <v>8878</v>
      </c>
      <c r="T6" s="1654"/>
      <c r="U6" s="1654"/>
      <c r="V6" s="1659"/>
    </row>
    <row r="7" spans="1:22" s="3" customFormat="1" ht="24" customHeight="1">
      <c r="A7" s="1651"/>
      <c r="B7" s="1656"/>
      <c r="C7" s="1656"/>
      <c r="D7" s="1654" t="s">
        <v>7615</v>
      </c>
      <c r="E7" s="1654" t="s">
        <v>1492</v>
      </c>
      <c r="F7" s="1654" t="s">
        <v>1493</v>
      </c>
      <c r="G7" s="1654" t="s">
        <v>7615</v>
      </c>
      <c r="H7" s="1654" t="s">
        <v>1492</v>
      </c>
      <c r="I7" s="1654" t="s">
        <v>1493</v>
      </c>
      <c r="J7" s="1654"/>
      <c r="K7" s="1654"/>
      <c r="L7" s="1654"/>
      <c r="M7" s="1654" t="s">
        <v>7615</v>
      </c>
      <c r="N7" s="1654" t="s">
        <v>8880</v>
      </c>
      <c r="O7" s="1654" t="s">
        <v>8881</v>
      </c>
      <c r="P7" s="1176" t="s">
        <v>1492</v>
      </c>
      <c r="Q7" s="1654" t="s">
        <v>1493</v>
      </c>
      <c r="R7" s="1654"/>
      <c r="S7" s="1654" t="s">
        <v>7615</v>
      </c>
      <c r="T7" s="1654" t="s">
        <v>1492</v>
      </c>
      <c r="U7" s="1654" t="s">
        <v>1493</v>
      </c>
      <c r="V7" s="1659"/>
    </row>
    <row r="8" spans="1:22" s="3" customFormat="1" ht="55.5" customHeight="1">
      <c r="A8" s="1651"/>
      <c r="B8" s="1657"/>
      <c r="C8" s="1657"/>
      <c r="D8" s="1654"/>
      <c r="E8" s="1654"/>
      <c r="F8" s="1654"/>
      <c r="G8" s="1654"/>
      <c r="H8" s="1654"/>
      <c r="I8" s="1176" t="s">
        <v>7615</v>
      </c>
      <c r="J8" s="1176" t="s">
        <v>8873</v>
      </c>
      <c r="K8" s="1176" t="s">
        <v>8874</v>
      </c>
      <c r="L8" s="1654"/>
      <c r="M8" s="1654"/>
      <c r="N8" s="1654"/>
      <c r="O8" s="1654"/>
      <c r="P8" s="1176" t="s">
        <v>8883</v>
      </c>
      <c r="Q8" s="1336" t="s">
        <v>9183</v>
      </c>
      <c r="R8" s="1176" t="s">
        <v>8882</v>
      </c>
      <c r="S8" s="1654"/>
      <c r="T8" s="1654"/>
      <c r="U8" s="1176" t="s">
        <v>1418</v>
      </c>
      <c r="V8" s="1177" t="s">
        <v>1419</v>
      </c>
    </row>
    <row r="9" spans="1:22" s="1047" customFormat="1" ht="27.75" customHeight="1">
      <c r="A9" s="1514" t="s">
        <v>9167</v>
      </c>
      <c r="B9" s="1515" t="s">
        <v>9168</v>
      </c>
      <c r="C9" s="1516">
        <v>145000</v>
      </c>
      <c r="D9" s="1517">
        <f>E9+F9</f>
        <v>22.03</v>
      </c>
      <c r="E9" s="1517">
        <v>0.80200000000000005</v>
      </c>
      <c r="F9" s="1517">
        <v>21.228000000000002</v>
      </c>
      <c r="G9" s="1518">
        <f>H9+J9</f>
        <v>37424</v>
      </c>
      <c r="H9" s="1518">
        <v>2453</v>
      </c>
      <c r="I9" s="1518">
        <f t="shared" ref="I9:I16" si="0">J9</f>
        <v>34971</v>
      </c>
      <c r="J9" s="1518">
        <v>34971</v>
      </c>
      <c r="K9" s="1518"/>
      <c r="L9" s="1519">
        <v>880.76400000000001</v>
      </c>
      <c r="M9" s="1520">
        <f>N9+O9</f>
        <v>880.76400000000001</v>
      </c>
      <c r="N9" s="1521">
        <v>22.9</v>
      </c>
      <c r="O9" s="1519">
        <v>857.86400000000003</v>
      </c>
      <c r="P9" s="1522">
        <v>51</v>
      </c>
      <c r="Q9" s="1522">
        <v>177</v>
      </c>
      <c r="R9" s="1522"/>
      <c r="S9" s="1522">
        <f>SUM(T9:V9)</f>
        <v>0</v>
      </c>
      <c r="T9" s="1522"/>
      <c r="U9" s="1522"/>
      <c r="V9" s="1344"/>
    </row>
    <row r="10" spans="1:22" s="1047" customFormat="1" ht="27.75" customHeight="1">
      <c r="A10" s="1514" t="s">
        <v>9169</v>
      </c>
      <c r="B10" s="1515" t="s">
        <v>9170</v>
      </c>
      <c r="C10" s="1516">
        <v>97000</v>
      </c>
      <c r="D10" s="1517">
        <f>E10+F10</f>
        <v>22.927999999999997</v>
      </c>
      <c r="E10" s="1523">
        <v>2.58</v>
      </c>
      <c r="F10" s="1517">
        <v>20.347999999999999</v>
      </c>
      <c r="G10" s="1518">
        <f t="shared" ref="G10:G16" si="1">I10</f>
        <v>7132</v>
      </c>
      <c r="H10" s="1518"/>
      <c r="I10" s="1518">
        <f t="shared" si="0"/>
        <v>7132</v>
      </c>
      <c r="J10" s="1518">
        <v>7132</v>
      </c>
      <c r="K10" s="1518"/>
      <c r="L10" s="1519">
        <v>200.87100000000001</v>
      </c>
      <c r="M10" s="1524">
        <f>N10+O10</f>
        <v>200.87100000000001</v>
      </c>
      <c r="N10" s="1521">
        <v>15.5</v>
      </c>
      <c r="O10" s="1519">
        <f t="shared" ref="O10:O16" si="2">L10-N10</f>
        <v>185.37100000000001</v>
      </c>
      <c r="P10" s="1522"/>
      <c r="Q10" s="1522">
        <v>73</v>
      </c>
      <c r="R10" s="1522"/>
      <c r="S10" s="1522">
        <f>SUM(T10:V10)</f>
        <v>0</v>
      </c>
      <c r="T10" s="1522"/>
      <c r="U10" s="1522"/>
      <c r="V10" s="1344"/>
    </row>
    <row r="11" spans="1:22" ht="24" customHeight="1">
      <c r="A11" s="1514" t="s">
        <v>9171</v>
      </c>
      <c r="B11" s="1515" t="s">
        <v>9172</v>
      </c>
      <c r="C11" s="1516">
        <v>1300</v>
      </c>
      <c r="D11" s="1517">
        <f>E11+F11</f>
        <v>2.363</v>
      </c>
      <c r="E11" s="1517">
        <v>1.0409999999999999</v>
      </c>
      <c r="F11" s="1517">
        <v>1.3220000000000001</v>
      </c>
      <c r="G11" s="1518">
        <f t="shared" si="1"/>
        <v>1402</v>
      </c>
      <c r="H11" s="1518"/>
      <c r="I11" s="1518">
        <f t="shared" si="0"/>
        <v>1402</v>
      </c>
      <c r="J11" s="1518">
        <v>1402</v>
      </c>
      <c r="K11" s="1518"/>
      <c r="L11" s="1519">
        <v>47.420999999999999</v>
      </c>
      <c r="M11" s="1524">
        <f t="shared" ref="M11:M16" si="3">N11+O11</f>
        <v>47.420999999999999</v>
      </c>
      <c r="N11" s="1521">
        <v>11.6</v>
      </c>
      <c r="O11" s="1519">
        <f t="shared" si="2"/>
        <v>35.820999999999998</v>
      </c>
      <c r="P11" s="1522"/>
      <c r="Q11" s="1522">
        <v>43</v>
      </c>
      <c r="R11" s="1522"/>
      <c r="S11" s="1522">
        <f>SUM(T11:V11)</f>
        <v>0</v>
      </c>
      <c r="T11" s="1522"/>
      <c r="U11" s="1522"/>
      <c r="V11" s="1345"/>
    </row>
    <row r="12" spans="1:22" ht="24" customHeight="1">
      <c r="A12" s="1514" t="s">
        <v>9173</v>
      </c>
      <c r="B12" s="1515" t="s">
        <v>9174</v>
      </c>
      <c r="C12" s="1516">
        <v>19000</v>
      </c>
      <c r="D12" s="1517">
        <v>8.4649999999999999</v>
      </c>
      <c r="E12" s="1517">
        <v>0.46100000000000002</v>
      </c>
      <c r="F12" s="1517">
        <v>8.0039999999999996</v>
      </c>
      <c r="G12" s="1518">
        <f t="shared" si="1"/>
        <v>2060</v>
      </c>
      <c r="H12" s="1518"/>
      <c r="I12" s="1518">
        <f t="shared" si="0"/>
        <v>2060</v>
      </c>
      <c r="J12" s="1518">
        <v>2060</v>
      </c>
      <c r="K12" s="1518"/>
      <c r="L12" s="1519">
        <v>118.399</v>
      </c>
      <c r="M12" s="1524">
        <f t="shared" si="3"/>
        <v>118.399</v>
      </c>
      <c r="N12" s="1525">
        <v>14.28</v>
      </c>
      <c r="O12" s="1519">
        <f t="shared" si="2"/>
        <v>104.119</v>
      </c>
      <c r="P12" s="1522"/>
      <c r="Q12" s="1522">
        <v>48</v>
      </c>
      <c r="R12" s="1522"/>
      <c r="S12" s="1522">
        <f t="shared" ref="S12:S16" si="4">SUM(T12:V12)</f>
        <v>0</v>
      </c>
      <c r="T12" s="1522"/>
      <c r="U12" s="1522"/>
      <c r="V12" s="1345"/>
    </row>
    <row r="13" spans="1:22" ht="24" customHeight="1">
      <c r="A13" s="1514" t="s">
        <v>9175</v>
      </c>
      <c r="B13" s="1515" t="s">
        <v>9176</v>
      </c>
      <c r="C13" s="1516">
        <v>3000</v>
      </c>
      <c r="D13" s="1517">
        <v>14.69</v>
      </c>
      <c r="E13" s="1517">
        <v>0.59199999999999997</v>
      </c>
      <c r="F13" s="1517">
        <v>14.098000000000001</v>
      </c>
      <c r="G13" s="1518">
        <f t="shared" si="1"/>
        <v>2901</v>
      </c>
      <c r="H13" s="1518"/>
      <c r="I13" s="1518">
        <f t="shared" si="0"/>
        <v>2901</v>
      </c>
      <c r="J13" s="1518">
        <v>2901</v>
      </c>
      <c r="K13" s="1518"/>
      <c r="L13" s="1519">
        <v>110.545</v>
      </c>
      <c r="M13" s="1524">
        <f t="shared" si="3"/>
        <v>110.54499999999999</v>
      </c>
      <c r="N13" s="1525">
        <v>29.54</v>
      </c>
      <c r="O13" s="1519">
        <f t="shared" si="2"/>
        <v>81.004999999999995</v>
      </c>
      <c r="P13" s="1522"/>
      <c r="Q13" s="1522"/>
      <c r="R13" s="1522"/>
      <c r="S13" s="1522">
        <f t="shared" si="4"/>
        <v>0</v>
      </c>
      <c r="T13" s="1522"/>
      <c r="U13" s="1522"/>
      <c r="V13" s="1345"/>
    </row>
    <row r="14" spans="1:22" ht="24" customHeight="1">
      <c r="A14" s="1514" t="s">
        <v>9177</v>
      </c>
      <c r="B14" s="1515" t="s">
        <v>9178</v>
      </c>
      <c r="C14" s="1516">
        <v>600</v>
      </c>
      <c r="D14" s="1517">
        <f>E14+F14</f>
        <v>2.2250000000000001</v>
      </c>
      <c r="E14" s="1517">
        <v>0.61299999999999999</v>
      </c>
      <c r="F14" s="1517">
        <v>1.6120000000000001</v>
      </c>
      <c r="G14" s="1518">
        <f t="shared" si="1"/>
        <v>759</v>
      </c>
      <c r="H14" s="1518"/>
      <c r="I14" s="1518">
        <f t="shared" si="0"/>
        <v>759</v>
      </c>
      <c r="J14" s="1518">
        <v>759</v>
      </c>
      <c r="K14" s="1518"/>
      <c r="L14" s="1519">
        <v>38.284999999999997</v>
      </c>
      <c r="M14" s="1524">
        <f t="shared" si="3"/>
        <v>38.284999999999997</v>
      </c>
      <c r="N14" s="1521">
        <v>15.5</v>
      </c>
      <c r="O14" s="1519">
        <f t="shared" si="2"/>
        <v>22.784999999999997</v>
      </c>
      <c r="P14" s="1522"/>
      <c r="Q14" s="1522">
        <v>6</v>
      </c>
      <c r="R14" s="1522"/>
      <c r="S14" s="1522">
        <f t="shared" si="4"/>
        <v>0</v>
      </c>
      <c r="T14" s="1522"/>
      <c r="U14" s="1522"/>
      <c r="V14" s="1345"/>
    </row>
    <row r="15" spans="1:22" ht="24" customHeight="1">
      <c r="A15" s="1514" t="s">
        <v>9179</v>
      </c>
      <c r="B15" s="1515" t="s">
        <v>9180</v>
      </c>
      <c r="C15" s="1516">
        <v>1100</v>
      </c>
      <c r="D15" s="1517">
        <f>E15+F15</f>
        <v>5.8620000000000001</v>
      </c>
      <c r="E15" s="1517">
        <v>1.2929999999999999</v>
      </c>
      <c r="F15" s="1517">
        <v>4.569</v>
      </c>
      <c r="G15" s="1518">
        <f t="shared" si="1"/>
        <v>1285</v>
      </c>
      <c r="H15" s="1518"/>
      <c r="I15" s="1518">
        <f t="shared" si="0"/>
        <v>1285</v>
      </c>
      <c r="J15" s="1518">
        <v>1285</v>
      </c>
      <c r="K15" s="1518"/>
      <c r="L15" s="1519">
        <v>85.741</v>
      </c>
      <c r="M15" s="1524">
        <f t="shared" si="3"/>
        <v>85.741</v>
      </c>
      <c r="N15" s="1525">
        <v>39.97</v>
      </c>
      <c r="O15" s="1519">
        <f t="shared" si="2"/>
        <v>45.771000000000001</v>
      </c>
      <c r="P15" s="1522"/>
      <c r="Q15" s="1522">
        <v>43</v>
      </c>
      <c r="R15" s="1522"/>
      <c r="S15" s="1522"/>
      <c r="T15" s="1522"/>
      <c r="U15" s="1522"/>
      <c r="V15" s="1345"/>
    </row>
    <row r="16" spans="1:22" ht="24" customHeight="1">
      <c r="A16" s="1514" t="s">
        <v>9181</v>
      </c>
      <c r="B16" s="1515" t="s">
        <v>9182</v>
      </c>
      <c r="C16" s="1526">
        <v>500</v>
      </c>
      <c r="D16" s="1517">
        <f>E16+F16</f>
        <v>4.33</v>
      </c>
      <c r="E16" s="1517">
        <v>3.3330000000000002</v>
      </c>
      <c r="F16" s="1517">
        <v>0.997</v>
      </c>
      <c r="G16" s="1518">
        <f t="shared" si="1"/>
        <v>258</v>
      </c>
      <c r="H16" s="1518"/>
      <c r="I16" s="1518">
        <f t="shared" si="0"/>
        <v>258</v>
      </c>
      <c r="J16" s="1518">
        <v>258</v>
      </c>
      <c r="K16" s="1518"/>
      <c r="L16" s="1517">
        <v>16.867999999999999</v>
      </c>
      <c r="M16" s="1527">
        <f t="shared" si="3"/>
        <v>16.867999999999999</v>
      </c>
      <c r="N16" s="1528">
        <v>2.7</v>
      </c>
      <c r="O16" s="1517">
        <f t="shared" si="2"/>
        <v>14.167999999999999</v>
      </c>
      <c r="P16" s="1518"/>
      <c r="Q16" s="1518">
        <v>13</v>
      </c>
      <c r="R16" s="1518"/>
      <c r="S16" s="1518">
        <f t="shared" si="4"/>
        <v>0</v>
      </c>
      <c r="T16" s="1518"/>
      <c r="U16" s="1518"/>
      <c r="V16" s="1529"/>
    </row>
  </sheetData>
  <mergeCells count="25">
    <mergeCell ref="L5:V5"/>
    <mergeCell ref="L6:L8"/>
    <mergeCell ref="N7:N8"/>
    <mergeCell ref="O7:O8"/>
    <mergeCell ref="P6:R6"/>
    <mergeCell ref="S7:S8"/>
    <mergeCell ref="M7:M8"/>
    <mergeCell ref="Q7:R7"/>
    <mergeCell ref="S6:V6"/>
    <mergeCell ref="T7:T8"/>
    <mergeCell ref="U7:V7"/>
    <mergeCell ref="M6:O6"/>
    <mergeCell ref="A2:C2"/>
    <mergeCell ref="A5:A8"/>
    <mergeCell ref="A3:G3"/>
    <mergeCell ref="G5:K6"/>
    <mergeCell ref="I7:K7"/>
    <mergeCell ref="G7:G8"/>
    <mergeCell ref="B5:B8"/>
    <mergeCell ref="C5:C8"/>
    <mergeCell ref="H7:H8"/>
    <mergeCell ref="D5:F6"/>
    <mergeCell ref="D7:D8"/>
    <mergeCell ref="E7:E8"/>
    <mergeCell ref="F7:F8"/>
  </mergeCells>
  <phoneticPr fontId="3" type="noConversion"/>
  <conditionalFormatting sqref="A9:C11">
    <cfRule type="expression" dxfId="576" priority="36" stopIfTrue="1">
      <formula>OR($A9="전국",RIGHT($A9,3)="광역시",RIGHT($A9,3)="특별시",RIGHT($A9,1)="도")</formula>
    </cfRule>
    <cfRule type="expression" dxfId="575" priority="37" stopIfTrue="1">
      <formula>OR($A9="시부",$A9="군부",$A9="제주시",$A9="서귀포시")</formula>
    </cfRule>
  </conditionalFormatting>
  <conditionalFormatting sqref="A9:C16">
    <cfRule type="expression" dxfId="574" priority="31" stopIfTrue="1">
      <formula>OR($A9="전국",RIGHT($A9,3)="광역시",RIGHT($A9,3)="특별시",RIGHT($A9,1)="도")</formula>
    </cfRule>
    <cfRule type="expression" dxfId="573" priority="32" stopIfTrue="1">
      <formula>OR($A9="시부",$A9="군부",$A9="제주시",$A9="서귀포시")</formula>
    </cfRule>
  </conditionalFormatting>
  <conditionalFormatting sqref="B9:B12">
    <cfRule type="expression" dxfId="572" priority="29" stopIfTrue="1">
      <formula>OR($A9="시부",$A9="군부")</formula>
    </cfRule>
    <cfRule type="expression" dxfId="571" priority="30" stopIfTrue="1">
      <formula>OR(RIGHT($A9,3)="특별시",RIGHT($A9,3)="광역시",RIGHT($A9,1)="도",$A9="전국")</formula>
    </cfRule>
  </conditionalFormatting>
  <conditionalFormatting sqref="B12:B16">
    <cfRule type="expression" dxfId="570" priority="27" stopIfTrue="1">
      <formula>OR($A12="시부",$A12="군부")</formula>
    </cfRule>
    <cfRule type="expression" dxfId="569" priority="28" stopIfTrue="1">
      <formula>OR(RIGHT($A12,3)="특별시",RIGHT($A12,3)="광역시",RIGHT($A12,1)="도",$A12="전국")</formula>
    </cfRule>
  </conditionalFormatting>
  <conditionalFormatting sqref="B9:B11">
    <cfRule type="expression" dxfId="568" priority="25" stopIfTrue="1">
      <formula>OR($A9="시부",$A9="군부")</formula>
    </cfRule>
    <cfRule type="expression" dxfId="567" priority="26" stopIfTrue="1">
      <formula>OR(RIGHT($A9,3)="특별시",RIGHT($A9,3)="광역시",RIGHT($A9,1)="도",$A9="전국")</formula>
    </cfRule>
  </conditionalFormatting>
  <conditionalFormatting sqref="B10:B11">
    <cfRule type="expression" dxfId="566" priority="23" stopIfTrue="1">
      <formula>OR($A10="시부",$A10="군부")</formula>
    </cfRule>
    <cfRule type="expression" dxfId="565" priority="24" stopIfTrue="1">
      <formula>OR(RIGHT($A10,3)="특별시",RIGHT($A10,3)="광역시",RIGHT($A10,1)="도",$A10="전국")</formula>
    </cfRule>
  </conditionalFormatting>
  <conditionalFormatting sqref="B11">
    <cfRule type="expression" dxfId="564" priority="21" stopIfTrue="1">
      <formula>OR($A11="시부",$A11="군부")</formula>
    </cfRule>
    <cfRule type="expression" dxfId="563" priority="22" stopIfTrue="1">
      <formula>OR(RIGHT($A11,3)="특별시",RIGHT($A11,3)="광역시",RIGHT($A11,1)="도",$A11="전국")</formula>
    </cfRule>
  </conditionalFormatting>
  <conditionalFormatting sqref="C9:C12">
    <cfRule type="expression" dxfId="562" priority="19" stopIfTrue="1">
      <formula>OR($A9="시부",$A9="군부")</formula>
    </cfRule>
    <cfRule type="expression" dxfId="561" priority="20" stopIfTrue="1">
      <formula>OR(RIGHT($A9,3)="특별시",RIGHT($A9,3)="광역시",RIGHT($A9,1)="도",$A9="전국")</formula>
    </cfRule>
  </conditionalFormatting>
  <conditionalFormatting sqref="C9:C16">
    <cfRule type="expression" dxfId="560" priority="17" stopIfTrue="1">
      <formula>OR($A9="시부",$A9="군부")</formula>
    </cfRule>
    <cfRule type="expression" dxfId="559" priority="18" stopIfTrue="1">
      <formula>OR(RIGHT($A9,3)="특별시",RIGHT($A9,3)="광역시",RIGHT($A9,1)="도",$A9="전국")</formula>
    </cfRule>
  </conditionalFormatting>
  <conditionalFormatting sqref="C9:C11">
    <cfRule type="expression" dxfId="558" priority="15" stopIfTrue="1">
      <formula>OR($A9="시부",$A9="군부")</formula>
    </cfRule>
    <cfRule type="expression" dxfId="557" priority="16" stopIfTrue="1">
      <formula>OR(RIGHT($A9,3)="특별시",RIGHT($A9,3)="광역시",RIGHT($A9,1)="도",$A9="전국")</formula>
    </cfRule>
  </conditionalFormatting>
  <conditionalFormatting sqref="C10:C11">
    <cfRule type="expression" dxfId="556" priority="13" stopIfTrue="1">
      <formula>OR($A10="시부",$A10="군부")</formula>
    </cfRule>
    <cfRule type="expression" dxfId="555" priority="14" stopIfTrue="1">
      <formula>OR(RIGHT($A10,3)="특별시",RIGHT($A10,3)="광역시",RIGHT($A10,1)="도",$A10="전국")</formula>
    </cfRule>
  </conditionalFormatting>
  <conditionalFormatting sqref="C11">
    <cfRule type="expression" dxfId="554" priority="11" stopIfTrue="1">
      <formula>OR($A11="시부",$A11="군부")</formula>
    </cfRule>
    <cfRule type="expression" dxfId="553" priority="12" stopIfTrue="1">
      <formula>OR(RIGHT($A11,3)="특별시",RIGHT($A11,3)="광역시",RIGHT($A11,1)="도",$A11="전국")</formula>
    </cfRule>
  </conditionalFormatting>
  <conditionalFormatting sqref="C9:C12">
    <cfRule type="expression" dxfId="552" priority="9" stopIfTrue="1">
      <formula>OR($A9="시부",$A9="군부")</formula>
    </cfRule>
    <cfRule type="expression" dxfId="551" priority="10" stopIfTrue="1">
      <formula>OR(RIGHT($A9,3)="특별시",RIGHT($A9,3)="광역시",RIGHT($A9,1)="도",$A9="전국")</formula>
    </cfRule>
  </conditionalFormatting>
  <conditionalFormatting sqref="C9:C16">
    <cfRule type="expression" dxfId="550" priority="7" stopIfTrue="1">
      <formula>OR($A9="시부",$A9="군부")</formula>
    </cfRule>
    <cfRule type="expression" dxfId="549" priority="8" stopIfTrue="1">
      <formula>OR(RIGHT($A9,3)="특별시",RIGHT($A9,3)="광역시",RIGHT($A9,1)="도",$A9="전국")</formula>
    </cfRule>
  </conditionalFormatting>
  <conditionalFormatting sqref="C9:C11">
    <cfRule type="expression" dxfId="548" priority="5" stopIfTrue="1">
      <formula>OR($A9="시부",$A9="군부")</formula>
    </cfRule>
    <cfRule type="expression" dxfId="547" priority="6" stopIfTrue="1">
      <formula>OR(RIGHT($A9,3)="특별시",RIGHT($A9,3)="광역시",RIGHT($A9,1)="도",$A9="전국")</formula>
    </cfRule>
  </conditionalFormatting>
  <conditionalFormatting sqref="C10:C11">
    <cfRule type="expression" dxfId="546" priority="3" stopIfTrue="1">
      <formula>OR($A10="시부",$A10="군부")</formula>
    </cfRule>
    <cfRule type="expression" dxfId="545" priority="4" stopIfTrue="1">
      <formula>OR(RIGHT($A10,3)="특별시",RIGHT($A10,3)="광역시",RIGHT($A10,1)="도",$A10="전국")</formula>
    </cfRule>
  </conditionalFormatting>
  <conditionalFormatting sqref="C11">
    <cfRule type="expression" dxfId="544" priority="1" stopIfTrue="1">
      <formula>OR($A11="시부",$A11="군부")</formula>
    </cfRule>
    <cfRule type="expression" dxfId="543" priority="2" stopIfTrue="1">
      <formula>OR(RIGHT($A11,3)="특별시",RIGHT($A11,3)="광역시",RIGHT($A11,1)="도",$A11="전국")</formula>
    </cfRule>
  </conditionalFormatting>
  <pageMargins left="0.19685039370078741" right="0.19685039370078741" top="0.98425196850393704" bottom="0.98425196850393704" header="0.51181102362204722" footer="0.51181102362204722"/>
  <pageSetup paperSize="9" scale="83" fitToHeight="0" orientation="landscape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24"/>
  <dimension ref="A2:T13"/>
  <sheetViews>
    <sheetView view="pageBreakPreview" zoomScale="89" zoomScaleNormal="85" zoomScaleSheetLayoutView="89" workbookViewId="0">
      <selection activeCell="D36" sqref="D36"/>
    </sheetView>
  </sheetViews>
  <sheetFormatPr defaultColWidth="3.88671875" defaultRowHeight="12"/>
  <cols>
    <col min="1" max="1" width="13.21875" style="825" customWidth="1"/>
    <col min="2" max="2" width="19.109375" style="825" customWidth="1"/>
    <col min="3" max="3" width="22" style="826" bestFit="1" customWidth="1"/>
    <col min="4" max="8" width="14.88671875" style="833" customWidth="1"/>
    <col min="9" max="9" width="14.88671875" style="826" customWidth="1"/>
    <col min="10" max="16384" width="3.88671875" style="826"/>
  </cols>
  <sheetData>
    <row r="2" spans="1:20" s="941" customFormat="1" ht="27.75" customHeight="1">
      <c r="A2" s="2069"/>
      <c r="B2" s="2069"/>
      <c r="C2" s="2069"/>
      <c r="D2" s="2069"/>
      <c r="E2" s="939"/>
      <c r="F2" s="940"/>
      <c r="G2" s="940"/>
      <c r="H2" s="940"/>
      <c r="I2" s="940"/>
      <c r="J2" s="940"/>
      <c r="K2" s="940"/>
      <c r="L2" s="940"/>
      <c r="M2" s="940"/>
      <c r="N2" s="940"/>
      <c r="O2" s="939"/>
      <c r="P2" s="940"/>
      <c r="Q2" s="940"/>
      <c r="R2" s="940"/>
      <c r="S2" s="939"/>
      <c r="T2" s="939"/>
    </row>
    <row r="3" spans="1:20" s="944" customFormat="1" ht="27.75" customHeight="1">
      <c r="A3" s="2026" t="s">
        <v>7697</v>
      </c>
      <c r="B3" s="2026"/>
      <c r="C3" s="2026"/>
      <c r="D3" s="2026"/>
      <c r="E3" s="942"/>
      <c r="F3" s="943"/>
      <c r="G3" s="943"/>
      <c r="H3" s="943"/>
      <c r="I3" s="943"/>
      <c r="J3" s="943"/>
      <c r="K3" s="943"/>
      <c r="L3" s="943"/>
      <c r="M3" s="943"/>
      <c r="N3" s="943"/>
      <c r="O3" s="942"/>
      <c r="P3" s="943"/>
      <c r="Q3" s="943"/>
      <c r="R3" s="943"/>
      <c r="S3" s="942"/>
      <c r="T3" s="942"/>
    </row>
    <row r="4" spans="1:20" ht="12.75" thickBot="1">
      <c r="H4" s="2092" t="s">
        <v>7417</v>
      </c>
      <c r="I4" s="2092"/>
    </row>
    <row r="5" spans="1:20" ht="30" customHeight="1">
      <c r="A5" s="1002" t="s">
        <v>7418</v>
      </c>
      <c r="B5" s="1020" t="s">
        <v>7419</v>
      </c>
      <c r="C5" s="1020" t="s">
        <v>7420</v>
      </c>
      <c r="D5" s="973" t="s">
        <v>7421</v>
      </c>
      <c r="E5" s="973" t="s">
        <v>7422</v>
      </c>
      <c r="F5" s="973" t="s">
        <v>7423</v>
      </c>
      <c r="G5" s="973" t="s">
        <v>7424</v>
      </c>
      <c r="H5" s="973" t="s">
        <v>7425</v>
      </c>
      <c r="I5" s="974" t="s">
        <v>7426</v>
      </c>
    </row>
    <row r="6" spans="1:20" ht="30" customHeight="1">
      <c r="A6" s="1841" t="s">
        <v>9222</v>
      </c>
      <c r="B6" s="2094" t="s">
        <v>9223</v>
      </c>
      <c r="C6" s="827" t="s">
        <v>7695</v>
      </c>
      <c r="D6" s="1450">
        <v>2795</v>
      </c>
      <c r="E6" s="1450">
        <v>1100</v>
      </c>
      <c r="F6" s="1450">
        <v>2719</v>
      </c>
      <c r="G6" s="1451">
        <v>280</v>
      </c>
      <c r="H6" s="1451">
        <v>45</v>
      </c>
      <c r="I6" s="1452" t="s">
        <v>9280</v>
      </c>
    </row>
    <row r="7" spans="1:20" ht="30" customHeight="1">
      <c r="A7" s="2093"/>
      <c r="B7" s="2095"/>
      <c r="C7" s="1351" t="s">
        <v>9224</v>
      </c>
      <c r="D7" s="1453">
        <v>1</v>
      </c>
      <c r="E7" s="1453">
        <v>7.3</v>
      </c>
      <c r="F7" s="1453">
        <v>0.5</v>
      </c>
      <c r="G7" s="1451">
        <v>8.2110000000000003</v>
      </c>
      <c r="H7" s="1451">
        <v>5.7000000000000002E-2</v>
      </c>
      <c r="I7" s="1454" t="s">
        <v>9252</v>
      </c>
    </row>
    <row r="8" spans="1:20" ht="30" customHeight="1">
      <c r="A8" s="1841"/>
      <c r="B8" s="2090"/>
      <c r="C8" s="827" t="s">
        <v>7695</v>
      </c>
      <c r="D8" s="832"/>
      <c r="E8" s="832"/>
      <c r="F8" s="832"/>
      <c r="G8" s="832"/>
      <c r="H8" s="832"/>
      <c r="I8" s="823"/>
    </row>
    <row r="9" spans="1:20" ht="30" customHeight="1">
      <c r="A9" s="2093"/>
      <c r="B9" s="2095"/>
      <c r="C9" s="1021" t="s">
        <v>7698</v>
      </c>
      <c r="D9" s="832"/>
      <c r="E9" s="832"/>
      <c r="F9" s="832"/>
      <c r="G9" s="832"/>
      <c r="H9" s="832"/>
      <c r="I9" s="823"/>
    </row>
    <row r="10" spans="1:20" ht="30" customHeight="1">
      <c r="A10" s="1841"/>
      <c r="B10" s="2090"/>
      <c r="C10" s="827" t="s">
        <v>7695</v>
      </c>
      <c r="D10" s="1018"/>
      <c r="E10" s="1018"/>
      <c r="F10" s="1018"/>
      <c r="G10" s="1018"/>
      <c r="H10" s="1018"/>
      <c r="I10" s="1019"/>
    </row>
    <row r="11" spans="1:20" ht="30" customHeight="1" thickBot="1">
      <c r="A11" s="2089"/>
      <c r="B11" s="2091"/>
      <c r="C11" s="828" t="s">
        <v>7698</v>
      </c>
      <c r="D11" s="972"/>
      <c r="E11" s="972"/>
      <c r="F11" s="972"/>
      <c r="G11" s="972"/>
      <c r="H11" s="972"/>
      <c r="I11" s="824"/>
    </row>
    <row r="13" spans="1:20" ht="12.75">
      <c r="A13" s="1063" t="s">
        <v>8777</v>
      </c>
    </row>
  </sheetData>
  <mergeCells count="9">
    <mergeCell ref="A10:A11"/>
    <mergeCell ref="B10:B11"/>
    <mergeCell ref="H4:I4"/>
    <mergeCell ref="A2:D2"/>
    <mergeCell ref="A3:D3"/>
    <mergeCell ref="A6:A7"/>
    <mergeCell ref="B6:B7"/>
    <mergeCell ref="A8:A9"/>
    <mergeCell ref="B8:B9"/>
  </mergeCells>
  <phoneticPr fontId="3" type="noConversion"/>
  <pageMargins left="0.75" right="0.75" top="1" bottom="1" header="0.5" footer="0.5"/>
  <pageSetup paperSize="9" scale="70" orientation="landscape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V9"/>
  <sheetViews>
    <sheetView view="pageBreakPreview" zoomScale="95" zoomScaleNormal="85" zoomScaleSheetLayoutView="95" workbookViewId="0">
      <selection activeCell="L7" sqref="L7"/>
    </sheetView>
  </sheetViews>
  <sheetFormatPr defaultColWidth="3.88671875" defaultRowHeight="12"/>
  <cols>
    <col min="1" max="1" width="16.5546875" style="937" customWidth="1"/>
    <col min="2" max="2" width="16" style="937" customWidth="1"/>
    <col min="3" max="11" width="10" style="937" customWidth="1"/>
    <col min="12" max="12" width="12.21875" style="937" customWidth="1"/>
    <col min="13" max="13" width="3.88671875" style="937"/>
    <col min="14" max="14" width="40.33203125" style="937" customWidth="1"/>
    <col min="15" max="16384" width="3.88671875" style="937"/>
  </cols>
  <sheetData>
    <row r="2" spans="1:22" s="941" customFormat="1" ht="27.75" customHeight="1">
      <c r="A2" s="2026" t="s">
        <v>7699</v>
      </c>
      <c r="B2" s="2026"/>
      <c r="C2" s="2026"/>
      <c r="D2" s="2026"/>
      <c r="E2" s="2026"/>
      <c r="F2" s="939"/>
      <c r="G2" s="940"/>
      <c r="H2" s="940"/>
      <c r="I2" s="940"/>
      <c r="J2" s="940"/>
      <c r="K2" s="940"/>
      <c r="L2" s="940"/>
      <c r="M2" s="940"/>
      <c r="N2" s="940"/>
      <c r="O2" s="940"/>
      <c r="P2" s="940"/>
      <c r="Q2" s="939"/>
      <c r="R2" s="940"/>
      <c r="S2" s="940"/>
      <c r="T2" s="940"/>
      <c r="U2" s="939"/>
      <c r="V2" s="939"/>
    </row>
    <row r="3" spans="1:22" s="944" customFormat="1" ht="27.75" customHeight="1">
      <c r="A3" s="2026" t="s">
        <v>7700</v>
      </c>
      <c r="B3" s="2026"/>
      <c r="C3" s="2026"/>
      <c r="D3" s="2026"/>
      <c r="E3" s="2026"/>
      <c r="F3" s="942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2"/>
      <c r="R3" s="943"/>
      <c r="S3" s="943"/>
      <c r="T3" s="943"/>
      <c r="U3" s="942"/>
      <c r="V3" s="942"/>
    </row>
    <row r="4" spans="1:22" ht="12.75" thickBot="1">
      <c r="I4" s="2096"/>
      <c r="J4" s="2096"/>
    </row>
    <row r="5" spans="1:22" ht="27" customHeight="1">
      <c r="A5" s="2079" t="s">
        <v>7620</v>
      </c>
      <c r="B5" s="1646" t="s">
        <v>8986</v>
      </c>
      <c r="C5" s="2098" t="s">
        <v>7632</v>
      </c>
      <c r="D5" s="2099"/>
      <c r="E5" s="2099"/>
      <c r="F5" s="2099"/>
      <c r="G5" s="2099"/>
      <c r="H5" s="2099"/>
      <c r="I5" s="2099"/>
      <c r="J5" s="2099"/>
      <c r="K5" s="2100"/>
      <c r="L5" s="1634" t="s">
        <v>7633</v>
      </c>
      <c r="M5" s="938"/>
    </row>
    <row r="6" spans="1:22" ht="27" customHeight="1">
      <c r="A6" s="2097"/>
      <c r="B6" s="1639"/>
      <c r="C6" s="1173" t="s">
        <v>7634</v>
      </c>
      <c r="D6" s="1173" t="s">
        <v>7635</v>
      </c>
      <c r="E6" s="1173" t="s">
        <v>7636</v>
      </c>
      <c r="F6" s="1173" t="s">
        <v>7637</v>
      </c>
      <c r="G6" s="1173" t="s">
        <v>7638</v>
      </c>
      <c r="H6" s="1181" t="s">
        <v>7651</v>
      </c>
      <c r="I6" s="1173" t="s">
        <v>7639</v>
      </c>
      <c r="J6" s="1174" t="s">
        <v>1563</v>
      </c>
      <c r="K6" s="1174" t="s">
        <v>7640</v>
      </c>
      <c r="L6" s="1635"/>
      <c r="M6" s="938"/>
      <c r="N6" s="975"/>
    </row>
    <row r="7" spans="1:22" ht="27" customHeight="1">
      <c r="A7" s="935" t="s">
        <v>9221</v>
      </c>
      <c r="B7" s="1169">
        <v>522841</v>
      </c>
      <c r="C7" s="1461">
        <v>680</v>
      </c>
      <c r="D7" s="1462">
        <v>0</v>
      </c>
      <c r="E7" s="1462">
        <v>57</v>
      </c>
      <c r="F7" s="1462">
        <v>0</v>
      </c>
      <c r="G7" s="1462">
        <v>0</v>
      </c>
      <c r="H7" s="1462">
        <v>0</v>
      </c>
      <c r="I7" s="1462">
        <v>32</v>
      </c>
      <c r="J7" s="1462">
        <v>0</v>
      </c>
      <c r="K7" s="1462">
        <v>591</v>
      </c>
      <c r="L7" s="1013">
        <f>(C7/B7)*10000</f>
        <v>13.005866028104148</v>
      </c>
    </row>
    <row r="8" spans="1:22" ht="27" customHeight="1">
      <c r="A8" s="936"/>
      <c r="B8" s="629"/>
      <c r="C8" s="1016">
        <f t="shared" ref="C8:C9" si="0">SUM(D8:K8)</f>
        <v>0</v>
      </c>
      <c r="D8" s="1169"/>
      <c r="E8" s="1169"/>
      <c r="F8" s="1169"/>
      <c r="G8" s="1169"/>
      <c r="H8" s="1169"/>
      <c r="I8" s="1169"/>
      <c r="J8" s="1169"/>
      <c r="K8" s="1169"/>
      <c r="L8" s="1013">
        <f t="shared" ref="L8:L9" si="1">IF(ISERROR((C8/B8)*10000),0,(C8/B8)*10000)</f>
        <v>0</v>
      </c>
    </row>
    <row r="9" spans="1:22" ht="27" customHeight="1" thickBot="1">
      <c r="A9" s="1235"/>
      <c r="B9" s="1170"/>
      <c r="C9" s="1232">
        <f t="shared" si="0"/>
        <v>0</v>
      </c>
      <c r="D9" s="1170"/>
      <c r="E9" s="1170"/>
      <c r="F9" s="1170"/>
      <c r="G9" s="1170"/>
      <c r="H9" s="1170"/>
      <c r="I9" s="1170"/>
      <c r="J9" s="1170"/>
      <c r="K9" s="1170"/>
      <c r="L9" s="1236">
        <f t="shared" si="1"/>
        <v>0</v>
      </c>
    </row>
  </sheetData>
  <mergeCells count="7">
    <mergeCell ref="L5:L6"/>
    <mergeCell ref="A2:E2"/>
    <mergeCell ref="A3:E3"/>
    <mergeCell ref="I4:J4"/>
    <mergeCell ref="A5:A6"/>
    <mergeCell ref="B5:B6"/>
    <mergeCell ref="C5:K5"/>
  </mergeCells>
  <phoneticPr fontId="3" type="noConversion"/>
  <conditionalFormatting sqref="A7:L9">
    <cfRule type="expression" dxfId="181" priority="8" stopIfTrue="1">
      <formula>OR($A7="시부",$A7="군부")</formula>
    </cfRule>
    <cfRule type="expression" dxfId="180" priority="9" stopIfTrue="1">
      <formula>OR(RIGHT($A7,3)="특별시",RIGHT($A7,3)="광역시",RIGHT($A7,1)="도",$A7="전국")</formula>
    </cfRule>
  </conditionalFormatting>
  <conditionalFormatting sqref="C7:L7">
    <cfRule type="expression" dxfId="179" priority="3" stopIfTrue="1">
      <formula>OR($A7="시부",$A7="군부")</formula>
    </cfRule>
    <cfRule type="expression" dxfId="178" priority="4" stopIfTrue="1">
      <formula>OR(RIGHT($A7,3)="특별시",RIGHT($A7,3)="광역시",RIGHT($A7,1)="도",$A7="전국")</formula>
    </cfRule>
  </conditionalFormatting>
  <conditionalFormatting sqref="C7:L7">
    <cfRule type="expression" dxfId="177" priority="1" stopIfTrue="1">
      <formula>OR($A7="시부",$A7="군부")</formula>
    </cfRule>
    <cfRule type="expression" dxfId="176" priority="2" stopIfTrue="1">
      <formula>OR(RIGHT($A7,3)="특별시",RIGHT($A7,3)="광역시",RIGHT($A7,1)="도",$A7="전국")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83" orientation="landscape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1" tint="4.9989318521683403E-2"/>
    <pageSetUpPr fitToPage="1"/>
  </sheetPr>
  <dimension ref="A1:L240"/>
  <sheetViews>
    <sheetView workbookViewId="0"/>
  </sheetViews>
  <sheetFormatPr defaultColWidth="3.88671875" defaultRowHeight="12"/>
  <cols>
    <col min="1" max="1" width="16.5546875" style="3" customWidth="1"/>
    <col min="2" max="2" width="16" style="3" customWidth="1"/>
    <col min="3" max="10" width="10" style="3" customWidth="1"/>
    <col min="11" max="11" width="12.21875" style="3" customWidth="1"/>
    <col min="12" max="16384" width="3.88671875" style="3"/>
  </cols>
  <sheetData>
    <row r="1" spans="1:12" s="818" customFormat="1" ht="27.75" customHeight="1">
      <c r="A1" s="818" t="s">
        <v>1561</v>
      </c>
    </row>
    <row r="2" spans="1:12" s="817" customFormat="1" ht="19.5" customHeight="1">
      <c r="A2" s="817" t="s">
        <v>1562</v>
      </c>
    </row>
    <row r="3" spans="1:12" s="25" customFormat="1" ht="12.75" thickBot="1">
      <c r="H3" s="2103"/>
      <c r="I3" s="2103"/>
    </row>
    <row r="4" spans="1:12" s="25" customFormat="1" ht="24" customHeight="1">
      <c r="A4" s="2104" t="s">
        <v>1478</v>
      </c>
      <c r="B4" s="2106" t="s">
        <v>507</v>
      </c>
      <c r="C4" s="2108" t="s">
        <v>498</v>
      </c>
      <c r="D4" s="2109"/>
      <c r="E4" s="2109"/>
      <c r="F4" s="2109"/>
      <c r="G4" s="2109"/>
      <c r="H4" s="2109"/>
      <c r="I4" s="2109"/>
      <c r="J4" s="2110"/>
      <c r="K4" s="2101" t="s">
        <v>1564</v>
      </c>
      <c r="L4" s="26"/>
    </row>
    <row r="5" spans="1:12" s="25" customFormat="1" ht="24" customHeight="1" thickBot="1">
      <c r="A5" s="2105"/>
      <c r="B5" s="2107"/>
      <c r="C5" s="279" t="s">
        <v>1488</v>
      </c>
      <c r="D5" s="279" t="s">
        <v>499</v>
      </c>
      <c r="E5" s="279" t="s">
        <v>500</v>
      </c>
      <c r="F5" s="279" t="s">
        <v>501</v>
      </c>
      <c r="G5" s="279" t="s">
        <v>502</v>
      </c>
      <c r="H5" s="279" t="s">
        <v>503</v>
      </c>
      <c r="I5" s="436" t="s">
        <v>1563</v>
      </c>
      <c r="J5" s="436" t="s">
        <v>1404</v>
      </c>
      <c r="K5" s="2102"/>
      <c r="L5" s="26"/>
    </row>
    <row r="6" spans="1:12" s="25" customFormat="1" ht="27" customHeight="1">
      <c r="A6" s="425">
        <v>2006</v>
      </c>
      <c r="B6" s="347">
        <f>SUM(B7,B13,B26,B36,B47,B53,B59,B60,B94,B115,B130,B149,B166,B191,B217,B238)</f>
        <v>41569474</v>
      </c>
      <c r="C6" s="347">
        <f>SUM(D6:J6)</f>
        <v>31854</v>
      </c>
      <c r="D6" s="347">
        <f t="shared" ref="D6:J6" si="0">SUM(D7,D13,D26,D36,D47,D53,D59,D60,D94,D115,D130,D149,D166,D191,D217,D238)</f>
        <v>126</v>
      </c>
      <c r="E6" s="347">
        <f t="shared" si="0"/>
        <v>5613</v>
      </c>
      <c r="F6" s="347">
        <f t="shared" si="0"/>
        <v>681</v>
      </c>
      <c r="G6" s="347">
        <f t="shared" si="0"/>
        <v>65</v>
      </c>
      <c r="H6" s="347">
        <f t="shared" si="0"/>
        <v>2664</v>
      </c>
      <c r="I6" s="347">
        <f t="shared" si="0"/>
        <v>4</v>
      </c>
      <c r="J6" s="347">
        <f t="shared" si="0"/>
        <v>22701</v>
      </c>
      <c r="K6" s="417">
        <f>(C6/B6)*10000</f>
        <v>7.6628345116899963</v>
      </c>
    </row>
    <row r="7" spans="1:12" s="25" customFormat="1" ht="27" customHeight="1">
      <c r="A7" s="424" t="s">
        <v>1586</v>
      </c>
      <c r="B7" s="350">
        <f>SUM(B8:B12)</f>
        <v>10347802</v>
      </c>
      <c r="C7" s="353">
        <f>SUM(D7:J7)</f>
        <v>51</v>
      </c>
      <c r="D7" s="353">
        <f t="shared" ref="D7:J7" si="1">SUM(D8:D12)</f>
        <v>1</v>
      </c>
      <c r="E7" s="353">
        <f t="shared" si="1"/>
        <v>43</v>
      </c>
      <c r="F7" s="353">
        <f t="shared" si="1"/>
        <v>0</v>
      </c>
      <c r="G7" s="353">
        <f t="shared" si="1"/>
        <v>0</v>
      </c>
      <c r="H7" s="353">
        <f t="shared" si="1"/>
        <v>0</v>
      </c>
      <c r="I7" s="353">
        <f t="shared" si="1"/>
        <v>0</v>
      </c>
      <c r="J7" s="353">
        <f t="shared" si="1"/>
        <v>7</v>
      </c>
      <c r="K7" s="418">
        <f>(C7/B7)*10000</f>
        <v>4.9285829009870892E-2</v>
      </c>
    </row>
    <row r="8" spans="1:12" s="25" customFormat="1" ht="27" customHeight="1">
      <c r="A8" s="424" t="s">
        <v>504</v>
      </c>
      <c r="B8" s="353">
        <v>0</v>
      </c>
      <c r="C8" s="353">
        <f>SUM(D8:J8)</f>
        <v>7</v>
      </c>
      <c r="D8" s="632" t="s">
        <v>1588</v>
      </c>
      <c r="E8" s="353">
        <v>1</v>
      </c>
      <c r="F8" s="632" t="s">
        <v>1588</v>
      </c>
      <c r="G8" s="632" t="s">
        <v>1588</v>
      </c>
      <c r="H8" s="632" t="s">
        <v>1588</v>
      </c>
      <c r="I8" s="632" t="s">
        <v>1588</v>
      </c>
      <c r="J8" s="353">
        <v>6</v>
      </c>
      <c r="K8" s="418">
        <v>0</v>
      </c>
    </row>
    <row r="9" spans="1:12" s="25" customFormat="1" ht="27" customHeight="1">
      <c r="A9" s="431" t="s">
        <v>491</v>
      </c>
      <c r="B9" s="350">
        <v>3513921</v>
      </c>
      <c r="C9" s="353">
        <f t="shared" ref="C9:C72" si="2">SUM(D9:J9)</f>
        <v>30</v>
      </c>
      <c r="D9" s="632" t="s">
        <v>1588</v>
      </c>
      <c r="E9" s="353">
        <v>30</v>
      </c>
      <c r="F9" s="632" t="s">
        <v>1588</v>
      </c>
      <c r="G9" s="632" t="s">
        <v>1588</v>
      </c>
      <c r="H9" s="632" t="s">
        <v>1588</v>
      </c>
      <c r="I9" s="632" t="s">
        <v>1588</v>
      </c>
      <c r="J9" s="632" t="s">
        <v>1588</v>
      </c>
      <c r="K9" s="418">
        <f>(C9/B9)*10000</f>
        <v>8.5374713887990089E-2</v>
      </c>
    </row>
    <row r="10" spans="1:12" s="25" customFormat="1" ht="27" customHeight="1">
      <c r="A10" s="431" t="s">
        <v>492</v>
      </c>
      <c r="B10" s="350">
        <v>1595059</v>
      </c>
      <c r="C10" s="353">
        <f t="shared" si="2"/>
        <v>4</v>
      </c>
      <c r="D10" s="632" t="s">
        <v>1588</v>
      </c>
      <c r="E10" s="353">
        <v>4</v>
      </c>
      <c r="F10" s="632" t="s">
        <v>1588</v>
      </c>
      <c r="G10" s="632" t="s">
        <v>1588</v>
      </c>
      <c r="H10" s="632" t="s">
        <v>1588</v>
      </c>
      <c r="I10" s="632" t="s">
        <v>1588</v>
      </c>
      <c r="J10" s="632" t="s">
        <v>1588</v>
      </c>
      <c r="K10" s="418">
        <f t="shared" ref="K10:K26" si="3">(C10/B10)*10000</f>
        <v>2.5077442276429902E-2</v>
      </c>
    </row>
    <row r="11" spans="1:12" s="25" customFormat="1" ht="27" customHeight="1">
      <c r="A11" s="431" t="s">
        <v>493</v>
      </c>
      <c r="B11" s="350">
        <v>3618314</v>
      </c>
      <c r="C11" s="353">
        <f t="shared" si="2"/>
        <v>9</v>
      </c>
      <c r="D11" s="353">
        <v>1</v>
      </c>
      <c r="E11" s="353">
        <v>8</v>
      </c>
      <c r="F11" s="632" t="s">
        <v>1588</v>
      </c>
      <c r="G11" s="632" t="s">
        <v>1588</v>
      </c>
      <c r="H11" s="632" t="s">
        <v>1588</v>
      </c>
      <c r="I11" s="632" t="s">
        <v>1588</v>
      </c>
      <c r="J11" s="632" t="s">
        <v>1588</v>
      </c>
      <c r="K11" s="418">
        <f t="shared" si="3"/>
        <v>2.4873463165441142E-2</v>
      </c>
    </row>
    <row r="12" spans="1:12" s="25" customFormat="1" ht="27" customHeight="1">
      <c r="A12" s="431" t="s">
        <v>494</v>
      </c>
      <c r="B12" s="350">
        <v>1620508</v>
      </c>
      <c r="C12" s="353">
        <f t="shared" si="2"/>
        <v>1</v>
      </c>
      <c r="D12" s="632" t="s">
        <v>1588</v>
      </c>
      <c r="E12" s="632" t="s">
        <v>1588</v>
      </c>
      <c r="F12" s="632" t="s">
        <v>1588</v>
      </c>
      <c r="G12" s="632" t="s">
        <v>1588</v>
      </c>
      <c r="H12" s="632" t="s">
        <v>1588</v>
      </c>
      <c r="I12" s="632" t="s">
        <v>1588</v>
      </c>
      <c r="J12" s="353">
        <v>1</v>
      </c>
      <c r="K12" s="418">
        <f t="shared" si="3"/>
        <v>6.1709044324372358E-3</v>
      </c>
    </row>
    <row r="13" spans="1:12" s="25" customFormat="1" ht="27" customHeight="1">
      <c r="A13" s="424" t="s">
        <v>1785</v>
      </c>
      <c r="B13" s="353">
        <f>SUM(B14:B25)</f>
        <v>3583991</v>
      </c>
      <c r="C13" s="353">
        <f t="shared" si="2"/>
        <v>47</v>
      </c>
      <c r="D13" s="353">
        <f>SUM(D14:D25)</f>
        <v>0</v>
      </c>
      <c r="E13" s="353">
        <f>SUM(E14:E25)</f>
        <v>24</v>
      </c>
      <c r="F13" s="632" t="s">
        <v>1588</v>
      </c>
      <c r="G13" s="632" t="s">
        <v>1588</v>
      </c>
      <c r="H13" s="632" t="s">
        <v>1588</v>
      </c>
      <c r="I13" s="632" t="s">
        <v>1588</v>
      </c>
      <c r="J13" s="353">
        <f>SUM(J14:J25)</f>
        <v>23</v>
      </c>
      <c r="K13" s="418">
        <f t="shared" si="3"/>
        <v>0.13113872216755007</v>
      </c>
    </row>
    <row r="14" spans="1:12" s="25" customFormat="1" ht="27" customHeight="1">
      <c r="A14" s="433" t="s">
        <v>117</v>
      </c>
      <c r="B14" s="353">
        <v>968863</v>
      </c>
      <c r="C14" s="353">
        <f t="shared" si="2"/>
        <v>15</v>
      </c>
      <c r="D14" s="353">
        <v>0</v>
      </c>
      <c r="E14" s="353">
        <v>14</v>
      </c>
      <c r="F14" s="353">
        <v>0</v>
      </c>
      <c r="G14" s="353">
        <v>0</v>
      </c>
      <c r="H14" s="353">
        <v>0</v>
      </c>
      <c r="I14" s="353">
        <v>0</v>
      </c>
      <c r="J14" s="353">
        <v>1</v>
      </c>
      <c r="K14" s="418">
        <f t="shared" si="3"/>
        <v>0.15482065059765932</v>
      </c>
    </row>
    <row r="15" spans="1:12" s="25" customFormat="1" ht="27" customHeight="1">
      <c r="A15" s="433" t="s">
        <v>495</v>
      </c>
      <c r="B15" s="353">
        <v>975916</v>
      </c>
      <c r="C15" s="353">
        <f t="shared" si="2"/>
        <v>1</v>
      </c>
      <c r="D15" s="353">
        <v>0</v>
      </c>
      <c r="E15" s="353">
        <v>1</v>
      </c>
      <c r="F15" s="353">
        <v>0</v>
      </c>
      <c r="G15" s="353">
        <v>0</v>
      </c>
      <c r="H15" s="353">
        <v>0</v>
      </c>
      <c r="I15" s="353">
        <v>0</v>
      </c>
      <c r="J15" s="353">
        <v>0</v>
      </c>
      <c r="K15" s="418">
        <f t="shared" si="3"/>
        <v>1.0246783534648474E-2</v>
      </c>
    </row>
    <row r="16" spans="1:12" s="25" customFormat="1" ht="27" customHeight="1">
      <c r="A16" s="433" t="s">
        <v>118</v>
      </c>
      <c r="B16" s="353">
        <v>839442</v>
      </c>
      <c r="C16" s="353">
        <f t="shared" si="2"/>
        <v>29</v>
      </c>
      <c r="D16" s="353">
        <v>0</v>
      </c>
      <c r="E16" s="353">
        <v>8</v>
      </c>
      <c r="F16" s="353">
        <v>0</v>
      </c>
      <c r="G16" s="353">
        <v>0</v>
      </c>
      <c r="H16" s="353">
        <v>0</v>
      </c>
      <c r="I16" s="353">
        <v>0</v>
      </c>
      <c r="J16" s="353">
        <v>21</v>
      </c>
      <c r="K16" s="418">
        <f t="shared" si="3"/>
        <v>0.34546758441917369</v>
      </c>
    </row>
    <row r="17" spans="1:11" ht="27" customHeight="1">
      <c r="A17" s="433" t="s">
        <v>119</v>
      </c>
      <c r="B17" s="353">
        <v>9656</v>
      </c>
      <c r="C17" s="353">
        <f t="shared" si="2"/>
        <v>0</v>
      </c>
      <c r="D17" s="353">
        <v>0</v>
      </c>
      <c r="E17" s="353">
        <v>0</v>
      </c>
      <c r="F17" s="353">
        <v>0</v>
      </c>
      <c r="G17" s="353">
        <v>0</v>
      </c>
      <c r="H17" s="353">
        <v>0</v>
      </c>
      <c r="I17" s="353">
        <v>0</v>
      </c>
      <c r="J17" s="353">
        <v>0</v>
      </c>
      <c r="K17" s="418">
        <f t="shared" si="3"/>
        <v>0</v>
      </c>
    </row>
    <row r="18" spans="1:11" ht="27" customHeight="1">
      <c r="A18" s="433" t="s">
        <v>120</v>
      </c>
      <c r="B18" s="353">
        <v>1073</v>
      </c>
      <c r="C18" s="353">
        <f t="shared" si="2"/>
        <v>0</v>
      </c>
      <c r="D18" s="353">
        <v>0</v>
      </c>
      <c r="E18" s="353">
        <v>0</v>
      </c>
      <c r="F18" s="353">
        <v>0</v>
      </c>
      <c r="G18" s="353">
        <v>0</v>
      </c>
      <c r="H18" s="353">
        <v>0</v>
      </c>
      <c r="I18" s="353">
        <v>0</v>
      </c>
      <c r="J18" s="353">
        <v>0</v>
      </c>
      <c r="K18" s="418">
        <f t="shared" si="3"/>
        <v>0</v>
      </c>
    </row>
    <row r="19" spans="1:11" ht="27" customHeight="1">
      <c r="A19" s="433" t="s">
        <v>121</v>
      </c>
      <c r="B19" s="353">
        <v>126759</v>
      </c>
      <c r="C19" s="353">
        <f t="shared" si="2"/>
        <v>2</v>
      </c>
      <c r="D19" s="353">
        <v>0</v>
      </c>
      <c r="E19" s="353">
        <v>1</v>
      </c>
      <c r="F19" s="353">
        <v>0</v>
      </c>
      <c r="G19" s="353">
        <v>0</v>
      </c>
      <c r="H19" s="353">
        <v>0</v>
      </c>
      <c r="I19" s="353">
        <v>0</v>
      </c>
      <c r="J19" s="353">
        <v>1</v>
      </c>
      <c r="K19" s="418">
        <f t="shared" si="3"/>
        <v>0.15777972372770374</v>
      </c>
    </row>
    <row r="20" spans="1:11" ht="27" customHeight="1">
      <c r="A20" s="433" t="s">
        <v>2082</v>
      </c>
      <c r="B20" s="353">
        <v>20402</v>
      </c>
      <c r="C20" s="353">
        <f t="shared" si="2"/>
        <v>0</v>
      </c>
      <c r="D20" s="353">
        <v>0</v>
      </c>
      <c r="E20" s="353">
        <v>0</v>
      </c>
      <c r="F20" s="353">
        <v>0</v>
      </c>
      <c r="G20" s="353">
        <v>0</v>
      </c>
      <c r="H20" s="353">
        <v>0</v>
      </c>
      <c r="I20" s="353">
        <v>0</v>
      </c>
      <c r="J20" s="353">
        <v>0</v>
      </c>
      <c r="K20" s="418">
        <f t="shared" si="3"/>
        <v>0</v>
      </c>
    </row>
    <row r="21" spans="1:11" ht="27" customHeight="1">
      <c r="A21" s="433" t="s">
        <v>122</v>
      </c>
      <c r="B21" s="353">
        <v>194837</v>
      </c>
      <c r="C21" s="353">
        <f t="shared" si="2"/>
        <v>0</v>
      </c>
      <c r="D21" s="353">
        <v>0</v>
      </c>
      <c r="E21" s="353">
        <v>0</v>
      </c>
      <c r="F21" s="353">
        <v>0</v>
      </c>
      <c r="G21" s="353">
        <v>0</v>
      </c>
      <c r="H21" s="353">
        <v>0</v>
      </c>
      <c r="I21" s="353">
        <v>0</v>
      </c>
      <c r="J21" s="353">
        <v>0</v>
      </c>
      <c r="K21" s="418">
        <f t="shared" si="3"/>
        <v>0</v>
      </c>
    </row>
    <row r="22" spans="1:11" ht="27" customHeight="1">
      <c r="A22" s="433" t="s">
        <v>123</v>
      </c>
      <c r="B22" s="353">
        <v>56331</v>
      </c>
      <c r="C22" s="353">
        <f t="shared" si="2"/>
        <v>0</v>
      </c>
      <c r="D22" s="353">
        <v>0</v>
      </c>
      <c r="E22" s="353">
        <v>0</v>
      </c>
      <c r="F22" s="353">
        <v>0</v>
      </c>
      <c r="G22" s="353">
        <v>0</v>
      </c>
      <c r="H22" s="353">
        <v>0</v>
      </c>
      <c r="I22" s="353">
        <v>0</v>
      </c>
      <c r="J22" s="353">
        <v>0</v>
      </c>
      <c r="K22" s="418">
        <f t="shared" si="3"/>
        <v>0</v>
      </c>
    </row>
    <row r="23" spans="1:11" ht="27" customHeight="1">
      <c r="A23" s="424" t="s">
        <v>129</v>
      </c>
      <c r="B23" s="353">
        <v>160028</v>
      </c>
      <c r="C23" s="353">
        <f t="shared" si="2"/>
        <v>0</v>
      </c>
      <c r="D23" s="353">
        <v>0</v>
      </c>
      <c r="E23" s="353">
        <v>0</v>
      </c>
      <c r="F23" s="353">
        <v>0</v>
      </c>
      <c r="G23" s="353">
        <v>0</v>
      </c>
      <c r="H23" s="353">
        <v>0</v>
      </c>
      <c r="I23" s="353">
        <v>0</v>
      </c>
      <c r="J23" s="353">
        <v>0</v>
      </c>
      <c r="K23" s="418">
        <f t="shared" si="3"/>
        <v>0</v>
      </c>
    </row>
    <row r="24" spans="1:11" ht="27" customHeight="1">
      <c r="A24" s="424" t="s">
        <v>128</v>
      </c>
      <c r="B24" s="353">
        <v>228148</v>
      </c>
      <c r="C24" s="353">
        <f t="shared" si="2"/>
        <v>0</v>
      </c>
      <c r="D24" s="353">
        <v>0</v>
      </c>
      <c r="E24" s="353">
        <v>0</v>
      </c>
      <c r="F24" s="353">
        <v>0</v>
      </c>
      <c r="G24" s="353">
        <v>0</v>
      </c>
      <c r="H24" s="353">
        <v>0</v>
      </c>
      <c r="I24" s="353">
        <v>0</v>
      </c>
      <c r="J24" s="353">
        <v>0</v>
      </c>
      <c r="K24" s="418">
        <f t="shared" si="3"/>
        <v>0</v>
      </c>
    </row>
    <row r="25" spans="1:11" ht="27" customHeight="1">
      <c r="A25" s="424" t="s">
        <v>506</v>
      </c>
      <c r="B25" s="353">
        <v>2536</v>
      </c>
      <c r="C25" s="353">
        <f t="shared" si="2"/>
        <v>0</v>
      </c>
      <c r="D25" s="353">
        <v>0</v>
      </c>
      <c r="E25" s="353">
        <v>0</v>
      </c>
      <c r="F25" s="353">
        <v>0</v>
      </c>
      <c r="G25" s="353">
        <v>0</v>
      </c>
      <c r="H25" s="353">
        <v>0</v>
      </c>
      <c r="I25" s="353">
        <v>0</v>
      </c>
      <c r="J25" s="353">
        <v>0</v>
      </c>
      <c r="K25" s="418">
        <f t="shared" si="3"/>
        <v>0</v>
      </c>
    </row>
    <row r="26" spans="1:11" ht="27" customHeight="1">
      <c r="A26" s="424" t="s">
        <v>1971</v>
      </c>
      <c r="B26" s="353">
        <f>SUM(B28:B35)</f>
        <v>2446829</v>
      </c>
      <c r="C26" s="353">
        <f t="shared" si="2"/>
        <v>2923</v>
      </c>
      <c r="D26" s="353">
        <f t="shared" ref="D26:J26" si="4">SUM(D27:D35)</f>
        <v>0</v>
      </c>
      <c r="E26" s="353">
        <f t="shared" si="4"/>
        <v>437</v>
      </c>
      <c r="F26" s="353">
        <f t="shared" si="4"/>
        <v>0</v>
      </c>
      <c r="G26" s="353">
        <f t="shared" si="4"/>
        <v>0</v>
      </c>
      <c r="H26" s="353">
        <f t="shared" si="4"/>
        <v>198</v>
      </c>
      <c r="I26" s="353">
        <f t="shared" si="4"/>
        <v>0</v>
      </c>
      <c r="J26" s="353">
        <f t="shared" si="4"/>
        <v>2288</v>
      </c>
      <c r="K26" s="418">
        <f t="shared" si="3"/>
        <v>11.946073877659616</v>
      </c>
    </row>
    <row r="27" spans="1:11" ht="27" customHeight="1">
      <c r="A27" s="424" t="s">
        <v>2470</v>
      </c>
      <c r="B27" s="353">
        <v>0</v>
      </c>
      <c r="C27" s="353">
        <f t="shared" si="2"/>
        <v>24</v>
      </c>
      <c r="D27" s="632" t="s">
        <v>1588</v>
      </c>
      <c r="E27" s="353">
        <v>3</v>
      </c>
      <c r="F27" s="632" t="s">
        <v>1588</v>
      </c>
      <c r="G27" s="632" t="s">
        <v>1588</v>
      </c>
      <c r="H27" s="632" t="s">
        <v>1588</v>
      </c>
      <c r="I27" s="632" t="s">
        <v>1588</v>
      </c>
      <c r="J27" s="353">
        <v>21</v>
      </c>
      <c r="K27" s="418">
        <v>0</v>
      </c>
    </row>
    <row r="28" spans="1:11" ht="27" customHeight="1">
      <c r="A28" s="424" t="s">
        <v>1807</v>
      </c>
      <c r="B28" s="353">
        <v>79255</v>
      </c>
      <c r="C28" s="353">
        <f t="shared" si="2"/>
        <v>105</v>
      </c>
      <c r="D28" s="632" t="s">
        <v>1588</v>
      </c>
      <c r="E28" s="353">
        <v>8</v>
      </c>
      <c r="F28" s="632" t="s">
        <v>1588</v>
      </c>
      <c r="G28" s="632" t="s">
        <v>1588</v>
      </c>
      <c r="H28" s="632" t="s">
        <v>1588</v>
      </c>
      <c r="I28" s="632" t="s">
        <v>1588</v>
      </c>
      <c r="J28" s="353">
        <v>97</v>
      </c>
      <c r="K28" s="418">
        <f t="shared" ref="K28:K58" si="5">(C28/B28)*10000</f>
        <v>13.248375496814083</v>
      </c>
    </row>
    <row r="29" spans="1:11" ht="27" customHeight="1">
      <c r="A29" s="424" t="s">
        <v>1799</v>
      </c>
      <c r="B29" s="353">
        <v>334670</v>
      </c>
      <c r="C29" s="353">
        <f t="shared" si="2"/>
        <v>867</v>
      </c>
      <c r="D29" s="632" t="s">
        <v>1588</v>
      </c>
      <c r="E29" s="632" t="s">
        <v>1588</v>
      </c>
      <c r="F29" s="632" t="s">
        <v>1588</v>
      </c>
      <c r="G29" s="632" t="s">
        <v>1588</v>
      </c>
      <c r="H29" s="353">
        <v>187</v>
      </c>
      <c r="I29" s="632" t="s">
        <v>1588</v>
      </c>
      <c r="J29" s="353">
        <v>680</v>
      </c>
      <c r="K29" s="418">
        <f t="shared" si="5"/>
        <v>25.906116472943495</v>
      </c>
    </row>
    <row r="30" spans="1:11" ht="27" customHeight="1">
      <c r="A30" s="424" t="s">
        <v>1800</v>
      </c>
      <c r="B30" s="353">
        <v>245587</v>
      </c>
      <c r="C30" s="353">
        <f t="shared" si="2"/>
        <v>414</v>
      </c>
      <c r="D30" s="632" t="s">
        <v>1588</v>
      </c>
      <c r="E30" s="353">
        <v>50</v>
      </c>
      <c r="F30" s="632" t="s">
        <v>1588</v>
      </c>
      <c r="G30" s="632" t="s">
        <v>1588</v>
      </c>
      <c r="H30" s="353">
        <v>4</v>
      </c>
      <c r="I30" s="632" t="s">
        <v>1588</v>
      </c>
      <c r="J30" s="353">
        <v>360</v>
      </c>
      <c r="K30" s="418">
        <f t="shared" si="5"/>
        <v>16.857569822506893</v>
      </c>
    </row>
    <row r="31" spans="1:11" ht="27" customHeight="1">
      <c r="A31" s="424" t="s">
        <v>1801</v>
      </c>
      <c r="B31" s="353">
        <v>181158</v>
      </c>
      <c r="C31" s="353">
        <f t="shared" si="2"/>
        <v>321</v>
      </c>
      <c r="D31" s="632" t="s">
        <v>1588</v>
      </c>
      <c r="E31" s="353">
        <v>7</v>
      </c>
      <c r="F31" s="632" t="s">
        <v>1588</v>
      </c>
      <c r="G31" s="632" t="s">
        <v>1588</v>
      </c>
      <c r="H31" s="632" t="s">
        <v>1588</v>
      </c>
      <c r="I31" s="632" t="s">
        <v>1588</v>
      </c>
      <c r="J31" s="353">
        <v>314</v>
      </c>
      <c r="K31" s="418">
        <f t="shared" si="5"/>
        <v>17.71933891961713</v>
      </c>
    </row>
    <row r="32" spans="1:11" ht="27" customHeight="1">
      <c r="A32" s="424" t="s">
        <v>505</v>
      </c>
      <c r="B32" s="353">
        <v>468477</v>
      </c>
      <c r="C32" s="353">
        <f t="shared" si="2"/>
        <v>621</v>
      </c>
      <c r="D32" s="632" t="s">
        <v>1588</v>
      </c>
      <c r="E32" s="353">
        <v>24</v>
      </c>
      <c r="F32" s="632" t="s">
        <v>1588</v>
      </c>
      <c r="G32" s="632" t="s">
        <v>1588</v>
      </c>
      <c r="H32" s="353">
        <v>1</v>
      </c>
      <c r="I32" s="632" t="s">
        <v>1588</v>
      </c>
      <c r="J32" s="353">
        <v>596</v>
      </c>
      <c r="K32" s="418">
        <f t="shared" si="5"/>
        <v>13.25572013140453</v>
      </c>
    </row>
    <row r="33" spans="1:11" ht="27" customHeight="1">
      <c r="A33" s="424" t="s">
        <v>1788</v>
      </c>
      <c r="B33" s="353">
        <v>437739</v>
      </c>
      <c r="C33" s="353">
        <f t="shared" si="2"/>
        <v>334</v>
      </c>
      <c r="D33" s="632" t="s">
        <v>1588</v>
      </c>
      <c r="E33" s="353">
        <v>334</v>
      </c>
      <c r="F33" s="632" t="s">
        <v>1588</v>
      </c>
      <c r="G33" s="632" t="s">
        <v>1588</v>
      </c>
      <c r="H33" s="632" t="s">
        <v>1588</v>
      </c>
      <c r="I33" s="632" t="s">
        <v>1588</v>
      </c>
      <c r="J33" s="632" t="s">
        <v>1588</v>
      </c>
      <c r="K33" s="418">
        <f t="shared" si="5"/>
        <v>7.630117490102549</v>
      </c>
    </row>
    <row r="34" spans="1:11" ht="27" customHeight="1">
      <c r="A34" s="424" t="s">
        <v>1789</v>
      </c>
      <c r="B34" s="353">
        <v>595049</v>
      </c>
      <c r="C34" s="353">
        <f t="shared" si="2"/>
        <v>209</v>
      </c>
      <c r="D34" s="632" t="s">
        <v>1588</v>
      </c>
      <c r="E34" s="353">
        <v>9</v>
      </c>
      <c r="F34" s="632" t="s">
        <v>1588</v>
      </c>
      <c r="G34" s="632" t="s">
        <v>1588</v>
      </c>
      <c r="H34" s="353">
        <v>1</v>
      </c>
      <c r="I34" s="632" t="s">
        <v>1588</v>
      </c>
      <c r="J34" s="353">
        <v>199</v>
      </c>
      <c r="K34" s="418">
        <f t="shared" si="5"/>
        <v>3.5123157924809552</v>
      </c>
    </row>
    <row r="35" spans="1:11" ht="27" customHeight="1">
      <c r="A35" s="424" t="s">
        <v>1790</v>
      </c>
      <c r="B35" s="353">
        <v>104894</v>
      </c>
      <c r="C35" s="353">
        <f t="shared" si="2"/>
        <v>28</v>
      </c>
      <c r="D35" s="632" t="s">
        <v>1588</v>
      </c>
      <c r="E35" s="353">
        <v>2</v>
      </c>
      <c r="F35" s="632" t="s">
        <v>1588</v>
      </c>
      <c r="G35" s="632" t="s">
        <v>1588</v>
      </c>
      <c r="H35" s="353">
        <v>5</v>
      </c>
      <c r="I35" s="632" t="s">
        <v>1588</v>
      </c>
      <c r="J35" s="353">
        <v>21</v>
      </c>
      <c r="K35" s="418">
        <f t="shared" si="5"/>
        <v>2.6693614506072798</v>
      </c>
    </row>
    <row r="36" spans="1:11" ht="27" customHeight="1">
      <c r="A36" s="424" t="s">
        <v>1791</v>
      </c>
      <c r="B36" s="353">
        <f>SUM(B37:B46)</f>
        <v>2291983</v>
      </c>
      <c r="C36" s="353">
        <f t="shared" si="2"/>
        <v>1538</v>
      </c>
      <c r="D36" s="353">
        <f t="shared" ref="D36:J36" si="6">SUM(D37:D46)</f>
        <v>0</v>
      </c>
      <c r="E36" s="353">
        <f t="shared" si="6"/>
        <v>75</v>
      </c>
      <c r="F36" s="353">
        <f>SUM(F37:F46)</f>
        <v>0</v>
      </c>
      <c r="G36" s="632">
        <f>SUM(G37:G46)</f>
        <v>0</v>
      </c>
      <c r="H36" s="353">
        <f t="shared" si="6"/>
        <v>2</v>
      </c>
      <c r="I36" s="353">
        <f t="shared" si="6"/>
        <v>0</v>
      </c>
      <c r="J36" s="353">
        <f t="shared" si="6"/>
        <v>1461</v>
      </c>
      <c r="K36" s="418">
        <f t="shared" si="5"/>
        <v>6.7103464554492769</v>
      </c>
    </row>
    <row r="37" spans="1:11" ht="27" customHeight="1">
      <c r="A37" s="424" t="s">
        <v>1807</v>
      </c>
      <c r="B37" s="353">
        <v>136061</v>
      </c>
      <c r="C37" s="353">
        <f t="shared" si="2"/>
        <v>24</v>
      </c>
      <c r="D37" s="632" t="s">
        <v>1588</v>
      </c>
      <c r="E37" s="353">
        <v>2</v>
      </c>
      <c r="F37" s="632" t="s">
        <v>1588</v>
      </c>
      <c r="G37" s="632" t="s">
        <v>1588</v>
      </c>
      <c r="H37" s="632" t="s">
        <v>1588</v>
      </c>
      <c r="I37" s="632" t="s">
        <v>1588</v>
      </c>
      <c r="J37" s="353">
        <v>22</v>
      </c>
      <c r="K37" s="418">
        <f t="shared" si="5"/>
        <v>1.7639147147235432</v>
      </c>
    </row>
    <row r="38" spans="1:11" ht="27" customHeight="1">
      <c r="A38" s="424" t="s">
        <v>1799</v>
      </c>
      <c r="B38" s="353">
        <v>107844</v>
      </c>
      <c r="C38" s="353">
        <f t="shared" si="2"/>
        <v>0</v>
      </c>
      <c r="D38" s="632" t="s">
        <v>1588</v>
      </c>
      <c r="E38" s="632" t="s">
        <v>1588</v>
      </c>
      <c r="F38" s="632" t="s">
        <v>1588</v>
      </c>
      <c r="G38" s="632" t="s">
        <v>1588</v>
      </c>
      <c r="H38" s="632" t="s">
        <v>1588</v>
      </c>
      <c r="I38" s="632" t="s">
        <v>1588</v>
      </c>
      <c r="J38" s="632" t="s">
        <v>1588</v>
      </c>
      <c r="K38" s="418">
        <f t="shared" si="5"/>
        <v>0</v>
      </c>
    </row>
    <row r="39" spans="1:11" ht="27" customHeight="1">
      <c r="A39" s="424" t="s">
        <v>1801</v>
      </c>
      <c r="B39" s="353">
        <v>299518</v>
      </c>
      <c r="C39" s="353">
        <f t="shared" si="2"/>
        <v>0</v>
      </c>
      <c r="D39" s="632" t="s">
        <v>1588</v>
      </c>
      <c r="E39" s="632" t="s">
        <v>1588</v>
      </c>
      <c r="F39" s="632" t="s">
        <v>1588</v>
      </c>
      <c r="G39" s="632" t="s">
        <v>1588</v>
      </c>
      <c r="H39" s="632" t="s">
        <v>1588</v>
      </c>
      <c r="I39" s="632" t="s">
        <v>1588</v>
      </c>
      <c r="J39" s="632" t="s">
        <v>1588</v>
      </c>
      <c r="K39" s="418">
        <f t="shared" si="5"/>
        <v>0</v>
      </c>
    </row>
    <row r="40" spans="1:11" ht="27" customHeight="1">
      <c r="A40" s="424" t="s">
        <v>1792</v>
      </c>
      <c r="B40" s="353">
        <v>273307</v>
      </c>
      <c r="C40" s="353">
        <f t="shared" si="2"/>
        <v>0</v>
      </c>
      <c r="D40" s="632" t="s">
        <v>1588</v>
      </c>
      <c r="E40" s="632" t="s">
        <v>1588</v>
      </c>
      <c r="F40" s="632" t="s">
        <v>1588</v>
      </c>
      <c r="G40" s="632" t="s">
        <v>1588</v>
      </c>
      <c r="H40" s="632" t="s">
        <v>1588</v>
      </c>
      <c r="I40" s="632" t="s">
        <v>1588</v>
      </c>
      <c r="J40" s="632" t="s">
        <v>1588</v>
      </c>
      <c r="K40" s="418">
        <f t="shared" si="5"/>
        <v>0</v>
      </c>
    </row>
    <row r="41" spans="1:11" ht="27" customHeight="1">
      <c r="A41" s="424" t="s">
        <v>1793</v>
      </c>
      <c r="B41" s="353">
        <v>400116</v>
      </c>
      <c r="C41" s="353">
        <f t="shared" si="2"/>
        <v>0</v>
      </c>
      <c r="D41" s="632" t="s">
        <v>1588</v>
      </c>
      <c r="E41" s="632" t="s">
        <v>1588</v>
      </c>
      <c r="F41" s="632" t="s">
        <v>1588</v>
      </c>
      <c r="G41" s="632" t="s">
        <v>1588</v>
      </c>
      <c r="H41" s="632" t="s">
        <v>1588</v>
      </c>
      <c r="I41" s="632" t="s">
        <v>1588</v>
      </c>
      <c r="J41" s="632" t="s">
        <v>1588</v>
      </c>
      <c r="K41" s="418">
        <f t="shared" si="5"/>
        <v>0</v>
      </c>
    </row>
    <row r="42" spans="1:11" ht="27" customHeight="1">
      <c r="A42" s="424" t="s">
        <v>1794</v>
      </c>
      <c r="B42" s="353">
        <v>575630</v>
      </c>
      <c r="C42" s="353">
        <f t="shared" si="2"/>
        <v>1045</v>
      </c>
      <c r="D42" s="632" t="s">
        <v>1588</v>
      </c>
      <c r="E42" s="353">
        <v>45</v>
      </c>
      <c r="F42" s="632" t="s">
        <v>1588</v>
      </c>
      <c r="G42" s="632" t="s">
        <v>1588</v>
      </c>
      <c r="H42" s="632" t="s">
        <v>1588</v>
      </c>
      <c r="I42" s="632" t="s">
        <v>1588</v>
      </c>
      <c r="J42" s="353">
        <v>1000</v>
      </c>
      <c r="K42" s="418">
        <f t="shared" si="5"/>
        <v>18.154022549206953</v>
      </c>
    </row>
    <row r="43" spans="1:11" ht="27" customHeight="1">
      <c r="A43" s="424" t="s">
        <v>1795</v>
      </c>
      <c r="B43" s="353">
        <v>334838</v>
      </c>
      <c r="C43" s="353">
        <f t="shared" si="2"/>
        <v>469</v>
      </c>
      <c r="D43" s="632" t="s">
        <v>1588</v>
      </c>
      <c r="E43" s="353">
        <v>28</v>
      </c>
      <c r="F43" s="632" t="s">
        <v>1588</v>
      </c>
      <c r="G43" s="632" t="s">
        <v>1588</v>
      </c>
      <c r="H43" s="353">
        <v>2</v>
      </c>
      <c r="I43" s="632" t="s">
        <v>1588</v>
      </c>
      <c r="J43" s="353">
        <v>439</v>
      </c>
      <c r="K43" s="418">
        <f t="shared" si="5"/>
        <v>14.006773424760631</v>
      </c>
    </row>
    <row r="44" spans="1:11" ht="27" customHeight="1">
      <c r="A44" s="424" t="s">
        <v>1800</v>
      </c>
      <c r="B44" s="353">
        <v>136999</v>
      </c>
      <c r="C44" s="353">
        <f t="shared" si="2"/>
        <v>0</v>
      </c>
      <c r="D44" s="632" t="s">
        <v>1588</v>
      </c>
      <c r="E44" s="632" t="s">
        <v>1588</v>
      </c>
      <c r="F44" s="632" t="s">
        <v>1588</v>
      </c>
      <c r="G44" s="632" t="s">
        <v>1588</v>
      </c>
      <c r="H44" s="632" t="s">
        <v>1588</v>
      </c>
      <c r="I44" s="632" t="s">
        <v>1588</v>
      </c>
      <c r="J44" s="632" t="s">
        <v>1588</v>
      </c>
      <c r="K44" s="418">
        <f t="shared" si="5"/>
        <v>0</v>
      </c>
    </row>
    <row r="45" spans="1:11" ht="27" customHeight="1">
      <c r="A45" s="424" t="s">
        <v>1796</v>
      </c>
      <c r="B45" s="353">
        <v>27369</v>
      </c>
      <c r="C45" s="353">
        <f t="shared" si="2"/>
        <v>0</v>
      </c>
      <c r="D45" s="632" t="s">
        <v>1588</v>
      </c>
      <c r="E45" s="632" t="s">
        <v>1588</v>
      </c>
      <c r="F45" s="632" t="s">
        <v>1588</v>
      </c>
      <c r="G45" s="632" t="s">
        <v>1588</v>
      </c>
      <c r="H45" s="632" t="s">
        <v>1588</v>
      </c>
      <c r="I45" s="632" t="s">
        <v>1588</v>
      </c>
      <c r="J45" s="632" t="s">
        <v>1588</v>
      </c>
      <c r="K45" s="418">
        <f t="shared" si="5"/>
        <v>0</v>
      </c>
    </row>
    <row r="46" spans="1:11" ht="27" customHeight="1">
      <c r="A46" s="424" t="s">
        <v>1797</v>
      </c>
      <c r="B46" s="353">
        <v>301</v>
      </c>
      <c r="C46" s="353">
        <f t="shared" si="2"/>
        <v>0</v>
      </c>
      <c r="D46" s="632" t="s">
        <v>1588</v>
      </c>
      <c r="E46" s="632" t="s">
        <v>1588</v>
      </c>
      <c r="F46" s="632" t="s">
        <v>1588</v>
      </c>
      <c r="G46" s="632" t="s">
        <v>1588</v>
      </c>
      <c r="H46" s="632" t="s">
        <v>1588</v>
      </c>
      <c r="I46" s="632" t="s">
        <v>1588</v>
      </c>
      <c r="J46" s="632" t="s">
        <v>1588</v>
      </c>
      <c r="K46" s="418">
        <f t="shared" si="5"/>
        <v>0</v>
      </c>
    </row>
    <row r="47" spans="1:11" ht="27" customHeight="1">
      <c r="A47" s="424" t="s">
        <v>1798</v>
      </c>
      <c r="B47" s="350">
        <f t="shared" ref="B47:J47" si="7">SUM(B48:B52)</f>
        <v>1387627</v>
      </c>
      <c r="C47" s="350">
        <f t="shared" si="2"/>
        <v>1339</v>
      </c>
      <c r="D47" s="350">
        <f t="shared" si="7"/>
        <v>0</v>
      </c>
      <c r="E47" s="350">
        <f t="shared" si="7"/>
        <v>194</v>
      </c>
      <c r="F47" s="350">
        <f t="shared" si="7"/>
        <v>37</v>
      </c>
      <c r="G47" s="350">
        <f t="shared" si="7"/>
        <v>4</v>
      </c>
      <c r="H47" s="350">
        <f t="shared" si="7"/>
        <v>0</v>
      </c>
      <c r="I47" s="350">
        <f t="shared" si="7"/>
        <v>1</v>
      </c>
      <c r="J47" s="350">
        <f t="shared" si="7"/>
        <v>1103</v>
      </c>
      <c r="K47" s="418">
        <f t="shared" si="5"/>
        <v>9.6495672107850314</v>
      </c>
    </row>
    <row r="48" spans="1:11" ht="27" customHeight="1">
      <c r="A48" s="424" t="s">
        <v>1799</v>
      </c>
      <c r="B48" s="350">
        <v>112997</v>
      </c>
      <c r="C48" s="350">
        <f t="shared" si="2"/>
        <v>233</v>
      </c>
      <c r="D48" s="350">
        <v>0</v>
      </c>
      <c r="E48" s="350">
        <v>99</v>
      </c>
      <c r="F48" s="350">
        <v>1</v>
      </c>
      <c r="G48" s="350">
        <v>1</v>
      </c>
      <c r="H48" s="350">
        <v>0</v>
      </c>
      <c r="I48" s="350">
        <v>0</v>
      </c>
      <c r="J48" s="350">
        <v>132</v>
      </c>
      <c r="K48" s="418">
        <f t="shared" si="5"/>
        <v>20.620016460614</v>
      </c>
    </row>
    <row r="49" spans="1:11" ht="27" customHeight="1">
      <c r="A49" s="424" t="s">
        <v>1800</v>
      </c>
      <c r="B49" s="350">
        <v>309437</v>
      </c>
      <c r="C49" s="350">
        <f t="shared" si="2"/>
        <v>193</v>
      </c>
      <c r="D49" s="350">
        <v>0</v>
      </c>
      <c r="E49" s="350">
        <v>22</v>
      </c>
      <c r="F49" s="350">
        <v>8</v>
      </c>
      <c r="G49" s="350">
        <v>2</v>
      </c>
      <c r="H49" s="350">
        <v>0</v>
      </c>
      <c r="I49" s="350">
        <v>1</v>
      </c>
      <c r="J49" s="350">
        <v>160</v>
      </c>
      <c r="K49" s="418">
        <f t="shared" si="5"/>
        <v>6.2371338915514301</v>
      </c>
    </row>
    <row r="50" spans="1:11" ht="27" customHeight="1">
      <c r="A50" s="424" t="s">
        <v>1801</v>
      </c>
      <c r="B50" s="350">
        <v>208311</v>
      </c>
      <c r="C50" s="350">
        <f t="shared" si="2"/>
        <v>413</v>
      </c>
      <c r="D50" s="350">
        <v>0</v>
      </c>
      <c r="E50" s="350">
        <v>29</v>
      </c>
      <c r="F50" s="350">
        <v>28</v>
      </c>
      <c r="G50" s="350">
        <v>1</v>
      </c>
      <c r="H50" s="350">
        <v>0</v>
      </c>
      <c r="I50" s="350">
        <v>0</v>
      </c>
      <c r="J50" s="350">
        <v>355</v>
      </c>
      <c r="K50" s="418">
        <f t="shared" si="5"/>
        <v>19.82612536063866</v>
      </c>
    </row>
    <row r="51" spans="1:11" ht="27" customHeight="1">
      <c r="A51" s="424" t="s">
        <v>1802</v>
      </c>
      <c r="B51" s="350">
        <v>456446</v>
      </c>
      <c r="C51" s="350">
        <f t="shared" si="2"/>
        <v>255</v>
      </c>
      <c r="D51" s="350">
        <v>0</v>
      </c>
      <c r="E51" s="350">
        <v>26</v>
      </c>
      <c r="F51" s="350">
        <v>0</v>
      </c>
      <c r="G51" s="350">
        <v>0</v>
      </c>
      <c r="H51" s="350">
        <v>0</v>
      </c>
      <c r="I51" s="350">
        <v>0</v>
      </c>
      <c r="J51" s="350">
        <v>229</v>
      </c>
      <c r="K51" s="418">
        <f t="shared" si="5"/>
        <v>5.5866411360818153</v>
      </c>
    </row>
    <row r="52" spans="1:11" ht="27" customHeight="1">
      <c r="A52" s="424" t="s">
        <v>1803</v>
      </c>
      <c r="B52" s="350">
        <v>300436</v>
      </c>
      <c r="C52" s="350">
        <f t="shared" si="2"/>
        <v>245</v>
      </c>
      <c r="D52" s="350">
        <v>0</v>
      </c>
      <c r="E52" s="350">
        <v>18</v>
      </c>
      <c r="F52" s="350">
        <v>0</v>
      </c>
      <c r="G52" s="350">
        <v>0</v>
      </c>
      <c r="H52" s="350">
        <v>0</v>
      </c>
      <c r="I52" s="350">
        <v>0</v>
      </c>
      <c r="J52" s="350">
        <v>227</v>
      </c>
      <c r="K52" s="418">
        <f t="shared" si="5"/>
        <v>8.1548150021968073</v>
      </c>
    </row>
    <row r="53" spans="1:11" ht="27" customHeight="1">
      <c r="A53" s="424" t="s">
        <v>1972</v>
      </c>
      <c r="B53" s="350">
        <f>SUM(B54:B58)</f>
        <v>1418737</v>
      </c>
      <c r="C53" s="350">
        <f t="shared" si="2"/>
        <v>3806</v>
      </c>
      <c r="D53" s="350">
        <f t="shared" ref="D53:J53" si="8">SUM(D54:D58)</f>
        <v>3</v>
      </c>
      <c r="E53" s="350">
        <f t="shared" si="8"/>
        <v>1022</v>
      </c>
      <c r="F53" s="350">
        <f t="shared" si="8"/>
        <v>0</v>
      </c>
      <c r="G53" s="350">
        <f t="shared" si="8"/>
        <v>0</v>
      </c>
      <c r="H53" s="350">
        <f t="shared" si="8"/>
        <v>1</v>
      </c>
      <c r="I53" s="350">
        <f t="shared" si="8"/>
        <v>0</v>
      </c>
      <c r="J53" s="350">
        <f t="shared" si="8"/>
        <v>2780</v>
      </c>
      <c r="K53" s="418">
        <f t="shared" si="5"/>
        <v>26.826677530789709</v>
      </c>
    </row>
    <row r="54" spans="1:11" ht="27" customHeight="1">
      <c r="A54" s="424" t="s">
        <v>1799</v>
      </c>
      <c r="B54" s="350">
        <v>231302</v>
      </c>
      <c r="C54" s="350">
        <f t="shared" si="2"/>
        <v>820</v>
      </c>
      <c r="D54" s="350">
        <v>3</v>
      </c>
      <c r="E54" s="350">
        <v>138</v>
      </c>
      <c r="F54" s="626" t="s">
        <v>1588</v>
      </c>
      <c r="G54" s="626" t="s">
        <v>1588</v>
      </c>
      <c r="H54" s="350">
        <v>1</v>
      </c>
      <c r="I54" s="626" t="s">
        <v>1588</v>
      </c>
      <c r="J54" s="350">
        <v>678</v>
      </c>
      <c r="K54" s="418">
        <f t="shared" si="5"/>
        <v>35.4514876654763</v>
      </c>
    </row>
    <row r="55" spans="1:11" ht="27" customHeight="1">
      <c r="A55" s="424" t="s">
        <v>1807</v>
      </c>
      <c r="B55" s="350">
        <v>263015</v>
      </c>
      <c r="C55" s="350">
        <f t="shared" si="2"/>
        <v>1363</v>
      </c>
      <c r="D55" s="626" t="s">
        <v>1588</v>
      </c>
      <c r="E55" s="350">
        <v>400</v>
      </c>
      <c r="F55" s="626" t="s">
        <v>1588</v>
      </c>
      <c r="G55" s="626" t="s">
        <v>1588</v>
      </c>
      <c r="H55" s="626" t="s">
        <v>1588</v>
      </c>
      <c r="I55" s="626" t="s">
        <v>1588</v>
      </c>
      <c r="J55" s="350">
        <v>963</v>
      </c>
      <c r="K55" s="418">
        <f t="shared" si="5"/>
        <v>51.822139421705984</v>
      </c>
    </row>
    <row r="56" spans="1:11" ht="27" customHeight="1">
      <c r="A56" s="424" t="s">
        <v>1800</v>
      </c>
      <c r="B56" s="350">
        <v>506385</v>
      </c>
      <c r="C56" s="350">
        <f t="shared" si="2"/>
        <v>1156</v>
      </c>
      <c r="D56" s="626" t="s">
        <v>1588</v>
      </c>
      <c r="E56" s="350">
        <v>450</v>
      </c>
      <c r="F56" s="626" t="s">
        <v>1588</v>
      </c>
      <c r="G56" s="626" t="s">
        <v>1588</v>
      </c>
      <c r="H56" s="626" t="s">
        <v>1588</v>
      </c>
      <c r="I56" s="626" t="s">
        <v>1588</v>
      </c>
      <c r="J56" s="350">
        <v>706</v>
      </c>
      <c r="K56" s="418">
        <f t="shared" si="5"/>
        <v>22.828480306486171</v>
      </c>
    </row>
    <row r="57" spans="1:11" ht="27" customHeight="1">
      <c r="A57" s="424" t="s">
        <v>1805</v>
      </c>
      <c r="B57" s="350">
        <v>207875</v>
      </c>
      <c r="C57" s="350">
        <f t="shared" si="2"/>
        <v>259</v>
      </c>
      <c r="D57" s="626" t="s">
        <v>1588</v>
      </c>
      <c r="E57" s="350">
        <v>19</v>
      </c>
      <c r="F57" s="626" t="s">
        <v>1588</v>
      </c>
      <c r="G57" s="626" t="s">
        <v>1588</v>
      </c>
      <c r="H57" s="626" t="s">
        <v>1588</v>
      </c>
      <c r="I57" s="626" t="s">
        <v>1588</v>
      </c>
      <c r="J57" s="350">
        <v>240</v>
      </c>
      <c r="K57" s="418">
        <f t="shared" si="5"/>
        <v>12.459410703547805</v>
      </c>
    </row>
    <row r="58" spans="1:11" ht="27" customHeight="1">
      <c r="A58" s="424" t="s">
        <v>1806</v>
      </c>
      <c r="B58" s="350">
        <v>210160</v>
      </c>
      <c r="C58" s="350">
        <f t="shared" si="2"/>
        <v>208</v>
      </c>
      <c r="D58" s="626" t="s">
        <v>1588</v>
      </c>
      <c r="E58" s="350">
        <v>15</v>
      </c>
      <c r="F58" s="626" t="s">
        <v>1588</v>
      </c>
      <c r="G58" s="626" t="s">
        <v>1588</v>
      </c>
      <c r="H58" s="626" t="s">
        <v>1588</v>
      </c>
      <c r="I58" s="626" t="s">
        <v>1588</v>
      </c>
      <c r="J58" s="350">
        <v>193</v>
      </c>
      <c r="K58" s="418">
        <f t="shared" si="5"/>
        <v>9.8972211648267976</v>
      </c>
    </row>
    <row r="59" spans="1:11" ht="27" customHeight="1">
      <c r="A59" s="438" t="s">
        <v>1973</v>
      </c>
      <c r="B59" s="353">
        <v>1013880</v>
      </c>
      <c r="C59" s="353">
        <f t="shared" si="2"/>
        <v>0</v>
      </c>
      <c r="D59" s="632">
        <v>0</v>
      </c>
      <c r="E59" s="632">
        <v>0</v>
      </c>
      <c r="F59" s="632" t="s">
        <v>1588</v>
      </c>
      <c r="G59" s="632" t="s">
        <v>1588</v>
      </c>
      <c r="H59" s="632" t="s">
        <v>1588</v>
      </c>
      <c r="I59" s="632" t="s">
        <v>1588</v>
      </c>
      <c r="J59" s="632" t="s">
        <v>1588</v>
      </c>
      <c r="K59" s="418">
        <v>0</v>
      </c>
    </row>
    <row r="60" spans="1:11" ht="27" customHeight="1">
      <c r="A60" s="431" t="s">
        <v>1808</v>
      </c>
      <c r="B60" s="350">
        <f t="shared" ref="B60:J60" si="9">B61+B89</f>
        <v>9384736</v>
      </c>
      <c r="C60" s="350">
        <f t="shared" si="2"/>
        <v>10770</v>
      </c>
      <c r="D60" s="350">
        <f t="shared" si="9"/>
        <v>105</v>
      </c>
      <c r="E60" s="350">
        <f t="shared" si="9"/>
        <v>1715</v>
      </c>
      <c r="F60" s="350">
        <f t="shared" si="9"/>
        <v>112</v>
      </c>
      <c r="G60" s="350">
        <f t="shared" si="9"/>
        <v>29</v>
      </c>
      <c r="H60" s="350">
        <f t="shared" si="9"/>
        <v>1397</v>
      </c>
      <c r="I60" s="350">
        <f t="shared" si="9"/>
        <v>2</v>
      </c>
      <c r="J60" s="350">
        <f t="shared" si="9"/>
        <v>7410</v>
      </c>
      <c r="K60" s="418">
        <f t="shared" ref="K60:K123" si="10">(C60/B60)*10000</f>
        <v>11.476082012322989</v>
      </c>
    </row>
    <row r="61" spans="1:11" ht="27" customHeight="1">
      <c r="A61" s="431" t="s">
        <v>1674</v>
      </c>
      <c r="B61" s="350">
        <f t="shared" ref="B61:J61" si="11">SUM(B62:B88)</f>
        <v>9215127</v>
      </c>
      <c r="C61" s="350">
        <f t="shared" si="2"/>
        <v>10554</v>
      </c>
      <c r="D61" s="350">
        <f t="shared" si="11"/>
        <v>105</v>
      </c>
      <c r="E61" s="350">
        <f t="shared" si="11"/>
        <v>1710</v>
      </c>
      <c r="F61" s="350">
        <f t="shared" si="11"/>
        <v>74</v>
      </c>
      <c r="G61" s="350">
        <f t="shared" si="11"/>
        <v>28</v>
      </c>
      <c r="H61" s="350">
        <f t="shared" si="11"/>
        <v>1341</v>
      </c>
      <c r="I61" s="350">
        <f t="shared" si="11"/>
        <v>2</v>
      </c>
      <c r="J61" s="350">
        <f t="shared" si="11"/>
        <v>7294</v>
      </c>
      <c r="K61" s="419">
        <f t="shared" si="10"/>
        <v>11.452907811254256</v>
      </c>
    </row>
    <row r="62" spans="1:11" ht="27" customHeight="1">
      <c r="A62" s="431" t="s">
        <v>1809</v>
      </c>
      <c r="B62" s="350">
        <v>1062629</v>
      </c>
      <c r="C62" s="350">
        <f t="shared" si="2"/>
        <v>2651</v>
      </c>
      <c r="D62" s="350">
        <v>35</v>
      </c>
      <c r="E62" s="350">
        <v>208</v>
      </c>
      <c r="F62" s="350">
        <v>7</v>
      </c>
      <c r="G62" s="350">
        <v>14</v>
      </c>
      <c r="H62" s="350">
        <v>3</v>
      </c>
      <c r="I62" s="350">
        <v>0</v>
      </c>
      <c r="J62" s="350">
        <v>2384</v>
      </c>
      <c r="K62" s="419">
        <f t="shared" si="10"/>
        <v>24.947559308093417</v>
      </c>
    </row>
    <row r="63" spans="1:11" ht="27" customHeight="1">
      <c r="A63" s="431" t="s">
        <v>1810</v>
      </c>
      <c r="B63" s="350">
        <v>970507</v>
      </c>
      <c r="C63" s="350">
        <f t="shared" si="2"/>
        <v>1388</v>
      </c>
      <c r="D63" s="350">
        <v>5</v>
      </c>
      <c r="E63" s="350">
        <v>275</v>
      </c>
      <c r="F63" s="350">
        <v>2</v>
      </c>
      <c r="G63" s="350">
        <v>3</v>
      </c>
      <c r="H63" s="626" t="s">
        <v>1588</v>
      </c>
      <c r="I63" s="626" t="s">
        <v>1588</v>
      </c>
      <c r="J63" s="350">
        <v>1103</v>
      </c>
      <c r="K63" s="419">
        <f t="shared" si="10"/>
        <v>14.301803078184909</v>
      </c>
    </row>
    <row r="64" spans="1:11" ht="27" customHeight="1">
      <c r="A64" s="431" t="s">
        <v>1593</v>
      </c>
      <c r="B64" s="350">
        <v>820631</v>
      </c>
      <c r="C64" s="350">
        <f t="shared" si="2"/>
        <v>109</v>
      </c>
      <c r="D64" s="350">
        <v>0</v>
      </c>
      <c r="E64" s="350">
        <v>5</v>
      </c>
      <c r="F64" s="350">
        <v>1</v>
      </c>
      <c r="G64" s="350">
        <v>0</v>
      </c>
      <c r="H64" s="350">
        <v>0</v>
      </c>
      <c r="I64" s="350">
        <v>0</v>
      </c>
      <c r="J64" s="350">
        <v>103</v>
      </c>
      <c r="K64" s="419">
        <f t="shared" si="10"/>
        <v>1.3282461910407966</v>
      </c>
    </row>
    <row r="65" spans="1:11" ht="27" customHeight="1">
      <c r="A65" s="431" t="s">
        <v>1812</v>
      </c>
      <c r="B65" s="350">
        <v>868643</v>
      </c>
      <c r="C65" s="350">
        <f t="shared" si="2"/>
        <v>72</v>
      </c>
      <c r="D65" s="350">
        <v>0</v>
      </c>
      <c r="E65" s="350">
        <v>10</v>
      </c>
      <c r="F65" s="350">
        <v>0</v>
      </c>
      <c r="G65" s="350">
        <v>0</v>
      </c>
      <c r="H65" s="350">
        <v>8</v>
      </c>
      <c r="I65" s="350">
        <v>0</v>
      </c>
      <c r="J65" s="350">
        <v>54</v>
      </c>
      <c r="K65" s="419">
        <f t="shared" si="10"/>
        <v>0.82887906769524422</v>
      </c>
    </row>
    <row r="66" spans="1:11" ht="27" customHeight="1">
      <c r="A66" s="431" t="s">
        <v>1813</v>
      </c>
      <c r="B66" s="350">
        <v>629659</v>
      </c>
      <c r="C66" s="350">
        <f t="shared" si="2"/>
        <v>215</v>
      </c>
      <c r="D66" s="350" t="s">
        <v>1704</v>
      </c>
      <c r="E66" s="350">
        <v>23</v>
      </c>
      <c r="F66" s="626" t="s">
        <v>1588</v>
      </c>
      <c r="G66" s="626" t="s">
        <v>1588</v>
      </c>
      <c r="H66" s="350">
        <v>189</v>
      </c>
      <c r="I66" s="626" t="s">
        <v>1588</v>
      </c>
      <c r="J66" s="350">
        <v>3</v>
      </c>
      <c r="K66" s="419">
        <f t="shared" si="10"/>
        <v>3.4145466037966581</v>
      </c>
    </row>
    <row r="67" spans="1:11" ht="27" customHeight="1">
      <c r="A67" s="431" t="s">
        <v>1814</v>
      </c>
      <c r="B67" s="350">
        <v>712952</v>
      </c>
      <c r="C67" s="350">
        <f t="shared" si="2"/>
        <v>1369</v>
      </c>
      <c r="D67" s="626" t="s">
        <v>1588</v>
      </c>
      <c r="E67" s="350">
        <v>21</v>
      </c>
      <c r="F67" s="626" t="s">
        <v>1588</v>
      </c>
      <c r="G67" s="626" t="s">
        <v>1588</v>
      </c>
      <c r="H67" s="626" t="s">
        <v>1588</v>
      </c>
      <c r="I67" s="626" t="s">
        <v>1588</v>
      </c>
      <c r="J67" s="350">
        <v>1348</v>
      </c>
      <c r="K67" s="419">
        <f t="shared" si="10"/>
        <v>19.201853701230938</v>
      </c>
    </row>
    <row r="68" spans="1:11" ht="27" customHeight="1">
      <c r="A68" s="431" t="s">
        <v>1815</v>
      </c>
      <c r="B68" s="350">
        <v>399350</v>
      </c>
      <c r="C68" s="350">
        <f t="shared" si="2"/>
        <v>30</v>
      </c>
      <c r="D68" s="350">
        <v>0</v>
      </c>
      <c r="E68" s="350">
        <v>3</v>
      </c>
      <c r="F68" s="350">
        <v>2</v>
      </c>
      <c r="G68" s="350">
        <v>0</v>
      </c>
      <c r="H68" s="350">
        <v>0</v>
      </c>
      <c r="I68" s="350">
        <v>0</v>
      </c>
      <c r="J68" s="350">
        <v>25</v>
      </c>
      <c r="K68" s="419">
        <f t="shared" si="10"/>
        <v>0.75122073369224995</v>
      </c>
    </row>
    <row r="69" spans="1:11" ht="27" customHeight="1">
      <c r="A69" s="434" t="s">
        <v>1817</v>
      </c>
      <c r="B69" s="350">
        <v>404570</v>
      </c>
      <c r="C69" s="350">
        <f t="shared" si="2"/>
        <v>917</v>
      </c>
      <c r="D69" s="350">
        <v>1</v>
      </c>
      <c r="E69" s="350">
        <v>30</v>
      </c>
      <c r="F69" s="350">
        <v>1</v>
      </c>
      <c r="G69" s="626" t="s">
        <v>1588</v>
      </c>
      <c r="H69" s="350">
        <v>300</v>
      </c>
      <c r="I69" s="626" t="s">
        <v>1588</v>
      </c>
      <c r="J69" s="350">
        <v>585</v>
      </c>
      <c r="K69" s="419">
        <f t="shared" si="10"/>
        <v>22.666040487431101</v>
      </c>
    </row>
    <row r="70" spans="1:11" ht="27" customHeight="1">
      <c r="A70" s="439" t="s">
        <v>1818</v>
      </c>
      <c r="B70" s="353">
        <v>410557</v>
      </c>
      <c r="C70" s="350">
        <f t="shared" si="2"/>
        <v>503</v>
      </c>
      <c r="D70" s="353">
        <v>18</v>
      </c>
      <c r="E70" s="353">
        <v>43</v>
      </c>
      <c r="F70" s="353">
        <v>13</v>
      </c>
      <c r="G70" s="353">
        <v>0</v>
      </c>
      <c r="H70" s="353">
        <v>5</v>
      </c>
      <c r="I70" s="353">
        <v>2</v>
      </c>
      <c r="J70" s="353">
        <v>422</v>
      </c>
      <c r="K70" s="418">
        <f t="shared" si="10"/>
        <v>12.251648370384624</v>
      </c>
    </row>
    <row r="71" spans="1:11" ht="27" customHeight="1">
      <c r="A71" s="431" t="s">
        <v>1819</v>
      </c>
      <c r="B71" s="350">
        <v>271791</v>
      </c>
      <c r="C71" s="350">
        <f t="shared" si="2"/>
        <v>241</v>
      </c>
      <c r="D71" s="626" t="s">
        <v>1588</v>
      </c>
      <c r="E71" s="350">
        <v>139</v>
      </c>
      <c r="F71" s="626" t="s">
        <v>1588</v>
      </c>
      <c r="G71" s="626" t="s">
        <v>1588</v>
      </c>
      <c r="H71" s="350">
        <v>102</v>
      </c>
      <c r="I71" s="626" t="s">
        <v>1588</v>
      </c>
      <c r="J71" s="626" t="s">
        <v>1588</v>
      </c>
      <c r="K71" s="419">
        <f t="shared" si="10"/>
        <v>8.867107446530607</v>
      </c>
    </row>
    <row r="72" spans="1:11" ht="27" customHeight="1">
      <c r="A72" s="431" t="s">
        <v>1822</v>
      </c>
      <c r="B72" s="350">
        <v>312214</v>
      </c>
      <c r="C72" s="350">
        <f t="shared" si="2"/>
        <v>0</v>
      </c>
      <c r="D72" s="626" t="s">
        <v>1588</v>
      </c>
      <c r="E72" s="626" t="s">
        <v>1588</v>
      </c>
      <c r="F72" s="626" t="s">
        <v>1588</v>
      </c>
      <c r="G72" s="626" t="s">
        <v>1588</v>
      </c>
      <c r="H72" s="626" t="s">
        <v>1588</v>
      </c>
      <c r="I72" s="626" t="s">
        <v>1588</v>
      </c>
      <c r="J72" s="626" t="s">
        <v>1588</v>
      </c>
      <c r="K72" s="419">
        <f t="shared" si="10"/>
        <v>0</v>
      </c>
    </row>
    <row r="73" spans="1:11" ht="27" customHeight="1">
      <c r="A73" s="431" t="s">
        <v>1823</v>
      </c>
      <c r="B73" s="350">
        <v>349559</v>
      </c>
      <c r="C73" s="350">
        <f t="shared" ref="C73:C136" si="12">SUM(D73:J73)</f>
        <v>180</v>
      </c>
      <c r="D73" s="626" t="s">
        <v>1588</v>
      </c>
      <c r="E73" s="626" t="s">
        <v>1588</v>
      </c>
      <c r="F73" s="626" t="s">
        <v>1588</v>
      </c>
      <c r="G73" s="626" t="s">
        <v>1588</v>
      </c>
      <c r="H73" s="350">
        <v>180</v>
      </c>
      <c r="I73" s="626" t="s">
        <v>1588</v>
      </c>
      <c r="J73" s="626" t="s">
        <v>1588</v>
      </c>
      <c r="K73" s="419">
        <f t="shared" si="10"/>
        <v>5.1493453179577697</v>
      </c>
    </row>
    <row r="74" spans="1:11" ht="27" customHeight="1">
      <c r="A74" s="431" t="s">
        <v>1824</v>
      </c>
      <c r="B74" s="350">
        <v>271613</v>
      </c>
      <c r="C74" s="350">
        <f t="shared" si="12"/>
        <v>363</v>
      </c>
      <c r="D74" s="626" t="s">
        <v>1588</v>
      </c>
      <c r="E74" s="350">
        <v>34</v>
      </c>
      <c r="F74" s="350">
        <v>1</v>
      </c>
      <c r="G74" s="626" t="s">
        <v>1588</v>
      </c>
      <c r="H74" s="626" t="s">
        <v>1588</v>
      </c>
      <c r="I74" s="626" t="s">
        <v>1588</v>
      </c>
      <c r="J74" s="350">
        <v>328</v>
      </c>
      <c r="K74" s="419">
        <f t="shared" si="10"/>
        <v>13.364603314274355</v>
      </c>
    </row>
    <row r="75" spans="1:11" ht="27" customHeight="1">
      <c r="A75" s="431" t="s">
        <v>1825</v>
      </c>
      <c r="B75" s="350">
        <v>134767</v>
      </c>
      <c r="C75" s="350">
        <f t="shared" si="12"/>
        <v>0</v>
      </c>
      <c r="D75" s="626" t="s">
        <v>1588</v>
      </c>
      <c r="E75" s="626" t="s">
        <v>1588</v>
      </c>
      <c r="F75" s="626" t="s">
        <v>1588</v>
      </c>
      <c r="G75" s="626" t="s">
        <v>1588</v>
      </c>
      <c r="H75" s="626" t="s">
        <v>1588</v>
      </c>
      <c r="I75" s="626" t="s">
        <v>1588</v>
      </c>
      <c r="J75" s="626" t="s">
        <v>1588</v>
      </c>
      <c r="K75" s="419">
        <f t="shared" si="10"/>
        <v>0</v>
      </c>
    </row>
    <row r="76" spans="1:11" ht="27" customHeight="1">
      <c r="A76" s="431" t="s">
        <v>1826</v>
      </c>
      <c r="B76" s="350">
        <v>122158</v>
      </c>
      <c r="C76" s="350">
        <f t="shared" si="12"/>
        <v>48</v>
      </c>
      <c r="D76" s="350">
        <v>8</v>
      </c>
      <c r="E76" s="350">
        <v>30</v>
      </c>
      <c r="F76" s="626" t="s">
        <v>1588</v>
      </c>
      <c r="G76" s="626" t="s">
        <v>1588</v>
      </c>
      <c r="H76" s="350">
        <v>10</v>
      </c>
      <c r="I76" s="626" t="s">
        <v>1588</v>
      </c>
      <c r="J76" s="626" t="s">
        <v>1588</v>
      </c>
      <c r="K76" s="419">
        <f t="shared" si="10"/>
        <v>3.9293374154783147</v>
      </c>
    </row>
    <row r="77" spans="1:11" ht="27" customHeight="1">
      <c r="A77" s="431" t="s">
        <v>1829</v>
      </c>
      <c r="B77" s="350">
        <v>126704</v>
      </c>
      <c r="C77" s="350">
        <f t="shared" si="12"/>
        <v>195</v>
      </c>
      <c r="D77" s="626" t="s">
        <v>1588</v>
      </c>
      <c r="E77" s="626" t="s">
        <v>1588</v>
      </c>
      <c r="F77" s="626" t="s">
        <v>1588</v>
      </c>
      <c r="G77" s="626" t="s">
        <v>1588</v>
      </c>
      <c r="H77" s="350">
        <v>150</v>
      </c>
      <c r="I77" s="626" t="s">
        <v>1588</v>
      </c>
      <c r="J77" s="350">
        <v>45</v>
      </c>
      <c r="K77" s="419">
        <f t="shared" si="10"/>
        <v>15.390200782927138</v>
      </c>
    </row>
    <row r="78" spans="1:11" ht="27" customHeight="1">
      <c r="A78" s="431" t="s">
        <v>1832</v>
      </c>
      <c r="B78" s="350">
        <v>195039</v>
      </c>
      <c r="C78" s="350">
        <f t="shared" si="12"/>
        <v>455</v>
      </c>
      <c r="D78" s="626" t="s">
        <v>1588</v>
      </c>
      <c r="E78" s="350">
        <v>29</v>
      </c>
      <c r="F78" s="626" t="s">
        <v>1588</v>
      </c>
      <c r="G78" s="350">
        <v>7</v>
      </c>
      <c r="H78" s="626" t="s">
        <v>1588</v>
      </c>
      <c r="I78" s="626" t="s">
        <v>1588</v>
      </c>
      <c r="J78" s="350">
        <v>419</v>
      </c>
      <c r="K78" s="419">
        <f t="shared" si="10"/>
        <v>23.328667599813372</v>
      </c>
    </row>
    <row r="79" spans="1:11" ht="27" customHeight="1">
      <c r="A79" s="431" t="s">
        <v>1833</v>
      </c>
      <c r="B79" s="350">
        <v>132743</v>
      </c>
      <c r="C79" s="350">
        <f t="shared" si="12"/>
        <v>30</v>
      </c>
      <c r="D79" s="350">
        <v>5</v>
      </c>
      <c r="E79" s="350">
        <v>5</v>
      </c>
      <c r="F79" s="350">
        <v>10</v>
      </c>
      <c r="G79" s="350">
        <v>0</v>
      </c>
      <c r="H79" s="350">
        <v>0</v>
      </c>
      <c r="I79" s="350">
        <v>0</v>
      </c>
      <c r="J79" s="350">
        <v>10</v>
      </c>
      <c r="K79" s="419">
        <f t="shared" si="10"/>
        <v>2.2600061773502182</v>
      </c>
    </row>
    <row r="80" spans="1:11" ht="27" customHeight="1">
      <c r="A80" s="431" t="s">
        <v>1834</v>
      </c>
      <c r="B80" s="350">
        <v>82433</v>
      </c>
      <c r="C80" s="350">
        <f t="shared" si="12"/>
        <v>100</v>
      </c>
      <c r="D80" s="350">
        <v>10</v>
      </c>
      <c r="E80" s="350">
        <v>7</v>
      </c>
      <c r="F80" s="350">
        <v>0</v>
      </c>
      <c r="G80" s="350">
        <v>1</v>
      </c>
      <c r="H80" s="350">
        <v>1</v>
      </c>
      <c r="I80" s="350">
        <v>0</v>
      </c>
      <c r="J80" s="350">
        <v>81</v>
      </c>
      <c r="K80" s="419">
        <f t="shared" si="10"/>
        <v>12.13106401562481</v>
      </c>
    </row>
    <row r="81" spans="1:11" ht="27" customHeight="1">
      <c r="A81" s="431" t="s">
        <v>1835</v>
      </c>
      <c r="B81" s="350">
        <v>205157</v>
      </c>
      <c r="C81" s="350">
        <f t="shared" si="12"/>
        <v>1099</v>
      </c>
      <c r="D81" s="350">
        <v>10</v>
      </c>
      <c r="E81" s="350">
        <v>730</v>
      </c>
      <c r="F81" s="350">
        <v>5</v>
      </c>
      <c r="G81" s="626" t="s">
        <v>1588</v>
      </c>
      <c r="H81" s="350">
        <v>287</v>
      </c>
      <c r="I81" s="626" t="s">
        <v>1588</v>
      </c>
      <c r="J81" s="350">
        <v>67</v>
      </c>
      <c r="K81" s="419">
        <f t="shared" si="10"/>
        <v>53.568730289485615</v>
      </c>
    </row>
    <row r="82" spans="1:11" ht="27" customHeight="1">
      <c r="A82" s="431" t="s">
        <v>1837</v>
      </c>
      <c r="B82" s="350">
        <v>72069</v>
      </c>
      <c r="C82" s="350">
        <f t="shared" si="12"/>
        <v>11</v>
      </c>
      <c r="D82" s="350">
        <v>10</v>
      </c>
      <c r="E82" s="626" t="s">
        <v>1588</v>
      </c>
      <c r="F82" s="626" t="s">
        <v>1588</v>
      </c>
      <c r="G82" s="626" t="s">
        <v>1588</v>
      </c>
      <c r="H82" s="626" t="s">
        <v>1588</v>
      </c>
      <c r="I82" s="626" t="s">
        <v>1588</v>
      </c>
      <c r="J82" s="350">
        <v>1</v>
      </c>
      <c r="K82" s="419">
        <f t="shared" si="10"/>
        <v>1.5263150591793975</v>
      </c>
    </row>
    <row r="83" spans="1:11" ht="27" customHeight="1">
      <c r="A83" s="431" t="s">
        <v>1839</v>
      </c>
      <c r="B83" s="350">
        <v>108875</v>
      </c>
      <c r="C83" s="350">
        <f t="shared" si="12"/>
        <v>4</v>
      </c>
      <c r="D83" s="350">
        <v>2</v>
      </c>
      <c r="E83" s="350">
        <v>1</v>
      </c>
      <c r="F83" s="626" t="s">
        <v>1588</v>
      </c>
      <c r="G83" s="626" t="s">
        <v>1588</v>
      </c>
      <c r="H83" s="626" t="s">
        <v>1588</v>
      </c>
      <c r="I83" s="626" t="s">
        <v>1588</v>
      </c>
      <c r="J83" s="350">
        <v>1</v>
      </c>
      <c r="K83" s="419">
        <f t="shared" si="10"/>
        <v>0.36739380022962115</v>
      </c>
    </row>
    <row r="84" spans="1:11" ht="27" customHeight="1">
      <c r="A84" s="431" t="s">
        <v>1840</v>
      </c>
      <c r="B84" s="350">
        <v>136963</v>
      </c>
      <c r="C84" s="350">
        <f t="shared" si="12"/>
        <v>154</v>
      </c>
      <c r="D84" s="626" t="s">
        <v>1588</v>
      </c>
      <c r="E84" s="350">
        <v>52</v>
      </c>
      <c r="F84" s="350">
        <v>32</v>
      </c>
      <c r="G84" s="626" t="s">
        <v>1588</v>
      </c>
      <c r="H84" s="626" t="s">
        <v>1588</v>
      </c>
      <c r="I84" s="626" t="s">
        <v>1588</v>
      </c>
      <c r="J84" s="350">
        <v>70</v>
      </c>
      <c r="K84" s="419">
        <f t="shared" si="10"/>
        <v>11.24391258953148</v>
      </c>
    </row>
    <row r="85" spans="1:11" ht="27" customHeight="1">
      <c r="A85" s="431" t="s">
        <v>1841</v>
      </c>
      <c r="B85" s="350">
        <v>147998</v>
      </c>
      <c r="C85" s="350">
        <f t="shared" si="12"/>
        <v>136</v>
      </c>
      <c r="D85" s="350">
        <v>1</v>
      </c>
      <c r="E85" s="350">
        <v>2</v>
      </c>
      <c r="F85" s="626" t="s">
        <v>1588</v>
      </c>
      <c r="G85" s="350">
        <v>3</v>
      </c>
      <c r="H85" s="350">
        <v>10</v>
      </c>
      <c r="I85" s="626" t="s">
        <v>1588</v>
      </c>
      <c r="J85" s="350">
        <v>120</v>
      </c>
      <c r="K85" s="419">
        <f t="shared" si="10"/>
        <v>9.1893133690995832</v>
      </c>
    </row>
    <row r="86" spans="1:11" ht="27" customHeight="1">
      <c r="A86" s="431" t="s">
        <v>1842</v>
      </c>
      <c r="B86" s="350">
        <v>121687</v>
      </c>
      <c r="C86" s="350">
        <f t="shared" si="12"/>
        <v>128</v>
      </c>
      <c r="D86" s="626" t="s">
        <v>1588</v>
      </c>
      <c r="E86" s="350">
        <v>15</v>
      </c>
      <c r="F86" s="626" t="s">
        <v>1588</v>
      </c>
      <c r="G86" s="626" t="s">
        <v>1588</v>
      </c>
      <c r="H86" s="626" t="s">
        <v>1588</v>
      </c>
      <c r="I86" s="626" t="s">
        <v>1588</v>
      </c>
      <c r="J86" s="350">
        <v>113</v>
      </c>
      <c r="K86" s="419">
        <f t="shared" si="10"/>
        <v>10.518790010436613</v>
      </c>
    </row>
    <row r="87" spans="1:11" ht="27" customHeight="1">
      <c r="A87" s="829" t="s">
        <v>1975</v>
      </c>
      <c r="B87" s="350">
        <v>84201</v>
      </c>
      <c r="C87" s="350">
        <f t="shared" si="12"/>
        <v>10</v>
      </c>
      <c r="D87" s="350">
        <v>0</v>
      </c>
      <c r="E87" s="350">
        <v>0</v>
      </c>
      <c r="F87" s="350">
        <v>0</v>
      </c>
      <c r="G87" s="350">
        <v>0</v>
      </c>
      <c r="H87" s="350">
        <v>0</v>
      </c>
      <c r="I87" s="350">
        <v>0</v>
      </c>
      <c r="J87" s="350">
        <v>10</v>
      </c>
      <c r="K87" s="419">
        <f t="shared" si="10"/>
        <v>1.1876343511359722</v>
      </c>
    </row>
    <row r="88" spans="1:11" ht="27" customHeight="1">
      <c r="A88" s="424" t="s">
        <v>1846</v>
      </c>
      <c r="B88" s="350">
        <v>59658</v>
      </c>
      <c r="C88" s="353">
        <f t="shared" si="12"/>
        <v>146</v>
      </c>
      <c r="D88" s="632" t="s">
        <v>1588</v>
      </c>
      <c r="E88" s="353">
        <v>48</v>
      </c>
      <c r="F88" s="632" t="s">
        <v>1588</v>
      </c>
      <c r="G88" s="632" t="s">
        <v>1588</v>
      </c>
      <c r="H88" s="353">
        <v>96</v>
      </c>
      <c r="I88" s="632" t="s">
        <v>1588</v>
      </c>
      <c r="J88" s="353">
        <v>2</v>
      </c>
      <c r="K88" s="418">
        <f t="shared" si="10"/>
        <v>24.472828455529857</v>
      </c>
    </row>
    <row r="89" spans="1:11" ht="27" customHeight="1">
      <c r="A89" s="424" t="s">
        <v>1616</v>
      </c>
      <c r="B89" s="350">
        <f t="shared" ref="B89:J89" si="13">SUM(B90:B93)</f>
        <v>169609</v>
      </c>
      <c r="C89" s="353">
        <f t="shared" si="12"/>
        <v>216</v>
      </c>
      <c r="D89" s="353">
        <f t="shared" si="13"/>
        <v>0</v>
      </c>
      <c r="E89" s="353">
        <f t="shared" si="13"/>
        <v>5</v>
      </c>
      <c r="F89" s="353">
        <f t="shared" si="13"/>
        <v>38</v>
      </c>
      <c r="G89" s="353">
        <f t="shared" si="13"/>
        <v>1</v>
      </c>
      <c r="H89" s="353">
        <f t="shared" si="13"/>
        <v>56</v>
      </c>
      <c r="I89" s="353">
        <f t="shared" si="13"/>
        <v>0</v>
      </c>
      <c r="J89" s="353">
        <f t="shared" si="13"/>
        <v>116</v>
      </c>
      <c r="K89" s="418">
        <f t="shared" si="10"/>
        <v>12.73517325141944</v>
      </c>
    </row>
    <row r="90" spans="1:11" ht="27" customHeight="1">
      <c r="A90" s="431" t="s">
        <v>1843</v>
      </c>
      <c r="B90" s="350">
        <v>53443</v>
      </c>
      <c r="C90" s="350">
        <f t="shared" si="12"/>
        <v>96</v>
      </c>
      <c r="D90" s="626" t="s">
        <v>1588</v>
      </c>
      <c r="E90" s="350">
        <v>4</v>
      </c>
      <c r="F90" s="350">
        <v>38</v>
      </c>
      <c r="G90" s="626" t="s">
        <v>1588</v>
      </c>
      <c r="H90" s="350">
        <v>19</v>
      </c>
      <c r="I90" s="626" t="s">
        <v>1588</v>
      </c>
      <c r="J90" s="350">
        <v>35</v>
      </c>
      <c r="K90" s="419">
        <f t="shared" si="10"/>
        <v>17.963063450779337</v>
      </c>
    </row>
    <row r="91" spans="1:11" ht="27" customHeight="1">
      <c r="A91" s="431" t="s">
        <v>1844</v>
      </c>
      <c r="B91" s="350">
        <v>54083</v>
      </c>
      <c r="C91" s="350">
        <f t="shared" si="12"/>
        <v>37</v>
      </c>
      <c r="D91" s="626" t="s">
        <v>1588</v>
      </c>
      <c r="E91" s="626" t="s">
        <v>1588</v>
      </c>
      <c r="F91" s="626" t="s">
        <v>1588</v>
      </c>
      <c r="G91" s="626" t="s">
        <v>1588</v>
      </c>
      <c r="H91" s="350">
        <v>37</v>
      </c>
      <c r="I91" s="626" t="s">
        <v>1588</v>
      </c>
      <c r="J91" s="626" t="s">
        <v>1588</v>
      </c>
      <c r="K91" s="419">
        <f t="shared" si="10"/>
        <v>6.841336464323355</v>
      </c>
    </row>
    <row r="92" spans="1:11" ht="27" customHeight="1">
      <c r="A92" s="431" t="s">
        <v>1847</v>
      </c>
      <c r="B92" s="350">
        <v>34083</v>
      </c>
      <c r="C92" s="350">
        <f t="shared" si="12"/>
        <v>61</v>
      </c>
      <c r="D92" s="626" t="s">
        <v>1588</v>
      </c>
      <c r="E92" s="626" t="s">
        <v>1588</v>
      </c>
      <c r="F92" s="626" t="s">
        <v>1588</v>
      </c>
      <c r="G92" s="626" t="s">
        <v>1588</v>
      </c>
      <c r="H92" s="626" t="s">
        <v>1588</v>
      </c>
      <c r="I92" s="626" t="s">
        <v>1588</v>
      </c>
      <c r="J92" s="350">
        <v>61</v>
      </c>
      <c r="K92" s="419">
        <f t="shared" si="10"/>
        <v>17.897485549980928</v>
      </c>
    </row>
    <row r="93" spans="1:11" ht="27" customHeight="1">
      <c r="A93" s="428" t="s">
        <v>1848</v>
      </c>
      <c r="B93" s="435">
        <v>28000</v>
      </c>
      <c r="C93" s="435">
        <f t="shared" si="12"/>
        <v>22</v>
      </c>
      <c r="D93" s="628" t="s">
        <v>1588</v>
      </c>
      <c r="E93" s="435">
        <v>1</v>
      </c>
      <c r="F93" s="628" t="s">
        <v>1588</v>
      </c>
      <c r="G93" s="435">
        <v>1</v>
      </c>
      <c r="H93" s="628" t="s">
        <v>1588</v>
      </c>
      <c r="I93" s="628" t="s">
        <v>1588</v>
      </c>
      <c r="J93" s="435">
        <v>20</v>
      </c>
      <c r="K93" s="442">
        <f t="shared" si="10"/>
        <v>7.8571428571428577</v>
      </c>
    </row>
    <row r="94" spans="1:11" ht="27" customHeight="1">
      <c r="A94" s="345" t="s">
        <v>1849</v>
      </c>
      <c r="B94" s="422">
        <f>B95+B103</f>
        <v>1066933</v>
      </c>
      <c r="C94" s="441">
        <f t="shared" si="12"/>
        <v>972</v>
      </c>
      <c r="D94" s="441">
        <f t="shared" ref="D94:J94" si="14">D95+D103</f>
        <v>0</v>
      </c>
      <c r="E94" s="441">
        <f t="shared" si="14"/>
        <v>250</v>
      </c>
      <c r="F94" s="441">
        <f t="shared" si="14"/>
        <v>11</v>
      </c>
      <c r="G94" s="441">
        <f t="shared" si="14"/>
        <v>6</v>
      </c>
      <c r="H94" s="441">
        <f t="shared" si="14"/>
        <v>8</v>
      </c>
      <c r="I94" s="441">
        <f t="shared" si="14"/>
        <v>0</v>
      </c>
      <c r="J94" s="441">
        <f t="shared" si="14"/>
        <v>697</v>
      </c>
      <c r="K94" s="443">
        <f t="shared" si="10"/>
        <v>9.110225290622747</v>
      </c>
    </row>
    <row r="95" spans="1:11" ht="27" customHeight="1">
      <c r="A95" s="345" t="s">
        <v>1674</v>
      </c>
      <c r="B95" s="422">
        <f>SUM(B96:B102)</f>
        <v>877320</v>
      </c>
      <c r="C95" s="441">
        <f t="shared" si="12"/>
        <v>955</v>
      </c>
      <c r="D95" s="441">
        <f t="shared" ref="D95:J95" si="15">SUM(D96:D102)</f>
        <v>0</v>
      </c>
      <c r="E95" s="441">
        <f t="shared" si="15"/>
        <v>243</v>
      </c>
      <c r="F95" s="441">
        <f t="shared" si="15"/>
        <v>11</v>
      </c>
      <c r="G95" s="441">
        <f t="shared" si="15"/>
        <v>6</v>
      </c>
      <c r="H95" s="441">
        <f t="shared" si="15"/>
        <v>5</v>
      </c>
      <c r="I95" s="441">
        <f t="shared" si="15"/>
        <v>0</v>
      </c>
      <c r="J95" s="441">
        <f t="shared" si="15"/>
        <v>690</v>
      </c>
      <c r="K95" s="443">
        <f t="shared" si="10"/>
        <v>10.885423790635116</v>
      </c>
    </row>
    <row r="96" spans="1:11" ht="27" customHeight="1">
      <c r="A96" s="345" t="s">
        <v>1850</v>
      </c>
      <c r="B96" s="422">
        <v>229460</v>
      </c>
      <c r="C96" s="422">
        <f t="shared" si="12"/>
        <v>349</v>
      </c>
      <c r="D96" s="422">
        <v>0</v>
      </c>
      <c r="E96" s="422">
        <v>30</v>
      </c>
      <c r="F96" s="422">
        <v>11</v>
      </c>
      <c r="G96" s="422">
        <v>6</v>
      </c>
      <c r="H96" s="422">
        <v>0</v>
      </c>
      <c r="I96" s="422">
        <v>0</v>
      </c>
      <c r="J96" s="422">
        <v>302</v>
      </c>
      <c r="K96" s="443">
        <f t="shared" si="10"/>
        <v>15.209622592172929</v>
      </c>
    </row>
    <row r="97" spans="1:11" ht="27" customHeight="1">
      <c r="A97" s="345" t="s">
        <v>1851</v>
      </c>
      <c r="B97" s="422">
        <v>276736</v>
      </c>
      <c r="C97" s="441">
        <f t="shared" si="12"/>
        <v>320</v>
      </c>
      <c r="D97" s="441" t="s">
        <v>1588</v>
      </c>
      <c r="E97" s="441">
        <v>96</v>
      </c>
      <c r="F97" s="441" t="s">
        <v>1588</v>
      </c>
      <c r="G97" s="441" t="s">
        <v>1588</v>
      </c>
      <c r="H97" s="441" t="s">
        <v>1588</v>
      </c>
      <c r="I97" s="441" t="s">
        <v>1588</v>
      </c>
      <c r="J97" s="441">
        <v>224</v>
      </c>
      <c r="K97" s="443">
        <f t="shared" si="10"/>
        <v>11.563367252543941</v>
      </c>
    </row>
    <row r="98" spans="1:11" ht="27" customHeight="1">
      <c r="A98" s="345" t="s">
        <v>1852</v>
      </c>
      <c r="B98" s="422">
        <v>190130</v>
      </c>
      <c r="C98" s="441">
        <f t="shared" si="12"/>
        <v>3</v>
      </c>
      <c r="D98" s="441" t="s">
        <v>1588</v>
      </c>
      <c r="E98" s="441">
        <v>3</v>
      </c>
      <c r="F98" s="441" t="s">
        <v>1588</v>
      </c>
      <c r="G98" s="441" t="s">
        <v>1588</v>
      </c>
      <c r="H98" s="441" t="s">
        <v>1588</v>
      </c>
      <c r="I98" s="441" t="s">
        <v>1588</v>
      </c>
      <c r="J98" s="441" t="s">
        <v>1588</v>
      </c>
      <c r="K98" s="443">
        <f t="shared" si="10"/>
        <v>0.15778677746804817</v>
      </c>
    </row>
    <row r="99" spans="1:11" ht="27" customHeight="1">
      <c r="A99" s="345" t="s">
        <v>1853</v>
      </c>
      <c r="B99" s="423">
        <v>0</v>
      </c>
      <c r="C99" s="441">
        <f t="shared" si="12"/>
        <v>7</v>
      </c>
      <c r="D99" s="441" t="s">
        <v>1588</v>
      </c>
      <c r="E99" s="441">
        <v>7</v>
      </c>
      <c r="F99" s="441" t="s">
        <v>1588</v>
      </c>
      <c r="G99" s="441" t="s">
        <v>1588</v>
      </c>
      <c r="H99" s="441" t="s">
        <v>1588</v>
      </c>
      <c r="I99" s="441" t="s">
        <v>1588</v>
      </c>
      <c r="J99" s="441" t="s">
        <v>1588</v>
      </c>
      <c r="K99" s="443">
        <v>0</v>
      </c>
    </row>
    <row r="100" spans="1:11" ht="27" customHeight="1">
      <c r="A100" s="345" t="s">
        <v>1854</v>
      </c>
      <c r="B100" s="422">
        <v>41825</v>
      </c>
      <c r="C100" s="441">
        <f t="shared" si="12"/>
        <v>29</v>
      </c>
      <c r="D100" s="441" t="s">
        <v>1588</v>
      </c>
      <c r="E100" s="441">
        <v>16</v>
      </c>
      <c r="F100" s="441" t="s">
        <v>1588</v>
      </c>
      <c r="G100" s="441" t="s">
        <v>1588</v>
      </c>
      <c r="H100" s="441" t="s">
        <v>1588</v>
      </c>
      <c r="I100" s="441" t="s">
        <v>1588</v>
      </c>
      <c r="J100" s="441">
        <v>13</v>
      </c>
      <c r="K100" s="443">
        <f t="shared" si="10"/>
        <v>6.9336521219366407</v>
      </c>
    </row>
    <row r="101" spans="1:11" ht="27" customHeight="1">
      <c r="A101" s="345" t="s">
        <v>1855</v>
      </c>
      <c r="B101" s="422">
        <v>83495</v>
      </c>
      <c r="C101" s="441">
        <f t="shared" si="12"/>
        <v>232</v>
      </c>
      <c r="D101" s="441" t="s">
        <v>1588</v>
      </c>
      <c r="E101" s="441">
        <v>81</v>
      </c>
      <c r="F101" s="441" t="s">
        <v>1588</v>
      </c>
      <c r="G101" s="441" t="s">
        <v>1588</v>
      </c>
      <c r="H101" s="441" t="s">
        <v>1588</v>
      </c>
      <c r="I101" s="441" t="s">
        <v>1588</v>
      </c>
      <c r="J101" s="441">
        <v>151</v>
      </c>
      <c r="K101" s="443">
        <f t="shared" si="10"/>
        <v>27.786094975747051</v>
      </c>
    </row>
    <row r="102" spans="1:11" ht="27" customHeight="1">
      <c r="A102" s="345" t="s">
        <v>1976</v>
      </c>
      <c r="B102" s="422">
        <v>55674</v>
      </c>
      <c r="C102" s="441">
        <f t="shared" si="12"/>
        <v>15</v>
      </c>
      <c r="D102" s="441" t="s">
        <v>1588</v>
      </c>
      <c r="E102" s="441">
        <v>10</v>
      </c>
      <c r="F102" s="441" t="s">
        <v>1588</v>
      </c>
      <c r="G102" s="441" t="s">
        <v>1588</v>
      </c>
      <c r="H102" s="441">
        <v>5</v>
      </c>
      <c r="I102" s="441" t="s">
        <v>1588</v>
      </c>
      <c r="J102" s="441" t="s">
        <v>1588</v>
      </c>
      <c r="K102" s="443">
        <f t="shared" si="10"/>
        <v>2.6942558465351869</v>
      </c>
    </row>
    <row r="103" spans="1:11" ht="27" customHeight="1">
      <c r="A103" s="345" t="s">
        <v>1616</v>
      </c>
      <c r="B103" s="422">
        <f>SUM(B104:B114)</f>
        <v>189613</v>
      </c>
      <c r="C103" s="441">
        <f t="shared" si="12"/>
        <v>17</v>
      </c>
      <c r="D103" s="441">
        <f t="shared" ref="D103:J103" si="16">SUM(D104:D114)</f>
        <v>0</v>
      </c>
      <c r="E103" s="441">
        <f t="shared" si="16"/>
        <v>7</v>
      </c>
      <c r="F103" s="441">
        <f t="shared" si="16"/>
        <v>0</v>
      </c>
      <c r="G103" s="441">
        <f t="shared" si="16"/>
        <v>0</v>
      </c>
      <c r="H103" s="441">
        <f t="shared" si="16"/>
        <v>3</v>
      </c>
      <c r="I103" s="441">
        <f t="shared" si="16"/>
        <v>0</v>
      </c>
      <c r="J103" s="441">
        <f t="shared" si="16"/>
        <v>7</v>
      </c>
      <c r="K103" s="443">
        <f t="shared" si="10"/>
        <v>0.89656299937240591</v>
      </c>
    </row>
    <row r="104" spans="1:11" ht="27" customHeight="1">
      <c r="A104" s="345" t="s">
        <v>1856</v>
      </c>
      <c r="B104" s="422">
        <v>37701</v>
      </c>
      <c r="C104" s="441">
        <f t="shared" si="12"/>
        <v>0</v>
      </c>
      <c r="D104" s="441" t="s">
        <v>1588</v>
      </c>
      <c r="E104" s="441" t="s">
        <v>1588</v>
      </c>
      <c r="F104" s="441" t="s">
        <v>1588</v>
      </c>
      <c r="G104" s="441" t="s">
        <v>1588</v>
      </c>
      <c r="H104" s="441" t="s">
        <v>1588</v>
      </c>
      <c r="I104" s="441" t="s">
        <v>1588</v>
      </c>
      <c r="J104" s="441" t="s">
        <v>1588</v>
      </c>
      <c r="K104" s="443">
        <f t="shared" si="10"/>
        <v>0</v>
      </c>
    </row>
    <row r="105" spans="1:11" ht="27" customHeight="1">
      <c r="A105" s="345" t="s">
        <v>63</v>
      </c>
      <c r="B105" s="422">
        <v>21617</v>
      </c>
      <c r="C105" s="441">
        <f t="shared" si="12"/>
        <v>0</v>
      </c>
      <c r="D105" s="441" t="s">
        <v>1588</v>
      </c>
      <c r="E105" s="441" t="s">
        <v>1588</v>
      </c>
      <c r="F105" s="441" t="s">
        <v>1588</v>
      </c>
      <c r="G105" s="441" t="s">
        <v>1588</v>
      </c>
      <c r="H105" s="441" t="s">
        <v>1588</v>
      </c>
      <c r="I105" s="441" t="s">
        <v>1588</v>
      </c>
      <c r="J105" s="441" t="s">
        <v>1588</v>
      </c>
      <c r="K105" s="443">
        <f t="shared" si="10"/>
        <v>0</v>
      </c>
    </row>
    <row r="106" spans="1:11" ht="27" customHeight="1">
      <c r="A106" s="345" t="s">
        <v>1860</v>
      </c>
      <c r="B106" s="422">
        <v>2505</v>
      </c>
      <c r="C106" s="441">
        <f t="shared" si="12"/>
        <v>7</v>
      </c>
      <c r="D106" s="441" t="s">
        <v>1588</v>
      </c>
      <c r="E106" s="441">
        <v>3</v>
      </c>
      <c r="F106" s="441" t="s">
        <v>1588</v>
      </c>
      <c r="G106" s="441" t="s">
        <v>1588</v>
      </c>
      <c r="H106" s="441" t="s">
        <v>1588</v>
      </c>
      <c r="I106" s="441" t="s">
        <v>1588</v>
      </c>
      <c r="J106" s="441">
        <v>4</v>
      </c>
      <c r="K106" s="443">
        <f t="shared" si="10"/>
        <v>27.944111776447105</v>
      </c>
    </row>
    <row r="107" spans="1:11" ht="27" customHeight="1">
      <c r="A107" s="345" t="s">
        <v>1861</v>
      </c>
      <c r="B107" s="422">
        <v>10738</v>
      </c>
      <c r="C107" s="441">
        <f t="shared" si="12"/>
        <v>0</v>
      </c>
      <c r="D107" s="441" t="s">
        <v>1588</v>
      </c>
      <c r="E107" s="441" t="s">
        <v>1588</v>
      </c>
      <c r="F107" s="441" t="s">
        <v>1588</v>
      </c>
      <c r="G107" s="441" t="s">
        <v>1588</v>
      </c>
      <c r="H107" s="441" t="s">
        <v>1588</v>
      </c>
      <c r="I107" s="441" t="s">
        <v>1588</v>
      </c>
      <c r="J107" s="441" t="s">
        <v>1588</v>
      </c>
      <c r="K107" s="443">
        <f t="shared" si="10"/>
        <v>0</v>
      </c>
    </row>
    <row r="108" spans="1:11" ht="27" customHeight="1">
      <c r="A108" s="345" t="s">
        <v>1863</v>
      </c>
      <c r="B108" s="422">
        <v>30238</v>
      </c>
      <c r="C108" s="441">
        <f t="shared" si="12"/>
        <v>5</v>
      </c>
      <c r="D108" s="441" t="s">
        <v>1588</v>
      </c>
      <c r="E108" s="441">
        <v>2</v>
      </c>
      <c r="F108" s="441" t="s">
        <v>1588</v>
      </c>
      <c r="G108" s="441" t="s">
        <v>1588</v>
      </c>
      <c r="H108" s="441">
        <v>3</v>
      </c>
      <c r="I108" s="441" t="s">
        <v>1588</v>
      </c>
      <c r="J108" s="441" t="s">
        <v>1588</v>
      </c>
      <c r="K108" s="443">
        <f t="shared" si="10"/>
        <v>1.6535485151134333</v>
      </c>
    </row>
    <row r="109" spans="1:11" ht="27" customHeight="1">
      <c r="A109" s="345" t="s">
        <v>1864</v>
      </c>
      <c r="B109" s="422">
        <v>25134</v>
      </c>
      <c r="C109" s="441">
        <f t="shared" si="12"/>
        <v>0</v>
      </c>
      <c r="D109" s="441" t="s">
        <v>1588</v>
      </c>
      <c r="E109" s="441" t="s">
        <v>1588</v>
      </c>
      <c r="F109" s="441" t="s">
        <v>1588</v>
      </c>
      <c r="G109" s="441" t="s">
        <v>1588</v>
      </c>
      <c r="H109" s="441" t="s">
        <v>1588</v>
      </c>
      <c r="I109" s="441" t="s">
        <v>1588</v>
      </c>
      <c r="J109" s="441" t="s">
        <v>1588</v>
      </c>
      <c r="K109" s="443">
        <f t="shared" si="10"/>
        <v>0</v>
      </c>
    </row>
    <row r="110" spans="1:11" ht="27" customHeight="1">
      <c r="A110" s="345" t="s">
        <v>1605</v>
      </c>
      <c r="B110" s="422">
        <v>5915</v>
      </c>
      <c r="C110" s="441">
        <f t="shared" si="12"/>
        <v>0</v>
      </c>
      <c r="D110" s="441" t="s">
        <v>1588</v>
      </c>
      <c r="E110" s="441" t="s">
        <v>1588</v>
      </c>
      <c r="F110" s="441" t="s">
        <v>1588</v>
      </c>
      <c r="G110" s="441" t="s">
        <v>1588</v>
      </c>
      <c r="H110" s="441" t="s">
        <v>1588</v>
      </c>
      <c r="I110" s="441" t="s">
        <v>1588</v>
      </c>
      <c r="J110" s="441" t="s">
        <v>1588</v>
      </c>
      <c r="K110" s="443">
        <f t="shared" si="10"/>
        <v>0</v>
      </c>
    </row>
    <row r="111" spans="1:11" ht="27" customHeight="1">
      <c r="A111" s="345" t="s">
        <v>1606</v>
      </c>
      <c r="B111" s="422">
        <v>15951</v>
      </c>
      <c r="C111" s="441">
        <f t="shared" si="12"/>
        <v>2</v>
      </c>
      <c r="D111" s="441" t="s">
        <v>1588</v>
      </c>
      <c r="E111" s="441">
        <v>2</v>
      </c>
      <c r="F111" s="441" t="s">
        <v>1588</v>
      </c>
      <c r="G111" s="441" t="s">
        <v>1588</v>
      </c>
      <c r="H111" s="441" t="s">
        <v>1588</v>
      </c>
      <c r="I111" s="441" t="s">
        <v>1588</v>
      </c>
      <c r="J111" s="441" t="s">
        <v>1588</v>
      </c>
      <c r="K111" s="443">
        <f t="shared" si="10"/>
        <v>1.2538398846467305</v>
      </c>
    </row>
    <row r="112" spans="1:11" ht="27" customHeight="1">
      <c r="A112" s="345" t="s">
        <v>1608</v>
      </c>
      <c r="B112" s="422">
        <v>13813</v>
      </c>
      <c r="C112" s="441">
        <f t="shared" si="12"/>
        <v>0</v>
      </c>
      <c r="D112" s="441" t="s">
        <v>1588</v>
      </c>
      <c r="E112" s="441" t="s">
        <v>1588</v>
      </c>
      <c r="F112" s="441" t="s">
        <v>1588</v>
      </c>
      <c r="G112" s="441" t="s">
        <v>1588</v>
      </c>
      <c r="H112" s="441" t="s">
        <v>1588</v>
      </c>
      <c r="I112" s="441" t="s">
        <v>1588</v>
      </c>
      <c r="J112" s="441" t="s">
        <v>1588</v>
      </c>
      <c r="K112" s="443">
        <f t="shared" si="10"/>
        <v>0</v>
      </c>
    </row>
    <row r="113" spans="1:11" ht="27" customHeight="1">
      <c r="A113" s="345" t="s">
        <v>1782</v>
      </c>
      <c r="B113" s="422">
        <v>13932</v>
      </c>
      <c r="C113" s="441">
        <f t="shared" si="12"/>
        <v>3</v>
      </c>
      <c r="D113" s="441" t="s">
        <v>1588</v>
      </c>
      <c r="E113" s="441" t="s">
        <v>1588</v>
      </c>
      <c r="F113" s="441" t="s">
        <v>1588</v>
      </c>
      <c r="G113" s="441" t="s">
        <v>1588</v>
      </c>
      <c r="H113" s="441" t="s">
        <v>1588</v>
      </c>
      <c r="I113" s="441" t="s">
        <v>1588</v>
      </c>
      <c r="J113" s="441">
        <v>3</v>
      </c>
      <c r="K113" s="443">
        <f t="shared" si="10"/>
        <v>2.1533161068044788</v>
      </c>
    </row>
    <row r="114" spans="1:11" ht="27" customHeight="1">
      <c r="A114" s="345" t="s">
        <v>1610</v>
      </c>
      <c r="B114" s="422">
        <v>12069</v>
      </c>
      <c r="C114" s="441">
        <f t="shared" si="12"/>
        <v>0</v>
      </c>
      <c r="D114" s="441" t="s">
        <v>1588</v>
      </c>
      <c r="E114" s="441" t="s">
        <v>1588</v>
      </c>
      <c r="F114" s="441" t="s">
        <v>1588</v>
      </c>
      <c r="G114" s="441" t="s">
        <v>1588</v>
      </c>
      <c r="H114" s="441" t="s">
        <v>1588</v>
      </c>
      <c r="I114" s="441" t="s">
        <v>1588</v>
      </c>
      <c r="J114" s="441" t="s">
        <v>1588</v>
      </c>
      <c r="K114" s="443">
        <f t="shared" si="10"/>
        <v>0</v>
      </c>
    </row>
    <row r="115" spans="1:11" ht="27" customHeight="1">
      <c r="A115" s="424" t="s">
        <v>1977</v>
      </c>
      <c r="B115" s="350">
        <f t="shared" ref="B115:J115" si="17">B116+B120</f>
        <v>1141634</v>
      </c>
      <c r="C115" s="350">
        <f t="shared" si="12"/>
        <v>545</v>
      </c>
      <c r="D115" s="350">
        <f t="shared" si="17"/>
        <v>0</v>
      </c>
      <c r="E115" s="350">
        <f t="shared" si="17"/>
        <v>212</v>
      </c>
      <c r="F115" s="350">
        <f t="shared" si="17"/>
        <v>41</v>
      </c>
      <c r="G115" s="350">
        <f t="shared" si="17"/>
        <v>20</v>
      </c>
      <c r="H115" s="350">
        <f t="shared" si="17"/>
        <v>35</v>
      </c>
      <c r="I115" s="350">
        <f t="shared" si="17"/>
        <v>0</v>
      </c>
      <c r="J115" s="350">
        <f t="shared" si="17"/>
        <v>237</v>
      </c>
      <c r="K115" s="418">
        <f t="shared" si="10"/>
        <v>4.7738592228332379</v>
      </c>
    </row>
    <row r="116" spans="1:11" ht="27" customHeight="1">
      <c r="A116" s="424" t="s">
        <v>1674</v>
      </c>
      <c r="B116" s="350">
        <f t="shared" ref="B116:J116" si="18">SUM(B117:B119)</f>
        <v>893312</v>
      </c>
      <c r="C116" s="350">
        <f t="shared" si="12"/>
        <v>448</v>
      </c>
      <c r="D116" s="350">
        <f t="shared" si="18"/>
        <v>0</v>
      </c>
      <c r="E116" s="350">
        <f>SUM(E117:E119)</f>
        <v>203</v>
      </c>
      <c r="F116" s="350">
        <f t="shared" si="18"/>
        <v>41</v>
      </c>
      <c r="G116" s="350">
        <f t="shared" si="18"/>
        <v>17</v>
      </c>
      <c r="H116" s="350">
        <f t="shared" si="18"/>
        <v>0</v>
      </c>
      <c r="I116" s="350">
        <f t="shared" si="18"/>
        <v>0</v>
      </c>
      <c r="J116" s="350">
        <f t="shared" si="18"/>
        <v>187</v>
      </c>
      <c r="K116" s="418">
        <f t="shared" si="10"/>
        <v>5.0150451354062184</v>
      </c>
    </row>
    <row r="117" spans="1:11" ht="27" customHeight="1">
      <c r="A117" s="424" t="s">
        <v>1611</v>
      </c>
      <c r="B117" s="350">
        <v>612917</v>
      </c>
      <c r="C117" s="350">
        <f t="shared" si="12"/>
        <v>0</v>
      </c>
      <c r="D117" s="626" t="s">
        <v>1588</v>
      </c>
      <c r="E117" s="626" t="s">
        <v>1588</v>
      </c>
      <c r="F117" s="626" t="s">
        <v>1588</v>
      </c>
      <c r="G117" s="626" t="s">
        <v>1588</v>
      </c>
      <c r="H117" s="626" t="s">
        <v>1588</v>
      </c>
      <c r="I117" s="626" t="s">
        <v>1588</v>
      </c>
      <c r="J117" s="626" t="s">
        <v>1588</v>
      </c>
      <c r="K117" s="418">
        <f t="shared" si="10"/>
        <v>0</v>
      </c>
    </row>
    <row r="118" spans="1:11" ht="27" customHeight="1">
      <c r="A118" s="424" t="s">
        <v>1612</v>
      </c>
      <c r="B118" s="350">
        <v>164110</v>
      </c>
      <c r="C118" s="350">
        <f t="shared" si="12"/>
        <v>292</v>
      </c>
      <c r="D118" s="626" t="s">
        <v>1588</v>
      </c>
      <c r="E118" s="350">
        <v>182</v>
      </c>
      <c r="F118" s="350">
        <v>41</v>
      </c>
      <c r="G118" s="350">
        <v>17</v>
      </c>
      <c r="H118" s="626" t="s">
        <v>1588</v>
      </c>
      <c r="I118" s="626" t="s">
        <v>1588</v>
      </c>
      <c r="J118" s="350">
        <v>52</v>
      </c>
      <c r="K118" s="418">
        <f t="shared" si="10"/>
        <v>17.792943757235999</v>
      </c>
    </row>
    <row r="119" spans="1:11" ht="27" customHeight="1">
      <c r="A119" s="424" t="s">
        <v>1614</v>
      </c>
      <c r="B119" s="350">
        <v>116285</v>
      </c>
      <c r="C119" s="350">
        <f t="shared" si="12"/>
        <v>156</v>
      </c>
      <c r="D119" s="626" t="s">
        <v>1588</v>
      </c>
      <c r="E119" s="350">
        <v>21</v>
      </c>
      <c r="F119" s="626" t="s">
        <v>1588</v>
      </c>
      <c r="G119" s="626" t="s">
        <v>1588</v>
      </c>
      <c r="H119" s="626" t="s">
        <v>1588</v>
      </c>
      <c r="I119" s="626" t="s">
        <v>1588</v>
      </c>
      <c r="J119" s="350">
        <v>135</v>
      </c>
      <c r="K119" s="418">
        <f t="shared" si="10"/>
        <v>13.415315818893236</v>
      </c>
    </row>
    <row r="120" spans="1:11" ht="27" customHeight="1">
      <c r="A120" s="424" t="s">
        <v>1616</v>
      </c>
      <c r="B120" s="350">
        <f>SUM(B121:B129)</f>
        <v>248322</v>
      </c>
      <c r="C120" s="350">
        <f t="shared" si="12"/>
        <v>97</v>
      </c>
      <c r="D120" s="350">
        <f t="shared" ref="D120:J120" si="19">SUM(D121:D129)</f>
        <v>0</v>
      </c>
      <c r="E120" s="350">
        <f t="shared" si="19"/>
        <v>9</v>
      </c>
      <c r="F120" s="350">
        <f t="shared" si="19"/>
        <v>0</v>
      </c>
      <c r="G120" s="350">
        <f t="shared" si="19"/>
        <v>3</v>
      </c>
      <c r="H120" s="350">
        <f t="shared" si="19"/>
        <v>35</v>
      </c>
      <c r="I120" s="350">
        <f t="shared" si="19"/>
        <v>0</v>
      </c>
      <c r="J120" s="350">
        <f t="shared" si="19"/>
        <v>50</v>
      </c>
      <c r="K120" s="418">
        <f t="shared" si="10"/>
        <v>3.9062185388326447</v>
      </c>
    </row>
    <row r="121" spans="1:11" ht="27" customHeight="1">
      <c r="A121" s="424" t="s">
        <v>1617</v>
      </c>
      <c r="B121" s="350">
        <v>48471</v>
      </c>
      <c r="C121" s="350">
        <f t="shared" si="12"/>
        <v>15</v>
      </c>
      <c r="D121" s="626" t="s">
        <v>1588</v>
      </c>
      <c r="E121" s="626" t="s">
        <v>1588</v>
      </c>
      <c r="F121" s="626" t="s">
        <v>1588</v>
      </c>
      <c r="G121" s="626" t="s">
        <v>1588</v>
      </c>
      <c r="H121" s="626" t="s">
        <v>1588</v>
      </c>
      <c r="I121" s="626" t="s">
        <v>1588</v>
      </c>
      <c r="J121" s="350">
        <v>15</v>
      </c>
      <c r="K121" s="418">
        <f t="shared" si="10"/>
        <v>3.0946339048090614</v>
      </c>
    </row>
    <row r="122" spans="1:11" ht="27" customHeight="1">
      <c r="A122" s="424" t="s">
        <v>1619</v>
      </c>
      <c r="B122" s="350">
        <v>19780</v>
      </c>
      <c r="C122" s="350">
        <f t="shared" si="12"/>
        <v>11</v>
      </c>
      <c r="D122" s="626" t="s">
        <v>1588</v>
      </c>
      <c r="E122" s="626" t="s">
        <v>1588</v>
      </c>
      <c r="F122" s="626" t="s">
        <v>1588</v>
      </c>
      <c r="G122" s="626" t="s">
        <v>1588</v>
      </c>
      <c r="H122" s="626" t="s">
        <v>1588</v>
      </c>
      <c r="I122" s="626" t="s">
        <v>1588</v>
      </c>
      <c r="J122" s="350">
        <v>11</v>
      </c>
      <c r="K122" s="418">
        <f t="shared" si="10"/>
        <v>5.5611729019211324</v>
      </c>
    </row>
    <row r="123" spans="1:11" ht="27" customHeight="1">
      <c r="A123" s="424" t="s">
        <v>1624</v>
      </c>
      <c r="B123" s="350">
        <v>35889</v>
      </c>
      <c r="C123" s="350">
        <f t="shared" si="12"/>
        <v>2</v>
      </c>
      <c r="D123" s="626" t="s">
        <v>1588</v>
      </c>
      <c r="E123" s="350">
        <v>1</v>
      </c>
      <c r="F123" s="626" t="s">
        <v>1588</v>
      </c>
      <c r="G123" s="626" t="s">
        <v>1588</v>
      </c>
      <c r="H123" s="626" t="s">
        <v>1588</v>
      </c>
      <c r="I123" s="626" t="s">
        <v>1588</v>
      </c>
      <c r="J123" s="350">
        <v>1</v>
      </c>
      <c r="K123" s="418">
        <f t="shared" si="10"/>
        <v>0.55727381648973229</v>
      </c>
    </row>
    <row r="124" spans="1:11" ht="27" customHeight="1">
      <c r="A124" s="424" t="s">
        <v>1630</v>
      </c>
      <c r="B124" s="350">
        <v>20352</v>
      </c>
      <c r="C124" s="350">
        <f t="shared" si="12"/>
        <v>2</v>
      </c>
      <c r="D124" s="626" t="s">
        <v>1588</v>
      </c>
      <c r="E124" s="350">
        <v>2</v>
      </c>
      <c r="F124" s="626" t="s">
        <v>1588</v>
      </c>
      <c r="G124" s="626" t="s">
        <v>1588</v>
      </c>
      <c r="H124" s="626" t="s">
        <v>1588</v>
      </c>
      <c r="I124" s="626" t="s">
        <v>1588</v>
      </c>
      <c r="J124" s="626" t="s">
        <v>1588</v>
      </c>
      <c r="K124" s="418">
        <f t="shared" ref="K124:K151" si="20">(C124/B124)*10000</f>
        <v>0.98270440251572333</v>
      </c>
    </row>
    <row r="125" spans="1:11" ht="27" customHeight="1">
      <c r="A125" s="424" t="s">
        <v>1631</v>
      </c>
      <c r="B125" s="350">
        <v>23550</v>
      </c>
      <c r="C125" s="350">
        <f t="shared" si="12"/>
        <v>0</v>
      </c>
      <c r="D125" s="626" t="s">
        <v>1588</v>
      </c>
      <c r="E125" s="626" t="s">
        <v>1588</v>
      </c>
      <c r="F125" s="626" t="s">
        <v>1588</v>
      </c>
      <c r="G125" s="626" t="s">
        <v>1588</v>
      </c>
      <c r="H125" s="626" t="s">
        <v>1588</v>
      </c>
      <c r="I125" s="626" t="s">
        <v>1588</v>
      </c>
      <c r="J125" s="626" t="s">
        <v>1588</v>
      </c>
      <c r="K125" s="418">
        <f t="shared" si="20"/>
        <v>0</v>
      </c>
    </row>
    <row r="126" spans="1:11" ht="27" customHeight="1">
      <c r="A126" s="424" t="s">
        <v>1633</v>
      </c>
      <c r="B126" s="350">
        <v>37762</v>
      </c>
      <c r="C126" s="350">
        <f t="shared" si="12"/>
        <v>24</v>
      </c>
      <c r="D126" s="626" t="s">
        <v>1588</v>
      </c>
      <c r="E126" s="626" t="s">
        <v>1588</v>
      </c>
      <c r="F126" s="626" t="s">
        <v>1588</v>
      </c>
      <c r="G126" s="626" t="s">
        <v>1588</v>
      </c>
      <c r="H126" s="350">
        <v>24</v>
      </c>
      <c r="I126" s="626" t="s">
        <v>1588</v>
      </c>
      <c r="J126" s="626" t="s">
        <v>1588</v>
      </c>
      <c r="K126" s="418">
        <f t="shared" si="20"/>
        <v>6.3555955722684176</v>
      </c>
    </row>
    <row r="127" spans="1:11" ht="27" customHeight="1">
      <c r="A127" s="424" t="s">
        <v>1634</v>
      </c>
      <c r="B127" s="350">
        <v>11937</v>
      </c>
      <c r="C127" s="350">
        <f t="shared" si="12"/>
        <v>0</v>
      </c>
      <c r="D127" s="626" t="s">
        <v>1588</v>
      </c>
      <c r="E127" s="626" t="s">
        <v>1588</v>
      </c>
      <c r="F127" s="626" t="s">
        <v>1588</v>
      </c>
      <c r="G127" s="626" t="s">
        <v>1588</v>
      </c>
      <c r="H127" s="626" t="s">
        <v>1588</v>
      </c>
      <c r="I127" s="626" t="s">
        <v>1588</v>
      </c>
      <c r="J127" s="626" t="s">
        <v>1588</v>
      </c>
      <c r="K127" s="418">
        <f t="shared" si="20"/>
        <v>0</v>
      </c>
    </row>
    <row r="128" spans="1:11" ht="27" customHeight="1">
      <c r="A128" s="424" t="s">
        <v>1635</v>
      </c>
      <c r="B128" s="350">
        <v>34469</v>
      </c>
      <c r="C128" s="350">
        <f t="shared" si="12"/>
        <v>43</v>
      </c>
      <c r="D128" s="626" t="s">
        <v>1588</v>
      </c>
      <c r="E128" s="350">
        <v>6</v>
      </c>
      <c r="F128" s="626" t="s">
        <v>1588</v>
      </c>
      <c r="G128" s="350">
        <v>3</v>
      </c>
      <c r="H128" s="350">
        <v>11</v>
      </c>
      <c r="I128" s="626" t="s">
        <v>1588</v>
      </c>
      <c r="J128" s="350">
        <v>23</v>
      </c>
      <c r="K128" s="418">
        <f t="shared" si="20"/>
        <v>12.474977516028895</v>
      </c>
    </row>
    <row r="129" spans="1:11" ht="27" customHeight="1">
      <c r="A129" s="424" t="s">
        <v>1636</v>
      </c>
      <c r="B129" s="350">
        <v>16112</v>
      </c>
      <c r="C129" s="350">
        <f t="shared" si="12"/>
        <v>0</v>
      </c>
      <c r="D129" s="626" t="s">
        <v>1588</v>
      </c>
      <c r="E129" s="626" t="s">
        <v>1588</v>
      </c>
      <c r="F129" s="626" t="s">
        <v>1588</v>
      </c>
      <c r="G129" s="626" t="s">
        <v>1588</v>
      </c>
      <c r="H129" s="626" t="s">
        <v>1588</v>
      </c>
      <c r="I129" s="626" t="s">
        <v>1588</v>
      </c>
      <c r="J129" s="626" t="s">
        <v>1588</v>
      </c>
      <c r="K129" s="418">
        <f t="shared" si="20"/>
        <v>0</v>
      </c>
    </row>
    <row r="130" spans="1:11" ht="27" customHeight="1">
      <c r="A130" s="424" t="s">
        <v>1637</v>
      </c>
      <c r="B130" s="353">
        <f t="shared" ref="B130:J130" si="21">B131+B139</f>
        <v>1135433</v>
      </c>
      <c r="C130" s="353">
        <f t="shared" si="12"/>
        <v>3030</v>
      </c>
      <c r="D130" s="353">
        <f t="shared" si="21"/>
        <v>2</v>
      </c>
      <c r="E130" s="353">
        <f t="shared" si="21"/>
        <v>298</v>
      </c>
      <c r="F130" s="353">
        <f t="shared" si="21"/>
        <v>77</v>
      </c>
      <c r="G130" s="353">
        <f t="shared" si="21"/>
        <v>2</v>
      </c>
      <c r="H130" s="353">
        <f t="shared" si="21"/>
        <v>240</v>
      </c>
      <c r="I130" s="353">
        <f t="shared" si="21"/>
        <v>1</v>
      </c>
      <c r="J130" s="353">
        <f t="shared" si="21"/>
        <v>2410</v>
      </c>
      <c r="K130" s="418">
        <f t="shared" si="20"/>
        <v>26.685854647522135</v>
      </c>
    </row>
    <row r="131" spans="1:11" ht="27" customHeight="1">
      <c r="A131" s="424" t="s">
        <v>1674</v>
      </c>
      <c r="B131" s="353">
        <f t="shared" ref="B131:J131" si="22">SUM(B132:B138)</f>
        <v>857036</v>
      </c>
      <c r="C131" s="353">
        <f t="shared" si="12"/>
        <v>2777</v>
      </c>
      <c r="D131" s="353">
        <f t="shared" si="22"/>
        <v>2</v>
      </c>
      <c r="E131" s="353">
        <f t="shared" si="22"/>
        <v>238</v>
      </c>
      <c r="F131" s="353">
        <f t="shared" si="22"/>
        <v>77</v>
      </c>
      <c r="G131" s="353">
        <f t="shared" si="22"/>
        <v>2</v>
      </c>
      <c r="H131" s="353">
        <f t="shared" si="22"/>
        <v>79</v>
      </c>
      <c r="I131" s="353">
        <f t="shared" si="22"/>
        <v>1</v>
      </c>
      <c r="J131" s="353">
        <f t="shared" si="22"/>
        <v>2378</v>
      </c>
      <c r="K131" s="419">
        <f t="shared" si="20"/>
        <v>32.402372829146032</v>
      </c>
    </row>
    <row r="132" spans="1:11" ht="27" customHeight="1">
      <c r="A132" s="424" t="s">
        <v>1638</v>
      </c>
      <c r="B132" s="350">
        <v>459889</v>
      </c>
      <c r="C132" s="353">
        <f t="shared" si="12"/>
        <v>2073</v>
      </c>
      <c r="D132" s="632" t="s">
        <v>1588</v>
      </c>
      <c r="E132" s="353">
        <v>15</v>
      </c>
      <c r="F132" s="632" t="s">
        <v>1588</v>
      </c>
      <c r="G132" s="632" t="s">
        <v>1588</v>
      </c>
      <c r="H132" s="632" t="s">
        <v>1588</v>
      </c>
      <c r="I132" s="632" t="s">
        <v>1588</v>
      </c>
      <c r="J132" s="350">
        <v>2058</v>
      </c>
      <c r="K132" s="419">
        <f t="shared" si="20"/>
        <v>45.076094448877882</v>
      </c>
    </row>
    <row r="133" spans="1:11" ht="27" customHeight="1">
      <c r="A133" s="424" t="s">
        <v>1639</v>
      </c>
      <c r="B133" s="350">
        <v>78273</v>
      </c>
      <c r="C133" s="350">
        <f t="shared" si="12"/>
        <v>287</v>
      </c>
      <c r="D133" s="626" t="s">
        <v>1588</v>
      </c>
      <c r="E133" s="350">
        <v>105</v>
      </c>
      <c r="F133" s="350">
        <v>53</v>
      </c>
      <c r="G133" s="626" t="s">
        <v>1588</v>
      </c>
      <c r="H133" s="626" t="s">
        <v>1588</v>
      </c>
      <c r="I133" s="626" t="s">
        <v>1588</v>
      </c>
      <c r="J133" s="350">
        <v>129</v>
      </c>
      <c r="K133" s="419">
        <f t="shared" si="20"/>
        <v>36.666538908691372</v>
      </c>
    </row>
    <row r="134" spans="1:11" ht="27" customHeight="1">
      <c r="A134" s="424" t="s">
        <v>1641</v>
      </c>
      <c r="B134" s="353">
        <v>61605</v>
      </c>
      <c r="C134" s="353">
        <f t="shared" si="12"/>
        <v>20</v>
      </c>
      <c r="D134" s="632" t="s">
        <v>1588</v>
      </c>
      <c r="E134" s="353">
        <v>4</v>
      </c>
      <c r="F134" s="632" t="s">
        <v>1588</v>
      </c>
      <c r="G134" s="353">
        <v>1</v>
      </c>
      <c r="H134" s="632" t="s">
        <v>1588</v>
      </c>
      <c r="I134" s="632" t="s">
        <v>1588</v>
      </c>
      <c r="J134" s="353">
        <v>15</v>
      </c>
      <c r="K134" s="419">
        <f t="shared" si="20"/>
        <v>3.2464897329762192</v>
      </c>
    </row>
    <row r="135" spans="1:11" ht="27" customHeight="1">
      <c r="A135" s="424" t="s">
        <v>1645</v>
      </c>
      <c r="B135" s="350">
        <v>98510</v>
      </c>
      <c r="C135" s="353">
        <f t="shared" si="12"/>
        <v>157</v>
      </c>
      <c r="D135" s="632" t="s">
        <v>1588</v>
      </c>
      <c r="E135" s="353">
        <v>51</v>
      </c>
      <c r="F135" s="353">
        <v>7</v>
      </c>
      <c r="G135" s="632" t="s">
        <v>1588</v>
      </c>
      <c r="H135" s="353">
        <v>2</v>
      </c>
      <c r="I135" s="632" t="s">
        <v>1588</v>
      </c>
      <c r="J135" s="353">
        <v>97</v>
      </c>
      <c r="K135" s="419">
        <f t="shared" si="20"/>
        <v>15.93746827733225</v>
      </c>
    </row>
    <row r="136" spans="1:11" ht="27" customHeight="1">
      <c r="A136" s="424" t="s">
        <v>1649</v>
      </c>
      <c r="B136" s="353">
        <v>76688</v>
      </c>
      <c r="C136" s="353">
        <f t="shared" si="12"/>
        <v>50</v>
      </c>
      <c r="D136" s="632" t="s">
        <v>1588</v>
      </c>
      <c r="E136" s="353">
        <v>5</v>
      </c>
      <c r="F136" s="353">
        <v>8</v>
      </c>
      <c r="G136" s="632" t="s">
        <v>1588</v>
      </c>
      <c r="H136" s="353">
        <v>25</v>
      </c>
      <c r="I136" s="632" t="s">
        <v>1588</v>
      </c>
      <c r="J136" s="353">
        <v>12</v>
      </c>
      <c r="K136" s="419">
        <f t="shared" si="20"/>
        <v>6.5199248904652611</v>
      </c>
    </row>
    <row r="137" spans="1:11" ht="27" customHeight="1">
      <c r="A137" s="424" t="s">
        <v>1651</v>
      </c>
      <c r="B137" s="350">
        <v>47477</v>
      </c>
      <c r="C137" s="353">
        <f t="shared" ref="C137:C200" si="23">SUM(D137:J137)</f>
        <v>90</v>
      </c>
      <c r="D137" s="632" t="s">
        <v>1588</v>
      </c>
      <c r="E137" s="353">
        <v>48</v>
      </c>
      <c r="F137" s="353">
        <v>7</v>
      </c>
      <c r="G137" s="632" t="s">
        <v>1588</v>
      </c>
      <c r="H137" s="353">
        <v>5</v>
      </c>
      <c r="I137" s="632" t="s">
        <v>1588</v>
      </c>
      <c r="J137" s="353">
        <v>30</v>
      </c>
      <c r="K137" s="419">
        <f t="shared" si="20"/>
        <v>18.956547380837037</v>
      </c>
    </row>
    <row r="138" spans="1:11" ht="27" customHeight="1">
      <c r="A138" s="424" t="s">
        <v>1653</v>
      </c>
      <c r="B138" s="353">
        <v>34594</v>
      </c>
      <c r="C138" s="353">
        <f t="shared" si="23"/>
        <v>100</v>
      </c>
      <c r="D138" s="353">
        <v>2</v>
      </c>
      <c r="E138" s="353">
        <v>10</v>
      </c>
      <c r="F138" s="353">
        <v>2</v>
      </c>
      <c r="G138" s="353">
        <v>1</v>
      </c>
      <c r="H138" s="353">
        <v>47</v>
      </c>
      <c r="I138" s="353">
        <v>1</v>
      </c>
      <c r="J138" s="353">
        <v>37</v>
      </c>
      <c r="K138" s="419">
        <f t="shared" si="20"/>
        <v>28.906746834711225</v>
      </c>
    </row>
    <row r="139" spans="1:11" ht="27" customHeight="1">
      <c r="A139" s="424" t="s">
        <v>1616</v>
      </c>
      <c r="B139" s="353">
        <f t="shared" ref="B139:J139" si="24">SUM(B140:B148)</f>
        <v>278397</v>
      </c>
      <c r="C139" s="353">
        <f t="shared" si="23"/>
        <v>253</v>
      </c>
      <c r="D139" s="353">
        <f t="shared" si="24"/>
        <v>0</v>
      </c>
      <c r="E139" s="353">
        <f t="shared" si="24"/>
        <v>60</v>
      </c>
      <c r="F139" s="353">
        <f t="shared" si="24"/>
        <v>0</v>
      </c>
      <c r="G139" s="353">
        <f t="shared" si="24"/>
        <v>0</v>
      </c>
      <c r="H139" s="353">
        <f t="shared" si="24"/>
        <v>161</v>
      </c>
      <c r="I139" s="353">
        <f t="shared" si="24"/>
        <v>0</v>
      </c>
      <c r="J139" s="353">
        <f t="shared" si="24"/>
        <v>32</v>
      </c>
      <c r="K139" s="418">
        <f t="shared" si="20"/>
        <v>9.0877416064109884</v>
      </c>
    </row>
    <row r="140" spans="1:11" ht="27" customHeight="1">
      <c r="A140" s="424" t="s">
        <v>1655</v>
      </c>
      <c r="B140" s="350">
        <v>24442</v>
      </c>
      <c r="C140" s="350">
        <f t="shared" si="23"/>
        <v>6</v>
      </c>
      <c r="D140" s="626" t="s">
        <v>1588</v>
      </c>
      <c r="E140" s="350">
        <v>3</v>
      </c>
      <c r="F140" s="626" t="s">
        <v>1588</v>
      </c>
      <c r="G140" s="626" t="s">
        <v>1588</v>
      </c>
      <c r="H140" s="626" t="s">
        <v>1588</v>
      </c>
      <c r="I140" s="626" t="s">
        <v>1588</v>
      </c>
      <c r="J140" s="350">
        <v>3</v>
      </c>
      <c r="K140" s="418">
        <f t="shared" si="20"/>
        <v>2.4547909336388183</v>
      </c>
    </row>
    <row r="141" spans="1:11" ht="27" customHeight="1">
      <c r="A141" s="424" t="s">
        <v>1658</v>
      </c>
      <c r="B141" s="350">
        <v>40584</v>
      </c>
      <c r="C141" s="350">
        <f t="shared" si="23"/>
        <v>0</v>
      </c>
      <c r="D141" s="350">
        <v>0</v>
      </c>
      <c r="E141" s="626" t="s">
        <v>1588</v>
      </c>
      <c r="F141" s="626" t="s">
        <v>1588</v>
      </c>
      <c r="G141" s="626" t="s">
        <v>1588</v>
      </c>
      <c r="H141" s="626" t="s">
        <v>1588</v>
      </c>
      <c r="I141" s="626" t="s">
        <v>1588</v>
      </c>
      <c r="J141" s="626" t="s">
        <v>1588</v>
      </c>
      <c r="K141" s="418">
        <f t="shared" si="20"/>
        <v>0</v>
      </c>
    </row>
    <row r="142" spans="1:11" ht="27" customHeight="1">
      <c r="A142" s="424" t="s">
        <v>1661</v>
      </c>
      <c r="B142" s="350">
        <v>25509</v>
      </c>
      <c r="C142" s="350">
        <f t="shared" si="23"/>
        <v>120</v>
      </c>
      <c r="D142" s="626" t="s">
        <v>1588</v>
      </c>
      <c r="E142" s="626" t="s">
        <v>1588</v>
      </c>
      <c r="F142" s="626" t="s">
        <v>1588</v>
      </c>
      <c r="G142" s="626" t="s">
        <v>1588</v>
      </c>
      <c r="H142" s="350">
        <v>120</v>
      </c>
      <c r="I142" s="626" t="s">
        <v>1588</v>
      </c>
      <c r="J142" s="626" t="s">
        <v>1588</v>
      </c>
      <c r="K142" s="418">
        <f t="shared" si="20"/>
        <v>47.042220392802534</v>
      </c>
    </row>
    <row r="143" spans="1:11" ht="27" customHeight="1">
      <c r="A143" s="424" t="s">
        <v>1664</v>
      </c>
      <c r="B143" s="350">
        <v>9368</v>
      </c>
      <c r="C143" s="350">
        <f t="shared" si="23"/>
        <v>68</v>
      </c>
      <c r="D143" s="626" t="s">
        <v>1588</v>
      </c>
      <c r="E143" s="350">
        <v>40</v>
      </c>
      <c r="F143" s="626" t="s">
        <v>1588</v>
      </c>
      <c r="G143" s="626" t="s">
        <v>1588</v>
      </c>
      <c r="H143" s="350">
        <v>15</v>
      </c>
      <c r="I143" s="626" t="s">
        <v>1588</v>
      </c>
      <c r="J143" s="350">
        <v>13</v>
      </c>
      <c r="K143" s="418">
        <f t="shared" si="20"/>
        <v>72.58753202391118</v>
      </c>
    </row>
    <row r="144" spans="1:11" ht="27" customHeight="1">
      <c r="A144" s="424" t="s">
        <v>1665</v>
      </c>
      <c r="B144" s="350">
        <v>10802</v>
      </c>
      <c r="C144" s="350">
        <f t="shared" si="23"/>
        <v>0</v>
      </c>
      <c r="D144" s="626" t="s">
        <v>1588</v>
      </c>
      <c r="E144" s="626" t="s">
        <v>1588</v>
      </c>
      <c r="F144" s="626" t="s">
        <v>1588</v>
      </c>
      <c r="G144" s="626" t="s">
        <v>1588</v>
      </c>
      <c r="H144" s="626" t="s">
        <v>1588</v>
      </c>
      <c r="I144" s="626" t="s">
        <v>1588</v>
      </c>
      <c r="J144" s="626" t="s">
        <v>1588</v>
      </c>
      <c r="K144" s="418">
        <f t="shared" si="20"/>
        <v>0</v>
      </c>
    </row>
    <row r="145" spans="1:11" ht="27" customHeight="1">
      <c r="A145" s="424" t="s">
        <v>1667</v>
      </c>
      <c r="B145" s="350">
        <v>49885</v>
      </c>
      <c r="C145" s="350">
        <f t="shared" si="23"/>
        <v>0</v>
      </c>
      <c r="D145" s="626" t="s">
        <v>1588</v>
      </c>
      <c r="E145" s="626" t="s">
        <v>1588</v>
      </c>
      <c r="F145" s="626" t="s">
        <v>1588</v>
      </c>
      <c r="G145" s="626" t="s">
        <v>1588</v>
      </c>
      <c r="H145" s="626" t="s">
        <v>1588</v>
      </c>
      <c r="I145" s="626" t="s">
        <v>1588</v>
      </c>
      <c r="J145" s="626" t="s">
        <v>1588</v>
      </c>
      <c r="K145" s="418">
        <f t="shared" si="20"/>
        <v>0</v>
      </c>
    </row>
    <row r="146" spans="1:11" ht="27" customHeight="1">
      <c r="A146" s="349" t="s">
        <v>1668</v>
      </c>
      <c r="B146" s="350">
        <v>47417</v>
      </c>
      <c r="C146" s="350">
        <f t="shared" si="23"/>
        <v>6</v>
      </c>
      <c r="D146" s="626" t="s">
        <v>1588</v>
      </c>
      <c r="E146" s="350">
        <v>1</v>
      </c>
      <c r="F146" s="626" t="s">
        <v>1588</v>
      </c>
      <c r="G146" s="626" t="s">
        <v>1588</v>
      </c>
      <c r="H146" s="626" t="s">
        <v>1588</v>
      </c>
      <c r="I146" s="626" t="s">
        <v>1588</v>
      </c>
      <c r="J146" s="350">
        <v>5</v>
      </c>
      <c r="K146" s="418">
        <f t="shared" si="20"/>
        <v>1.265368960499399</v>
      </c>
    </row>
    <row r="147" spans="1:11" ht="27" customHeight="1">
      <c r="A147" s="424" t="s">
        <v>1670</v>
      </c>
      <c r="B147" s="350">
        <v>23071</v>
      </c>
      <c r="C147" s="350">
        <f t="shared" si="23"/>
        <v>40</v>
      </c>
      <c r="D147" s="626" t="s">
        <v>1588</v>
      </c>
      <c r="E147" s="350">
        <v>15</v>
      </c>
      <c r="F147" s="626" t="s">
        <v>1588</v>
      </c>
      <c r="G147" s="626" t="s">
        <v>1588</v>
      </c>
      <c r="H147" s="350">
        <v>25</v>
      </c>
      <c r="I147" s="626" t="s">
        <v>1588</v>
      </c>
      <c r="J147" s="626" t="s">
        <v>1588</v>
      </c>
      <c r="K147" s="418">
        <f t="shared" si="20"/>
        <v>17.337783364396863</v>
      </c>
    </row>
    <row r="148" spans="1:11" ht="27" customHeight="1">
      <c r="A148" s="424" t="s">
        <v>1672</v>
      </c>
      <c r="B148" s="350">
        <v>47319</v>
      </c>
      <c r="C148" s="350">
        <f t="shared" si="23"/>
        <v>13</v>
      </c>
      <c r="D148" s="626" t="s">
        <v>1588</v>
      </c>
      <c r="E148" s="350">
        <v>1</v>
      </c>
      <c r="F148" s="626" t="s">
        <v>1588</v>
      </c>
      <c r="G148" s="626" t="s">
        <v>1588</v>
      </c>
      <c r="H148" s="350">
        <v>1</v>
      </c>
      <c r="I148" s="626" t="s">
        <v>1588</v>
      </c>
      <c r="J148" s="350">
        <v>11</v>
      </c>
      <c r="K148" s="418">
        <f t="shared" si="20"/>
        <v>2.7473108053847293</v>
      </c>
    </row>
    <row r="149" spans="1:11" ht="27" customHeight="1">
      <c r="A149" s="424" t="s">
        <v>1673</v>
      </c>
      <c r="B149" s="353">
        <f t="shared" ref="B149:J149" si="25">+B150+B157</f>
        <v>1376623</v>
      </c>
      <c r="C149" s="353">
        <f t="shared" si="23"/>
        <v>1048</v>
      </c>
      <c r="D149" s="353">
        <f t="shared" si="25"/>
        <v>1</v>
      </c>
      <c r="E149" s="353">
        <f t="shared" si="25"/>
        <v>194</v>
      </c>
      <c r="F149" s="353">
        <f t="shared" si="25"/>
        <v>0</v>
      </c>
      <c r="G149" s="353">
        <f t="shared" si="25"/>
        <v>0</v>
      </c>
      <c r="H149" s="353">
        <f t="shared" si="25"/>
        <v>240</v>
      </c>
      <c r="I149" s="353">
        <f t="shared" si="25"/>
        <v>0</v>
      </c>
      <c r="J149" s="353">
        <f t="shared" si="25"/>
        <v>613</v>
      </c>
      <c r="K149" s="418">
        <f t="shared" si="20"/>
        <v>7.6128322714352441</v>
      </c>
    </row>
    <row r="150" spans="1:11" ht="27" customHeight="1">
      <c r="A150" s="424" t="s">
        <v>1674</v>
      </c>
      <c r="B150" s="353">
        <f t="shared" ref="B150:J150" si="26">+SUM(B151:B156)</f>
        <v>1245659</v>
      </c>
      <c r="C150" s="353">
        <f t="shared" si="23"/>
        <v>779</v>
      </c>
      <c r="D150" s="353">
        <f t="shared" si="26"/>
        <v>1</v>
      </c>
      <c r="E150" s="353">
        <f t="shared" si="26"/>
        <v>178</v>
      </c>
      <c r="F150" s="353">
        <f t="shared" si="26"/>
        <v>0</v>
      </c>
      <c r="G150" s="353">
        <f t="shared" si="26"/>
        <v>0</v>
      </c>
      <c r="H150" s="353">
        <f t="shared" si="26"/>
        <v>0</v>
      </c>
      <c r="I150" s="353">
        <f t="shared" si="26"/>
        <v>0</v>
      </c>
      <c r="J150" s="353">
        <f t="shared" si="26"/>
        <v>600</v>
      </c>
      <c r="K150" s="418">
        <f t="shared" si="20"/>
        <v>6.2537179115632773</v>
      </c>
    </row>
    <row r="151" spans="1:11" ht="27" customHeight="1">
      <c r="A151" s="432" t="s">
        <v>1675</v>
      </c>
      <c r="B151" s="353">
        <v>599000</v>
      </c>
      <c r="C151" s="353">
        <f t="shared" si="23"/>
        <v>58</v>
      </c>
      <c r="D151" s="350">
        <v>1</v>
      </c>
      <c r="E151" s="350">
        <v>21</v>
      </c>
      <c r="F151" s="350">
        <v>0</v>
      </c>
      <c r="G151" s="350">
        <v>0</v>
      </c>
      <c r="H151" s="350">
        <v>0</v>
      </c>
      <c r="I151" s="350">
        <v>0</v>
      </c>
      <c r="J151" s="350">
        <v>36</v>
      </c>
      <c r="K151" s="418">
        <f t="shared" si="20"/>
        <v>0.96828046744574292</v>
      </c>
    </row>
    <row r="152" spans="1:11" ht="27" customHeight="1">
      <c r="A152" s="432" t="s">
        <v>1677</v>
      </c>
      <c r="B152" s="353">
        <v>216064</v>
      </c>
      <c r="C152" s="353">
        <f t="shared" si="23"/>
        <v>0</v>
      </c>
      <c r="D152" s="632" t="s">
        <v>1588</v>
      </c>
      <c r="E152" s="632" t="s">
        <v>1588</v>
      </c>
      <c r="F152" s="632" t="s">
        <v>1588</v>
      </c>
      <c r="G152" s="632" t="s">
        <v>1588</v>
      </c>
      <c r="H152" s="632" t="s">
        <v>1588</v>
      </c>
      <c r="I152" s="632" t="s">
        <v>1588</v>
      </c>
      <c r="J152" s="632" t="s">
        <v>1588</v>
      </c>
      <c r="K152" s="418">
        <v>0</v>
      </c>
    </row>
    <row r="153" spans="1:11" ht="27" customHeight="1">
      <c r="A153" s="432" t="s">
        <v>1678</v>
      </c>
      <c r="B153" s="353">
        <v>256990</v>
      </c>
      <c r="C153" s="353">
        <f t="shared" si="23"/>
        <v>0</v>
      </c>
      <c r="D153" s="632" t="s">
        <v>1588</v>
      </c>
      <c r="E153" s="632" t="s">
        <v>1588</v>
      </c>
      <c r="F153" s="632" t="s">
        <v>1588</v>
      </c>
      <c r="G153" s="632" t="s">
        <v>1588</v>
      </c>
      <c r="H153" s="632" t="s">
        <v>1588</v>
      </c>
      <c r="I153" s="632" t="s">
        <v>1588</v>
      </c>
      <c r="J153" s="632" t="s">
        <v>1588</v>
      </c>
      <c r="K153" s="418">
        <v>0</v>
      </c>
    </row>
    <row r="154" spans="1:11" ht="27" customHeight="1">
      <c r="A154" s="432" t="s">
        <v>1684</v>
      </c>
      <c r="B154" s="350">
        <v>71262</v>
      </c>
      <c r="C154" s="353">
        <f t="shared" si="23"/>
        <v>361</v>
      </c>
      <c r="D154" s="632" t="s">
        <v>1588</v>
      </c>
      <c r="E154" s="353">
        <v>157</v>
      </c>
      <c r="F154" s="632" t="s">
        <v>1588</v>
      </c>
      <c r="G154" s="632" t="s">
        <v>1588</v>
      </c>
      <c r="H154" s="632" t="s">
        <v>1588</v>
      </c>
      <c r="I154" s="632" t="s">
        <v>1588</v>
      </c>
      <c r="J154" s="353">
        <v>204</v>
      </c>
      <c r="K154" s="418">
        <f>(C154/B154)*10000</f>
        <v>50.658134770284306</v>
      </c>
    </row>
    <row r="155" spans="1:11" ht="27" customHeight="1">
      <c r="A155" s="426" t="s">
        <v>1687</v>
      </c>
      <c r="B155" s="350">
        <v>62526</v>
      </c>
      <c r="C155" s="353">
        <f t="shared" si="23"/>
        <v>360</v>
      </c>
      <c r="D155" s="632" t="s">
        <v>1588</v>
      </c>
      <c r="E155" s="632" t="s">
        <v>1588</v>
      </c>
      <c r="F155" s="632" t="s">
        <v>1588</v>
      </c>
      <c r="G155" s="632" t="s">
        <v>1588</v>
      </c>
      <c r="H155" s="632" t="s">
        <v>1588</v>
      </c>
      <c r="I155" s="632" t="s">
        <v>1588</v>
      </c>
      <c r="J155" s="353">
        <v>360</v>
      </c>
      <c r="K155" s="418">
        <f t="shared" ref="K155:K201" si="27">(C155/B155)*10000</f>
        <v>57.576048363880624</v>
      </c>
    </row>
    <row r="156" spans="1:11" ht="27" customHeight="1">
      <c r="A156" s="432" t="s">
        <v>1691</v>
      </c>
      <c r="B156" s="353">
        <v>39817</v>
      </c>
      <c r="C156" s="353">
        <f t="shared" si="23"/>
        <v>0</v>
      </c>
      <c r="D156" s="632" t="s">
        <v>1588</v>
      </c>
      <c r="E156" s="632" t="s">
        <v>1588</v>
      </c>
      <c r="F156" s="632" t="s">
        <v>1588</v>
      </c>
      <c r="G156" s="632" t="s">
        <v>1588</v>
      </c>
      <c r="H156" s="632" t="s">
        <v>1588</v>
      </c>
      <c r="I156" s="632" t="s">
        <v>1588</v>
      </c>
      <c r="J156" s="632" t="s">
        <v>1588</v>
      </c>
      <c r="K156" s="418">
        <f t="shared" si="27"/>
        <v>0</v>
      </c>
    </row>
    <row r="157" spans="1:11" ht="27" customHeight="1">
      <c r="A157" s="424" t="s">
        <v>1616</v>
      </c>
      <c r="B157" s="353">
        <f>+SUM(B158:B165)</f>
        <v>130964</v>
      </c>
      <c r="C157" s="353">
        <f t="shared" si="23"/>
        <v>269</v>
      </c>
      <c r="D157" s="353">
        <f t="shared" ref="D157:J157" si="28">+SUM(D158:D165)</f>
        <v>0</v>
      </c>
      <c r="E157" s="353">
        <f t="shared" si="28"/>
        <v>16</v>
      </c>
      <c r="F157" s="353">
        <f t="shared" si="28"/>
        <v>0</v>
      </c>
      <c r="G157" s="353">
        <f t="shared" si="28"/>
        <v>0</v>
      </c>
      <c r="H157" s="353">
        <f t="shared" si="28"/>
        <v>240</v>
      </c>
      <c r="I157" s="353">
        <f t="shared" si="28"/>
        <v>0</v>
      </c>
      <c r="J157" s="353">
        <f t="shared" si="28"/>
        <v>13</v>
      </c>
      <c r="K157" s="418">
        <f t="shared" si="27"/>
        <v>20.53999572401576</v>
      </c>
    </row>
    <row r="158" spans="1:11" ht="27" customHeight="1">
      <c r="A158" s="432" t="s">
        <v>1692</v>
      </c>
      <c r="B158" s="353">
        <v>27609</v>
      </c>
      <c r="C158" s="353">
        <f t="shared" si="23"/>
        <v>251</v>
      </c>
      <c r="D158" s="632" t="s">
        <v>1588</v>
      </c>
      <c r="E158" s="632" t="s">
        <v>1588</v>
      </c>
      <c r="F158" s="632" t="s">
        <v>1588</v>
      </c>
      <c r="G158" s="632" t="s">
        <v>1588</v>
      </c>
      <c r="H158" s="353">
        <v>240</v>
      </c>
      <c r="I158" s="632" t="s">
        <v>1588</v>
      </c>
      <c r="J158" s="353">
        <v>11</v>
      </c>
      <c r="K158" s="418">
        <f>(C158/B158)*10000</f>
        <v>90.912383643014962</v>
      </c>
    </row>
    <row r="159" spans="1:11" ht="27" customHeight="1">
      <c r="A159" s="432" t="s">
        <v>1693</v>
      </c>
      <c r="B159" s="353">
        <v>13958</v>
      </c>
      <c r="C159" s="353">
        <f t="shared" si="23"/>
        <v>15</v>
      </c>
      <c r="D159" s="632" t="s">
        <v>1588</v>
      </c>
      <c r="E159" s="353">
        <v>15</v>
      </c>
      <c r="F159" s="632" t="s">
        <v>1588</v>
      </c>
      <c r="G159" s="632" t="s">
        <v>1588</v>
      </c>
      <c r="H159" s="632" t="s">
        <v>1588</v>
      </c>
      <c r="I159" s="632" t="s">
        <v>1588</v>
      </c>
      <c r="J159" s="632" t="s">
        <v>1588</v>
      </c>
      <c r="K159" s="418">
        <f t="shared" si="27"/>
        <v>10.746525290156184</v>
      </c>
    </row>
    <row r="160" spans="1:11" ht="27" customHeight="1">
      <c r="A160" s="432" t="s">
        <v>1695</v>
      </c>
      <c r="B160" s="353">
        <v>8297</v>
      </c>
      <c r="C160" s="353">
        <f t="shared" si="23"/>
        <v>0</v>
      </c>
      <c r="D160" s="632" t="s">
        <v>1588</v>
      </c>
      <c r="E160" s="632" t="s">
        <v>1588</v>
      </c>
      <c r="F160" s="632" t="s">
        <v>1588</v>
      </c>
      <c r="G160" s="632" t="s">
        <v>1588</v>
      </c>
      <c r="H160" s="632" t="s">
        <v>1588</v>
      </c>
      <c r="I160" s="632" t="s">
        <v>1588</v>
      </c>
      <c r="J160" s="632" t="s">
        <v>1588</v>
      </c>
      <c r="K160" s="418">
        <f t="shared" si="27"/>
        <v>0</v>
      </c>
    </row>
    <row r="161" spans="1:11" ht="27" customHeight="1">
      <c r="A161" s="432" t="s">
        <v>1696</v>
      </c>
      <c r="B161" s="353">
        <v>10307</v>
      </c>
      <c r="C161" s="353">
        <f t="shared" si="23"/>
        <v>0</v>
      </c>
      <c r="D161" s="632" t="s">
        <v>1588</v>
      </c>
      <c r="E161" s="632" t="s">
        <v>1588</v>
      </c>
      <c r="F161" s="632" t="s">
        <v>1588</v>
      </c>
      <c r="G161" s="632" t="s">
        <v>1588</v>
      </c>
      <c r="H161" s="632" t="s">
        <v>1588</v>
      </c>
      <c r="I161" s="632" t="s">
        <v>1588</v>
      </c>
      <c r="J161" s="632" t="s">
        <v>1588</v>
      </c>
      <c r="K161" s="418">
        <f t="shared" si="27"/>
        <v>0</v>
      </c>
    </row>
    <row r="162" spans="1:11" ht="27" customHeight="1">
      <c r="A162" s="432" t="s">
        <v>1702</v>
      </c>
      <c r="B162" s="353">
        <v>17118</v>
      </c>
      <c r="C162" s="353">
        <f t="shared" si="23"/>
        <v>0</v>
      </c>
      <c r="D162" s="632" t="s">
        <v>1588</v>
      </c>
      <c r="E162" s="632" t="s">
        <v>1588</v>
      </c>
      <c r="F162" s="632" t="s">
        <v>1588</v>
      </c>
      <c r="G162" s="632" t="s">
        <v>1588</v>
      </c>
      <c r="H162" s="632" t="s">
        <v>1588</v>
      </c>
      <c r="I162" s="632" t="s">
        <v>1588</v>
      </c>
      <c r="J162" s="632" t="s">
        <v>1588</v>
      </c>
      <c r="K162" s="418">
        <f t="shared" si="27"/>
        <v>0</v>
      </c>
    </row>
    <row r="163" spans="1:11" ht="27" customHeight="1">
      <c r="A163" s="432" t="s">
        <v>1866</v>
      </c>
      <c r="B163" s="353">
        <v>12023</v>
      </c>
      <c r="C163" s="353">
        <f t="shared" si="23"/>
        <v>1</v>
      </c>
      <c r="D163" s="632" t="s">
        <v>1588</v>
      </c>
      <c r="E163" s="353">
        <v>1</v>
      </c>
      <c r="F163" s="632" t="s">
        <v>1588</v>
      </c>
      <c r="G163" s="632" t="s">
        <v>1588</v>
      </c>
      <c r="H163" s="632" t="s">
        <v>1588</v>
      </c>
      <c r="I163" s="632" t="s">
        <v>1588</v>
      </c>
      <c r="J163" s="632" t="s">
        <v>1588</v>
      </c>
      <c r="K163" s="418">
        <f t="shared" si="27"/>
        <v>0.83173916659735503</v>
      </c>
    </row>
    <row r="164" spans="1:11" ht="27" customHeight="1">
      <c r="A164" s="432" t="s">
        <v>1870</v>
      </c>
      <c r="B164" s="350">
        <v>20272</v>
      </c>
      <c r="C164" s="353">
        <f t="shared" si="23"/>
        <v>0</v>
      </c>
      <c r="D164" s="632" t="s">
        <v>1588</v>
      </c>
      <c r="E164" s="632" t="s">
        <v>1588</v>
      </c>
      <c r="F164" s="632" t="s">
        <v>1588</v>
      </c>
      <c r="G164" s="632" t="s">
        <v>1588</v>
      </c>
      <c r="H164" s="632" t="s">
        <v>1588</v>
      </c>
      <c r="I164" s="632" t="s">
        <v>1588</v>
      </c>
      <c r="J164" s="632" t="s">
        <v>1588</v>
      </c>
      <c r="K164" s="418">
        <f t="shared" si="27"/>
        <v>0</v>
      </c>
    </row>
    <row r="165" spans="1:11" ht="27" customHeight="1">
      <c r="A165" s="432" t="s">
        <v>1871</v>
      </c>
      <c r="B165" s="353">
        <v>21380</v>
      </c>
      <c r="C165" s="353">
        <f t="shared" si="23"/>
        <v>2</v>
      </c>
      <c r="D165" s="632" t="s">
        <v>1588</v>
      </c>
      <c r="E165" s="632" t="s">
        <v>1588</v>
      </c>
      <c r="F165" s="632" t="s">
        <v>1588</v>
      </c>
      <c r="G165" s="632" t="s">
        <v>1588</v>
      </c>
      <c r="H165" s="632" t="s">
        <v>1588</v>
      </c>
      <c r="I165" s="632" t="s">
        <v>1588</v>
      </c>
      <c r="J165" s="353">
        <v>2</v>
      </c>
      <c r="K165" s="418">
        <f t="shared" si="27"/>
        <v>0.93545369504209541</v>
      </c>
    </row>
    <row r="166" spans="1:11" ht="27" customHeight="1">
      <c r="A166" s="424" t="s">
        <v>1872</v>
      </c>
      <c r="B166" s="353">
        <f t="shared" ref="B166:J166" si="29">B167+B173</f>
        <v>1204490</v>
      </c>
      <c r="C166" s="353">
        <f t="shared" si="23"/>
        <v>1506</v>
      </c>
      <c r="D166" s="353">
        <f t="shared" si="29"/>
        <v>2</v>
      </c>
      <c r="E166" s="353">
        <f t="shared" si="29"/>
        <v>617</v>
      </c>
      <c r="F166" s="353">
        <f t="shared" si="29"/>
        <v>99</v>
      </c>
      <c r="G166" s="353">
        <f t="shared" si="29"/>
        <v>2</v>
      </c>
      <c r="H166" s="353">
        <f t="shared" si="29"/>
        <v>157</v>
      </c>
      <c r="I166" s="353">
        <f t="shared" si="29"/>
        <v>0</v>
      </c>
      <c r="J166" s="353">
        <f t="shared" si="29"/>
        <v>629</v>
      </c>
      <c r="K166" s="418">
        <f t="shared" si="27"/>
        <v>12.503217129241422</v>
      </c>
    </row>
    <row r="167" spans="1:11" ht="27" customHeight="1">
      <c r="A167" s="424" t="s">
        <v>1674</v>
      </c>
      <c r="B167" s="353">
        <f t="shared" ref="B167:J167" si="30">SUM(B168:B172)</f>
        <v>871131</v>
      </c>
      <c r="C167" s="353">
        <f t="shared" si="23"/>
        <v>1421</v>
      </c>
      <c r="D167" s="353">
        <f t="shared" si="30"/>
        <v>0</v>
      </c>
      <c r="E167" s="353">
        <f t="shared" si="30"/>
        <v>577</v>
      </c>
      <c r="F167" s="353">
        <f t="shared" si="30"/>
        <v>98</v>
      </c>
      <c r="G167" s="353">
        <f t="shared" si="30"/>
        <v>1</v>
      </c>
      <c r="H167" s="353">
        <f t="shared" si="30"/>
        <v>152</v>
      </c>
      <c r="I167" s="353">
        <f t="shared" si="30"/>
        <v>0</v>
      </c>
      <c r="J167" s="353">
        <f t="shared" si="30"/>
        <v>593</v>
      </c>
      <c r="K167" s="418">
        <f t="shared" si="27"/>
        <v>16.31212756749559</v>
      </c>
    </row>
    <row r="168" spans="1:11" ht="27" customHeight="1">
      <c r="A168" s="424" t="s">
        <v>1873</v>
      </c>
      <c r="B168" s="350">
        <v>235280</v>
      </c>
      <c r="C168" s="353">
        <f t="shared" si="23"/>
        <v>0</v>
      </c>
      <c r="D168" s="353">
        <v>0</v>
      </c>
      <c r="E168" s="353">
        <v>0</v>
      </c>
      <c r="F168" s="353">
        <v>0</v>
      </c>
      <c r="G168" s="353">
        <v>0</v>
      </c>
      <c r="H168" s="353">
        <v>0</v>
      </c>
      <c r="I168" s="353">
        <v>0</v>
      </c>
      <c r="J168" s="353">
        <v>0</v>
      </c>
      <c r="K168" s="418">
        <f t="shared" si="27"/>
        <v>0</v>
      </c>
    </row>
    <row r="169" spans="1:11" ht="27" customHeight="1">
      <c r="A169" s="424" t="s">
        <v>1874</v>
      </c>
      <c r="B169" s="350">
        <v>233392</v>
      </c>
      <c r="C169" s="353">
        <f t="shared" si="23"/>
        <v>499</v>
      </c>
      <c r="D169" s="632" t="s">
        <v>1588</v>
      </c>
      <c r="E169" s="353">
        <v>74</v>
      </c>
      <c r="F169" s="353">
        <v>98</v>
      </c>
      <c r="G169" s="632" t="s">
        <v>1588</v>
      </c>
      <c r="H169" s="632" t="s">
        <v>1588</v>
      </c>
      <c r="I169" s="632" t="s">
        <v>1588</v>
      </c>
      <c r="J169" s="353">
        <v>327</v>
      </c>
      <c r="K169" s="418">
        <f t="shared" si="27"/>
        <v>21.380338657708919</v>
      </c>
    </row>
    <row r="170" spans="1:11" ht="27" customHeight="1">
      <c r="A170" s="424" t="s">
        <v>1875</v>
      </c>
      <c r="B170" s="350">
        <v>233860</v>
      </c>
      <c r="C170" s="353">
        <f t="shared" si="23"/>
        <v>810</v>
      </c>
      <c r="D170" s="632" t="s">
        <v>1588</v>
      </c>
      <c r="E170" s="353">
        <v>437</v>
      </c>
      <c r="F170" s="632" t="s">
        <v>1588</v>
      </c>
      <c r="G170" s="353">
        <v>1</v>
      </c>
      <c r="H170" s="353">
        <v>150</v>
      </c>
      <c r="I170" s="632" t="s">
        <v>1588</v>
      </c>
      <c r="J170" s="353">
        <v>222</v>
      </c>
      <c r="K170" s="418">
        <f t="shared" si="27"/>
        <v>34.636107072607544</v>
      </c>
    </row>
    <row r="171" spans="1:11" ht="27" customHeight="1">
      <c r="A171" s="424" t="s">
        <v>1879</v>
      </c>
      <c r="B171" s="350">
        <v>46539</v>
      </c>
      <c r="C171" s="353">
        <f t="shared" si="23"/>
        <v>11</v>
      </c>
      <c r="D171" s="632" t="s">
        <v>1588</v>
      </c>
      <c r="E171" s="632" t="s">
        <v>1588</v>
      </c>
      <c r="F171" s="632" t="s">
        <v>1588</v>
      </c>
      <c r="G171" s="632" t="s">
        <v>1588</v>
      </c>
      <c r="H171" s="632" t="s">
        <v>1588</v>
      </c>
      <c r="I171" s="632" t="s">
        <v>1588</v>
      </c>
      <c r="J171" s="353">
        <v>11</v>
      </c>
      <c r="K171" s="418">
        <f t="shared" si="27"/>
        <v>2.3636090160940286</v>
      </c>
    </row>
    <row r="172" spans="1:11" ht="27" customHeight="1">
      <c r="A172" s="424" t="s">
        <v>1889</v>
      </c>
      <c r="B172" s="350">
        <v>122060</v>
      </c>
      <c r="C172" s="353">
        <f t="shared" si="23"/>
        <v>101</v>
      </c>
      <c r="D172" s="632" t="s">
        <v>1588</v>
      </c>
      <c r="E172" s="353">
        <v>66</v>
      </c>
      <c r="F172" s="632" t="s">
        <v>1588</v>
      </c>
      <c r="G172" s="632" t="s">
        <v>1588</v>
      </c>
      <c r="H172" s="353">
        <v>2</v>
      </c>
      <c r="I172" s="632" t="s">
        <v>1588</v>
      </c>
      <c r="J172" s="353">
        <v>33</v>
      </c>
      <c r="K172" s="418">
        <f t="shared" si="27"/>
        <v>8.2746190398164838</v>
      </c>
    </row>
    <row r="173" spans="1:11" ht="27" customHeight="1">
      <c r="A173" s="424" t="s">
        <v>1616</v>
      </c>
      <c r="B173" s="350">
        <f t="shared" ref="B173:J173" si="31">SUM(B174:B190)</f>
        <v>333359</v>
      </c>
      <c r="C173" s="350">
        <f t="shared" si="23"/>
        <v>85</v>
      </c>
      <c r="D173" s="350">
        <f t="shared" si="31"/>
        <v>2</v>
      </c>
      <c r="E173" s="350">
        <f t="shared" si="31"/>
        <v>40</v>
      </c>
      <c r="F173" s="350">
        <f t="shared" si="31"/>
        <v>1</v>
      </c>
      <c r="G173" s="350">
        <f t="shared" si="31"/>
        <v>1</v>
      </c>
      <c r="H173" s="350">
        <f t="shared" si="31"/>
        <v>5</v>
      </c>
      <c r="I173" s="350">
        <f t="shared" si="31"/>
        <v>0</v>
      </c>
      <c r="J173" s="350">
        <f t="shared" si="31"/>
        <v>36</v>
      </c>
      <c r="K173" s="440">
        <f t="shared" si="27"/>
        <v>2.549803665117786</v>
      </c>
    </row>
    <row r="174" spans="1:11" ht="27" customHeight="1">
      <c r="A174" s="424" t="s">
        <v>1890</v>
      </c>
      <c r="B174" s="350">
        <v>18375</v>
      </c>
      <c r="C174" s="353">
        <f t="shared" si="23"/>
        <v>0</v>
      </c>
      <c r="D174" s="632" t="s">
        <v>1588</v>
      </c>
      <c r="E174" s="632" t="s">
        <v>1588</v>
      </c>
      <c r="F174" s="632" t="s">
        <v>1588</v>
      </c>
      <c r="G174" s="632" t="s">
        <v>1588</v>
      </c>
      <c r="H174" s="632" t="s">
        <v>1588</v>
      </c>
      <c r="I174" s="632" t="s">
        <v>1588</v>
      </c>
      <c r="J174" s="632" t="s">
        <v>1588</v>
      </c>
      <c r="K174" s="418">
        <f t="shared" si="27"/>
        <v>0</v>
      </c>
    </row>
    <row r="175" spans="1:11" ht="27" customHeight="1">
      <c r="A175" s="424" t="s">
        <v>1891</v>
      </c>
      <c r="B175" s="350">
        <v>19253</v>
      </c>
      <c r="C175" s="353">
        <f t="shared" si="23"/>
        <v>0</v>
      </c>
      <c r="D175" s="632" t="s">
        <v>1588</v>
      </c>
      <c r="E175" s="632" t="s">
        <v>1588</v>
      </c>
      <c r="F175" s="632" t="s">
        <v>1588</v>
      </c>
      <c r="G175" s="632" t="s">
        <v>1588</v>
      </c>
      <c r="H175" s="632" t="s">
        <v>1588</v>
      </c>
      <c r="I175" s="632" t="s">
        <v>1588</v>
      </c>
      <c r="J175" s="632" t="s">
        <v>1588</v>
      </c>
      <c r="K175" s="418">
        <f t="shared" si="27"/>
        <v>0</v>
      </c>
    </row>
    <row r="176" spans="1:11" ht="27" customHeight="1">
      <c r="A176" s="424" t="s">
        <v>1707</v>
      </c>
      <c r="B176" s="350">
        <v>19416</v>
      </c>
      <c r="C176" s="353">
        <f t="shared" si="23"/>
        <v>6</v>
      </c>
      <c r="D176" s="632" t="s">
        <v>1588</v>
      </c>
      <c r="E176" s="353">
        <v>1</v>
      </c>
      <c r="F176" s="632" t="s">
        <v>1588</v>
      </c>
      <c r="G176" s="632" t="s">
        <v>1588</v>
      </c>
      <c r="H176" s="353">
        <v>5</v>
      </c>
      <c r="I176" s="632" t="s">
        <v>1588</v>
      </c>
      <c r="J176" s="632" t="s">
        <v>1588</v>
      </c>
      <c r="K176" s="418">
        <f t="shared" si="27"/>
        <v>3.0902348578491963</v>
      </c>
    </row>
    <row r="177" spans="1:11" ht="27" customHeight="1">
      <c r="A177" s="424" t="s">
        <v>1709</v>
      </c>
      <c r="B177" s="350">
        <v>27108</v>
      </c>
      <c r="C177" s="353">
        <f t="shared" si="23"/>
        <v>0</v>
      </c>
      <c r="D177" s="353">
        <v>0</v>
      </c>
      <c r="E177" s="353">
        <v>0</v>
      </c>
      <c r="F177" s="353">
        <v>0</v>
      </c>
      <c r="G177" s="353">
        <v>0</v>
      </c>
      <c r="H177" s="353">
        <v>0</v>
      </c>
      <c r="I177" s="353">
        <v>0</v>
      </c>
      <c r="J177" s="353">
        <v>0</v>
      </c>
      <c r="K177" s="418">
        <f t="shared" si="27"/>
        <v>0</v>
      </c>
    </row>
    <row r="178" spans="1:11" ht="27" customHeight="1">
      <c r="A178" s="424" t="s">
        <v>1710</v>
      </c>
      <c r="B178" s="350">
        <v>13803</v>
      </c>
      <c r="C178" s="353">
        <f t="shared" si="23"/>
        <v>0</v>
      </c>
      <c r="D178" s="632" t="s">
        <v>1588</v>
      </c>
      <c r="E178" s="632" t="s">
        <v>1588</v>
      </c>
      <c r="F178" s="632" t="s">
        <v>1588</v>
      </c>
      <c r="G178" s="632" t="s">
        <v>1588</v>
      </c>
      <c r="H178" s="632" t="s">
        <v>1588</v>
      </c>
      <c r="I178" s="632" t="s">
        <v>1588</v>
      </c>
      <c r="J178" s="632" t="s">
        <v>1588</v>
      </c>
      <c r="K178" s="418">
        <f t="shared" si="27"/>
        <v>0</v>
      </c>
    </row>
    <row r="179" spans="1:11" ht="27" customHeight="1">
      <c r="A179" s="424" t="s">
        <v>1714</v>
      </c>
      <c r="B179" s="350">
        <v>49101</v>
      </c>
      <c r="C179" s="353">
        <f t="shared" si="23"/>
        <v>1</v>
      </c>
      <c r="D179" s="632" t="s">
        <v>1588</v>
      </c>
      <c r="E179" s="353">
        <v>1</v>
      </c>
      <c r="F179" s="632" t="s">
        <v>1588</v>
      </c>
      <c r="G179" s="632" t="s">
        <v>1588</v>
      </c>
      <c r="H179" s="632" t="s">
        <v>1588</v>
      </c>
      <c r="I179" s="632" t="s">
        <v>1588</v>
      </c>
      <c r="J179" s="632" t="s">
        <v>1588</v>
      </c>
      <c r="K179" s="418">
        <f t="shared" si="27"/>
        <v>0.20366183988106148</v>
      </c>
    </row>
    <row r="180" spans="1:11" ht="27" customHeight="1">
      <c r="A180" s="424" t="s">
        <v>1716</v>
      </c>
      <c r="B180" s="350">
        <v>5363</v>
      </c>
      <c r="C180" s="353">
        <f t="shared" si="23"/>
        <v>0</v>
      </c>
      <c r="D180" s="632" t="s">
        <v>1588</v>
      </c>
      <c r="E180" s="632" t="s">
        <v>1588</v>
      </c>
      <c r="F180" s="632" t="s">
        <v>1588</v>
      </c>
      <c r="G180" s="632" t="s">
        <v>1588</v>
      </c>
      <c r="H180" s="632" t="s">
        <v>1588</v>
      </c>
      <c r="I180" s="632" t="s">
        <v>1588</v>
      </c>
      <c r="J180" s="632" t="s">
        <v>1588</v>
      </c>
      <c r="K180" s="418">
        <f t="shared" si="27"/>
        <v>0</v>
      </c>
    </row>
    <row r="181" spans="1:11" ht="27" customHeight="1">
      <c r="A181" s="424" t="s">
        <v>1718</v>
      </c>
      <c r="B181" s="350">
        <v>18915</v>
      </c>
      <c r="C181" s="353">
        <f t="shared" si="23"/>
        <v>7</v>
      </c>
      <c r="D181" s="353">
        <v>2</v>
      </c>
      <c r="E181" s="353">
        <v>2</v>
      </c>
      <c r="F181" s="353">
        <v>1</v>
      </c>
      <c r="G181" s="353">
        <v>1</v>
      </c>
      <c r="H181" s="353">
        <v>0</v>
      </c>
      <c r="I181" s="353">
        <v>0</v>
      </c>
      <c r="J181" s="353">
        <v>1</v>
      </c>
      <c r="K181" s="418">
        <f t="shared" si="27"/>
        <v>3.7007665873645252</v>
      </c>
    </row>
    <row r="182" spans="1:11" ht="27" customHeight="1">
      <c r="A182" s="424" t="s">
        <v>1722</v>
      </c>
      <c r="B182" s="350">
        <v>28835</v>
      </c>
      <c r="C182" s="353">
        <f t="shared" si="23"/>
        <v>5</v>
      </c>
      <c r="D182" s="353">
        <v>0</v>
      </c>
      <c r="E182" s="353">
        <v>0</v>
      </c>
      <c r="F182" s="353">
        <v>0</v>
      </c>
      <c r="G182" s="353">
        <v>0</v>
      </c>
      <c r="H182" s="353">
        <v>0</v>
      </c>
      <c r="I182" s="353">
        <v>0</v>
      </c>
      <c r="J182" s="353">
        <v>5</v>
      </c>
      <c r="K182" s="418">
        <f t="shared" si="27"/>
        <v>1.7340038148083925</v>
      </c>
    </row>
    <row r="183" spans="1:11" ht="27" customHeight="1">
      <c r="A183" s="424" t="s">
        <v>1724</v>
      </c>
      <c r="B183" s="350">
        <v>31011</v>
      </c>
      <c r="C183" s="353">
        <f t="shared" si="23"/>
        <v>0</v>
      </c>
      <c r="D183" s="353">
        <v>0</v>
      </c>
      <c r="E183" s="353">
        <v>0</v>
      </c>
      <c r="F183" s="353">
        <v>0</v>
      </c>
      <c r="G183" s="353">
        <v>0</v>
      </c>
      <c r="H183" s="353">
        <v>0</v>
      </c>
      <c r="I183" s="353">
        <v>0</v>
      </c>
      <c r="J183" s="353">
        <v>0</v>
      </c>
      <c r="K183" s="418">
        <f t="shared" si="27"/>
        <v>0</v>
      </c>
    </row>
    <row r="184" spans="1:11" ht="27" customHeight="1">
      <c r="A184" s="424" t="s">
        <v>1725</v>
      </c>
      <c r="B184" s="350">
        <v>17422</v>
      </c>
      <c r="C184" s="353">
        <f t="shared" si="23"/>
        <v>0</v>
      </c>
      <c r="D184" s="632" t="s">
        <v>1588</v>
      </c>
      <c r="E184" s="632" t="s">
        <v>1588</v>
      </c>
      <c r="F184" s="632" t="s">
        <v>1588</v>
      </c>
      <c r="G184" s="632" t="s">
        <v>1588</v>
      </c>
      <c r="H184" s="632" t="s">
        <v>1588</v>
      </c>
      <c r="I184" s="353">
        <v>0</v>
      </c>
      <c r="J184" s="353">
        <v>0</v>
      </c>
      <c r="K184" s="418">
        <f t="shared" si="27"/>
        <v>0</v>
      </c>
    </row>
    <row r="185" spans="1:11" ht="27" customHeight="1">
      <c r="A185" s="424" t="s">
        <v>1728</v>
      </c>
      <c r="B185" s="350">
        <v>11649</v>
      </c>
      <c r="C185" s="353">
        <f t="shared" si="23"/>
        <v>0</v>
      </c>
      <c r="D185" s="632" t="s">
        <v>1588</v>
      </c>
      <c r="E185" s="632" t="s">
        <v>1588</v>
      </c>
      <c r="F185" s="632" t="s">
        <v>1588</v>
      </c>
      <c r="G185" s="632" t="s">
        <v>1588</v>
      </c>
      <c r="H185" s="632" t="s">
        <v>1588</v>
      </c>
      <c r="I185" s="353">
        <v>0</v>
      </c>
      <c r="J185" s="353">
        <v>0</v>
      </c>
      <c r="K185" s="418">
        <f t="shared" si="27"/>
        <v>0</v>
      </c>
    </row>
    <row r="186" spans="1:11" ht="27" customHeight="1">
      <c r="A186" s="424" t="s">
        <v>1731</v>
      </c>
      <c r="B186" s="350">
        <v>21342</v>
      </c>
      <c r="C186" s="353">
        <f t="shared" si="23"/>
        <v>0</v>
      </c>
      <c r="D186" s="632" t="s">
        <v>1588</v>
      </c>
      <c r="E186" s="632" t="s">
        <v>1588</v>
      </c>
      <c r="F186" s="632" t="s">
        <v>1588</v>
      </c>
      <c r="G186" s="632" t="s">
        <v>1588</v>
      </c>
      <c r="H186" s="632" t="s">
        <v>1588</v>
      </c>
      <c r="I186" s="353">
        <v>0</v>
      </c>
      <c r="J186" s="353">
        <v>0</v>
      </c>
      <c r="K186" s="418">
        <f t="shared" si="27"/>
        <v>0</v>
      </c>
    </row>
    <row r="187" spans="1:11" ht="27" customHeight="1">
      <c r="A187" s="424" t="s">
        <v>1732</v>
      </c>
      <c r="B187" s="350">
        <v>21418</v>
      </c>
      <c r="C187" s="353">
        <f t="shared" si="23"/>
        <v>0</v>
      </c>
      <c r="D187" s="632" t="s">
        <v>1588</v>
      </c>
      <c r="E187" s="632" t="s">
        <v>1588</v>
      </c>
      <c r="F187" s="632" t="s">
        <v>1588</v>
      </c>
      <c r="G187" s="632" t="s">
        <v>1588</v>
      </c>
      <c r="H187" s="632" t="s">
        <v>1588</v>
      </c>
      <c r="I187" s="353">
        <v>0</v>
      </c>
      <c r="J187" s="353">
        <v>0</v>
      </c>
      <c r="K187" s="418">
        <f t="shared" si="27"/>
        <v>0</v>
      </c>
    </row>
    <row r="188" spans="1:11" ht="27" customHeight="1">
      <c r="A188" s="424" t="s">
        <v>1739</v>
      </c>
      <c r="B188" s="350">
        <v>9809</v>
      </c>
      <c r="C188" s="353">
        <f t="shared" si="23"/>
        <v>12</v>
      </c>
      <c r="D188" s="632" t="s">
        <v>1588</v>
      </c>
      <c r="E188" s="353">
        <v>12</v>
      </c>
      <c r="F188" s="632" t="s">
        <v>1588</v>
      </c>
      <c r="G188" s="632" t="s">
        <v>1588</v>
      </c>
      <c r="H188" s="632" t="s">
        <v>1588</v>
      </c>
      <c r="I188" s="353">
        <v>0</v>
      </c>
      <c r="J188" s="353">
        <v>0</v>
      </c>
      <c r="K188" s="418">
        <f t="shared" si="27"/>
        <v>12.233662962585381</v>
      </c>
    </row>
    <row r="189" spans="1:11" ht="27" customHeight="1">
      <c r="A189" s="424" t="s">
        <v>1740</v>
      </c>
      <c r="B189" s="350">
        <v>14009</v>
      </c>
      <c r="C189" s="353">
        <f t="shared" si="23"/>
        <v>12</v>
      </c>
      <c r="D189" s="632" t="s">
        <v>1588</v>
      </c>
      <c r="E189" s="632" t="s">
        <v>1588</v>
      </c>
      <c r="F189" s="632" t="s">
        <v>1588</v>
      </c>
      <c r="G189" s="632" t="s">
        <v>1588</v>
      </c>
      <c r="H189" s="632" t="s">
        <v>1588</v>
      </c>
      <c r="I189" s="353">
        <v>0</v>
      </c>
      <c r="J189" s="353">
        <v>12</v>
      </c>
      <c r="K189" s="418">
        <f t="shared" si="27"/>
        <v>8.5659219073452775</v>
      </c>
    </row>
    <row r="190" spans="1:11" ht="27" customHeight="1">
      <c r="A190" s="424" t="s">
        <v>1742</v>
      </c>
      <c r="B190" s="350">
        <v>6530</v>
      </c>
      <c r="C190" s="353">
        <f t="shared" si="23"/>
        <v>42</v>
      </c>
      <c r="D190" s="353">
        <v>0</v>
      </c>
      <c r="E190" s="353">
        <v>24</v>
      </c>
      <c r="F190" s="353">
        <v>0</v>
      </c>
      <c r="G190" s="353">
        <v>0</v>
      </c>
      <c r="H190" s="353">
        <v>0</v>
      </c>
      <c r="I190" s="353">
        <v>0</v>
      </c>
      <c r="J190" s="353">
        <v>18</v>
      </c>
      <c r="K190" s="418">
        <f t="shared" si="27"/>
        <v>64.318529862174572</v>
      </c>
    </row>
    <row r="191" spans="1:11" ht="27" customHeight="1">
      <c r="A191" s="426" t="s">
        <v>1743</v>
      </c>
      <c r="B191" s="353">
        <f>SUM(B192,B203)</f>
        <v>1719062</v>
      </c>
      <c r="C191" s="353">
        <f t="shared" si="23"/>
        <v>390</v>
      </c>
      <c r="D191" s="353">
        <f t="shared" ref="D191:J191" si="32">SUM(D192,D203)</f>
        <v>5</v>
      </c>
      <c r="E191" s="353">
        <f t="shared" si="32"/>
        <v>81</v>
      </c>
      <c r="F191" s="353">
        <f t="shared" si="32"/>
        <v>3</v>
      </c>
      <c r="G191" s="353">
        <f t="shared" si="32"/>
        <v>0</v>
      </c>
      <c r="H191" s="353">
        <f t="shared" si="32"/>
        <v>20</v>
      </c>
      <c r="I191" s="353">
        <f t="shared" si="32"/>
        <v>0</v>
      </c>
      <c r="J191" s="353">
        <f t="shared" si="32"/>
        <v>281</v>
      </c>
      <c r="K191" s="418">
        <f t="shared" si="27"/>
        <v>2.2686790819644664</v>
      </c>
    </row>
    <row r="192" spans="1:11" ht="27" customHeight="1">
      <c r="A192" s="426" t="s">
        <v>1674</v>
      </c>
      <c r="B192" s="353">
        <f>SUM(B193:B202)</f>
        <v>1529476</v>
      </c>
      <c r="C192" s="353">
        <f t="shared" si="23"/>
        <v>326</v>
      </c>
      <c r="D192" s="353">
        <f t="shared" ref="D192:J192" si="33">SUM(D193:D202)</f>
        <v>0</v>
      </c>
      <c r="E192" s="353">
        <f t="shared" si="33"/>
        <v>74</v>
      </c>
      <c r="F192" s="353">
        <f t="shared" si="33"/>
        <v>0</v>
      </c>
      <c r="G192" s="353">
        <f t="shared" si="33"/>
        <v>0</v>
      </c>
      <c r="H192" s="353">
        <f t="shared" si="33"/>
        <v>17</v>
      </c>
      <c r="I192" s="353">
        <f t="shared" si="33"/>
        <v>0</v>
      </c>
      <c r="J192" s="353">
        <f t="shared" si="33"/>
        <v>235</v>
      </c>
      <c r="K192" s="418">
        <f t="shared" si="27"/>
        <v>2.1314489406829527</v>
      </c>
    </row>
    <row r="193" spans="1:11" ht="27" customHeight="1">
      <c r="A193" s="426" t="s">
        <v>1744</v>
      </c>
      <c r="B193" s="353">
        <v>296011</v>
      </c>
      <c r="C193" s="353">
        <f t="shared" si="23"/>
        <v>1</v>
      </c>
      <c r="D193" s="632" t="s">
        <v>1588</v>
      </c>
      <c r="E193" s="632" t="s">
        <v>1588</v>
      </c>
      <c r="F193" s="632" t="s">
        <v>1588</v>
      </c>
      <c r="G193" s="632" t="s">
        <v>1588</v>
      </c>
      <c r="H193" s="632" t="s">
        <v>1588</v>
      </c>
      <c r="I193" s="632" t="s">
        <v>1588</v>
      </c>
      <c r="J193" s="353">
        <v>1</v>
      </c>
      <c r="K193" s="418">
        <f t="shared" si="27"/>
        <v>3.3782528351986918E-2</v>
      </c>
    </row>
    <row r="194" spans="1:11" ht="27" customHeight="1">
      <c r="A194" s="426" t="s">
        <v>1745</v>
      </c>
      <c r="B194" s="350">
        <v>213618</v>
      </c>
      <c r="C194" s="350">
        <f t="shared" si="23"/>
        <v>6</v>
      </c>
      <c r="D194" s="350">
        <v>0</v>
      </c>
      <c r="E194" s="350">
        <v>0</v>
      </c>
      <c r="F194" s="350">
        <v>0</v>
      </c>
      <c r="G194" s="350">
        <v>0</v>
      </c>
      <c r="H194" s="350">
        <v>1</v>
      </c>
      <c r="I194" s="350">
        <v>0</v>
      </c>
      <c r="J194" s="350">
        <v>5</v>
      </c>
      <c r="K194" s="419">
        <f t="shared" si="27"/>
        <v>0.28087520714546527</v>
      </c>
    </row>
    <row r="195" spans="1:11" ht="27" customHeight="1">
      <c r="A195" s="426" t="s">
        <v>1746</v>
      </c>
      <c r="B195" s="350">
        <v>85811</v>
      </c>
      <c r="C195" s="353">
        <f t="shared" si="23"/>
        <v>10</v>
      </c>
      <c r="D195" s="632" t="s">
        <v>1588</v>
      </c>
      <c r="E195" s="353">
        <v>5</v>
      </c>
      <c r="F195" s="632" t="s">
        <v>1588</v>
      </c>
      <c r="G195" s="632" t="s">
        <v>1588</v>
      </c>
      <c r="H195" s="353">
        <v>3</v>
      </c>
      <c r="I195" s="632" t="s">
        <v>1588</v>
      </c>
      <c r="J195" s="353">
        <v>2</v>
      </c>
      <c r="K195" s="418">
        <f t="shared" si="27"/>
        <v>1.1653517614291875</v>
      </c>
    </row>
    <row r="196" spans="1:11" ht="27" customHeight="1">
      <c r="A196" s="426" t="s">
        <v>1747</v>
      </c>
      <c r="B196" s="353">
        <v>119091</v>
      </c>
      <c r="C196" s="353">
        <f t="shared" si="23"/>
        <v>7</v>
      </c>
      <c r="D196" s="632" t="s">
        <v>1588</v>
      </c>
      <c r="E196" s="353">
        <v>2</v>
      </c>
      <c r="F196" s="632" t="s">
        <v>1588</v>
      </c>
      <c r="G196" s="632" t="s">
        <v>1588</v>
      </c>
      <c r="H196" s="632" t="s">
        <v>1588</v>
      </c>
      <c r="I196" s="632" t="s">
        <v>1588</v>
      </c>
      <c r="J196" s="353">
        <v>5</v>
      </c>
      <c r="K196" s="418">
        <f t="shared" si="27"/>
        <v>0.58778581085052606</v>
      </c>
    </row>
    <row r="197" spans="1:11" ht="27" customHeight="1">
      <c r="A197" s="426" t="s">
        <v>1748</v>
      </c>
      <c r="B197" s="350">
        <v>330124</v>
      </c>
      <c r="C197" s="353">
        <f t="shared" si="23"/>
        <v>19</v>
      </c>
      <c r="D197" s="632" t="s">
        <v>1588</v>
      </c>
      <c r="E197" s="353">
        <v>4</v>
      </c>
      <c r="F197" s="632" t="s">
        <v>1588</v>
      </c>
      <c r="G197" s="632" t="s">
        <v>1588</v>
      </c>
      <c r="H197" s="353">
        <v>3</v>
      </c>
      <c r="I197" s="632" t="s">
        <v>1588</v>
      </c>
      <c r="J197" s="353">
        <v>12</v>
      </c>
      <c r="K197" s="418">
        <f t="shared" si="27"/>
        <v>0.57554131174952439</v>
      </c>
    </row>
    <row r="198" spans="1:11" ht="27" customHeight="1">
      <c r="A198" s="426" t="s">
        <v>2008</v>
      </c>
      <c r="B198" s="353">
        <v>92438</v>
      </c>
      <c r="C198" s="353">
        <f t="shared" si="23"/>
        <v>50</v>
      </c>
      <c r="D198" s="632" t="s">
        <v>1588</v>
      </c>
      <c r="E198" s="353">
        <v>35</v>
      </c>
      <c r="F198" s="632" t="s">
        <v>1588</v>
      </c>
      <c r="G198" s="632" t="s">
        <v>1588</v>
      </c>
      <c r="H198" s="353">
        <v>5</v>
      </c>
      <c r="I198" s="632" t="s">
        <v>1588</v>
      </c>
      <c r="J198" s="353">
        <v>10</v>
      </c>
      <c r="K198" s="418">
        <f t="shared" si="27"/>
        <v>5.4090309180207266</v>
      </c>
    </row>
    <row r="199" spans="1:11" ht="27" customHeight="1">
      <c r="A199" s="426" t="s">
        <v>1901</v>
      </c>
      <c r="B199" s="350">
        <v>68679</v>
      </c>
      <c r="C199" s="353">
        <f t="shared" si="23"/>
        <v>20</v>
      </c>
      <c r="D199" s="632" t="s">
        <v>1588</v>
      </c>
      <c r="E199" s="353">
        <v>15</v>
      </c>
      <c r="F199" s="632" t="s">
        <v>1588</v>
      </c>
      <c r="G199" s="632" t="s">
        <v>1588</v>
      </c>
      <c r="H199" s="353">
        <v>5</v>
      </c>
      <c r="I199" s="632" t="s">
        <v>1588</v>
      </c>
      <c r="J199" s="632" t="s">
        <v>1588</v>
      </c>
      <c r="K199" s="418">
        <f t="shared" si="27"/>
        <v>2.9120983124390278</v>
      </c>
    </row>
    <row r="200" spans="1:11" ht="27" customHeight="1">
      <c r="A200" s="426" t="s">
        <v>1751</v>
      </c>
      <c r="B200" s="353">
        <v>60568</v>
      </c>
      <c r="C200" s="353">
        <f t="shared" si="23"/>
        <v>0</v>
      </c>
      <c r="D200" s="632" t="s">
        <v>1588</v>
      </c>
      <c r="E200" s="632" t="s">
        <v>1588</v>
      </c>
      <c r="F200" s="632" t="s">
        <v>1588</v>
      </c>
      <c r="G200" s="632" t="s">
        <v>1588</v>
      </c>
      <c r="H200" s="632" t="s">
        <v>1588</v>
      </c>
      <c r="I200" s="632" t="s">
        <v>1588</v>
      </c>
      <c r="J200" s="632" t="s">
        <v>1588</v>
      </c>
      <c r="K200" s="418">
        <f t="shared" si="27"/>
        <v>0</v>
      </c>
    </row>
    <row r="201" spans="1:11" ht="27" customHeight="1">
      <c r="A201" s="426" t="s">
        <v>1752</v>
      </c>
      <c r="B201" s="353">
        <v>56586</v>
      </c>
      <c r="C201" s="353">
        <f t="shared" ref="C201:C240" si="34">SUM(D201:J201)</f>
        <v>0</v>
      </c>
      <c r="D201" s="632" t="s">
        <v>1588</v>
      </c>
      <c r="E201" s="632" t="s">
        <v>1588</v>
      </c>
      <c r="F201" s="632" t="s">
        <v>1588</v>
      </c>
      <c r="G201" s="632" t="s">
        <v>1588</v>
      </c>
      <c r="H201" s="632" t="s">
        <v>1588</v>
      </c>
      <c r="I201" s="632" t="s">
        <v>1588</v>
      </c>
      <c r="J201" s="632" t="s">
        <v>1588</v>
      </c>
      <c r="K201" s="418">
        <f t="shared" si="27"/>
        <v>0</v>
      </c>
    </row>
    <row r="202" spans="1:11" ht="27" customHeight="1">
      <c r="A202" s="426" t="s">
        <v>1753</v>
      </c>
      <c r="B202" s="353">
        <v>206550</v>
      </c>
      <c r="C202" s="353">
        <f t="shared" si="34"/>
        <v>213</v>
      </c>
      <c r="D202" s="632" t="s">
        <v>1588</v>
      </c>
      <c r="E202" s="353">
        <v>13</v>
      </c>
      <c r="F202" s="632" t="s">
        <v>1588</v>
      </c>
      <c r="G202" s="632" t="s">
        <v>1588</v>
      </c>
      <c r="H202" s="632" t="s">
        <v>1588</v>
      </c>
      <c r="I202" s="632" t="s">
        <v>1588</v>
      </c>
      <c r="J202" s="353">
        <v>200</v>
      </c>
      <c r="K202" s="418">
        <f>(C202/B202)*10000</f>
        <v>10.312273057371097</v>
      </c>
    </row>
    <row r="203" spans="1:11" ht="27" customHeight="1">
      <c r="A203" s="426" t="s">
        <v>1616</v>
      </c>
      <c r="B203" s="353">
        <f>SUM(B204:B216)</f>
        <v>189586</v>
      </c>
      <c r="C203" s="353">
        <f t="shared" si="34"/>
        <v>64</v>
      </c>
      <c r="D203" s="353">
        <f t="shared" ref="D203:J203" si="35">SUM(D204:D216)</f>
        <v>5</v>
      </c>
      <c r="E203" s="353">
        <f t="shared" si="35"/>
        <v>7</v>
      </c>
      <c r="F203" s="353">
        <f t="shared" si="35"/>
        <v>3</v>
      </c>
      <c r="G203" s="353">
        <f t="shared" si="35"/>
        <v>0</v>
      </c>
      <c r="H203" s="353">
        <f t="shared" si="35"/>
        <v>3</v>
      </c>
      <c r="I203" s="353">
        <f t="shared" si="35"/>
        <v>0</v>
      </c>
      <c r="J203" s="353">
        <f t="shared" si="35"/>
        <v>46</v>
      </c>
      <c r="K203" s="418">
        <f>(C203/B203)*10000</f>
        <v>3.3757766923718</v>
      </c>
    </row>
    <row r="204" spans="1:11" ht="27" customHeight="1">
      <c r="A204" s="426" t="s">
        <v>1754</v>
      </c>
      <c r="B204" s="353">
        <v>0</v>
      </c>
      <c r="C204" s="353">
        <f t="shared" si="34"/>
        <v>0</v>
      </c>
      <c r="D204" s="632" t="s">
        <v>1588</v>
      </c>
      <c r="E204" s="632" t="s">
        <v>1588</v>
      </c>
      <c r="F204" s="632" t="s">
        <v>1588</v>
      </c>
      <c r="G204" s="632" t="s">
        <v>1588</v>
      </c>
      <c r="H204" s="632" t="s">
        <v>1588</v>
      </c>
      <c r="I204" s="632" t="s">
        <v>1588</v>
      </c>
      <c r="J204" s="632" t="s">
        <v>1588</v>
      </c>
      <c r="K204" s="418">
        <v>0</v>
      </c>
    </row>
    <row r="205" spans="1:11" ht="27" customHeight="1">
      <c r="A205" s="426" t="s">
        <v>1755</v>
      </c>
      <c r="B205" s="353">
        <v>17431</v>
      </c>
      <c r="C205" s="353">
        <f t="shared" si="34"/>
        <v>0</v>
      </c>
      <c r="D205" s="353">
        <v>0</v>
      </c>
      <c r="E205" s="353">
        <v>0</v>
      </c>
      <c r="F205" s="353">
        <v>0</v>
      </c>
      <c r="G205" s="353">
        <v>0</v>
      </c>
      <c r="H205" s="353">
        <v>0</v>
      </c>
      <c r="I205" s="353">
        <v>0</v>
      </c>
      <c r="J205" s="353">
        <v>0</v>
      </c>
      <c r="K205" s="418">
        <f t="shared" ref="K205:K215" si="36">(C205/B205)*10000</f>
        <v>0</v>
      </c>
    </row>
    <row r="206" spans="1:11" ht="27" customHeight="1">
      <c r="A206" s="426" t="s">
        <v>1912</v>
      </c>
      <c r="B206" s="353">
        <v>800</v>
      </c>
      <c r="C206" s="353">
        <f t="shared" si="34"/>
        <v>0</v>
      </c>
      <c r="D206" s="632" t="s">
        <v>1588</v>
      </c>
      <c r="E206" s="632" t="s">
        <v>1588</v>
      </c>
      <c r="F206" s="632" t="s">
        <v>1588</v>
      </c>
      <c r="G206" s="632" t="s">
        <v>1588</v>
      </c>
      <c r="H206" s="632" t="s">
        <v>1588</v>
      </c>
      <c r="I206" s="632" t="s">
        <v>1588</v>
      </c>
      <c r="J206" s="632" t="s">
        <v>1588</v>
      </c>
      <c r="K206" s="418">
        <f t="shared" si="36"/>
        <v>0</v>
      </c>
    </row>
    <row r="207" spans="1:11" ht="27" customHeight="1">
      <c r="A207" s="426" t="s">
        <v>1757</v>
      </c>
      <c r="B207" s="353">
        <v>454</v>
      </c>
      <c r="C207" s="353">
        <f t="shared" si="34"/>
        <v>0</v>
      </c>
      <c r="D207" s="353">
        <v>0</v>
      </c>
      <c r="E207" s="353">
        <v>0</v>
      </c>
      <c r="F207" s="353">
        <v>0</v>
      </c>
      <c r="G207" s="353">
        <v>0</v>
      </c>
      <c r="H207" s="353">
        <v>0</v>
      </c>
      <c r="I207" s="353">
        <v>0</v>
      </c>
      <c r="J207" s="353">
        <v>0</v>
      </c>
      <c r="K207" s="418">
        <f t="shared" si="36"/>
        <v>0</v>
      </c>
    </row>
    <row r="208" spans="1:11" ht="27" customHeight="1">
      <c r="A208" s="426" t="s">
        <v>1758</v>
      </c>
      <c r="B208" s="353">
        <v>28961</v>
      </c>
      <c r="C208" s="353">
        <f t="shared" si="34"/>
        <v>5</v>
      </c>
      <c r="D208" s="353">
        <v>5</v>
      </c>
      <c r="E208" s="632" t="s">
        <v>1588</v>
      </c>
      <c r="F208" s="632" t="s">
        <v>1588</v>
      </c>
      <c r="G208" s="632" t="s">
        <v>1588</v>
      </c>
      <c r="H208" s="632" t="s">
        <v>1588</v>
      </c>
      <c r="I208" s="632" t="s">
        <v>1588</v>
      </c>
      <c r="J208" s="632" t="s">
        <v>1588</v>
      </c>
      <c r="K208" s="418">
        <f t="shared" si="36"/>
        <v>1.7264597216946926</v>
      </c>
    </row>
    <row r="209" spans="1:11" ht="27" customHeight="1">
      <c r="A209" s="426" t="s">
        <v>1759</v>
      </c>
      <c r="B209" s="353">
        <v>23977</v>
      </c>
      <c r="C209" s="353">
        <f t="shared" si="34"/>
        <v>41</v>
      </c>
      <c r="D209" s="632" t="s">
        <v>1588</v>
      </c>
      <c r="E209" s="353">
        <v>4</v>
      </c>
      <c r="F209" s="632" t="s">
        <v>1588</v>
      </c>
      <c r="G209" s="632" t="s">
        <v>1588</v>
      </c>
      <c r="H209" s="353">
        <v>3</v>
      </c>
      <c r="I209" s="632" t="s">
        <v>1588</v>
      </c>
      <c r="J209" s="353">
        <v>34</v>
      </c>
      <c r="K209" s="418">
        <f t="shared" si="36"/>
        <v>17.099720565541979</v>
      </c>
    </row>
    <row r="210" spans="1:11" ht="27" customHeight="1">
      <c r="A210" s="426" t="s">
        <v>1760</v>
      </c>
      <c r="B210" s="353">
        <v>11147</v>
      </c>
      <c r="C210" s="353">
        <f t="shared" si="34"/>
        <v>1</v>
      </c>
      <c r="D210" s="632" t="s">
        <v>1588</v>
      </c>
      <c r="E210" s="632" t="s">
        <v>1588</v>
      </c>
      <c r="F210" s="632" t="s">
        <v>1588</v>
      </c>
      <c r="G210" s="632" t="s">
        <v>1588</v>
      </c>
      <c r="H210" s="632" t="s">
        <v>1588</v>
      </c>
      <c r="I210" s="632" t="s">
        <v>1588</v>
      </c>
      <c r="J210" s="353">
        <v>1</v>
      </c>
      <c r="K210" s="418">
        <f t="shared" si="36"/>
        <v>0.89710235937920524</v>
      </c>
    </row>
    <row r="211" spans="1:11" ht="27" customHeight="1">
      <c r="A211" s="426" t="s">
        <v>1761</v>
      </c>
      <c r="B211" s="353">
        <v>9203</v>
      </c>
      <c r="C211" s="353">
        <f t="shared" si="34"/>
        <v>0</v>
      </c>
      <c r="D211" s="632" t="s">
        <v>1588</v>
      </c>
      <c r="E211" s="632" t="s">
        <v>1588</v>
      </c>
      <c r="F211" s="632" t="s">
        <v>1588</v>
      </c>
      <c r="G211" s="632" t="s">
        <v>1588</v>
      </c>
      <c r="H211" s="632" t="s">
        <v>1588</v>
      </c>
      <c r="I211" s="632" t="s">
        <v>1588</v>
      </c>
      <c r="J211" s="632" t="s">
        <v>1588</v>
      </c>
      <c r="K211" s="418">
        <f t="shared" si="36"/>
        <v>0</v>
      </c>
    </row>
    <row r="212" spans="1:11" ht="27" customHeight="1">
      <c r="A212" s="426" t="s">
        <v>1762</v>
      </c>
      <c r="B212" s="353">
        <v>68491</v>
      </c>
      <c r="C212" s="353">
        <f t="shared" si="34"/>
        <v>7</v>
      </c>
      <c r="D212" s="632" t="s">
        <v>1588</v>
      </c>
      <c r="E212" s="353">
        <v>3</v>
      </c>
      <c r="F212" s="353">
        <v>1</v>
      </c>
      <c r="G212" s="632" t="s">
        <v>1588</v>
      </c>
      <c r="H212" s="632" t="s">
        <v>1588</v>
      </c>
      <c r="I212" s="632" t="s">
        <v>1588</v>
      </c>
      <c r="J212" s="353">
        <v>3</v>
      </c>
      <c r="K212" s="418">
        <f t="shared" si="36"/>
        <v>1.0220320918076826</v>
      </c>
    </row>
    <row r="213" spans="1:11" ht="27" customHeight="1">
      <c r="A213" s="426" t="s">
        <v>1763</v>
      </c>
      <c r="B213" s="350">
        <v>15282</v>
      </c>
      <c r="C213" s="353">
        <f t="shared" si="34"/>
        <v>0</v>
      </c>
      <c r="D213" s="632" t="s">
        <v>1588</v>
      </c>
      <c r="E213" s="632" t="s">
        <v>1588</v>
      </c>
      <c r="F213" s="632" t="s">
        <v>1588</v>
      </c>
      <c r="G213" s="632" t="s">
        <v>1588</v>
      </c>
      <c r="H213" s="632" t="s">
        <v>1588</v>
      </c>
      <c r="I213" s="632" t="s">
        <v>1588</v>
      </c>
      <c r="J213" s="632" t="s">
        <v>1588</v>
      </c>
      <c r="K213" s="418">
        <f t="shared" si="36"/>
        <v>0</v>
      </c>
    </row>
    <row r="214" spans="1:11" ht="27" customHeight="1">
      <c r="A214" s="426" t="s">
        <v>1764</v>
      </c>
      <c r="B214" s="353">
        <v>1419</v>
      </c>
      <c r="C214" s="353">
        <f t="shared" si="34"/>
        <v>0</v>
      </c>
      <c r="D214" s="632" t="s">
        <v>1588</v>
      </c>
      <c r="E214" s="632" t="s">
        <v>1588</v>
      </c>
      <c r="F214" s="632" t="s">
        <v>1588</v>
      </c>
      <c r="G214" s="632" t="s">
        <v>1588</v>
      </c>
      <c r="H214" s="632" t="s">
        <v>1588</v>
      </c>
      <c r="I214" s="632" t="s">
        <v>1588</v>
      </c>
      <c r="J214" s="632" t="s">
        <v>1588</v>
      </c>
      <c r="K214" s="418">
        <f t="shared" si="36"/>
        <v>0</v>
      </c>
    </row>
    <row r="215" spans="1:11" ht="27" customHeight="1">
      <c r="A215" s="426" t="s">
        <v>1765</v>
      </c>
      <c r="B215" s="353">
        <v>12421</v>
      </c>
      <c r="C215" s="353">
        <f t="shared" si="34"/>
        <v>10</v>
      </c>
      <c r="D215" s="632" t="s">
        <v>1588</v>
      </c>
      <c r="E215" s="632" t="s">
        <v>1588</v>
      </c>
      <c r="F215" s="353">
        <v>2</v>
      </c>
      <c r="G215" s="632" t="s">
        <v>1588</v>
      </c>
      <c r="H215" s="632" t="s">
        <v>1588</v>
      </c>
      <c r="I215" s="632" t="s">
        <v>1588</v>
      </c>
      <c r="J215" s="353">
        <v>8</v>
      </c>
      <c r="K215" s="418">
        <f t="shared" si="36"/>
        <v>8.0508815715320825</v>
      </c>
    </row>
    <row r="216" spans="1:11" ht="27" customHeight="1">
      <c r="A216" s="426" t="s">
        <v>1766</v>
      </c>
      <c r="B216" s="353">
        <v>0</v>
      </c>
      <c r="C216" s="353">
        <f t="shared" si="34"/>
        <v>0</v>
      </c>
      <c r="D216" s="632" t="s">
        <v>1588</v>
      </c>
      <c r="E216" s="632" t="s">
        <v>1588</v>
      </c>
      <c r="F216" s="632" t="s">
        <v>1588</v>
      </c>
      <c r="G216" s="632" t="s">
        <v>1588</v>
      </c>
      <c r="H216" s="632" t="s">
        <v>1588</v>
      </c>
      <c r="I216" s="632" t="s">
        <v>1588</v>
      </c>
      <c r="J216" s="632" t="s">
        <v>1588</v>
      </c>
      <c r="K216" s="418">
        <v>0</v>
      </c>
    </row>
    <row r="217" spans="1:11" ht="27" customHeight="1">
      <c r="A217" s="424" t="s">
        <v>1978</v>
      </c>
      <c r="B217" s="350">
        <f t="shared" ref="B217:J217" si="37">B218+B227</f>
        <v>1639147</v>
      </c>
      <c r="C217" s="427">
        <f t="shared" si="34"/>
        <v>3044</v>
      </c>
      <c r="D217" s="427">
        <f t="shared" si="37"/>
        <v>7</v>
      </c>
      <c r="E217" s="427">
        <f t="shared" si="37"/>
        <v>137</v>
      </c>
      <c r="F217" s="427">
        <f t="shared" si="37"/>
        <v>27</v>
      </c>
      <c r="G217" s="427">
        <f t="shared" si="37"/>
        <v>2</v>
      </c>
      <c r="H217" s="427">
        <f t="shared" si="37"/>
        <v>366</v>
      </c>
      <c r="I217" s="427">
        <f t="shared" si="37"/>
        <v>0</v>
      </c>
      <c r="J217" s="427">
        <f t="shared" si="37"/>
        <v>2505</v>
      </c>
      <c r="K217" s="418">
        <f>(C217/B217)*10000</f>
        <v>18.570634604461954</v>
      </c>
    </row>
    <row r="218" spans="1:11" ht="27" customHeight="1">
      <c r="A218" s="424" t="s">
        <v>1674</v>
      </c>
      <c r="B218" s="350">
        <f t="shared" ref="B218:J218" si="38">SUM(B219:B226)</f>
        <v>1437441</v>
      </c>
      <c r="C218" s="427">
        <f t="shared" si="34"/>
        <v>2916</v>
      </c>
      <c r="D218" s="427">
        <f t="shared" si="38"/>
        <v>2</v>
      </c>
      <c r="E218" s="427">
        <f t="shared" si="38"/>
        <v>115</v>
      </c>
      <c r="F218" s="427">
        <f t="shared" si="38"/>
        <v>8</v>
      </c>
      <c r="G218" s="427">
        <f t="shared" si="38"/>
        <v>0</v>
      </c>
      <c r="H218" s="427">
        <f t="shared" si="38"/>
        <v>361</v>
      </c>
      <c r="I218" s="427">
        <f t="shared" si="38"/>
        <v>0</v>
      </c>
      <c r="J218" s="427">
        <f t="shared" si="38"/>
        <v>2430</v>
      </c>
      <c r="K218" s="418">
        <f>(C218/B218)*10000</f>
        <v>20.286050001356578</v>
      </c>
    </row>
    <row r="219" spans="1:11" ht="27" customHeight="1">
      <c r="A219" s="424" t="s">
        <v>1931</v>
      </c>
      <c r="B219" s="350">
        <v>294964</v>
      </c>
      <c r="C219" s="350">
        <f t="shared" si="34"/>
        <v>2</v>
      </c>
      <c r="D219" s="626" t="s">
        <v>1588</v>
      </c>
      <c r="E219" s="626" t="s">
        <v>1588</v>
      </c>
      <c r="F219" s="626" t="s">
        <v>1588</v>
      </c>
      <c r="G219" s="626" t="s">
        <v>1588</v>
      </c>
      <c r="H219" s="626" t="s">
        <v>1588</v>
      </c>
      <c r="I219" s="626" t="s">
        <v>1588</v>
      </c>
      <c r="J219" s="350">
        <v>2</v>
      </c>
      <c r="K219" s="418">
        <f>(C219/B219)*10000</f>
        <v>6.7804884663891188E-2</v>
      </c>
    </row>
    <row r="220" spans="1:11" ht="27" customHeight="1">
      <c r="A220" s="424" t="s">
        <v>1933</v>
      </c>
      <c r="B220" s="350">
        <v>146257</v>
      </c>
      <c r="C220" s="350">
        <f t="shared" si="34"/>
        <v>418</v>
      </c>
      <c r="D220" s="626" t="s">
        <v>1588</v>
      </c>
      <c r="E220" s="350">
        <v>16</v>
      </c>
      <c r="F220" s="350">
        <v>7</v>
      </c>
      <c r="G220" s="626" t="s">
        <v>1588</v>
      </c>
      <c r="H220" s="350">
        <v>240</v>
      </c>
      <c r="I220" s="626" t="s">
        <v>1588</v>
      </c>
      <c r="J220" s="350">
        <v>155</v>
      </c>
      <c r="K220" s="418">
        <f>(C220/B220)*10000</f>
        <v>28.579828657773646</v>
      </c>
    </row>
    <row r="221" spans="1:11" ht="27" customHeight="1">
      <c r="A221" s="424" t="s">
        <v>1936</v>
      </c>
      <c r="B221" s="350">
        <v>105646</v>
      </c>
      <c r="C221" s="350">
        <f t="shared" si="34"/>
        <v>272</v>
      </c>
      <c r="D221" s="350">
        <v>0</v>
      </c>
      <c r="E221" s="350">
        <v>25</v>
      </c>
      <c r="F221" s="626" t="s">
        <v>1588</v>
      </c>
      <c r="G221" s="626" t="s">
        <v>1588</v>
      </c>
      <c r="H221" s="626" t="s">
        <v>1588</v>
      </c>
      <c r="I221" s="626" t="s">
        <v>1588</v>
      </c>
      <c r="J221" s="350">
        <v>247</v>
      </c>
      <c r="K221" s="418">
        <f>(C221/B221)*10000</f>
        <v>25.746360486909111</v>
      </c>
    </row>
    <row r="222" spans="1:11" ht="27" customHeight="1">
      <c r="A222" s="424" t="s">
        <v>1937</v>
      </c>
      <c r="B222" s="350">
        <v>76612</v>
      </c>
      <c r="C222" s="350">
        <f t="shared" si="34"/>
        <v>40</v>
      </c>
      <c r="D222" s="626" t="s">
        <v>1588</v>
      </c>
      <c r="E222" s="350">
        <v>40</v>
      </c>
      <c r="F222" s="626" t="s">
        <v>1588</v>
      </c>
      <c r="G222" s="626" t="s">
        <v>1588</v>
      </c>
      <c r="H222" s="626" t="s">
        <v>1588</v>
      </c>
      <c r="I222" s="626" t="s">
        <v>1588</v>
      </c>
      <c r="J222" s="626" t="s">
        <v>1588</v>
      </c>
      <c r="K222" s="418">
        <f t="shared" ref="K222:K240" si="39">(C222/B222)*10000</f>
        <v>5.2211141857672434</v>
      </c>
    </row>
    <row r="223" spans="1:11" ht="27" customHeight="1">
      <c r="A223" s="424" t="s">
        <v>1941</v>
      </c>
      <c r="B223" s="350">
        <v>70572</v>
      </c>
      <c r="C223" s="350">
        <f t="shared" si="34"/>
        <v>120</v>
      </c>
      <c r="D223" s="626" t="s">
        <v>1588</v>
      </c>
      <c r="E223" s="626" t="s">
        <v>1588</v>
      </c>
      <c r="F223" s="626" t="s">
        <v>1588</v>
      </c>
      <c r="G223" s="626" t="s">
        <v>1588</v>
      </c>
      <c r="H223" s="350">
        <v>120</v>
      </c>
      <c r="I223" s="626" t="s">
        <v>1588</v>
      </c>
      <c r="J223" s="626" t="s">
        <v>1588</v>
      </c>
      <c r="K223" s="418">
        <f t="shared" si="39"/>
        <v>17.003910899506888</v>
      </c>
    </row>
    <row r="224" spans="1:11" ht="27" customHeight="1">
      <c r="A224" s="437" t="s">
        <v>1939</v>
      </c>
      <c r="B224" s="350">
        <v>413091</v>
      </c>
      <c r="C224" s="350">
        <f t="shared" si="34"/>
        <v>1971</v>
      </c>
      <c r="D224" s="626" t="s">
        <v>1588</v>
      </c>
      <c r="E224" s="350">
        <v>14</v>
      </c>
      <c r="F224" s="626" t="s">
        <v>1588</v>
      </c>
      <c r="G224" s="626" t="s">
        <v>1588</v>
      </c>
      <c r="H224" s="626" t="s">
        <v>1588</v>
      </c>
      <c r="I224" s="626" t="s">
        <v>1588</v>
      </c>
      <c r="J224" s="350">
        <f>1971-14</f>
        <v>1957</v>
      </c>
      <c r="K224" s="418">
        <f t="shared" si="39"/>
        <v>47.713457809538333</v>
      </c>
    </row>
    <row r="225" spans="1:11" ht="27" customHeight="1">
      <c r="A225" s="424" t="s">
        <v>1943</v>
      </c>
      <c r="B225" s="350">
        <v>160989</v>
      </c>
      <c r="C225" s="350">
        <f t="shared" si="34"/>
        <v>90</v>
      </c>
      <c r="D225" s="626" t="s">
        <v>1588</v>
      </c>
      <c r="E225" s="350">
        <v>20</v>
      </c>
      <c r="F225" s="350">
        <v>1</v>
      </c>
      <c r="G225" s="626" t="s">
        <v>1588</v>
      </c>
      <c r="H225" s="626" t="s">
        <v>1588</v>
      </c>
      <c r="I225" s="626" t="s">
        <v>1588</v>
      </c>
      <c r="J225" s="350">
        <v>69</v>
      </c>
      <c r="K225" s="418">
        <f t="shared" si="39"/>
        <v>5.5904440676071037</v>
      </c>
    </row>
    <row r="226" spans="1:11" ht="13.5">
      <c r="A226" s="424" t="s">
        <v>1771</v>
      </c>
      <c r="B226" s="350">
        <v>169310</v>
      </c>
      <c r="C226" s="350">
        <f t="shared" si="34"/>
        <v>3</v>
      </c>
      <c r="D226" s="350">
        <v>2</v>
      </c>
      <c r="E226" s="626" t="s">
        <v>1588</v>
      </c>
      <c r="F226" s="626" t="s">
        <v>1588</v>
      </c>
      <c r="G226" s="626" t="s">
        <v>1588</v>
      </c>
      <c r="H226" s="350">
        <v>1</v>
      </c>
      <c r="I226" s="626" t="s">
        <v>1588</v>
      </c>
      <c r="J226" s="626" t="s">
        <v>1588</v>
      </c>
      <c r="K226" s="418">
        <f t="shared" si="39"/>
        <v>0.17718977024393123</v>
      </c>
    </row>
    <row r="227" spans="1:11" ht="27" customHeight="1">
      <c r="A227" s="424" t="s">
        <v>1616</v>
      </c>
      <c r="B227" s="350">
        <f t="shared" ref="B227:J227" si="40">SUM(B228:B237)</f>
        <v>201706</v>
      </c>
      <c r="C227" s="350">
        <f t="shared" si="34"/>
        <v>128</v>
      </c>
      <c r="D227" s="350">
        <f t="shared" si="40"/>
        <v>5</v>
      </c>
      <c r="E227" s="350">
        <f t="shared" si="40"/>
        <v>22</v>
      </c>
      <c r="F227" s="350">
        <f t="shared" si="40"/>
        <v>19</v>
      </c>
      <c r="G227" s="350">
        <f t="shared" si="40"/>
        <v>2</v>
      </c>
      <c r="H227" s="350">
        <f t="shared" si="40"/>
        <v>5</v>
      </c>
      <c r="I227" s="350">
        <f t="shared" si="40"/>
        <v>0</v>
      </c>
      <c r="J227" s="350">
        <f t="shared" si="40"/>
        <v>75</v>
      </c>
      <c r="K227" s="418">
        <f t="shared" si="39"/>
        <v>6.3458697311929244</v>
      </c>
    </row>
    <row r="228" spans="1:11" ht="27" customHeight="1">
      <c r="A228" s="424" t="s">
        <v>1774</v>
      </c>
      <c r="B228" s="350">
        <v>13468</v>
      </c>
      <c r="C228" s="350">
        <f t="shared" si="34"/>
        <v>6</v>
      </c>
      <c r="D228" s="626" t="s">
        <v>1588</v>
      </c>
      <c r="E228" s="350">
        <v>1</v>
      </c>
      <c r="F228" s="350">
        <v>2</v>
      </c>
      <c r="G228" s="626" t="s">
        <v>1588</v>
      </c>
      <c r="H228" s="626" t="s">
        <v>1588</v>
      </c>
      <c r="I228" s="626" t="s">
        <v>1588</v>
      </c>
      <c r="J228" s="350">
        <v>3</v>
      </c>
      <c r="K228" s="418">
        <f t="shared" si="39"/>
        <v>4.4550044550044552</v>
      </c>
    </row>
    <row r="229" spans="1:11" ht="27" customHeight="1">
      <c r="A229" s="424" t="s">
        <v>1775</v>
      </c>
      <c r="B229" s="350">
        <v>17554</v>
      </c>
      <c r="C229" s="350">
        <f t="shared" si="34"/>
        <v>21</v>
      </c>
      <c r="D229" s="350">
        <v>5</v>
      </c>
      <c r="E229" s="350">
        <v>6</v>
      </c>
      <c r="F229" s="350">
        <v>1</v>
      </c>
      <c r="G229" s="626" t="s">
        <v>1588</v>
      </c>
      <c r="H229" s="626" t="s">
        <v>1588</v>
      </c>
      <c r="I229" s="626" t="s">
        <v>1588</v>
      </c>
      <c r="J229" s="350">
        <v>9</v>
      </c>
      <c r="K229" s="418">
        <f t="shared" si="39"/>
        <v>11.963085336675402</v>
      </c>
    </row>
    <row r="230" spans="1:11" ht="27" customHeight="1">
      <c r="A230" s="424" t="s">
        <v>1778</v>
      </c>
      <c r="B230" s="350">
        <v>35399</v>
      </c>
      <c r="C230" s="350">
        <f t="shared" si="34"/>
        <v>2</v>
      </c>
      <c r="D230" s="626" t="s">
        <v>1588</v>
      </c>
      <c r="E230" s="626" t="s">
        <v>1588</v>
      </c>
      <c r="F230" s="626" t="s">
        <v>1588</v>
      </c>
      <c r="G230" s="350">
        <v>2</v>
      </c>
      <c r="H230" s="626" t="s">
        <v>1588</v>
      </c>
      <c r="I230" s="626" t="s">
        <v>1588</v>
      </c>
      <c r="J230" s="626" t="s">
        <v>1588</v>
      </c>
      <c r="K230" s="418">
        <f t="shared" si="39"/>
        <v>0.56498771151727445</v>
      </c>
    </row>
    <row r="231" spans="1:11" ht="27" customHeight="1">
      <c r="A231" s="424" t="s">
        <v>1609</v>
      </c>
      <c r="B231" s="350">
        <v>19984</v>
      </c>
      <c r="C231" s="350">
        <f t="shared" si="34"/>
        <v>7</v>
      </c>
      <c r="D231" s="626" t="s">
        <v>1588</v>
      </c>
      <c r="E231" s="626" t="s">
        <v>1588</v>
      </c>
      <c r="F231" s="626" t="s">
        <v>1588</v>
      </c>
      <c r="G231" s="626" t="s">
        <v>1588</v>
      </c>
      <c r="H231" s="626" t="s">
        <v>1588</v>
      </c>
      <c r="I231" s="626" t="s">
        <v>1588</v>
      </c>
      <c r="J231" s="350">
        <v>7</v>
      </c>
      <c r="K231" s="418">
        <f t="shared" si="39"/>
        <v>3.5028022417934346</v>
      </c>
    </row>
    <row r="232" spans="1:11" ht="27" customHeight="1">
      <c r="A232" s="424" t="s">
        <v>1945</v>
      </c>
      <c r="B232" s="350">
        <v>20764</v>
      </c>
      <c r="C232" s="350">
        <f t="shared" si="34"/>
        <v>17</v>
      </c>
      <c r="D232" s="626" t="s">
        <v>1588</v>
      </c>
      <c r="E232" s="350">
        <v>9</v>
      </c>
      <c r="F232" s="350">
        <v>6</v>
      </c>
      <c r="G232" s="626" t="s">
        <v>1588</v>
      </c>
      <c r="H232" s="626" t="s">
        <v>1588</v>
      </c>
      <c r="I232" s="626" t="s">
        <v>1588</v>
      </c>
      <c r="J232" s="350">
        <v>2</v>
      </c>
      <c r="K232" s="418">
        <f t="shared" si="39"/>
        <v>8.1872471585436344</v>
      </c>
    </row>
    <row r="233" spans="1:11" ht="27" customHeight="1">
      <c r="A233" s="424" t="s">
        <v>1948</v>
      </c>
      <c r="B233" s="350">
        <v>19055</v>
      </c>
      <c r="C233" s="350">
        <f t="shared" si="34"/>
        <v>10</v>
      </c>
      <c r="D233" s="626" t="s">
        <v>1588</v>
      </c>
      <c r="E233" s="626" t="s">
        <v>1588</v>
      </c>
      <c r="F233" s="350">
        <v>4</v>
      </c>
      <c r="G233" s="626" t="s">
        <v>1588</v>
      </c>
      <c r="H233" s="626" t="s">
        <v>1588</v>
      </c>
      <c r="I233" s="626" t="s">
        <v>1588</v>
      </c>
      <c r="J233" s="350">
        <v>6</v>
      </c>
      <c r="K233" s="418">
        <f t="shared" si="39"/>
        <v>5.2479664130149564</v>
      </c>
    </row>
    <row r="234" spans="1:11" ht="27" customHeight="1">
      <c r="A234" s="424" t="s">
        <v>1956</v>
      </c>
      <c r="B234" s="350">
        <v>5820</v>
      </c>
      <c r="C234" s="350">
        <f t="shared" si="34"/>
        <v>0</v>
      </c>
      <c r="D234" s="626" t="s">
        <v>1588</v>
      </c>
      <c r="E234" s="626" t="s">
        <v>1588</v>
      </c>
      <c r="F234" s="626" t="s">
        <v>1588</v>
      </c>
      <c r="G234" s="626" t="s">
        <v>1588</v>
      </c>
      <c r="H234" s="626" t="s">
        <v>1588</v>
      </c>
      <c r="I234" s="626" t="s">
        <v>1588</v>
      </c>
      <c r="J234" s="626" t="s">
        <v>1588</v>
      </c>
      <c r="K234" s="418">
        <f t="shared" si="39"/>
        <v>0</v>
      </c>
    </row>
    <row r="235" spans="1:11" ht="27" customHeight="1">
      <c r="A235" s="424" t="s">
        <v>1957</v>
      </c>
      <c r="B235" s="350">
        <v>17414</v>
      </c>
      <c r="C235" s="350">
        <f t="shared" si="34"/>
        <v>10</v>
      </c>
      <c r="D235" s="626" t="s">
        <v>1588</v>
      </c>
      <c r="E235" s="350">
        <v>3</v>
      </c>
      <c r="F235" s="350">
        <v>2</v>
      </c>
      <c r="G235" s="626" t="s">
        <v>1588</v>
      </c>
      <c r="H235" s="350">
        <v>5</v>
      </c>
      <c r="I235" s="626" t="s">
        <v>1588</v>
      </c>
      <c r="J235" s="626" t="s">
        <v>1588</v>
      </c>
      <c r="K235" s="418">
        <f t="shared" si="39"/>
        <v>5.7425060296313308</v>
      </c>
    </row>
    <row r="236" spans="1:11" ht="27" customHeight="1">
      <c r="A236" s="424" t="s">
        <v>497</v>
      </c>
      <c r="B236" s="350">
        <v>40223</v>
      </c>
      <c r="C236" s="350">
        <f t="shared" si="34"/>
        <v>41</v>
      </c>
      <c r="D236" s="350">
        <v>0</v>
      </c>
      <c r="E236" s="350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39</v>
      </c>
      <c r="K236" s="418">
        <f t="shared" si="39"/>
        <v>10.193173060189444</v>
      </c>
    </row>
    <row r="237" spans="1:11" ht="27" customHeight="1">
      <c r="A237" s="424" t="s">
        <v>1960</v>
      </c>
      <c r="B237" s="350">
        <v>12025</v>
      </c>
      <c r="C237" s="350">
        <f t="shared" si="34"/>
        <v>14</v>
      </c>
      <c r="D237" s="350">
        <v>0</v>
      </c>
      <c r="E237" s="350">
        <v>1</v>
      </c>
      <c r="F237" s="350">
        <v>4</v>
      </c>
      <c r="G237" s="350">
        <v>0</v>
      </c>
      <c r="H237" s="350">
        <v>0</v>
      </c>
      <c r="I237" s="350">
        <v>0</v>
      </c>
      <c r="J237" s="350">
        <v>9</v>
      </c>
      <c r="K237" s="418">
        <f t="shared" si="39"/>
        <v>11.642411642411641</v>
      </c>
    </row>
    <row r="238" spans="1:11" ht="27" customHeight="1">
      <c r="A238" s="424" t="s">
        <v>1989</v>
      </c>
      <c r="B238" s="353">
        <f>B239+B240</f>
        <v>410567</v>
      </c>
      <c r="C238" s="353">
        <f>SUM(D238:J238)</f>
        <v>845</v>
      </c>
      <c r="D238" s="353">
        <f t="shared" ref="D238:J238" si="41">SUM(D239:D240)</f>
        <v>0</v>
      </c>
      <c r="E238" s="353">
        <f t="shared" si="41"/>
        <v>314</v>
      </c>
      <c r="F238" s="353">
        <f t="shared" si="41"/>
        <v>274</v>
      </c>
      <c r="G238" s="353">
        <f t="shared" si="41"/>
        <v>0</v>
      </c>
      <c r="H238" s="353">
        <f t="shared" si="41"/>
        <v>0</v>
      </c>
      <c r="I238" s="353">
        <f t="shared" si="41"/>
        <v>0</v>
      </c>
      <c r="J238" s="353">
        <f t="shared" si="41"/>
        <v>257</v>
      </c>
      <c r="K238" s="418">
        <f t="shared" si="39"/>
        <v>20.581293674357656</v>
      </c>
    </row>
    <row r="239" spans="1:11" ht="27" customHeight="1">
      <c r="A239" s="424" t="s">
        <v>1992</v>
      </c>
      <c r="B239" s="350">
        <v>301364</v>
      </c>
      <c r="C239" s="353">
        <f t="shared" si="34"/>
        <v>845</v>
      </c>
      <c r="D239" s="353">
        <v>0</v>
      </c>
      <c r="E239" s="353">
        <v>314</v>
      </c>
      <c r="F239" s="353">
        <v>274</v>
      </c>
      <c r="G239" s="353">
        <v>0</v>
      </c>
      <c r="H239" s="353">
        <v>0</v>
      </c>
      <c r="I239" s="353">
        <v>0</v>
      </c>
      <c r="J239" s="353">
        <v>257</v>
      </c>
      <c r="K239" s="418">
        <f t="shared" si="39"/>
        <v>28.039181853174235</v>
      </c>
    </row>
    <row r="240" spans="1:11" ht="27" customHeight="1" thickBot="1">
      <c r="A240" s="430" t="s">
        <v>1990</v>
      </c>
      <c r="B240" s="421">
        <v>109203</v>
      </c>
      <c r="C240" s="392">
        <f t="shared" si="34"/>
        <v>0</v>
      </c>
      <c r="D240" s="802" t="s">
        <v>1588</v>
      </c>
      <c r="E240" s="802" t="s">
        <v>1588</v>
      </c>
      <c r="F240" s="802" t="s">
        <v>1588</v>
      </c>
      <c r="G240" s="802" t="s">
        <v>1588</v>
      </c>
      <c r="H240" s="802" t="s">
        <v>1588</v>
      </c>
      <c r="I240" s="802" t="s">
        <v>1588</v>
      </c>
      <c r="J240" s="802" t="s">
        <v>1588</v>
      </c>
      <c r="K240" s="420">
        <f t="shared" si="39"/>
        <v>0</v>
      </c>
    </row>
  </sheetData>
  <mergeCells count="5">
    <mergeCell ref="K4:K5"/>
    <mergeCell ref="H3:I3"/>
    <mergeCell ref="A4:A5"/>
    <mergeCell ref="B4:B5"/>
    <mergeCell ref="C4:J4"/>
  </mergeCells>
  <phoneticPr fontId="3" type="noConversion"/>
  <conditionalFormatting sqref="A6:K240">
    <cfRule type="expression" dxfId="175" priority="1" stopIfTrue="1">
      <formula>OR($A6="시부",$A6="군부")</formula>
    </cfRule>
    <cfRule type="expression" dxfId="174" priority="2" stopIfTrue="1">
      <formula>OR(RIGHT($A6,3)="특별시",RIGHT($A6,3)="광역시",RIGHT($A6,1)="도",$A6=2006)</formula>
    </cfRule>
  </conditionalFormatting>
  <pageMargins left="0.74803149606299213" right="0.74803149606299213" top="0.98425196850393704" bottom="0.98425196850393704" header="0.51181102362204722" footer="0.51181102362204722"/>
  <pageSetup paperSize="9" scale="87" orientation="landscape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U15"/>
  <sheetViews>
    <sheetView view="pageBreakPreview" zoomScaleNormal="85" zoomScaleSheetLayoutView="100" workbookViewId="0">
      <selection activeCell="C24" sqref="C24"/>
    </sheetView>
  </sheetViews>
  <sheetFormatPr defaultColWidth="3.88671875" defaultRowHeight="12"/>
  <cols>
    <col min="1" max="1" width="13.77734375" style="937" bestFit="1" customWidth="1"/>
    <col min="2" max="2" width="19.88671875" style="937" bestFit="1" customWidth="1"/>
    <col min="3" max="3" width="10.21875" style="937" customWidth="1"/>
    <col min="4" max="4" width="9.21875" style="937" customWidth="1"/>
    <col min="5" max="8" width="8.6640625" style="937" bestFit="1" customWidth="1"/>
    <col min="9" max="9" width="8.33203125" style="937" customWidth="1"/>
    <col min="10" max="10" width="8.6640625" style="937" bestFit="1" customWidth="1"/>
    <col min="11" max="11" width="10.6640625" style="937" bestFit="1" customWidth="1"/>
    <col min="12" max="12" width="6.6640625" style="937" bestFit="1" customWidth="1"/>
    <col min="13" max="13" width="11.33203125" style="937" bestFit="1" customWidth="1"/>
    <col min="14" max="16384" width="3.88671875" style="937"/>
  </cols>
  <sheetData>
    <row r="2" spans="1:21" s="941" customFormat="1" ht="27.75" customHeight="1">
      <c r="A2" s="2069"/>
      <c r="B2" s="2069"/>
      <c r="C2" s="2069"/>
      <c r="D2" s="2069"/>
      <c r="E2" s="2069"/>
      <c r="F2" s="939"/>
      <c r="G2" s="940"/>
      <c r="H2" s="940"/>
      <c r="I2" s="940"/>
      <c r="J2" s="940"/>
      <c r="K2" s="940"/>
      <c r="L2" s="940"/>
      <c r="M2" s="940"/>
      <c r="N2" s="940"/>
      <c r="O2" s="940"/>
      <c r="P2" s="939"/>
      <c r="Q2" s="940"/>
      <c r="R2" s="940"/>
      <c r="S2" s="940"/>
      <c r="T2" s="939"/>
      <c r="U2" s="939"/>
    </row>
    <row r="3" spans="1:21" s="944" customFormat="1" ht="27.75" customHeight="1">
      <c r="A3" s="2026" t="s">
        <v>7701</v>
      </c>
      <c r="B3" s="2026"/>
      <c r="C3" s="2026"/>
      <c r="D3" s="2026"/>
      <c r="E3" s="2026"/>
      <c r="F3" s="942"/>
      <c r="G3" s="943"/>
      <c r="H3" s="943"/>
      <c r="I3" s="943"/>
      <c r="J3" s="943"/>
      <c r="K3" s="943"/>
      <c r="L3" s="943"/>
      <c r="M3" s="943"/>
      <c r="N3" s="943"/>
      <c r="O3" s="943"/>
      <c r="P3" s="942"/>
      <c r="Q3" s="943"/>
      <c r="R3" s="943"/>
      <c r="S3" s="943"/>
      <c r="T3" s="942"/>
      <c r="U3" s="942"/>
    </row>
    <row r="4" spans="1:21" ht="12.75" thickBot="1">
      <c r="H4" s="2096"/>
      <c r="I4" s="2096"/>
    </row>
    <row r="5" spans="1:21" ht="27" customHeight="1">
      <c r="A5" s="2116" t="s">
        <v>7620</v>
      </c>
      <c r="B5" s="2118" t="s">
        <v>8987</v>
      </c>
      <c r="C5" s="2118" t="s">
        <v>7621</v>
      </c>
      <c r="D5" s="2120" t="s">
        <v>8952</v>
      </c>
      <c r="E5" s="2121"/>
      <c r="F5" s="2121"/>
      <c r="G5" s="2121"/>
      <c r="H5" s="2121"/>
      <c r="I5" s="2121"/>
      <c r="J5" s="2121"/>
      <c r="K5" s="2121"/>
      <c r="L5" s="2122"/>
      <c r="M5" s="2114" t="s">
        <v>7622</v>
      </c>
      <c r="N5" s="938"/>
      <c r="O5" s="938"/>
      <c r="P5" s="938"/>
    </row>
    <row r="6" spans="1:21" ht="27" customHeight="1">
      <c r="A6" s="2117"/>
      <c r="B6" s="2119"/>
      <c r="C6" s="2119"/>
      <c r="D6" s="947" t="s">
        <v>7623</v>
      </c>
      <c r="E6" s="947" t="s">
        <v>7624</v>
      </c>
      <c r="F6" s="947" t="s">
        <v>7625</v>
      </c>
      <c r="G6" s="947" t="s">
        <v>7626</v>
      </c>
      <c r="H6" s="947" t="s">
        <v>7627</v>
      </c>
      <c r="I6" s="947" t="s">
        <v>7628</v>
      </c>
      <c r="J6" s="948" t="s">
        <v>7629</v>
      </c>
      <c r="K6" s="948" t="s">
        <v>7630</v>
      </c>
      <c r="L6" s="947" t="s">
        <v>7631</v>
      </c>
      <c r="M6" s="2115"/>
      <c r="N6" s="938"/>
      <c r="O6" s="938"/>
      <c r="P6" s="938"/>
    </row>
    <row r="7" spans="1:21" ht="27.75" customHeight="1">
      <c r="A7" s="2111" t="s">
        <v>9120</v>
      </c>
      <c r="B7" s="949" t="s">
        <v>9281</v>
      </c>
      <c r="C7" s="629">
        <v>107406</v>
      </c>
      <c r="D7" s="945">
        <f t="shared" ref="D7:D9" si="0">SUM(E7:L7)</f>
        <v>1597</v>
      </c>
      <c r="E7" s="1350">
        <v>0</v>
      </c>
      <c r="F7" s="1350">
        <v>0</v>
      </c>
      <c r="G7" s="1350">
        <v>0</v>
      </c>
      <c r="H7" s="1350">
        <v>852</v>
      </c>
      <c r="I7" s="1350">
        <v>439</v>
      </c>
      <c r="J7" s="1350">
        <v>306</v>
      </c>
      <c r="K7" s="1350">
        <v>0</v>
      </c>
      <c r="L7" s="1423">
        <v>0</v>
      </c>
      <c r="M7" s="1455">
        <f t="shared" ref="M7:M15" si="1">IF(ISERROR((D7/C7)*100),0,(D7/C7)*100)</f>
        <v>1.4868815522410295</v>
      </c>
    </row>
    <row r="8" spans="1:21" ht="27.75" customHeight="1">
      <c r="A8" s="2112"/>
      <c r="B8" s="949" t="s">
        <v>9282</v>
      </c>
      <c r="C8" s="629">
        <v>137890</v>
      </c>
      <c r="D8" s="945">
        <f t="shared" si="0"/>
        <v>8244</v>
      </c>
      <c r="E8" s="1350">
        <v>7706</v>
      </c>
      <c r="F8" s="1350">
        <v>0</v>
      </c>
      <c r="G8" s="1350">
        <v>0</v>
      </c>
      <c r="H8" s="1350">
        <v>338</v>
      </c>
      <c r="I8" s="1350">
        <v>200</v>
      </c>
      <c r="J8" s="1350">
        <v>0</v>
      </c>
      <c r="K8" s="1350">
        <v>0</v>
      </c>
      <c r="L8" s="1425">
        <v>0</v>
      </c>
      <c r="M8" s="1455">
        <f t="shared" si="1"/>
        <v>5.9786786569004278</v>
      </c>
    </row>
    <row r="9" spans="1:21" ht="27.75" customHeight="1">
      <c r="A9" s="2112"/>
      <c r="B9" s="949" t="s">
        <v>9283</v>
      </c>
      <c r="C9" s="629">
        <v>4148</v>
      </c>
      <c r="D9" s="945">
        <f t="shared" si="0"/>
        <v>90</v>
      </c>
      <c r="E9" s="1350">
        <v>0</v>
      </c>
      <c r="F9" s="1350">
        <v>0</v>
      </c>
      <c r="G9" s="1350">
        <v>40</v>
      </c>
      <c r="H9" s="1350">
        <v>0</v>
      </c>
      <c r="I9" s="1350">
        <v>50</v>
      </c>
      <c r="J9" s="1350">
        <v>0</v>
      </c>
      <c r="K9" s="1350">
        <v>0</v>
      </c>
      <c r="L9" s="1425">
        <v>0</v>
      </c>
      <c r="M9" s="1455">
        <f t="shared" si="1"/>
        <v>2.1697203471552555</v>
      </c>
    </row>
    <row r="10" spans="1:21" ht="27.75" customHeight="1">
      <c r="A10" s="2112"/>
      <c r="B10" s="949" t="s">
        <v>9174</v>
      </c>
      <c r="C10" s="629">
        <v>50400</v>
      </c>
      <c r="D10" s="945">
        <f t="shared" ref="D10:D15" si="2">SUM(E10:L10)</f>
        <v>3197</v>
      </c>
      <c r="E10" s="1350">
        <v>1095</v>
      </c>
      <c r="F10" s="1350">
        <v>0</v>
      </c>
      <c r="G10" s="1350">
        <v>0</v>
      </c>
      <c r="H10" s="1350">
        <v>1180</v>
      </c>
      <c r="I10" s="1350">
        <v>368</v>
      </c>
      <c r="J10" s="1350">
        <v>144</v>
      </c>
      <c r="K10" s="1350">
        <v>410</v>
      </c>
      <c r="L10" s="1423">
        <v>0</v>
      </c>
      <c r="M10" s="1455">
        <f t="shared" si="1"/>
        <v>6.3432539682539684</v>
      </c>
    </row>
    <row r="11" spans="1:21" ht="27.75" customHeight="1">
      <c r="A11" s="2112"/>
      <c r="B11" s="949" t="s">
        <v>9284</v>
      </c>
      <c r="C11" s="629">
        <v>9355</v>
      </c>
      <c r="D11" s="945">
        <f t="shared" si="2"/>
        <v>419</v>
      </c>
      <c r="E11" s="1350">
        <v>0</v>
      </c>
      <c r="F11" s="1350">
        <v>0</v>
      </c>
      <c r="G11" s="1350">
        <v>0</v>
      </c>
      <c r="H11" s="1350">
        <v>374</v>
      </c>
      <c r="I11" s="1350">
        <v>45</v>
      </c>
      <c r="J11" s="1350">
        <v>0</v>
      </c>
      <c r="K11" s="1350">
        <v>0</v>
      </c>
      <c r="L11" s="1423">
        <v>0</v>
      </c>
      <c r="M11" s="1455">
        <f t="shared" si="1"/>
        <v>4.478888295029396</v>
      </c>
    </row>
    <row r="12" spans="1:21" ht="27.75" customHeight="1">
      <c r="A12" s="2112"/>
      <c r="B12" s="949" t="s">
        <v>9178</v>
      </c>
      <c r="C12" s="629">
        <v>7527</v>
      </c>
      <c r="D12" s="945">
        <f t="shared" si="2"/>
        <v>46</v>
      </c>
      <c r="E12" s="1350">
        <v>0</v>
      </c>
      <c r="F12" s="1350">
        <v>0</v>
      </c>
      <c r="G12" s="1350">
        <v>0</v>
      </c>
      <c r="H12" s="1350" t="s">
        <v>1991</v>
      </c>
      <c r="I12" s="1350">
        <v>46</v>
      </c>
      <c r="J12" s="1350">
        <v>0</v>
      </c>
      <c r="K12" s="1350">
        <v>0</v>
      </c>
      <c r="L12" s="1423">
        <v>0</v>
      </c>
      <c r="M12" s="1455">
        <f t="shared" si="1"/>
        <v>0.61113325362030024</v>
      </c>
    </row>
    <row r="13" spans="1:21" ht="27.75" customHeight="1">
      <c r="A13" s="2112"/>
      <c r="B13" s="949" t="s">
        <v>9182</v>
      </c>
      <c r="C13" s="629">
        <v>7639</v>
      </c>
      <c r="D13" s="945">
        <f t="shared" si="2"/>
        <v>34.5</v>
      </c>
      <c r="E13" s="1350">
        <v>0</v>
      </c>
      <c r="F13" s="1350">
        <v>0</v>
      </c>
      <c r="G13" s="1350">
        <v>0</v>
      </c>
      <c r="H13" s="1350" t="s">
        <v>1991</v>
      </c>
      <c r="I13" s="1350">
        <v>34.5</v>
      </c>
      <c r="J13" s="1350">
        <v>0</v>
      </c>
      <c r="K13" s="1350">
        <v>0</v>
      </c>
      <c r="L13" s="1423">
        <v>0</v>
      </c>
      <c r="M13" s="1455">
        <f t="shared" si="1"/>
        <v>0.45162979447571672</v>
      </c>
    </row>
    <row r="14" spans="1:21" ht="27.75" customHeight="1">
      <c r="A14" s="2112"/>
      <c r="B14" s="949" t="s">
        <v>9253</v>
      </c>
      <c r="C14" s="629">
        <v>6417</v>
      </c>
      <c r="D14" s="945">
        <f t="shared" si="2"/>
        <v>46</v>
      </c>
      <c r="E14" s="1350">
        <v>0</v>
      </c>
      <c r="F14" s="1350">
        <v>0</v>
      </c>
      <c r="G14" s="1350">
        <v>0</v>
      </c>
      <c r="H14" s="1350" t="s">
        <v>1991</v>
      </c>
      <c r="I14" s="1350">
        <v>46</v>
      </c>
      <c r="J14" s="1350">
        <v>0</v>
      </c>
      <c r="K14" s="1350">
        <v>0</v>
      </c>
      <c r="L14" s="1423">
        <v>0</v>
      </c>
      <c r="M14" s="1455">
        <f t="shared" si="1"/>
        <v>0.71684587813620071</v>
      </c>
    </row>
    <row r="15" spans="1:21" ht="27.75" customHeight="1" thickBot="1">
      <c r="A15" s="2113"/>
      <c r="B15" s="1456" t="s">
        <v>9254</v>
      </c>
      <c r="C15" s="1457">
        <v>5883</v>
      </c>
      <c r="D15" s="1458">
        <f t="shared" si="2"/>
        <v>62.1</v>
      </c>
      <c r="E15" s="1459">
        <v>0</v>
      </c>
      <c r="F15" s="1459">
        <v>0</v>
      </c>
      <c r="G15" s="1459">
        <v>0</v>
      </c>
      <c r="H15" s="1459" t="s">
        <v>1991</v>
      </c>
      <c r="I15" s="1459">
        <v>62.1</v>
      </c>
      <c r="J15" s="1459">
        <v>0</v>
      </c>
      <c r="K15" s="1459">
        <v>0</v>
      </c>
      <c r="L15" s="1424">
        <v>0</v>
      </c>
      <c r="M15" s="1460">
        <f t="shared" si="1"/>
        <v>1.055583885772565</v>
      </c>
    </row>
  </sheetData>
  <mergeCells count="9">
    <mergeCell ref="A7:A15"/>
    <mergeCell ref="M5:M6"/>
    <mergeCell ref="A2:E2"/>
    <mergeCell ref="A3:E3"/>
    <mergeCell ref="H4:I4"/>
    <mergeCell ref="A5:A6"/>
    <mergeCell ref="B5:B6"/>
    <mergeCell ref="C5:C6"/>
    <mergeCell ref="D5:L5"/>
  </mergeCells>
  <phoneticPr fontId="3" type="noConversion"/>
  <conditionalFormatting sqref="B7:M15 A7">
    <cfRule type="expression" dxfId="173" priority="173" stopIfTrue="1">
      <formula>OR($A7="시부",$A7="군부")</formula>
    </cfRule>
    <cfRule type="expression" dxfId="172" priority="174" stopIfTrue="1">
      <formula>OR(RIGHT($A7,3)="특별시",RIGHT($A7,3)="광역시",RIGHT($A7,1)="도",$A7="전국")</formula>
    </cfRule>
  </conditionalFormatting>
  <conditionalFormatting sqref="B7:M13 A7">
    <cfRule type="expression" dxfId="171" priority="167" stopIfTrue="1">
      <formula>OR($A7="시부",$A7="군부")</formula>
    </cfRule>
    <cfRule type="expression" dxfId="170" priority="168" stopIfTrue="1">
      <formula>OR(RIGHT($A7,3)="특별시",RIGHT($A7,3)="광역시",RIGHT($A7,1)="도",$A7="전국")</formula>
    </cfRule>
  </conditionalFormatting>
  <conditionalFormatting sqref="B10:M14">
    <cfRule type="expression" dxfId="169" priority="165" stopIfTrue="1">
      <formula>OR($A10="시부",$A10="군부")</formula>
    </cfRule>
    <cfRule type="expression" dxfId="168" priority="166" stopIfTrue="1">
      <formula>OR(RIGHT($A10,3)="특별시",RIGHT($A10,3)="광역시",RIGHT($A10,1)="도",$A10="전국")</formula>
    </cfRule>
  </conditionalFormatting>
  <conditionalFormatting sqref="B7:M9 A7">
    <cfRule type="expression" dxfId="167" priority="163" stopIfTrue="1">
      <formula>OR($A7="시부",$A7="군부")</formula>
    </cfRule>
    <cfRule type="expression" dxfId="166" priority="164" stopIfTrue="1">
      <formula>OR(RIGHT($A7,3)="특별시",RIGHT($A7,3)="광역시",RIGHT($A7,1)="도",$A7="전국")</formula>
    </cfRule>
  </conditionalFormatting>
  <conditionalFormatting sqref="B8:M9">
    <cfRule type="expression" dxfId="165" priority="161" stopIfTrue="1">
      <formula>OR($A8="시부",$A8="군부")</formula>
    </cfRule>
    <cfRule type="expression" dxfId="164" priority="162" stopIfTrue="1">
      <formula>OR(RIGHT($A8,3)="특별시",RIGHT($A8,3)="광역시",RIGHT($A8,1)="도",$A8="전국")</formula>
    </cfRule>
  </conditionalFormatting>
  <conditionalFormatting sqref="B9:M9">
    <cfRule type="expression" dxfId="163" priority="159" stopIfTrue="1">
      <formula>OR($A9="시부",$A9="군부")</formula>
    </cfRule>
    <cfRule type="expression" dxfId="162" priority="160" stopIfTrue="1">
      <formula>OR(RIGHT($A9,3)="특별시",RIGHT($A9,3)="광역시",RIGHT($A9,1)="도",$A9="전국")</formula>
    </cfRule>
  </conditionalFormatting>
  <conditionalFormatting sqref="B14:M14">
    <cfRule type="expression" dxfId="161" priority="157" stopIfTrue="1">
      <formula>OR($A14="시부",$A14="군부")</formula>
    </cfRule>
    <cfRule type="expression" dxfId="160" priority="158" stopIfTrue="1">
      <formula>OR(RIGHT($A14,3)="특별시",RIGHT($A14,3)="광역시",RIGHT($A14,1)="도",$A14="전국")</formula>
    </cfRule>
  </conditionalFormatting>
  <conditionalFormatting sqref="K14">
    <cfRule type="expression" dxfId="159" priority="155" stopIfTrue="1">
      <formula>OR($A14="시부",$A14="군부")</formula>
    </cfRule>
    <cfRule type="expression" dxfId="158" priority="156" stopIfTrue="1">
      <formula>OR(RIGHT($A14,3)="특별시",RIGHT($A14,3)="광역시",RIGHT($A14,1)="도",$A14="전국")</formula>
    </cfRule>
  </conditionalFormatting>
  <conditionalFormatting sqref="K14">
    <cfRule type="expression" dxfId="157" priority="153" stopIfTrue="1">
      <formula>OR($A14="시부",$A14="군부")</formula>
    </cfRule>
    <cfRule type="expression" dxfId="156" priority="154" stopIfTrue="1">
      <formula>OR(RIGHT($A14,3)="특별시",RIGHT($A14,3)="광역시",RIGHT($A14,1)="도",$A14="전국")</formula>
    </cfRule>
  </conditionalFormatting>
  <conditionalFormatting sqref="K14">
    <cfRule type="expression" dxfId="155" priority="151" stopIfTrue="1">
      <formula>OR($A14="시부",$A14="군부")</formula>
    </cfRule>
    <cfRule type="expression" dxfId="154" priority="152" stopIfTrue="1">
      <formula>OR(RIGHT($A14,3)="특별시",RIGHT($A14,3)="광역시",RIGHT($A14,1)="도",$A14="전국")</formula>
    </cfRule>
  </conditionalFormatting>
  <conditionalFormatting sqref="K14">
    <cfRule type="expression" dxfId="153" priority="149" stopIfTrue="1">
      <formula>OR($A14="시부",$A14="군부")</formula>
    </cfRule>
    <cfRule type="expression" dxfId="152" priority="150" stopIfTrue="1">
      <formula>OR(RIGHT($A14,3)="특별시",RIGHT($A14,3)="광역시",RIGHT($A14,1)="도",$A14="전국")</formula>
    </cfRule>
  </conditionalFormatting>
  <conditionalFormatting sqref="K14">
    <cfRule type="expression" dxfId="151" priority="147" stopIfTrue="1">
      <formula>OR($A14="시부",$A14="군부")</formula>
    </cfRule>
    <cfRule type="expression" dxfId="150" priority="148" stopIfTrue="1">
      <formula>OR(RIGHT($A14,3)="특별시",RIGHT($A14,3)="광역시",RIGHT($A14,1)="도",$A14="전국")</formula>
    </cfRule>
  </conditionalFormatting>
  <conditionalFormatting sqref="K14">
    <cfRule type="expression" dxfId="149" priority="145" stopIfTrue="1">
      <formula>OR($A14="시부",$A14="군부")</formula>
    </cfRule>
    <cfRule type="expression" dxfId="148" priority="146" stopIfTrue="1">
      <formula>OR(RIGHT($A14,3)="특별시",RIGHT($A14,3)="광역시",RIGHT($A14,1)="도",$A14="전국")</formula>
    </cfRule>
  </conditionalFormatting>
  <conditionalFormatting sqref="B10:M14">
    <cfRule type="expression" dxfId="147" priority="143" stopIfTrue="1">
      <formula>OR($A10="시부",$A10="군부")</formula>
    </cfRule>
    <cfRule type="expression" dxfId="146" priority="144" stopIfTrue="1">
      <formula>OR(RIGHT($A10,3)="특별시",RIGHT($A10,3)="광역시",RIGHT($A10,1)="도",$A10="전국")</formula>
    </cfRule>
  </conditionalFormatting>
  <conditionalFormatting sqref="B7:M9 A7">
    <cfRule type="expression" dxfId="145" priority="141" stopIfTrue="1">
      <formula>OR($A7="시부",$A7="군부")</formula>
    </cfRule>
    <cfRule type="expression" dxfId="144" priority="142" stopIfTrue="1">
      <formula>OR(RIGHT($A7,3)="특별시",RIGHT($A7,3)="광역시",RIGHT($A7,1)="도",$A7="전국")</formula>
    </cfRule>
  </conditionalFormatting>
  <conditionalFormatting sqref="B8:M9">
    <cfRule type="expression" dxfId="143" priority="139" stopIfTrue="1">
      <formula>OR($A8="시부",$A8="군부")</formula>
    </cfRule>
    <cfRule type="expression" dxfId="142" priority="140" stopIfTrue="1">
      <formula>OR(RIGHT($A8,3)="특별시",RIGHT($A8,3)="광역시",RIGHT($A8,1)="도",$A8="전국")</formula>
    </cfRule>
  </conditionalFormatting>
  <conditionalFormatting sqref="B9:M9">
    <cfRule type="expression" dxfId="141" priority="137" stopIfTrue="1">
      <formula>OR($A9="시부",$A9="군부")</formula>
    </cfRule>
    <cfRule type="expression" dxfId="140" priority="138" stopIfTrue="1">
      <formula>OR(RIGHT($A9,3)="특별시",RIGHT($A9,3)="광역시",RIGHT($A9,1)="도",$A9="전국")</formula>
    </cfRule>
  </conditionalFormatting>
  <conditionalFormatting sqref="K11">
    <cfRule type="expression" dxfId="139" priority="135" stopIfTrue="1">
      <formula>OR($A11="시부",$A11="군부")</formula>
    </cfRule>
    <cfRule type="expression" dxfId="138" priority="136" stopIfTrue="1">
      <formula>OR(RIGHT($A11,3)="특별시",RIGHT($A11,3)="광역시",RIGHT($A11,1)="도",$A11="전국")</formula>
    </cfRule>
  </conditionalFormatting>
  <conditionalFormatting sqref="K11">
    <cfRule type="expression" dxfId="137" priority="133" stopIfTrue="1">
      <formula>OR($A11="시부",$A11="군부")</formula>
    </cfRule>
    <cfRule type="expression" dxfId="136" priority="134" stopIfTrue="1">
      <formula>OR(RIGHT($A11,3)="특별시",RIGHT($A11,3)="광역시",RIGHT($A11,1)="도",$A11="전국")</formula>
    </cfRule>
  </conditionalFormatting>
  <conditionalFormatting sqref="K11">
    <cfRule type="expression" dxfId="135" priority="131" stopIfTrue="1">
      <formula>OR($A11="시부",$A11="군부")</formula>
    </cfRule>
    <cfRule type="expression" dxfId="134" priority="132" stopIfTrue="1">
      <formula>OR(RIGHT($A11,3)="특별시",RIGHT($A11,3)="광역시",RIGHT($A11,1)="도",$A11="전국")</formula>
    </cfRule>
  </conditionalFormatting>
  <conditionalFormatting sqref="K12">
    <cfRule type="expression" dxfId="133" priority="129" stopIfTrue="1">
      <formula>OR($A12="시부",$A12="군부")</formula>
    </cfRule>
    <cfRule type="expression" dxfId="132" priority="130" stopIfTrue="1">
      <formula>OR(RIGHT($A12,3)="특별시",RIGHT($A12,3)="광역시",RIGHT($A12,1)="도",$A12="전국")</formula>
    </cfRule>
  </conditionalFormatting>
  <conditionalFormatting sqref="K12">
    <cfRule type="expression" dxfId="131" priority="127" stopIfTrue="1">
      <formula>OR($A12="시부",$A12="군부")</formula>
    </cfRule>
    <cfRule type="expression" dxfId="130" priority="128" stopIfTrue="1">
      <formula>OR(RIGHT($A12,3)="특별시",RIGHT($A12,3)="광역시",RIGHT($A12,1)="도",$A12="전국")</formula>
    </cfRule>
  </conditionalFormatting>
  <conditionalFormatting sqref="K12">
    <cfRule type="expression" dxfId="129" priority="125" stopIfTrue="1">
      <formula>OR($A12="시부",$A12="군부")</formula>
    </cfRule>
    <cfRule type="expression" dxfId="128" priority="126" stopIfTrue="1">
      <formula>OR(RIGHT($A12,3)="특별시",RIGHT($A12,3)="광역시",RIGHT($A12,1)="도",$A12="전국")</formula>
    </cfRule>
  </conditionalFormatting>
  <conditionalFormatting sqref="K13">
    <cfRule type="expression" dxfId="127" priority="123" stopIfTrue="1">
      <formula>OR($A13="시부",$A13="군부")</formula>
    </cfRule>
    <cfRule type="expression" dxfId="126" priority="124" stopIfTrue="1">
      <formula>OR(RIGHT($A13,3)="특별시",RIGHT($A13,3)="광역시",RIGHT($A13,1)="도",$A13="전국")</formula>
    </cfRule>
  </conditionalFormatting>
  <conditionalFormatting sqref="K13">
    <cfRule type="expression" dxfId="125" priority="121" stopIfTrue="1">
      <formula>OR($A13="시부",$A13="군부")</formula>
    </cfRule>
    <cfRule type="expression" dxfId="124" priority="122" stopIfTrue="1">
      <formula>OR(RIGHT($A13,3)="특별시",RIGHT($A13,3)="광역시",RIGHT($A13,1)="도",$A13="전국")</formula>
    </cfRule>
  </conditionalFormatting>
  <conditionalFormatting sqref="K13">
    <cfRule type="expression" dxfId="123" priority="119" stopIfTrue="1">
      <formula>OR($A13="시부",$A13="군부")</formula>
    </cfRule>
    <cfRule type="expression" dxfId="122" priority="120" stopIfTrue="1">
      <formula>OR(RIGHT($A13,3)="특별시",RIGHT($A13,3)="광역시",RIGHT($A13,1)="도",$A13="전국")</formula>
    </cfRule>
  </conditionalFormatting>
  <conditionalFormatting sqref="K13:K14">
    <cfRule type="expression" dxfId="121" priority="117" stopIfTrue="1">
      <formula>OR($A13="시부",$A13="군부")</formula>
    </cfRule>
    <cfRule type="expression" dxfId="120" priority="118" stopIfTrue="1">
      <formula>OR(RIGHT($A13,3)="특별시",RIGHT($A13,3)="광역시",RIGHT($A13,1)="도",$A13="전국")</formula>
    </cfRule>
  </conditionalFormatting>
  <conditionalFormatting sqref="K13:K14">
    <cfRule type="expression" dxfId="119" priority="115" stopIfTrue="1">
      <formula>OR($A13="시부",$A13="군부")</formula>
    </cfRule>
    <cfRule type="expression" dxfId="118" priority="116" stopIfTrue="1">
      <formula>OR(RIGHT($A13,3)="특별시",RIGHT($A13,3)="광역시",RIGHT($A13,1)="도",$A13="전국")</formula>
    </cfRule>
  </conditionalFormatting>
  <conditionalFormatting sqref="K13:K14">
    <cfRule type="expression" dxfId="117" priority="113" stopIfTrue="1">
      <formula>OR($A13="시부",$A13="군부")</formula>
    </cfRule>
    <cfRule type="expression" dxfId="116" priority="114" stopIfTrue="1">
      <formula>OR(RIGHT($A13,3)="특별시",RIGHT($A13,3)="광역시",RIGHT($A13,1)="도",$A13="전국")</formula>
    </cfRule>
  </conditionalFormatting>
  <conditionalFormatting sqref="K13:K14">
    <cfRule type="expression" dxfId="115" priority="111" stopIfTrue="1">
      <formula>OR($A13="시부",$A13="군부")</formula>
    </cfRule>
    <cfRule type="expression" dxfId="114" priority="112" stopIfTrue="1">
      <formula>OR(RIGHT($A13,3)="특별시",RIGHT($A13,3)="광역시",RIGHT($A13,1)="도",$A13="전국")</formula>
    </cfRule>
  </conditionalFormatting>
  <conditionalFormatting sqref="K13:K14">
    <cfRule type="expression" dxfId="113" priority="109" stopIfTrue="1">
      <formula>OR($A13="시부",$A13="군부")</formula>
    </cfRule>
    <cfRule type="expression" dxfId="112" priority="110" stopIfTrue="1">
      <formula>OR(RIGHT($A13,3)="특별시",RIGHT($A13,3)="광역시",RIGHT($A13,1)="도",$A13="전국")</formula>
    </cfRule>
  </conditionalFormatting>
  <conditionalFormatting sqref="K13:K14">
    <cfRule type="expression" dxfId="111" priority="107" stopIfTrue="1">
      <formula>OR($A13="시부",$A13="군부")</formula>
    </cfRule>
    <cfRule type="expression" dxfId="110" priority="108" stopIfTrue="1">
      <formula>OR(RIGHT($A13,3)="특별시",RIGHT($A13,3)="광역시",RIGHT($A13,1)="도",$A13="전국")</formula>
    </cfRule>
  </conditionalFormatting>
  <conditionalFormatting sqref="B10:L10 B11:C13 E11:L13 D11:D15 B7:B9">
    <cfRule type="expression" dxfId="109" priority="105" stopIfTrue="1">
      <formula>OR($A7="시부",$A7="군부")</formula>
    </cfRule>
    <cfRule type="expression" dxfId="108" priority="106" stopIfTrue="1">
      <formula>OR(RIGHT($A7,3)="특별시",RIGHT($A7,3)="광역시",RIGHT($A7,1)="도",$A7="전국")</formula>
    </cfRule>
  </conditionalFormatting>
  <conditionalFormatting sqref="B10:L10 B11:C14 E11:L14 D11:D15">
    <cfRule type="expression" dxfId="107" priority="103" stopIfTrue="1">
      <formula>OR($A10="시부",$A10="군부")</formula>
    </cfRule>
    <cfRule type="expression" dxfId="106" priority="104" stopIfTrue="1">
      <formula>OR(RIGHT($A10,3)="특별시",RIGHT($A10,3)="광역시",RIGHT($A10,1)="도",$A10="전국")</formula>
    </cfRule>
  </conditionalFormatting>
  <conditionalFormatting sqref="D10:D15 B7:B9">
    <cfRule type="expression" dxfId="105" priority="101" stopIfTrue="1">
      <formula>OR($A7="시부",$A7="군부")</formula>
    </cfRule>
    <cfRule type="expression" dxfId="104" priority="102" stopIfTrue="1">
      <formula>OR(RIGHT($A7,3)="특별시",RIGHT($A7,3)="광역시",RIGHT($A7,1)="도",$A7="전국")</formula>
    </cfRule>
  </conditionalFormatting>
  <conditionalFormatting sqref="B8:B9 D10:D15">
    <cfRule type="expression" dxfId="103" priority="99" stopIfTrue="1">
      <formula>OR($A8="시부",$A8="군부")</formula>
    </cfRule>
    <cfRule type="expression" dxfId="102" priority="100" stopIfTrue="1">
      <formula>OR(RIGHT($A8,3)="특별시",RIGHT($A8,3)="광역시",RIGHT($A8,1)="도",$A8="전국")</formula>
    </cfRule>
  </conditionalFormatting>
  <conditionalFormatting sqref="B9 D10:D15">
    <cfRule type="expression" dxfId="101" priority="97" stopIfTrue="1">
      <formula>OR($A9="시부",$A9="군부")</formula>
    </cfRule>
    <cfRule type="expression" dxfId="100" priority="98" stopIfTrue="1">
      <formula>OR(RIGHT($A9,3)="특별시",RIGHT($A9,3)="광역시",RIGHT($A9,1)="도",$A9="전국")</formula>
    </cfRule>
  </conditionalFormatting>
  <conditionalFormatting sqref="B14:C14 E14:L14">
    <cfRule type="expression" dxfId="99" priority="95" stopIfTrue="1">
      <formula>OR($A14="시부",$A14="군부")</formula>
    </cfRule>
    <cfRule type="expression" dxfId="98" priority="96" stopIfTrue="1">
      <formula>OR(RIGHT($A14,3)="특별시",RIGHT($A14,3)="광역시",RIGHT($A14,1)="도",$A14="전국")</formula>
    </cfRule>
  </conditionalFormatting>
  <conditionalFormatting sqref="K14">
    <cfRule type="expression" dxfId="97" priority="93" stopIfTrue="1">
      <formula>OR($A14="시부",$A14="군부")</formula>
    </cfRule>
    <cfRule type="expression" dxfId="96" priority="94" stopIfTrue="1">
      <formula>OR(RIGHT($A14,3)="특별시",RIGHT($A14,3)="광역시",RIGHT($A14,1)="도",$A14="전국")</formula>
    </cfRule>
  </conditionalFormatting>
  <conditionalFormatting sqref="K14">
    <cfRule type="expression" dxfId="95" priority="91" stopIfTrue="1">
      <formula>OR($A14="시부",$A14="군부")</formula>
    </cfRule>
    <cfRule type="expression" dxfId="94" priority="92" stopIfTrue="1">
      <formula>OR(RIGHT($A14,3)="특별시",RIGHT($A14,3)="광역시",RIGHT($A14,1)="도",$A14="전국")</formula>
    </cfRule>
  </conditionalFormatting>
  <conditionalFormatting sqref="K14">
    <cfRule type="expression" dxfId="93" priority="89" stopIfTrue="1">
      <formula>OR($A14="시부",$A14="군부")</formula>
    </cfRule>
    <cfRule type="expression" dxfId="92" priority="90" stopIfTrue="1">
      <formula>OR(RIGHT($A14,3)="특별시",RIGHT($A14,3)="광역시",RIGHT($A14,1)="도",$A14="전국")</formula>
    </cfRule>
  </conditionalFormatting>
  <conditionalFormatting sqref="K14">
    <cfRule type="expression" dxfId="91" priority="87" stopIfTrue="1">
      <formula>OR($A14="시부",$A14="군부")</formula>
    </cfRule>
    <cfRule type="expression" dxfId="90" priority="88" stopIfTrue="1">
      <formula>OR(RIGHT($A14,3)="특별시",RIGHT($A14,3)="광역시",RIGHT($A14,1)="도",$A14="전국")</formula>
    </cfRule>
  </conditionalFormatting>
  <conditionalFormatting sqref="K14">
    <cfRule type="expression" dxfId="89" priority="85" stopIfTrue="1">
      <formula>OR($A14="시부",$A14="군부")</formula>
    </cfRule>
    <cfRule type="expression" dxfId="88" priority="86" stopIfTrue="1">
      <formula>OR(RIGHT($A14,3)="특별시",RIGHT($A14,3)="광역시",RIGHT($A14,1)="도",$A14="전국")</formula>
    </cfRule>
  </conditionalFormatting>
  <conditionalFormatting sqref="K14">
    <cfRule type="expression" dxfId="87" priority="83" stopIfTrue="1">
      <formula>OR($A14="시부",$A14="군부")</formula>
    </cfRule>
    <cfRule type="expression" dxfId="86" priority="84" stopIfTrue="1">
      <formula>OR(RIGHT($A14,3)="특별시",RIGHT($A14,3)="광역시",RIGHT($A14,1)="도",$A14="전국")</formula>
    </cfRule>
  </conditionalFormatting>
  <conditionalFormatting sqref="B10:L10 B11:C14 E11:L14 D11:D15">
    <cfRule type="expression" dxfId="85" priority="81" stopIfTrue="1">
      <formula>OR($A10="시부",$A10="군부")</formula>
    </cfRule>
    <cfRule type="expression" dxfId="84" priority="82" stopIfTrue="1">
      <formula>OR(RIGHT($A10,3)="특별시",RIGHT($A10,3)="광역시",RIGHT($A10,1)="도",$A10="전국")</formula>
    </cfRule>
  </conditionalFormatting>
  <conditionalFormatting sqref="D10:D15 B7:B9">
    <cfRule type="expression" dxfId="83" priority="79" stopIfTrue="1">
      <formula>OR($A7="시부",$A7="군부")</formula>
    </cfRule>
    <cfRule type="expression" dxfId="82" priority="80" stopIfTrue="1">
      <formula>OR(RIGHT($A7,3)="특별시",RIGHT($A7,3)="광역시",RIGHT($A7,1)="도",$A7="전국")</formula>
    </cfRule>
  </conditionalFormatting>
  <conditionalFormatting sqref="B8:B9 D10:D15">
    <cfRule type="expression" dxfId="81" priority="77" stopIfTrue="1">
      <formula>OR($A8="시부",$A8="군부")</formula>
    </cfRule>
    <cfRule type="expression" dxfId="80" priority="78" stopIfTrue="1">
      <formula>OR(RIGHT($A8,3)="특별시",RIGHT($A8,3)="광역시",RIGHT($A8,1)="도",$A8="전국")</formula>
    </cfRule>
  </conditionalFormatting>
  <conditionalFormatting sqref="B9 D10:D15">
    <cfRule type="expression" dxfId="79" priority="75" stopIfTrue="1">
      <formula>OR($A9="시부",$A9="군부")</formula>
    </cfRule>
    <cfRule type="expression" dxfId="78" priority="76" stopIfTrue="1">
      <formula>OR(RIGHT($A9,3)="특별시",RIGHT($A9,3)="광역시",RIGHT($A9,1)="도",$A9="전국")</formula>
    </cfRule>
  </conditionalFormatting>
  <conditionalFormatting sqref="K11">
    <cfRule type="expression" dxfId="77" priority="73" stopIfTrue="1">
      <formula>OR($A11="시부",$A11="군부")</formula>
    </cfRule>
    <cfRule type="expression" dxfId="76" priority="74" stopIfTrue="1">
      <formula>OR(RIGHT($A11,3)="특별시",RIGHT($A11,3)="광역시",RIGHT($A11,1)="도",$A11="전국")</formula>
    </cfRule>
  </conditionalFormatting>
  <conditionalFormatting sqref="K11">
    <cfRule type="expression" dxfId="75" priority="71" stopIfTrue="1">
      <formula>OR($A11="시부",$A11="군부")</formula>
    </cfRule>
    <cfRule type="expression" dxfId="74" priority="72" stopIfTrue="1">
      <formula>OR(RIGHT($A11,3)="특별시",RIGHT($A11,3)="광역시",RIGHT($A11,1)="도",$A11="전국")</formula>
    </cfRule>
  </conditionalFormatting>
  <conditionalFormatting sqref="K11">
    <cfRule type="expression" dxfId="73" priority="69" stopIfTrue="1">
      <formula>OR($A11="시부",$A11="군부")</formula>
    </cfRule>
    <cfRule type="expression" dxfId="72" priority="70" stopIfTrue="1">
      <formula>OR(RIGHT($A11,3)="특별시",RIGHT($A11,3)="광역시",RIGHT($A11,1)="도",$A11="전국")</formula>
    </cfRule>
  </conditionalFormatting>
  <conditionalFormatting sqref="K12">
    <cfRule type="expression" dxfId="71" priority="67" stopIfTrue="1">
      <formula>OR($A12="시부",$A12="군부")</formula>
    </cfRule>
    <cfRule type="expression" dxfId="70" priority="68" stopIfTrue="1">
      <formula>OR(RIGHT($A12,3)="특별시",RIGHT($A12,3)="광역시",RIGHT($A12,1)="도",$A12="전국")</formula>
    </cfRule>
  </conditionalFormatting>
  <conditionalFormatting sqref="K12">
    <cfRule type="expression" dxfId="69" priority="65" stopIfTrue="1">
      <formula>OR($A12="시부",$A12="군부")</formula>
    </cfRule>
    <cfRule type="expression" dxfId="68" priority="66" stopIfTrue="1">
      <formula>OR(RIGHT($A12,3)="특별시",RIGHT($A12,3)="광역시",RIGHT($A12,1)="도",$A12="전국")</formula>
    </cfRule>
  </conditionalFormatting>
  <conditionalFormatting sqref="K12">
    <cfRule type="expression" dxfId="67" priority="63" stopIfTrue="1">
      <formula>OR($A12="시부",$A12="군부")</formula>
    </cfRule>
    <cfRule type="expression" dxfId="66" priority="64" stopIfTrue="1">
      <formula>OR(RIGHT($A12,3)="특별시",RIGHT($A12,3)="광역시",RIGHT($A12,1)="도",$A12="전국")</formula>
    </cfRule>
  </conditionalFormatting>
  <conditionalFormatting sqref="K13">
    <cfRule type="expression" dxfId="65" priority="61" stopIfTrue="1">
      <formula>OR($A13="시부",$A13="군부")</formula>
    </cfRule>
    <cfRule type="expression" dxfId="64" priority="62" stopIfTrue="1">
      <formula>OR(RIGHT($A13,3)="특별시",RIGHT($A13,3)="광역시",RIGHT($A13,1)="도",$A13="전국")</formula>
    </cfRule>
  </conditionalFormatting>
  <conditionalFormatting sqref="K13">
    <cfRule type="expression" dxfId="63" priority="59" stopIfTrue="1">
      <formula>OR($A13="시부",$A13="군부")</formula>
    </cfRule>
    <cfRule type="expression" dxfId="62" priority="60" stopIfTrue="1">
      <formula>OR(RIGHT($A13,3)="특별시",RIGHT($A13,3)="광역시",RIGHT($A13,1)="도",$A13="전국")</formula>
    </cfRule>
  </conditionalFormatting>
  <conditionalFormatting sqref="K13">
    <cfRule type="expression" dxfId="61" priority="57" stopIfTrue="1">
      <formula>OR($A13="시부",$A13="군부")</formula>
    </cfRule>
    <cfRule type="expression" dxfId="60" priority="58" stopIfTrue="1">
      <formula>OR(RIGHT($A13,3)="특별시",RIGHT($A13,3)="광역시",RIGHT($A13,1)="도",$A13="전국")</formula>
    </cfRule>
  </conditionalFormatting>
  <conditionalFormatting sqref="K13:K14">
    <cfRule type="expression" dxfId="59" priority="55" stopIfTrue="1">
      <formula>OR($A13="시부",$A13="군부")</formula>
    </cfRule>
    <cfRule type="expression" dxfId="58" priority="56" stopIfTrue="1">
      <formula>OR(RIGHT($A13,3)="특별시",RIGHT($A13,3)="광역시",RIGHT($A13,1)="도",$A13="전국")</formula>
    </cfRule>
  </conditionalFormatting>
  <conditionalFormatting sqref="K13:K14">
    <cfRule type="expression" dxfId="57" priority="53" stopIfTrue="1">
      <formula>OR($A13="시부",$A13="군부")</formula>
    </cfRule>
    <cfRule type="expression" dxfId="56" priority="54" stopIfTrue="1">
      <formula>OR(RIGHT($A13,3)="특별시",RIGHT($A13,3)="광역시",RIGHT($A13,1)="도",$A13="전국")</formula>
    </cfRule>
  </conditionalFormatting>
  <conditionalFormatting sqref="K13:K14">
    <cfRule type="expression" dxfId="55" priority="51" stopIfTrue="1">
      <formula>OR($A13="시부",$A13="군부")</formula>
    </cfRule>
    <cfRule type="expression" dxfId="54" priority="52" stopIfTrue="1">
      <formula>OR(RIGHT($A13,3)="특별시",RIGHT($A13,3)="광역시",RIGHT($A13,1)="도",$A13="전국")</formula>
    </cfRule>
  </conditionalFormatting>
  <conditionalFormatting sqref="K13:K14">
    <cfRule type="expression" dxfId="53" priority="49" stopIfTrue="1">
      <formula>OR($A13="시부",$A13="군부")</formula>
    </cfRule>
    <cfRule type="expression" dxfId="52" priority="50" stopIfTrue="1">
      <formula>OR(RIGHT($A13,3)="특별시",RIGHT($A13,3)="광역시",RIGHT($A13,1)="도",$A13="전국")</formula>
    </cfRule>
  </conditionalFormatting>
  <conditionalFormatting sqref="K13:K14">
    <cfRule type="expression" dxfId="51" priority="47" stopIfTrue="1">
      <formula>OR($A13="시부",$A13="군부")</formula>
    </cfRule>
    <cfRule type="expression" dxfId="50" priority="48" stopIfTrue="1">
      <formula>OR(RIGHT($A13,3)="특별시",RIGHT($A13,3)="광역시",RIGHT($A13,1)="도",$A13="전국")</formula>
    </cfRule>
  </conditionalFormatting>
  <conditionalFormatting sqref="K13:K14">
    <cfRule type="expression" dxfId="49" priority="45" stopIfTrue="1">
      <formula>OR($A13="시부",$A13="군부")</formula>
    </cfRule>
    <cfRule type="expression" dxfId="48" priority="46" stopIfTrue="1">
      <formula>OR(RIGHT($A13,3)="특별시",RIGHT($A13,3)="광역시",RIGHT($A13,1)="도",$A13="전국")</formula>
    </cfRule>
  </conditionalFormatting>
  <conditionalFormatting sqref="B15:C15 E15:L15">
    <cfRule type="expression" dxfId="47" priority="43" stopIfTrue="1">
      <formula>OR($A15="시부",$A15="군부")</formula>
    </cfRule>
    <cfRule type="expression" dxfId="46" priority="44" stopIfTrue="1">
      <formula>OR(RIGHT($A15,3)="특별시",RIGHT($A15,3)="광역시",RIGHT($A15,1)="도",$A15="전국")</formula>
    </cfRule>
  </conditionalFormatting>
  <conditionalFormatting sqref="B15:C15 E15:L15">
    <cfRule type="expression" dxfId="45" priority="41" stopIfTrue="1">
      <formula>OR($A15="시부",$A15="군부")</formula>
    </cfRule>
    <cfRule type="expression" dxfId="44" priority="42" stopIfTrue="1">
      <formula>OR(RIGHT($A15,3)="특별시",RIGHT($A15,3)="광역시",RIGHT($A15,1)="도",$A15="전국")</formula>
    </cfRule>
  </conditionalFormatting>
  <conditionalFormatting sqref="K15">
    <cfRule type="expression" dxfId="43" priority="39" stopIfTrue="1">
      <formula>OR($A15="시부",$A15="군부")</formula>
    </cfRule>
    <cfRule type="expression" dxfId="42" priority="40" stopIfTrue="1">
      <formula>OR(RIGHT($A15,3)="특별시",RIGHT($A15,3)="광역시",RIGHT($A15,1)="도",$A15="전국")</formula>
    </cfRule>
  </conditionalFormatting>
  <conditionalFormatting sqref="K15">
    <cfRule type="expression" dxfId="41" priority="37" stopIfTrue="1">
      <formula>OR($A15="시부",$A15="군부")</formula>
    </cfRule>
    <cfRule type="expression" dxfId="40" priority="38" stopIfTrue="1">
      <formula>OR(RIGHT($A15,3)="특별시",RIGHT($A15,3)="광역시",RIGHT($A15,1)="도",$A15="전국")</formula>
    </cfRule>
  </conditionalFormatting>
  <conditionalFormatting sqref="K15">
    <cfRule type="expression" dxfId="39" priority="35" stopIfTrue="1">
      <formula>OR($A15="시부",$A15="군부")</formula>
    </cfRule>
    <cfRule type="expression" dxfId="38" priority="36" stopIfTrue="1">
      <formula>OR(RIGHT($A15,3)="특별시",RIGHT($A15,3)="광역시",RIGHT($A15,1)="도",$A15="전국")</formula>
    </cfRule>
  </conditionalFormatting>
  <conditionalFormatting sqref="K15">
    <cfRule type="expression" dxfId="37" priority="33" stopIfTrue="1">
      <formula>OR($A15="시부",$A15="군부")</formula>
    </cfRule>
    <cfRule type="expression" dxfId="36" priority="34" stopIfTrue="1">
      <formula>OR(RIGHT($A15,3)="특별시",RIGHT($A15,3)="광역시",RIGHT($A15,1)="도",$A15="전국")</formula>
    </cfRule>
  </conditionalFormatting>
  <conditionalFormatting sqref="K15">
    <cfRule type="expression" dxfId="35" priority="31" stopIfTrue="1">
      <formula>OR($A15="시부",$A15="군부")</formula>
    </cfRule>
    <cfRule type="expression" dxfId="34" priority="32" stopIfTrue="1">
      <formula>OR(RIGHT($A15,3)="특별시",RIGHT($A15,3)="광역시",RIGHT($A15,1)="도",$A15="전국")</formula>
    </cfRule>
  </conditionalFormatting>
  <conditionalFormatting sqref="K15">
    <cfRule type="expression" dxfId="33" priority="29" stopIfTrue="1">
      <formula>OR($A15="시부",$A15="군부")</formula>
    </cfRule>
    <cfRule type="expression" dxfId="32" priority="30" stopIfTrue="1">
      <formula>OR(RIGHT($A15,3)="특별시",RIGHT($A15,3)="광역시",RIGHT($A15,1)="도",$A15="전국")</formula>
    </cfRule>
  </conditionalFormatting>
  <conditionalFormatting sqref="B15:C15 E15:L15">
    <cfRule type="expression" dxfId="31" priority="27" stopIfTrue="1">
      <formula>OR($A15="시부",$A15="군부")</formula>
    </cfRule>
    <cfRule type="expression" dxfId="30" priority="28" stopIfTrue="1">
      <formula>OR(RIGHT($A15,3)="특별시",RIGHT($A15,3)="광역시",RIGHT($A15,1)="도",$A15="전국")</formula>
    </cfRule>
  </conditionalFormatting>
  <conditionalFormatting sqref="K15">
    <cfRule type="expression" dxfId="29" priority="25" stopIfTrue="1">
      <formula>OR($A15="시부",$A15="군부")</formula>
    </cfRule>
    <cfRule type="expression" dxfId="28" priority="26" stopIfTrue="1">
      <formula>OR(RIGHT($A15,3)="특별시",RIGHT($A15,3)="광역시",RIGHT($A15,1)="도",$A15="전국")</formula>
    </cfRule>
  </conditionalFormatting>
  <conditionalFormatting sqref="K15">
    <cfRule type="expression" dxfId="27" priority="23" stopIfTrue="1">
      <formula>OR($A15="시부",$A15="군부")</formula>
    </cfRule>
    <cfRule type="expression" dxfId="26" priority="24" stopIfTrue="1">
      <formula>OR(RIGHT($A15,3)="특별시",RIGHT($A15,3)="광역시",RIGHT($A15,1)="도",$A15="전국")</formula>
    </cfRule>
  </conditionalFormatting>
  <conditionalFormatting sqref="K15">
    <cfRule type="expression" dxfId="25" priority="21" stopIfTrue="1">
      <formula>OR($A15="시부",$A15="군부")</formula>
    </cfRule>
    <cfRule type="expression" dxfId="24" priority="22" stopIfTrue="1">
      <formula>OR(RIGHT($A15,3)="특별시",RIGHT($A15,3)="광역시",RIGHT($A15,1)="도",$A15="전국")</formula>
    </cfRule>
  </conditionalFormatting>
  <conditionalFormatting sqref="K15">
    <cfRule type="expression" dxfId="23" priority="19" stopIfTrue="1">
      <formula>OR($A15="시부",$A15="군부")</formula>
    </cfRule>
    <cfRule type="expression" dxfId="22" priority="20" stopIfTrue="1">
      <formula>OR(RIGHT($A15,3)="특별시",RIGHT($A15,3)="광역시",RIGHT($A15,1)="도",$A15="전국")</formula>
    </cfRule>
  </conditionalFormatting>
  <conditionalFormatting sqref="K15">
    <cfRule type="expression" dxfId="21" priority="17" stopIfTrue="1">
      <formula>OR($A15="시부",$A15="군부")</formula>
    </cfRule>
    <cfRule type="expression" dxfId="20" priority="18" stopIfTrue="1">
      <formula>OR(RIGHT($A15,3)="특별시",RIGHT($A15,3)="광역시",RIGHT($A15,1)="도",$A15="전국")</formula>
    </cfRule>
  </conditionalFormatting>
  <conditionalFormatting sqref="K15">
    <cfRule type="expression" dxfId="19" priority="15" stopIfTrue="1">
      <formula>OR($A15="시부",$A15="군부")</formula>
    </cfRule>
    <cfRule type="expression" dxfId="18" priority="16" stopIfTrue="1">
      <formula>OR(RIGHT($A15,3)="특별시",RIGHT($A15,3)="광역시",RIGHT($A15,1)="도",$A15="전국")</formula>
    </cfRule>
  </conditionalFormatting>
  <conditionalFormatting sqref="C7:M7 C8:L9 M8:M15">
    <cfRule type="expression" dxfId="17" priority="13" stopIfTrue="1">
      <formula>OR($A7="시부",$A7="군부")</formula>
    </cfRule>
    <cfRule type="expression" dxfId="16" priority="14" stopIfTrue="1">
      <formula>OR(RIGHT($A7,3)="특별시",RIGHT($A7,3)="광역시",RIGHT($A7,1)="도",$A7="전국")</formula>
    </cfRule>
  </conditionalFormatting>
  <conditionalFormatting sqref="C7:M7 C8:L9 M8:M15">
    <cfRule type="expression" dxfId="15" priority="11" stopIfTrue="1">
      <formula>OR($A7="시부",$A7="군부")</formula>
    </cfRule>
    <cfRule type="expression" dxfId="14" priority="12" stopIfTrue="1">
      <formula>OR(RIGHT($A7,3)="특별시",RIGHT($A7,3)="광역시",RIGHT($A7,1)="도",$A7="전국")</formula>
    </cfRule>
  </conditionalFormatting>
  <conditionalFormatting sqref="C8:L9">
    <cfRule type="expression" dxfId="13" priority="9" stopIfTrue="1">
      <formula>OR($A8="시부",$A8="군부")</formula>
    </cfRule>
    <cfRule type="expression" dxfId="12" priority="10" stopIfTrue="1">
      <formula>OR(RIGHT($A8,3)="특별시",RIGHT($A8,3)="광역시",RIGHT($A8,1)="도",$A8="전국")</formula>
    </cfRule>
  </conditionalFormatting>
  <conditionalFormatting sqref="C9:L9">
    <cfRule type="expression" dxfId="11" priority="7" stopIfTrue="1">
      <formula>OR($A9="시부",$A9="군부")</formula>
    </cfRule>
    <cfRule type="expression" dxfId="10" priority="8" stopIfTrue="1">
      <formula>OR(RIGHT($A9,3)="특별시",RIGHT($A9,3)="광역시",RIGHT($A9,1)="도",$A9="전국")</formula>
    </cfRule>
  </conditionalFormatting>
  <conditionalFormatting sqref="C7:M7 C8:L9 M8:M15">
    <cfRule type="expression" dxfId="9" priority="5" stopIfTrue="1">
      <formula>OR($A7="시부",$A7="군부")</formula>
    </cfRule>
    <cfRule type="expression" dxfId="8" priority="6" stopIfTrue="1">
      <formula>OR(RIGHT($A7,3)="특별시",RIGHT($A7,3)="광역시",RIGHT($A7,1)="도",$A7="전국")</formula>
    </cfRule>
  </conditionalFormatting>
  <conditionalFormatting sqref="C8:L9">
    <cfRule type="expression" dxfId="7" priority="3" stopIfTrue="1">
      <formula>OR($A8="시부",$A8="군부")</formula>
    </cfRule>
    <cfRule type="expression" dxfId="6" priority="4" stopIfTrue="1">
      <formula>OR(RIGHT($A8,3)="특별시",RIGHT($A8,3)="광역시",RIGHT($A8,1)="도",$A8="전국")</formula>
    </cfRule>
  </conditionalFormatting>
  <conditionalFormatting sqref="C9:L9">
    <cfRule type="expression" dxfId="5" priority="1" stopIfTrue="1">
      <formula>OR($A9="시부",$A9="군부")</formula>
    </cfRule>
    <cfRule type="expression" dxfId="4" priority="2" stopIfTrue="1">
      <formula>OR(RIGHT($A9,3)="특별시",RIGHT($A9,3)="광역시",RIGHT($A9,1)="도",$A9="전국")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84" orientation="landscape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1" tint="4.9989318521683403E-2"/>
    <pageSetUpPr fitToPage="1"/>
  </sheetPr>
  <dimension ref="A1:P346"/>
  <sheetViews>
    <sheetView workbookViewId="0">
      <selection sqref="A1:IV1"/>
    </sheetView>
  </sheetViews>
  <sheetFormatPr defaultColWidth="3.88671875" defaultRowHeight="12"/>
  <cols>
    <col min="1" max="1" width="13.21875" style="3" bestFit="1" customWidth="1"/>
    <col min="2" max="2" width="20.44140625" style="3" customWidth="1"/>
    <col min="3" max="3" width="14.44140625" style="3" customWidth="1"/>
    <col min="4" max="12" width="13.88671875" style="3" customWidth="1"/>
    <col min="13" max="13" width="10.77734375" style="3" customWidth="1"/>
    <col min="14" max="16384" width="3.88671875" style="3"/>
  </cols>
  <sheetData>
    <row r="1" spans="1:16" s="2123" customFormat="1" ht="27.75" customHeight="1">
      <c r="A1" s="2123" t="s">
        <v>1561</v>
      </c>
    </row>
    <row r="2" spans="1:16" s="1971" customFormat="1" ht="19.5" customHeight="1">
      <c r="A2" s="1971" t="s">
        <v>1574</v>
      </c>
    </row>
    <row r="3" spans="1:16" s="25" customFormat="1" ht="12.75" thickBot="1">
      <c r="H3" s="2103"/>
      <c r="I3" s="2103"/>
    </row>
    <row r="4" spans="1:16" s="25" customFormat="1" ht="22.5" customHeight="1">
      <c r="A4" s="2124" t="s">
        <v>1478</v>
      </c>
      <c r="B4" s="2126" t="s">
        <v>1498</v>
      </c>
      <c r="C4" s="2126" t="s">
        <v>543</v>
      </c>
      <c r="D4" s="2128" t="s">
        <v>1565</v>
      </c>
      <c r="E4" s="2129"/>
      <c r="F4" s="2129"/>
      <c r="G4" s="2129"/>
      <c r="H4" s="2129"/>
      <c r="I4" s="2129"/>
      <c r="J4" s="2129"/>
      <c r="K4" s="2129"/>
      <c r="L4" s="2130"/>
      <c r="M4" s="2131" t="s">
        <v>1573</v>
      </c>
      <c r="N4" s="26"/>
      <c r="O4" s="26"/>
      <c r="P4" s="26"/>
    </row>
    <row r="5" spans="1:16" s="25" customFormat="1" ht="28.5" customHeight="1" thickBot="1">
      <c r="A5" s="2125"/>
      <c r="B5" s="2127"/>
      <c r="C5" s="2127"/>
      <c r="D5" s="444" t="s">
        <v>1488</v>
      </c>
      <c r="E5" s="444" t="s">
        <v>1566</v>
      </c>
      <c r="F5" s="444" t="s">
        <v>1567</v>
      </c>
      <c r="G5" s="444" t="s">
        <v>1568</v>
      </c>
      <c r="H5" s="444" t="s">
        <v>1569</v>
      </c>
      <c r="I5" s="444" t="s">
        <v>1570</v>
      </c>
      <c r="J5" s="445" t="s">
        <v>1571</v>
      </c>
      <c r="K5" s="445" t="s">
        <v>1572</v>
      </c>
      <c r="L5" s="444" t="s">
        <v>1404</v>
      </c>
      <c r="M5" s="2132"/>
      <c r="N5" s="26"/>
      <c r="O5" s="26"/>
      <c r="P5" s="26"/>
    </row>
    <row r="6" spans="1:16" s="25" customFormat="1" ht="27.75" customHeight="1">
      <c r="A6" s="786">
        <v>2006</v>
      </c>
      <c r="B6" s="787">
        <f>SUM(B7,B12,B24,B31,B41,B45,B52,B113,B146,B176,B209,B230,B264,B304,B341,1)</f>
        <v>309</v>
      </c>
      <c r="C6" s="788">
        <f>SUM(C7,C12,C24,C31,C41,C44,C45,C52,C113,C146,C176,C209,C230,C264,C304,C341)</f>
        <v>20335540.93</v>
      </c>
      <c r="D6" s="879">
        <f t="shared" ref="D6:D69" si="0">SUM(E6:L6)</f>
        <v>3146571.7250000001</v>
      </c>
      <c r="E6" s="879">
        <f t="shared" ref="E6:L6" si="1">SUM(E7,E12,E24,E31,E41,E44,E45,E52,E113,E146,E176,E209,E230,E264,E304,E341)</f>
        <v>319825.65999999997</v>
      </c>
      <c r="F6" s="879">
        <f t="shared" si="1"/>
        <v>86681.75</v>
      </c>
      <c r="G6" s="879">
        <f t="shared" si="1"/>
        <v>144691.44</v>
      </c>
      <c r="H6" s="879">
        <f t="shared" si="1"/>
        <v>807192.09500000009</v>
      </c>
      <c r="I6" s="879">
        <f t="shared" si="1"/>
        <v>183095.39000000004</v>
      </c>
      <c r="J6" s="879">
        <f t="shared" si="1"/>
        <v>44750.66</v>
      </c>
      <c r="K6" s="879">
        <f t="shared" si="1"/>
        <v>679001.07</v>
      </c>
      <c r="L6" s="879">
        <f t="shared" si="1"/>
        <v>881333.66</v>
      </c>
      <c r="M6" s="878">
        <f t="shared" ref="M6:M69" si="2">(D6/C6)*100</f>
        <v>15.473262972601932</v>
      </c>
    </row>
    <row r="7" spans="1:16" s="25" customFormat="1" ht="27.75" customHeight="1">
      <c r="A7" s="796" t="s">
        <v>1586</v>
      </c>
      <c r="B7" s="789">
        <f>COUNTA(B8:B11)</f>
        <v>4</v>
      </c>
      <c r="C7" s="626">
        <f>SUM(C8:C11)</f>
        <v>3163752</v>
      </c>
      <c r="D7" s="785">
        <f t="shared" si="0"/>
        <v>54765.29</v>
      </c>
      <c r="E7" s="785">
        <f t="shared" ref="E7:L7" si="3">SUM(E8:E11)</f>
        <v>30.8</v>
      </c>
      <c r="F7" s="785">
        <f t="shared" si="3"/>
        <v>0</v>
      </c>
      <c r="G7" s="785">
        <f t="shared" si="3"/>
        <v>4968</v>
      </c>
      <c r="H7" s="785">
        <f t="shared" si="3"/>
        <v>30543.489999999998</v>
      </c>
      <c r="I7" s="785">
        <f t="shared" si="3"/>
        <v>3097</v>
      </c>
      <c r="J7" s="785">
        <f t="shared" si="3"/>
        <v>1064</v>
      </c>
      <c r="K7" s="785">
        <f t="shared" si="3"/>
        <v>3300</v>
      </c>
      <c r="L7" s="804">
        <f t="shared" si="3"/>
        <v>11762</v>
      </c>
      <c r="M7" s="805">
        <f t="shared" si="2"/>
        <v>1.7310234809808103</v>
      </c>
    </row>
    <row r="8" spans="1:16" s="25" customFormat="1" ht="27.75" customHeight="1">
      <c r="A8" s="796"/>
      <c r="B8" s="797" t="s">
        <v>1993</v>
      </c>
      <c r="C8" s="626">
        <v>806646</v>
      </c>
      <c r="D8" s="785">
        <f t="shared" si="0"/>
        <v>5208</v>
      </c>
      <c r="E8" s="785" t="s">
        <v>1588</v>
      </c>
      <c r="F8" s="785" t="s">
        <v>1588</v>
      </c>
      <c r="G8" s="785">
        <v>4848</v>
      </c>
      <c r="H8" s="785" t="s">
        <v>1588</v>
      </c>
      <c r="I8" s="785" t="s">
        <v>1588</v>
      </c>
      <c r="J8" s="785">
        <v>360</v>
      </c>
      <c r="K8" s="785" t="s">
        <v>1588</v>
      </c>
      <c r="L8" s="804" t="s">
        <v>1588</v>
      </c>
      <c r="M8" s="805">
        <f t="shared" si="2"/>
        <v>0.64563637580797528</v>
      </c>
    </row>
    <row r="9" spans="1:16" s="25" customFormat="1" ht="27.75" customHeight="1">
      <c r="A9" s="798"/>
      <c r="B9" s="797" t="s">
        <v>1994</v>
      </c>
      <c r="C9" s="626">
        <v>391383</v>
      </c>
      <c r="D9" s="785">
        <f t="shared" si="0"/>
        <v>22419</v>
      </c>
      <c r="E9" s="785" t="s">
        <v>1588</v>
      </c>
      <c r="F9" s="785" t="s">
        <v>1588</v>
      </c>
      <c r="G9" s="785" t="s">
        <v>1588</v>
      </c>
      <c r="H9" s="785">
        <v>9692</v>
      </c>
      <c r="I9" s="785">
        <v>797</v>
      </c>
      <c r="J9" s="785">
        <v>168</v>
      </c>
      <c r="K9" s="785" t="s">
        <v>1588</v>
      </c>
      <c r="L9" s="804">
        <v>11762</v>
      </c>
      <c r="M9" s="805">
        <f t="shared" si="2"/>
        <v>5.7281486421229335</v>
      </c>
    </row>
    <row r="10" spans="1:16" s="25" customFormat="1" ht="27.75" customHeight="1">
      <c r="A10" s="798"/>
      <c r="B10" s="797" t="s">
        <v>1995</v>
      </c>
      <c r="C10" s="626">
        <v>1063313</v>
      </c>
      <c r="D10" s="785">
        <f t="shared" si="0"/>
        <v>15518.289999999999</v>
      </c>
      <c r="E10" s="785">
        <v>30.8</v>
      </c>
      <c r="F10" s="785" t="s">
        <v>1588</v>
      </c>
      <c r="G10" s="785" t="s">
        <v>1588</v>
      </c>
      <c r="H10" s="785">
        <v>14351.49</v>
      </c>
      <c r="I10" s="785" t="s">
        <v>1588</v>
      </c>
      <c r="J10" s="785">
        <v>336</v>
      </c>
      <c r="K10" s="785">
        <v>800</v>
      </c>
      <c r="L10" s="804" t="s">
        <v>1588</v>
      </c>
      <c r="M10" s="805">
        <f t="shared" si="2"/>
        <v>1.4594282210412173</v>
      </c>
    </row>
    <row r="11" spans="1:16" s="25" customFormat="1" ht="27.75" customHeight="1">
      <c r="A11" s="795"/>
      <c r="B11" s="797" t="s">
        <v>1996</v>
      </c>
      <c r="C11" s="626">
        <v>902410</v>
      </c>
      <c r="D11" s="785">
        <f t="shared" si="0"/>
        <v>11620</v>
      </c>
      <c r="E11" s="785" t="s">
        <v>1588</v>
      </c>
      <c r="F11" s="785" t="s">
        <v>1588</v>
      </c>
      <c r="G11" s="785">
        <v>120</v>
      </c>
      <c r="H11" s="785">
        <v>6500</v>
      </c>
      <c r="I11" s="785">
        <v>2300</v>
      </c>
      <c r="J11" s="785">
        <v>200</v>
      </c>
      <c r="K11" s="785">
        <v>2500</v>
      </c>
      <c r="L11" s="804" t="s">
        <v>1588</v>
      </c>
      <c r="M11" s="805">
        <f t="shared" si="2"/>
        <v>1.2876630356489844</v>
      </c>
    </row>
    <row r="12" spans="1:16" s="25" customFormat="1" ht="27.75" customHeight="1">
      <c r="A12" s="791" t="s">
        <v>1785</v>
      </c>
      <c r="B12" s="789">
        <f>COUNTA(B13:B23)</f>
        <v>11</v>
      </c>
      <c r="C12" s="626">
        <f>SUM(C13:C23)</f>
        <v>933796</v>
      </c>
      <c r="D12" s="785">
        <f t="shared" si="0"/>
        <v>289672.84999999998</v>
      </c>
      <c r="E12" s="785">
        <f>SUM(E13:E23)</f>
        <v>17665.75</v>
      </c>
      <c r="F12" s="785">
        <f>SUM(F13:F23)</f>
        <v>3241.5</v>
      </c>
      <c r="G12" s="785">
        <f t="shared" ref="G12:L12" si="4">SUM(G13:G23)</f>
        <v>2257.5</v>
      </c>
      <c r="H12" s="785">
        <f t="shared" si="4"/>
        <v>74474</v>
      </c>
      <c r="I12" s="785">
        <f t="shared" si="4"/>
        <v>9374</v>
      </c>
      <c r="J12" s="785">
        <f t="shared" si="4"/>
        <v>2240</v>
      </c>
      <c r="K12" s="785">
        <f t="shared" si="4"/>
        <v>33402.589999999997</v>
      </c>
      <c r="L12" s="804">
        <f t="shared" si="4"/>
        <v>147017.51</v>
      </c>
      <c r="M12" s="805">
        <f t="shared" si="2"/>
        <v>31.020999233237234</v>
      </c>
    </row>
    <row r="13" spans="1:16" s="25" customFormat="1" ht="27.75" customHeight="1">
      <c r="A13" s="898"/>
      <c r="B13" s="899" t="s">
        <v>117</v>
      </c>
      <c r="C13" s="626">
        <v>155820</v>
      </c>
      <c r="D13" s="785">
        <f t="shared" si="0"/>
        <v>29077</v>
      </c>
      <c r="E13" s="785">
        <v>14874</v>
      </c>
      <c r="F13" s="785">
        <v>0</v>
      </c>
      <c r="G13" s="785">
        <v>0</v>
      </c>
      <c r="H13" s="785">
        <v>12311</v>
      </c>
      <c r="I13" s="785">
        <v>1892</v>
      </c>
      <c r="J13" s="785">
        <v>0</v>
      </c>
      <c r="K13" s="785">
        <v>0</v>
      </c>
      <c r="L13" s="804">
        <v>0</v>
      </c>
      <c r="M13" s="805">
        <f t="shared" si="2"/>
        <v>18.660634064946731</v>
      </c>
    </row>
    <row r="14" spans="1:16" s="25" customFormat="1" ht="27.75" customHeight="1">
      <c r="A14" s="900"/>
      <c r="B14" s="899" t="s">
        <v>495</v>
      </c>
      <c r="C14" s="626">
        <v>303939</v>
      </c>
      <c r="D14" s="785">
        <f t="shared" si="0"/>
        <v>109160</v>
      </c>
      <c r="E14" s="785">
        <v>120</v>
      </c>
      <c r="F14" s="785" t="s">
        <v>1588</v>
      </c>
      <c r="G14" s="785" t="s">
        <v>1588</v>
      </c>
      <c r="H14" s="785">
        <v>3678</v>
      </c>
      <c r="I14" s="785">
        <v>1515</v>
      </c>
      <c r="J14" s="785" t="s">
        <v>1588</v>
      </c>
      <c r="K14" s="785" t="s">
        <v>1588</v>
      </c>
      <c r="L14" s="804">
        <v>103847</v>
      </c>
      <c r="M14" s="805">
        <f t="shared" si="2"/>
        <v>35.915101385475374</v>
      </c>
    </row>
    <row r="15" spans="1:16" s="25" customFormat="1" ht="27.75" customHeight="1">
      <c r="A15" s="900"/>
      <c r="B15" s="899" t="s">
        <v>118</v>
      </c>
      <c r="C15" s="626">
        <v>116591</v>
      </c>
      <c r="D15" s="785">
        <f t="shared" si="0"/>
        <v>40328</v>
      </c>
      <c r="E15" s="785">
        <v>0</v>
      </c>
      <c r="F15" s="785">
        <v>400</v>
      </c>
      <c r="G15" s="785">
        <v>990</v>
      </c>
      <c r="H15" s="785">
        <v>38390</v>
      </c>
      <c r="I15" s="785">
        <v>344</v>
      </c>
      <c r="J15" s="785">
        <v>0</v>
      </c>
      <c r="K15" s="785">
        <v>0</v>
      </c>
      <c r="L15" s="804">
        <v>204</v>
      </c>
      <c r="M15" s="805">
        <f t="shared" si="2"/>
        <v>34.589290768584199</v>
      </c>
    </row>
    <row r="16" spans="1:16" s="25" customFormat="1" ht="27.75" customHeight="1">
      <c r="A16" s="900"/>
      <c r="B16" s="899" t="s">
        <v>119</v>
      </c>
      <c r="C16" s="626">
        <v>141356</v>
      </c>
      <c r="D16" s="785">
        <f t="shared" si="0"/>
        <v>7368</v>
      </c>
      <c r="E16" s="785">
        <v>40.5</v>
      </c>
      <c r="F16" s="785">
        <v>24.5</v>
      </c>
      <c r="G16" s="785" t="s">
        <v>1588</v>
      </c>
      <c r="H16" s="785">
        <v>1841</v>
      </c>
      <c r="I16" s="785">
        <v>172</v>
      </c>
      <c r="J16" s="785" t="s">
        <v>1588</v>
      </c>
      <c r="K16" s="785" t="s">
        <v>1588</v>
      </c>
      <c r="L16" s="804">
        <v>5290</v>
      </c>
      <c r="M16" s="805">
        <f t="shared" si="2"/>
        <v>5.2123716007810064</v>
      </c>
    </row>
    <row r="17" spans="1:13" ht="27.75" customHeight="1">
      <c r="A17" s="900"/>
      <c r="B17" s="899" t="s">
        <v>120</v>
      </c>
      <c r="C17" s="626">
        <v>20575</v>
      </c>
      <c r="D17" s="785">
        <f t="shared" si="0"/>
        <v>911.5</v>
      </c>
      <c r="E17" s="785">
        <v>40.5</v>
      </c>
      <c r="F17" s="785">
        <v>25</v>
      </c>
      <c r="G17" s="785" t="s">
        <v>1588</v>
      </c>
      <c r="H17" s="785">
        <v>664</v>
      </c>
      <c r="I17" s="785">
        <v>182</v>
      </c>
      <c r="J17" s="785" t="s">
        <v>1588</v>
      </c>
      <c r="K17" s="785" t="s">
        <v>1588</v>
      </c>
      <c r="L17" s="804" t="s">
        <v>1588</v>
      </c>
      <c r="M17" s="805">
        <f t="shared" si="2"/>
        <v>4.4301336573511545</v>
      </c>
    </row>
    <row r="18" spans="1:13" ht="27.75" customHeight="1">
      <c r="A18" s="900"/>
      <c r="B18" s="899" t="s">
        <v>121</v>
      </c>
      <c r="C18" s="626">
        <v>30288</v>
      </c>
      <c r="D18" s="785">
        <f t="shared" si="0"/>
        <v>12750</v>
      </c>
      <c r="E18" s="785" t="s">
        <v>1588</v>
      </c>
      <c r="F18" s="785" t="s">
        <v>1588</v>
      </c>
      <c r="G18" s="785" t="s">
        <v>1588</v>
      </c>
      <c r="H18" s="785" t="s">
        <v>1588</v>
      </c>
      <c r="I18" s="785">
        <v>1040</v>
      </c>
      <c r="J18" s="785" t="s">
        <v>1588</v>
      </c>
      <c r="K18" s="785">
        <v>11710</v>
      </c>
      <c r="L18" s="804" t="s">
        <v>1588</v>
      </c>
      <c r="M18" s="805">
        <f t="shared" si="2"/>
        <v>42.095879556259909</v>
      </c>
    </row>
    <row r="19" spans="1:13" ht="27.75" customHeight="1">
      <c r="A19" s="900"/>
      <c r="B19" s="899" t="s">
        <v>2082</v>
      </c>
      <c r="C19" s="626">
        <v>26283</v>
      </c>
      <c r="D19" s="785">
        <f t="shared" si="0"/>
        <v>11968</v>
      </c>
      <c r="E19" s="785">
        <v>498</v>
      </c>
      <c r="F19" s="785">
        <v>100</v>
      </c>
      <c r="G19" s="785">
        <v>30</v>
      </c>
      <c r="H19" s="785">
        <v>470</v>
      </c>
      <c r="I19" s="785">
        <v>132</v>
      </c>
      <c r="J19" s="785">
        <v>200</v>
      </c>
      <c r="K19" s="785">
        <v>96</v>
      </c>
      <c r="L19" s="804">
        <v>10442</v>
      </c>
      <c r="M19" s="805">
        <f t="shared" si="2"/>
        <v>45.535136780428417</v>
      </c>
    </row>
    <row r="20" spans="1:13" ht="27.75" customHeight="1">
      <c r="A20" s="900"/>
      <c r="B20" s="899" t="s">
        <v>122</v>
      </c>
      <c r="C20" s="626">
        <v>43396</v>
      </c>
      <c r="D20" s="785">
        <f t="shared" si="0"/>
        <v>26630.920000000002</v>
      </c>
      <c r="E20" s="785" t="s">
        <v>1588</v>
      </c>
      <c r="F20" s="785">
        <v>330</v>
      </c>
      <c r="G20" s="785" t="s">
        <v>1588</v>
      </c>
      <c r="H20" s="785">
        <v>4424</v>
      </c>
      <c r="I20" s="785">
        <v>2480</v>
      </c>
      <c r="J20" s="785">
        <v>2040</v>
      </c>
      <c r="K20" s="785">
        <v>17278.59</v>
      </c>
      <c r="L20" s="804">
        <v>78.33</v>
      </c>
      <c r="M20" s="805">
        <f t="shared" si="2"/>
        <v>61.367222785510187</v>
      </c>
    </row>
    <row r="21" spans="1:13" ht="27.75" customHeight="1">
      <c r="A21" s="900"/>
      <c r="B21" s="899" t="s">
        <v>123</v>
      </c>
      <c r="C21" s="626">
        <v>30359</v>
      </c>
      <c r="D21" s="785">
        <f t="shared" si="0"/>
        <v>15258</v>
      </c>
      <c r="E21" s="785">
        <v>140</v>
      </c>
      <c r="F21" s="785">
        <v>237</v>
      </c>
      <c r="G21" s="785">
        <v>237.5</v>
      </c>
      <c r="H21" s="785">
        <v>4299.6000000000004</v>
      </c>
      <c r="I21" s="785">
        <v>396</v>
      </c>
      <c r="J21" s="785" t="s">
        <v>1588</v>
      </c>
      <c r="K21" s="785">
        <v>362</v>
      </c>
      <c r="L21" s="804">
        <v>9585.9</v>
      </c>
      <c r="M21" s="805">
        <f t="shared" si="2"/>
        <v>50.258572416746276</v>
      </c>
    </row>
    <row r="22" spans="1:13" ht="27.75" customHeight="1">
      <c r="A22" s="791"/>
      <c r="B22" s="899" t="s">
        <v>129</v>
      </c>
      <c r="C22" s="626">
        <v>36254</v>
      </c>
      <c r="D22" s="785">
        <f t="shared" si="0"/>
        <v>14976.43</v>
      </c>
      <c r="E22" s="785">
        <v>190.75</v>
      </c>
      <c r="F22" s="785">
        <v>1960</v>
      </c>
      <c r="G22" s="785">
        <v>1000</v>
      </c>
      <c r="H22" s="785">
        <v>7110.4</v>
      </c>
      <c r="I22" s="785">
        <v>700</v>
      </c>
      <c r="J22" s="785">
        <v>0</v>
      </c>
      <c r="K22" s="785">
        <v>3956</v>
      </c>
      <c r="L22" s="804">
        <v>59.28</v>
      </c>
      <c r="M22" s="805">
        <f t="shared" si="2"/>
        <v>41.309731339990066</v>
      </c>
    </row>
    <row r="23" spans="1:13" ht="27.75" customHeight="1">
      <c r="A23" s="792"/>
      <c r="B23" s="899" t="s">
        <v>128</v>
      </c>
      <c r="C23" s="626">
        <v>28935</v>
      </c>
      <c r="D23" s="785">
        <f t="shared" si="0"/>
        <v>21245</v>
      </c>
      <c r="E23" s="785">
        <v>1762</v>
      </c>
      <c r="F23" s="785">
        <v>165</v>
      </c>
      <c r="G23" s="785" t="s">
        <v>1588</v>
      </c>
      <c r="H23" s="785">
        <v>1286</v>
      </c>
      <c r="I23" s="785">
        <v>521</v>
      </c>
      <c r="J23" s="785" t="s">
        <v>1588</v>
      </c>
      <c r="K23" s="785" t="s">
        <v>1588</v>
      </c>
      <c r="L23" s="804">
        <v>17511</v>
      </c>
      <c r="M23" s="805">
        <f t="shared" si="2"/>
        <v>73.423189908415409</v>
      </c>
    </row>
    <row r="24" spans="1:13" ht="27.75" customHeight="1">
      <c r="A24" s="791" t="s">
        <v>1971</v>
      </c>
      <c r="B24" s="789">
        <f>COUNTA(B25:B30)</f>
        <v>6</v>
      </c>
      <c r="C24" s="626">
        <f>SUM(C25:C30)</f>
        <v>1246511</v>
      </c>
      <c r="D24" s="785">
        <f t="shared" si="0"/>
        <v>129938</v>
      </c>
      <c r="E24" s="785">
        <f>SUM(E25:E30)</f>
        <v>9230</v>
      </c>
      <c r="F24" s="785">
        <f>SUM(F25:F30)</f>
        <v>0</v>
      </c>
      <c r="G24" s="785">
        <f t="shared" ref="G24:L24" si="5">SUM(G25:G30)</f>
        <v>524</v>
      </c>
      <c r="H24" s="785">
        <f t="shared" si="5"/>
        <v>45223</v>
      </c>
      <c r="I24" s="785">
        <f t="shared" si="5"/>
        <v>7489</v>
      </c>
      <c r="J24" s="785">
        <f t="shared" si="5"/>
        <v>5884</v>
      </c>
      <c r="K24" s="785">
        <f t="shared" si="5"/>
        <v>1875</v>
      </c>
      <c r="L24" s="804">
        <f t="shared" si="5"/>
        <v>59713</v>
      </c>
      <c r="M24" s="805">
        <f t="shared" si="2"/>
        <v>10.424135847978878</v>
      </c>
    </row>
    <row r="25" spans="1:13" ht="27.75" customHeight="1">
      <c r="A25" s="446"/>
      <c r="B25" s="790" t="s">
        <v>125</v>
      </c>
      <c r="C25" s="626">
        <v>173500</v>
      </c>
      <c r="D25" s="785">
        <f t="shared" si="0"/>
        <v>2952</v>
      </c>
      <c r="E25" s="785" t="s">
        <v>1588</v>
      </c>
      <c r="F25" s="785" t="s">
        <v>1588</v>
      </c>
      <c r="G25" s="785">
        <v>160</v>
      </c>
      <c r="H25" s="785">
        <v>2352</v>
      </c>
      <c r="I25" s="785">
        <v>440</v>
      </c>
      <c r="J25" s="785" t="s">
        <v>1588</v>
      </c>
      <c r="K25" s="785" t="s">
        <v>1588</v>
      </c>
      <c r="L25" s="804" t="s">
        <v>1588</v>
      </c>
      <c r="M25" s="805">
        <f t="shared" si="2"/>
        <v>1.7014409221902018</v>
      </c>
    </row>
    <row r="26" spans="1:13" ht="27.75" customHeight="1">
      <c r="A26" s="791"/>
      <c r="B26" s="790" t="s">
        <v>2082</v>
      </c>
      <c r="C26" s="626">
        <v>336762</v>
      </c>
      <c r="D26" s="785">
        <f t="shared" si="0"/>
        <v>6880</v>
      </c>
      <c r="E26" s="785">
        <v>3000</v>
      </c>
      <c r="F26" s="785" t="s">
        <v>1588</v>
      </c>
      <c r="G26" s="785">
        <v>120</v>
      </c>
      <c r="H26" s="785">
        <v>1260</v>
      </c>
      <c r="I26" s="785">
        <v>500</v>
      </c>
      <c r="J26" s="785" t="s">
        <v>1588</v>
      </c>
      <c r="K26" s="785" t="s">
        <v>1588</v>
      </c>
      <c r="L26" s="804">
        <v>2000</v>
      </c>
      <c r="M26" s="805">
        <f t="shared" si="2"/>
        <v>2.0429858475718756</v>
      </c>
    </row>
    <row r="27" spans="1:13" ht="27.75" customHeight="1">
      <c r="A27" s="791"/>
      <c r="B27" s="790" t="s">
        <v>2083</v>
      </c>
      <c r="C27" s="626">
        <v>536837</v>
      </c>
      <c r="D27" s="785">
        <f t="shared" si="0"/>
        <v>51469</v>
      </c>
      <c r="E27" s="785">
        <v>170</v>
      </c>
      <c r="F27" s="785" t="s">
        <v>1588</v>
      </c>
      <c r="G27" s="785">
        <v>32</v>
      </c>
      <c r="H27" s="785">
        <v>19493</v>
      </c>
      <c r="I27" s="785">
        <v>430</v>
      </c>
      <c r="J27" s="785">
        <v>144</v>
      </c>
      <c r="K27" s="785">
        <v>800</v>
      </c>
      <c r="L27" s="804">
        <v>30400</v>
      </c>
      <c r="M27" s="805">
        <f t="shared" si="2"/>
        <v>9.5874539199049238</v>
      </c>
    </row>
    <row r="28" spans="1:13" ht="27.75" customHeight="1">
      <c r="A28" s="791"/>
      <c r="B28" s="790" t="s">
        <v>2081</v>
      </c>
      <c r="C28" s="626">
        <v>107600</v>
      </c>
      <c r="D28" s="785">
        <f t="shared" si="0"/>
        <v>9355</v>
      </c>
      <c r="E28" s="785" t="s">
        <v>1588</v>
      </c>
      <c r="F28" s="785" t="s">
        <v>1588</v>
      </c>
      <c r="G28" s="785">
        <v>200</v>
      </c>
      <c r="H28" s="785">
        <v>7880</v>
      </c>
      <c r="I28" s="785">
        <v>400</v>
      </c>
      <c r="J28" s="785" t="s">
        <v>1588</v>
      </c>
      <c r="K28" s="785">
        <v>875</v>
      </c>
      <c r="L28" s="804" t="s">
        <v>1588</v>
      </c>
      <c r="M28" s="805">
        <f t="shared" si="2"/>
        <v>8.6942379182156131</v>
      </c>
    </row>
    <row r="29" spans="1:13" ht="27.75" customHeight="1">
      <c r="A29" s="791"/>
      <c r="B29" s="790" t="s">
        <v>126</v>
      </c>
      <c r="C29" s="626">
        <v>28112</v>
      </c>
      <c r="D29" s="785">
        <f t="shared" si="0"/>
        <v>19740</v>
      </c>
      <c r="E29" s="785">
        <v>6000</v>
      </c>
      <c r="F29" s="785" t="s">
        <v>1588</v>
      </c>
      <c r="G29" s="785" t="s">
        <v>1588</v>
      </c>
      <c r="H29" s="785">
        <v>3400</v>
      </c>
      <c r="I29" s="785">
        <v>3600</v>
      </c>
      <c r="J29" s="785">
        <v>5740</v>
      </c>
      <c r="K29" s="785">
        <v>200</v>
      </c>
      <c r="L29" s="804">
        <v>800</v>
      </c>
      <c r="M29" s="805">
        <f t="shared" si="2"/>
        <v>70.2191235059761</v>
      </c>
    </row>
    <row r="30" spans="1:13" ht="27.75" customHeight="1">
      <c r="A30" s="792"/>
      <c r="B30" s="790" t="s">
        <v>127</v>
      </c>
      <c r="C30" s="626">
        <v>63700</v>
      </c>
      <c r="D30" s="785">
        <f t="shared" si="0"/>
        <v>39542</v>
      </c>
      <c r="E30" s="785">
        <v>60</v>
      </c>
      <c r="F30" s="785" t="s">
        <v>1588</v>
      </c>
      <c r="G30" s="785">
        <v>12</v>
      </c>
      <c r="H30" s="785">
        <v>10838</v>
      </c>
      <c r="I30" s="785">
        <v>2119</v>
      </c>
      <c r="J30" s="785" t="s">
        <v>1588</v>
      </c>
      <c r="K30" s="785" t="s">
        <v>1588</v>
      </c>
      <c r="L30" s="804">
        <v>26513</v>
      </c>
      <c r="M30" s="805">
        <f t="shared" si="2"/>
        <v>62.07535321821036</v>
      </c>
    </row>
    <row r="31" spans="1:13" ht="27.75" customHeight="1">
      <c r="A31" s="791" t="s">
        <v>1791</v>
      </c>
      <c r="B31" s="789">
        <f>COUNTA(B32:B40)</f>
        <v>9</v>
      </c>
      <c r="C31" s="626">
        <f t="shared" ref="C31:L31" si="6">SUM(C32:C40)</f>
        <v>757353</v>
      </c>
      <c r="D31" s="785">
        <f t="shared" si="0"/>
        <v>192458</v>
      </c>
      <c r="E31" s="785">
        <f t="shared" si="6"/>
        <v>1588</v>
      </c>
      <c r="F31" s="785">
        <f t="shared" si="6"/>
        <v>0</v>
      </c>
      <c r="G31" s="785">
        <f t="shared" si="6"/>
        <v>202</v>
      </c>
      <c r="H31" s="785">
        <f t="shared" si="6"/>
        <v>13394</v>
      </c>
      <c r="I31" s="785">
        <f t="shared" si="6"/>
        <v>3269</v>
      </c>
      <c r="J31" s="785">
        <f t="shared" si="6"/>
        <v>482</v>
      </c>
      <c r="K31" s="785">
        <f t="shared" si="6"/>
        <v>128455</v>
      </c>
      <c r="L31" s="804">
        <f t="shared" si="6"/>
        <v>45068</v>
      </c>
      <c r="M31" s="805">
        <f t="shared" si="2"/>
        <v>25.41192812334539</v>
      </c>
    </row>
    <row r="32" spans="1:13" ht="27.75" customHeight="1">
      <c r="A32" s="446"/>
      <c r="B32" s="790" t="s">
        <v>2376</v>
      </c>
      <c r="C32" s="626">
        <v>281000</v>
      </c>
      <c r="D32" s="785">
        <f t="shared" si="0"/>
        <v>1113</v>
      </c>
      <c r="E32" s="785">
        <v>165</v>
      </c>
      <c r="F32" s="785">
        <v>0</v>
      </c>
      <c r="G32" s="785">
        <v>43</v>
      </c>
      <c r="H32" s="785">
        <v>5</v>
      </c>
      <c r="I32" s="785">
        <v>900</v>
      </c>
      <c r="J32" s="785">
        <v>0</v>
      </c>
      <c r="K32" s="785">
        <v>0</v>
      </c>
      <c r="L32" s="804">
        <v>0</v>
      </c>
      <c r="M32" s="805">
        <f t="shared" si="2"/>
        <v>0.396085409252669</v>
      </c>
    </row>
    <row r="33" spans="1:13" ht="27.75" customHeight="1">
      <c r="A33" s="791"/>
      <c r="B33" s="790" t="s">
        <v>134</v>
      </c>
      <c r="C33" s="626">
        <v>229707</v>
      </c>
      <c r="D33" s="785">
        <f t="shared" si="0"/>
        <v>134982</v>
      </c>
      <c r="E33" s="785">
        <v>0</v>
      </c>
      <c r="F33" s="785">
        <v>0</v>
      </c>
      <c r="G33" s="785">
        <v>0</v>
      </c>
      <c r="H33" s="785">
        <v>7727</v>
      </c>
      <c r="I33" s="785">
        <v>0</v>
      </c>
      <c r="J33" s="785">
        <v>0</v>
      </c>
      <c r="K33" s="785">
        <v>127255</v>
      </c>
      <c r="L33" s="804">
        <v>0</v>
      </c>
      <c r="M33" s="805">
        <f t="shared" si="2"/>
        <v>58.762684637385888</v>
      </c>
    </row>
    <row r="34" spans="1:13" ht="27.75" customHeight="1">
      <c r="A34" s="791"/>
      <c r="B34" s="790" t="s">
        <v>2086</v>
      </c>
      <c r="C34" s="626">
        <v>37251</v>
      </c>
      <c r="D34" s="785">
        <f t="shared" si="0"/>
        <v>2105</v>
      </c>
      <c r="E34" s="785">
        <v>0</v>
      </c>
      <c r="F34" s="785">
        <v>0</v>
      </c>
      <c r="G34" s="785">
        <v>15</v>
      </c>
      <c r="H34" s="785">
        <v>230</v>
      </c>
      <c r="I34" s="785">
        <v>560</v>
      </c>
      <c r="J34" s="785">
        <v>100</v>
      </c>
      <c r="K34" s="785">
        <v>1200</v>
      </c>
      <c r="L34" s="804">
        <v>0</v>
      </c>
      <c r="M34" s="805">
        <f t="shared" si="2"/>
        <v>5.6508550106037418</v>
      </c>
    </row>
    <row r="35" spans="1:13" ht="27.75" customHeight="1">
      <c r="A35" s="791"/>
      <c r="B35" s="790" t="s">
        <v>2377</v>
      </c>
      <c r="C35" s="626">
        <v>43214</v>
      </c>
      <c r="D35" s="785">
        <f t="shared" si="0"/>
        <v>2932</v>
      </c>
      <c r="E35" s="785">
        <v>0</v>
      </c>
      <c r="F35" s="785">
        <v>0</v>
      </c>
      <c r="G35" s="785">
        <v>42</v>
      </c>
      <c r="H35" s="785">
        <v>2560</v>
      </c>
      <c r="I35" s="785">
        <v>231</v>
      </c>
      <c r="J35" s="785">
        <v>99</v>
      </c>
      <c r="K35" s="785">
        <v>0</v>
      </c>
      <c r="L35" s="804">
        <v>0</v>
      </c>
      <c r="M35" s="805">
        <f t="shared" si="2"/>
        <v>6.7848382468644424</v>
      </c>
    </row>
    <row r="36" spans="1:13" ht="27.75" customHeight="1">
      <c r="A36" s="791"/>
      <c r="B36" s="790" t="s">
        <v>136</v>
      </c>
      <c r="C36" s="626">
        <v>77160</v>
      </c>
      <c r="D36" s="785">
        <f t="shared" si="0"/>
        <v>2734</v>
      </c>
      <c r="E36" s="785">
        <v>120</v>
      </c>
      <c r="F36" s="785">
        <v>0</v>
      </c>
      <c r="G36" s="785">
        <v>0</v>
      </c>
      <c r="H36" s="785">
        <v>1444</v>
      </c>
      <c r="I36" s="785">
        <v>1070</v>
      </c>
      <c r="J36" s="785">
        <v>100</v>
      </c>
      <c r="K36" s="785">
        <v>0</v>
      </c>
      <c r="L36" s="804">
        <v>0</v>
      </c>
      <c r="M36" s="805">
        <f t="shared" si="2"/>
        <v>3.5432866770347329</v>
      </c>
    </row>
    <row r="37" spans="1:13" ht="27.75" customHeight="1">
      <c r="A37" s="791"/>
      <c r="B37" s="790" t="s">
        <v>135</v>
      </c>
      <c r="C37" s="626">
        <v>65400</v>
      </c>
      <c r="D37" s="785">
        <f t="shared" si="0"/>
        <v>36041</v>
      </c>
      <c r="E37" s="785">
        <v>597</v>
      </c>
      <c r="F37" s="785">
        <v>0</v>
      </c>
      <c r="G37" s="785">
        <v>102</v>
      </c>
      <c r="H37" s="785">
        <v>714</v>
      </c>
      <c r="I37" s="785">
        <v>350</v>
      </c>
      <c r="J37" s="785">
        <v>183</v>
      </c>
      <c r="K37" s="785">
        <v>0</v>
      </c>
      <c r="L37" s="804">
        <v>34095</v>
      </c>
      <c r="M37" s="805">
        <f t="shared" si="2"/>
        <v>55.108562691131503</v>
      </c>
    </row>
    <row r="38" spans="1:13" ht="27.75" customHeight="1">
      <c r="A38" s="791"/>
      <c r="B38" s="790" t="s">
        <v>2085</v>
      </c>
      <c r="C38" s="626">
        <v>22755</v>
      </c>
      <c r="D38" s="785">
        <f t="shared" si="0"/>
        <v>12551</v>
      </c>
      <c r="E38" s="785">
        <v>706</v>
      </c>
      <c r="F38" s="785">
        <v>0</v>
      </c>
      <c r="G38" s="785">
        <v>0</v>
      </c>
      <c r="H38" s="785">
        <v>714</v>
      </c>
      <c r="I38" s="785">
        <v>158</v>
      </c>
      <c r="J38" s="785">
        <v>0</v>
      </c>
      <c r="K38" s="785">
        <v>0</v>
      </c>
      <c r="L38" s="804">
        <v>10973</v>
      </c>
      <c r="M38" s="805">
        <f t="shared" si="2"/>
        <v>55.157108327840035</v>
      </c>
    </row>
    <row r="39" spans="1:13" ht="27.75" customHeight="1">
      <c r="A39" s="791"/>
      <c r="B39" s="790" t="s">
        <v>471</v>
      </c>
      <c r="C39" s="626">
        <v>541</v>
      </c>
      <c r="D39" s="785">
        <f t="shared" si="0"/>
        <v>0</v>
      </c>
      <c r="E39" s="785">
        <v>0</v>
      </c>
      <c r="F39" s="785">
        <v>0</v>
      </c>
      <c r="G39" s="785">
        <v>0</v>
      </c>
      <c r="H39" s="785">
        <v>0</v>
      </c>
      <c r="I39" s="785">
        <v>0</v>
      </c>
      <c r="J39" s="785">
        <v>0</v>
      </c>
      <c r="K39" s="785">
        <v>0</v>
      </c>
      <c r="L39" s="804">
        <v>0</v>
      </c>
      <c r="M39" s="805">
        <f t="shared" si="2"/>
        <v>0</v>
      </c>
    </row>
    <row r="40" spans="1:13" ht="27.75" customHeight="1">
      <c r="A40" s="792"/>
      <c r="B40" s="790" t="s">
        <v>472</v>
      </c>
      <c r="C40" s="626">
        <v>325</v>
      </c>
      <c r="D40" s="785">
        <f t="shared" si="0"/>
        <v>0</v>
      </c>
      <c r="E40" s="785">
        <v>0</v>
      </c>
      <c r="F40" s="785">
        <v>0</v>
      </c>
      <c r="G40" s="785">
        <v>0</v>
      </c>
      <c r="H40" s="785">
        <v>0</v>
      </c>
      <c r="I40" s="785">
        <v>0</v>
      </c>
      <c r="J40" s="785">
        <v>0</v>
      </c>
      <c r="K40" s="785">
        <v>0</v>
      </c>
      <c r="L40" s="804">
        <v>0</v>
      </c>
      <c r="M40" s="805">
        <f t="shared" si="2"/>
        <v>0</v>
      </c>
    </row>
    <row r="41" spans="1:13" ht="27.75" customHeight="1">
      <c r="A41" s="791" t="s">
        <v>1798</v>
      </c>
      <c r="B41" s="789">
        <f>COUNTA(B42:B43)</f>
        <v>2</v>
      </c>
      <c r="C41" s="626">
        <f>SUM(C42:C43)</f>
        <v>583716</v>
      </c>
      <c r="D41" s="785">
        <f t="shared" si="0"/>
        <v>24609.599999999999</v>
      </c>
      <c r="E41" s="785">
        <f>SUM(E42:E43)</f>
        <v>39.6</v>
      </c>
      <c r="F41" s="785">
        <f t="shared" ref="F41:L41" si="7">SUM(F42:F43)</f>
        <v>102</v>
      </c>
      <c r="G41" s="785">
        <f t="shared" si="7"/>
        <v>0</v>
      </c>
      <c r="H41" s="785">
        <f t="shared" si="7"/>
        <v>13890</v>
      </c>
      <c r="I41" s="785">
        <f t="shared" si="7"/>
        <v>1170</v>
      </c>
      <c r="J41" s="785">
        <f t="shared" si="7"/>
        <v>108</v>
      </c>
      <c r="K41" s="785">
        <f t="shared" si="7"/>
        <v>9300</v>
      </c>
      <c r="L41" s="804">
        <f t="shared" si="7"/>
        <v>0</v>
      </c>
      <c r="M41" s="805">
        <f t="shared" si="2"/>
        <v>4.216022860432127</v>
      </c>
    </row>
    <row r="42" spans="1:13" ht="27.75" customHeight="1">
      <c r="A42" s="446"/>
      <c r="B42" s="790" t="s">
        <v>137</v>
      </c>
      <c r="C42" s="626">
        <v>421834</v>
      </c>
      <c r="D42" s="785">
        <f t="shared" si="0"/>
        <v>23252</v>
      </c>
      <c r="E42" s="785" t="s">
        <v>1588</v>
      </c>
      <c r="F42" s="785">
        <v>102</v>
      </c>
      <c r="G42" s="785" t="s">
        <v>1588</v>
      </c>
      <c r="H42" s="785">
        <v>13130</v>
      </c>
      <c r="I42" s="785">
        <v>720</v>
      </c>
      <c r="J42" s="785" t="s">
        <v>1588</v>
      </c>
      <c r="K42" s="785">
        <v>9300</v>
      </c>
      <c r="L42" s="804" t="s">
        <v>1588</v>
      </c>
      <c r="M42" s="805">
        <f t="shared" si="2"/>
        <v>5.5121208816738338</v>
      </c>
    </row>
    <row r="43" spans="1:13" ht="27.75" customHeight="1">
      <c r="A43" s="792"/>
      <c r="B43" s="790" t="s">
        <v>138</v>
      </c>
      <c r="C43" s="626">
        <v>161882</v>
      </c>
      <c r="D43" s="785">
        <f t="shared" si="0"/>
        <v>1357.6</v>
      </c>
      <c r="E43" s="785">
        <v>39.6</v>
      </c>
      <c r="F43" s="785" t="s">
        <v>1588</v>
      </c>
      <c r="G43" s="785" t="s">
        <v>1588</v>
      </c>
      <c r="H43" s="785">
        <v>760</v>
      </c>
      <c r="I43" s="785">
        <v>450</v>
      </c>
      <c r="J43" s="785">
        <v>108</v>
      </c>
      <c r="K43" s="785" t="s">
        <v>1588</v>
      </c>
      <c r="L43" s="804" t="s">
        <v>1588</v>
      </c>
      <c r="M43" s="805">
        <f t="shared" si="2"/>
        <v>0.83863554935076168</v>
      </c>
    </row>
    <row r="44" spans="1:13" ht="27.75" customHeight="1">
      <c r="A44" s="792" t="s">
        <v>1972</v>
      </c>
      <c r="B44" s="448" t="s">
        <v>559</v>
      </c>
      <c r="C44" s="626">
        <v>404334</v>
      </c>
      <c r="D44" s="785">
        <f t="shared" si="0"/>
        <v>15462</v>
      </c>
      <c r="E44" s="785" t="s">
        <v>1588</v>
      </c>
      <c r="F44" s="785">
        <v>283</v>
      </c>
      <c r="G44" s="785" t="s">
        <v>1588</v>
      </c>
      <c r="H44" s="785">
        <v>15089</v>
      </c>
      <c r="I44" s="785">
        <v>90</v>
      </c>
      <c r="J44" s="785" t="s">
        <v>1588</v>
      </c>
      <c r="K44" s="785" t="s">
        <v>1588</v>
      </c>
      <c r="L44" s="804" t="s">
        <v>1588</v>
      </c>
      <c r="M44" s="805">
        <f t="shared" si="2"/>
        <v>3.8240662422650584</v>
      </c>
    </row>
    <row r="45" spans="1:13" ht="27.75" customHeight="1">
      <c r="A45" s="446" t="s">
        <v>1973</v>
      </c>
      <c r="B45" s="789">
        <f>COUNTA(B46:B51)</f>
        <v>6</v>
      </c>
      <c r="C45" s="626">
        <f>SUM(C46:C51)</f>
        <v>554597.41</v>
      </c>
      <c r="D45" s="785">
        <f>SUM(E45:L45)</f>
        <v>41342.28</v>
      </c>
      <c r="E45" s="785">
        <f t="shared" ref="E45:L45" si="8">SUM(E46:E51)</f>
        <v>250</v>
      </c>
      <c r="F45" s="785">
        <f t="shared" si="8"/>
        <v>0</v>
      </c>
      <c r="G45" s="785">
        <f t="shared" si="8"/>
        <v>434</v>
      </c>
      <c r="H45" s="785">
        <f t="shared" si="8"/>
        <v>31782.48</v>
      </c>
      <c r="I45" s="785">
        <f t="shared" si="8"/>
        <v>8532.7999999999993</v>
      </c>
      <c r="J45" s="785">
        <f t="shared" si="8"/>
        <v>343</v>
      </c>
      <c r="K45" s="785">
        <f t="shared" si="8"/>
        <v>0</v>
      </c>
      <c r="L45" s="804">
        <f t="shared" si="8"/>
        <v>0</v>
      </c>
      <c r="M45" s="805">
        <f t="shared" si="2"/>
        <v>7.4544668356817594</v>
      </c>
    </row>
    <row r="46" spans="1:13" ht="27.75" customHeight="1">
      <c r="A46" s="446"/>
      <c r="B46" s="790" t="s">
        <v>2089</v>
      </c>
      <c r="C46" s="626">
        <v>108338</v>
      </c>
      <c r="D46" s="785">
        <f t="shared" si="0"/>
        <v>8125</v>
      </c>
      <c r="E46" s="785" t="s">
        <v>1588</v>
      </c>
      <c r="F46" s="785" t="s">
        <v>1588</v>
      </c>
      <c r="G46" s="785">
        <v>125</v>
      </c>
      <c r="H46" s="785">
        <v>3600</v>
      </c>
      <c r="I46" s="785">
        <v>4400</v>
      </c>
      <c r="J46" s="785" t="s">
        <v>1588</v>
      </c>
      <c r="K46" s="785" t="s">
        <v>1588</v>
      </c>
      <c r="L46" s="804" t="s">
        <v>1588</v>
      </c>
      <c r="M46" s="805">
        <f t="shared" si="2"/>
        <v>7.4996769369934837</v>
      </c>
    </row>
    <row r="47" spans="1:13" ht="27.75" customHeight="1">
      <c r="A47" s="791"/>
      <c r="B47" s="790" t="s">
        <v>2091</v>
      </c>
      <c r="C47" s="626">
        <v>191308.41</v>
      </c>
      <c r="D47" s="785">
        <f t="shared" si="0"/>
        <v>13357</v>
      </c>
      <c r="E47" s="785" t="s">
        <v>1588</v>
      </c>
      <c r="F47" s="785" t="s">
        <v>1588</v>
      </c>
      <c r="G47" s="785">
        <v>148</v>
      </c>
      <c r="H47" s="785">
        <v>11865</v>
      </c>
      <c r="I47" s="785">
        <v>1196</v>
      </c>
      <c r="J47" s="785">
        <v>148</v>
      </c>
      <c r="K47" s="785" t="s">
        <v>1588</v>
      </c>
      <c r="L47" s="804" t="s">
        <v>1588</v>
      </c>
      <c r="M47" s="805">
        <f t="shared" si="2"/>
        <v>6.9819199270957295</v>
      </c>
    </row>
    <row r="48" spans="1:13" ht="27.75" customHeight="1">
      <c r="A48" s="791"/>
      <c r="B48" s="790" t="s">
        <v>139</v>
      </c>
      <c r="C48" s="626">
        <v>76517</v>
      </c>
      <c r="D48" s="785">
        <f t="shared" si="0"/>
        <v>1091</v>
      </c>
      <c r="E48" s="785" t="s">
        <v>1588</v>
      </c>
      <c r="F48" s="785" t="s">
        <v>1588</v>
      </c>
      <c r="G48" s="785">
        <v>121</v>
      </c>
      <c r="H48" s="785">
        <v>750</v>
      </c>
      <c r="I48" s="785">
        <v>220</v>
      </c>
      <c r="J48" s="785" t="s">
        <v>1588</v>
      </c>
      <c r="K48" s="785" t="s">
        <v>1588</v>
      </c>
      <c r="L48" s="804" t="s">
        <v>1588</v>
      </c>
      <c r="M48" s="805">
        <f t="shared" si="2"/>
        <v>1.4258269404184691</v>
      </c>
    </row>
    <row r="49" spans="1:13" ht="27.75" customHeight="1">
      <c r="A49" s="791"/>
      <c r="B49" s="790" t="s">
        <v>2097</v>
      </c>
      <c r="C49" s="626">
        <v>2315</v>
      </c>
      <c r="D49" s="785">
        <f t="shared" si="0"/>
        <v>594</v>
      </c>
      <c r="E49" s="785" t="s">
        <v>1588</v>
      </c>
      <c r="F49" s="785" t="s">
        <v>1588</v>
      </c>
      <c r="G49" s="785" t="s">
        <v>1588</v>
      </c>
      <c r="H49" s="785" t="s">
        <v>1588</v>
      </c>
      <c r="I49" s="785">
        <v>594</v>
      </c>
      <c r="J49" s="785" t="s">
        <v>1588</v>
      </c>
      <c r="K49" s="785" t="s">
        <v>1588</v>
      </c>
      <c r="L49" s="804" t="s">
        <v>1588</v>
      </c>
      <c r="M49" s="805">
        <f t="shared" si="2"/>
        <v>25.658747300215985</v>
      </c>
    </row>
    <row r="50" spans="1:13" ht="27.75" customHeight="1">
      <c r="A50" s="791"/>
      <c r="B50" s="790" t="s">
        <v>2094</v>
      </c>
      <c r="C50" s="626">
        <v>78860</v>
      </c>
      <c r="D50" s="785">
        <f t="shared" si="0"/>
        <v>8405.2799999999988</v>
      </c>
      <c r="E50" s="785" t="s">
        <v>1588</v>
      </c>
      <c r="F50" s="785" t="s">
        <v>1588</v>
      </c>
      <c r="G50" s="785" t="s">
        <v>1588</v>
      </c>
      <c r="H50" s="785">
        <v>7817.48</v>
      </c>
      <c r="I50" s="785">
        <v>587.79999999999995</v>
      </c>
      <c r="J50" s="785" t="s">
        <v>1588</v>
      </c>
      <c r="K50" s="785" t="s">
        <v>1588</v>
      </c>
      <c r="L50" s="804" t="s">
        <v>1588</v>
      </c>
      <c r="M50" s="805">
        <f t="shared" si="2"/>
        <v>10.658483388283031</v>
      </c>
    </row>
    <row r="51" spans="1:13" ht="27.75" customHeight="1">
      <c r="A51" s="792"/>
      <c r="B51" s="790" t="s">
        <v>2099</v>
      </c>
      <c r="C51" s="626">
        <v>97259</v>
      </c>
      <c r="D51" s="785">
        <f t="shared" si="0"/>
        <v>9770</v>
      </c>
      <c r="E51" s="785">
        <v>250</v>
      </c>
      <c r="F51" s="785" t="s">
        <v>1588</v>
      </c>
      <c r="G51" s="785">
        <v>40</v>
      </c>
      <c r="H51" s="785">
        <v>7750</v>
      </c>
      <c r="I51" s="785">
        <v>1535</v>
      </c>
      <c r="J51" s="785">
        <v>195</v>
      </c>
      <c r="K51" s="785" t="s">
        <v>1588</v>
      </c>
      <c r="L51" s="804" t="s">
        <v>1588</v>
      </c>
      <c r="M51" s="805">
        <f t="shared" si="2"/>
        <v>10.045342847448566</v>
      </c>
    </row>
    <row r="52" spans="1:13" ht="27.75" customHeight="1">
      <c r="A52" s="795" t="s">
        <v>1808</v>
      </c>
      <c r="B52" s="901">
        <f>B53+B95</f>
        <v>58</v>
      </c>
      <c r="C52" s="626">
        <f>C53+C95</f>
        <v>3876452.5</v>
      </c>
      <c r="D52" s="785">
        <f t="shared" si="0"/>
        <v>784134.34</v>
      </c>
      <c r="E52" s="785">
        <f t="shared" ref="E52:L52" si="9">E53+E95</f>
        <v>80523.03</v>
      </c>
      <c r="F52" s="785">
        <f t="shared" si="9"/>
        <v>14979.449999999999</v>
      </c>
      <c r="G52" s="785">
        <f t="shared" si="9"/>
        <v>118131.6</v>
      </c>
      <c r="H52" s="785">
        <f t="shared" si="9"/>
        <v>200487.41</v>
      </c>
      <c r="I52" s="785">
        <f t="shared" si="9"/>
        <v>23712.48</v>
      </c>
      <c r="J52" s="785">
        <f t="shared" si="9"/>
        <v>5644.71</v>
      </c>
      <c r="K52" s="785">
        <f t="shared" si="9"/>
        <v>194164.66</v>
      </c>
      <c r="L52" s="804">
        <f t="shared" si="9"/>
        <v>146491</v>
      </c>
      <c r="M52" s="805">
        <f t="shared" si="2"/>
        <v>20.228142612349824</v>
      </c>
    </row>
    <row r="53" spans="1:13" ht="27.75" customHeight="1">
      <c r="A53" s="795" t="s">
        <v>1674</v>
      </c>
      <c r="B53" s="901">
        <f>COUNTA(B54:B94)</f>
        <v>41</v>
      </c>
      <c r="C53" s="626">
        <f>SUM(C54:C94)</f>
        <v>3561937.5</v>
      </c>
      <c r="D53" s="785">
        <f t="shared" si="0"/>
        <v>694278.34</v>
      </c>
      <c r="E53" s="785">
        <f t="shared" ref="E53:L53" si="10">SUM(E54:E94)</f>
        <v>75803.03</v>
      </c>
      <c r="F53" s="785">
        <f t="shared" si="10"/>
        <v>14179.449999999999</v>
      </c>
      <c r="G53" s="785">
        <f t="shared" si="10"/>
        <v>115703.6</v>
      </c>
      <c r="H53" s="785">
        <f t="shared" si="10"/>
        <v>195722.41</v>
      </c>
      <c r="I53" s="785">
        <f t="shared" si="10"/>
        <v>22965.48</v>
      </c>
      <c r="J53" s="785">
        <f t="shared" si="10"/>
        <v>5421.71</v>
      </c>
      <c r="K53" s="785">
        <f t="shared" si="10"/>
        <v>118131.66</v>
      </c>
      <c r="L53" s="804">
        <f t="shared" si="10"/>
        <v>146351</v>
      </c>
      <c r="M53" s="805">
        <f t="shared" si="2"/>
        <v>19.491592426874419</v>
      </c>
    </row>
    <row r="54" spans="1:13" ht="27.75" customHeight="1">
      <c r="A54" s="793" t="s">
        <v>1809</v>
      </c>
      <c r="B54" s="781" t="s">
        <v>2188</v>
      </c>
      <c r="C54" s="626">
        <v>387861</v>
      </c>
      <c r="D54" s="785">
        <f t="shared" si="0"/>
        <v>105278</v>
      </c>
      <c r="E54" s="785">
        <v>987</v>
      </c>
      <c r="F54" s="785">
        <v>230</v>
      </c>
      <c r="G54" s="785">
        <v>0</v>
      </c>
      <c r="H54" s="785">
        <v>71679</v>
      </c>
      <c r="I54" s="785">
        <v>1600</v>
      </c>
      <c r="J54" s="785">
        <v>0</v>
      </c>
      <c r="K54" s="785">
        <v>28127</v>
      </c>
      <c r="L54" s="804">
        <v>2655</v>
      </c>
      <c r="M54" s="805">
        <f t="shared" si="2"/>
        <v>27.143229146524138</v>
      </c>
    </row>
    <row r="55" spans="1:13" ht="27.75" customHeight="1">
      <c r="A55" s="446" t="s">
        <v>1988</v>
      </c>
      <c r="B55" s="797" t="s">
        <v>2202</v>
      </c>
      <c r="C55" s="626">
        <v>150353</v>
      </c>
      <c r="D55" s="785">
        <f t="shared" si="0"/>
        <v>5250</v>
      </c>
      <c r="E55" s="785" t="s">
        <v>1588</v>
      </c>
      <c r="F55" s="785" t="s">
        <v>1588</v>
      </c>
      <c r="G55" s="785" t="s">
        <v>1588</v>
      </c>
      <c r="H55" s="785">
        <v>5250</v>
      </c>
      <c r="I55" s="785" t="s">
        <v>1588</v>
      </c>
      <c r="J55" s="785" t="s">
        <v>1588</v>
      </c>
      <c r="K55" s="785" t="s">
        <v>1588</v>
      </c>
      <c r="L55" s="804" t="s">
        <v>1588</v>
      </c>
      <c r="M55" s="805">
        <f t="shared" si="2"/>
        <v>3.4917826714465292</v>
      </c>
    </row>
    <row r="56" spans="1:13" ht="27.75" customHeight="1">
      <c r="A56" s="798"/>
      <c r="B56" s="797" t="s">
        <v>140</v>
      </c>
      <c r="C56" s="626">
        <v>49110</v>
      </c>
      <c r="D56" s="785">
        <f t="shared" si="0"/>
        <v>16000</v>
      </c>
      <c r="E56" s="785" t="s">
        <v>1588</v>
      </c>
      <c r="F56" s="785" t="s">
        <v>1588</v>
      </c>
      <c r="G56" s="785" t="s">
        <v>1588</v>
      </c>
      <c r="H56" s="785" t="s">
        <v>1588</v>
      </c>
      <c r="I56" s="785" t="s">
        <v>1588</v>
      </c>
      <c r="J56" s="785" t="s">
        <v>1588</v>
      </c>
      <c r="K56" s="785">
        <v>16000</v>
      </c>
      <c r="L56" s="804" t="s">
        <v>1588</v>
      </c>
      <c r="M56" s="805">
        <f t="shared" si="2"/>
        <v>32.579922622683775</v>
      </c>
    </row>
    <row r="57" spans="1:13" ht="27.75" customHeight="1">
      <c r="A57" s="798" t="s">
        <v>1812</v>
      </c>
      <c r="B57" s="797" t="s">
        <v>2446</v>
      </c>
      <c r="C57" s="626">
        <v>372126</v>
      </c>
      <c r="D57" s="785">
        <f t="shared" si="0"/>
        <v>15795</v>
      </c>
      <c r="E57" s="785">
        <v>452</v>
      </c>
      <c r="F57" s="785">
        <v>471</v>
      </c>
      <c r="G57" s="785">
        <v>0</v>
      </c>
      <c r="H57" s="785">
        <v>11489</v>
      </c>
      <c r="I57" s="785">
        <v>2279</v>
      </c>
      <c r="J57" s="785">
        <v>276</v>
      </c>
      <c r="K57" s="785">
        <v>828</v>
      </c>
      <c r="L57" s="804">
        <v>0</v>
      </c>
      <c r="M57" s="805">
        <f t="shared" si="2"/>
        <v>4.244530078521791</v>
      </c>
    </row>
    <row r="58" spans="1:13" ht="27.75" customHeight="1">
      <c r="A58" s="795"/>
      <c r="B58" s="797" t="s">
        <v>141</v>
      </c>
      <c r="C58" s="626">
        <v>52374</v>
      </c>
      <c r="D58" s="785">
        <f t="shared" si="0"/>
        <v>31949.9</v>
      </c>
      <c r="E58" s="785">
        <f>12.8+67.7+144</f>
        <v>224.5</v>
      </c>
      <c r="F58" s="785">
        <v>9319.4</v>
      </c>
      <c r="G58" s="785">
        <f>56.5+17.1</f>
        <v>73.599999999999994</v>
      </c>
      <c r="H58" s="785">
        <v>7793</v>
      </c>
      <c r="I58" s="785">
        <v>1649.4</v>
      </c>
      <c r="J58" s="785">
        <v>99</v>
      </c>
      <c r="K58" s="785">
        <v>12791</v>
      </c>
      <c r="L58" s="804">
        <v>0</v>
      </c>
      <c r="M58" s="805">
        <f t="shared" si="2"/>
        <v>61.003360446022839</v>
      </c>
    </row>
    <row r="59" spans="1:13" ht="27.75" customHeight="1">
      <c r="A59" s="798" t="s">
        <v>1813</v>
      </c>
      <c r="B59" s="797" t="s">
        <v>2050</v>
      </c>
      <c r="C59" s="626">
        <v>202158</v>
      </c>
      <c r="D59" s="785">
        <f t="shared" si="0"/>
        <v>1904</v>
      </c>
      <c r="E59" s="785">
        <v>20</v>
      </c>
      <c r="F59" s="785" t="s">
        <v>1588</v>
      </c>
      <c r="G59" s="785" t="s">
        <v>1588</v>
      </c>
      <c r="H59" s="785">
        <v>1872</v>
      </c>
      <c r="I59" s="785" t="s">
        <v>1588</v>
      </c>
      <c r="J59" s="785" t="s">
        <v>1588</v>
      </c>
      <c r="K59" s="785">
        <v>12</v>
      </c>
      <c r="L59" s="804" t="s">
        <v>1588</v>
      </c>
      <c r="M59" s="805">
        <f t="shared" si="2"/>
        <v>0.94183757259173517</v>
      </c>
    </row>
    <row r="60" spans="1:13" ht="27.75" customHeight="1">
      <c r="A60" s="795"/>
      <c r="B60" s="797" t="s">
        <v>2206</v>
      </c>
      <c r="C60" s="626">
        <v>148519.5</v>
      </c>
      <c r="D60" s="785">
        <f t="shared" si="0"/>
        <v>6225.86</v>
      </c>
      <c r="E60" s="785">
        <v>3324.18</v>
      </c>
      <c r="F60" s="785" t="s">
        <v>1588</v>
      </c>
      <c r="G60" s="785" t="s">
        <v>1588</v>
      </c>
      <c r="H60" s="785">
        <v>2382.02</v>
      </c>
      <c r="I60" s="785" t="s">
        <v>1588</v>
      </c>
      <c r="J60" s="785">
        <v>270</v>
      </c>
      <c r="K60" s="785">
        <v>249.66</v>
      </c>
      <c r="L60" s="804" t="s">
        <v>1588</v>
      </c>
      <c r="M60" s="805">
        <f t="shared" si="2"/>
        <v>4.1919478586986889</v>
      </c>
    </row>
    <row r="61" spans="1:13" ht="27.75" customHeight="1">
      <c r="A61" s="798" t="s">
        <v>1814</v>
      </c>
      <c r="B61" s="781" t="s">
        <v>508</v>
      </c>
      <c r="C61" s="626">
        <v>227000</v>
      </c>
      <c r="D61" s="785">
        <f t="shared" si="0"/>
        <v>16600</v>
      </c>
      <c r="E61" s="785" t="s">
        <v>1588</v>
      </c>
      <c r="F61" s="785" t="s">
        <v>1588</v>
      </c>
      <c r="G61" s="785" t="s">
        <v>1588</v>
      </c>
      <c r="H61" s="785">
        <v>1294</v>
      </c>
      <c r="I61" s="785">
        <v>886</v>
      </c>
      <c r="J61" s="785" t="s">
        <v>1588</v>
      </c>
      <c r="K61" s="785">
        <v>14420</v>
      </c>
      <c r="L61" s="804" t="s">
        <v>1588</v>
      </c>
      <c r="M61" s="805">
        <f t="shared" si="2"/>
        <v>7.3127753303964758</v>
      </c>
    </row>
    <row r="62" spans="1:13" ht="27.75" customHeight="1">
      <c r="A62" s="796" t="s">
        <v>1815</v>
      </c>
      <c r="B62" s="797" t="s">
        <v>2212</v>
      </c>
      <c r="C62" s="626">
        <v>82259</v>
      </c>
      <c r="D62" s="785">
        <f t="shared" si="0"/>
        <v>60928</v>
      </c>
      <c r="E62" s="785">
        <v>42662</v>
      </c>
      <c r="F62" s="785" t="s">
        <v>1588</v>
      </c>
      <c r="G62" s="785" t="s">
        <v>1588</v>
      </c>
      <c r="H62" s="785">
        <f>9072+594+666+3998</f>
        <v>14330</v>
      </c>
      <c r="I62" s="785">
        <v>1770</v>
      </c>
      <c r="J62" s="785">
        <v>2166</v>
      </c>
      <c r="K62" s="785" t="s">
        <v>1588</v>
      </c>
      <c r="L62" s="804" t="s">
        <v>1588</v>
      </c>
      <c r="M62" s="805">
        <f t="shared" si="2"/>
        <v>74.068490985788799</v>
      </c>
    </row>
    <row r="63" spans="1:13" ht="27.75" customHeight="1">
      <c r="A63" s="798"/>
      <c r="B63" s="797" t="s">
        <v>509</v>
      </c>
      <c r="C63" s="626">
        <v>160040</v>
      </c>
      <c r="D63" s="785">
        <f t="shared" si="0"/>
        <v>128116</v>
      </c>
      <c r="E63" s="785">
        <v>60</v>
      </c>
      <c r="F63" s="785" t="s">
        <v>1588</v>
      </c>
      <c r="G63" s="785">
        <v>108000</v>
      </c>
      <c r="H63" s="785">
        <v>1500</v>
      </c>
      <c r="I63" s="785">
        <v>990</v>
      </c>
      <c r="J63" s="785">
        <v>66</v>
      </c>
      <c r="K63" s="785">
        <v>17500</v>
      </c>
      <c r="L63" s="804" t="s">
        <v>1588</v>
      </c>
      <c r="M63" s="805">
        <f t="shared" si="2"/>
        <v>80.052486878280433</v>
      </c>
    </row>
    <row r="64" spans="1:13" ht="27.75" customHeight="1">
      <c r="A64" s="795"/>
      <c r="B64" s="797" t="s">
        <v>2210</v>
      </c>
      <c r="C64" s="626">
        <v>189744</v>
      </c>
      <c r="D64" s="785">
        <f t="shared" si="0"/>
        <v>31539</v>
      </c>
      <c r="E64" s="785">
        <v>2550</v>
      </c>
      <c r="F64" s="785">
        <v>900</v>
      </c>
      <c r="G64" s="785">
        <v>7500</v>
      </c>
      <c r="H64" s="785">
        <v>6680</v>
      </c>
      <c r="I64" s="785">
        <v>600</v>
      </c>
      <c r="J64" s="785" t="s">
        <v>1588</v>
      </c>
      <c r="K64" s="785">
        <v>950</v>
      </c>
      <c r="L64" s="804">
        <v>12359</v>
      </c>
      <c r="M64" s="805">
        <f t="shared" si="2"/>
        <v>16.62186946622818</v>
      </c>
    </row>
    <row r="65" spans="1:13" ht="27.75" customHeight="1">
      <c r="A65" s="795" t="s">
        <v>1817</v>
      </c>
      <c r="B65" s="781" t="s">
        <v>2213</v>
      </c>
      <c r="C65" s="626">
        <v>130216</v>
      </c>
      <c r="D65" s="785">
        <f t="shared" si="0"/>
        <v>2454</v>
      </c>
      <c r="E65" s="785" t="s">
        <v>1588</v>
      </c>
      <c r="F65" s="785" t="s">
        <v>1588</v>
      </c>
      <c r="G65" s="785" t="s">
        <v>1588</v>
      </c>
      <c r="H65" s="785">
        <v>1960</v>
      </c>
      <c r="I65" s="785">
        <v>270</v>
      </c>
      <c r="J65" s="785">
        <v>224</v>
      </c>
      <c r="K65" s="785" t="s">
        <v>1588</v>
      </c>
      <c r="L65" s="804" t="s">
        <v>1588</v>
      </c>
      <c r="M65" s="805">
        <f t="shared" si="2"/>
        <v>1.8845610370461385</v>
      </c>
    </row>
    <row r="66" spans="1:13" ht="27.75" customHeight="1">
      <c r="A66" s="796" t="s">
        <v>1818</v>
      </c>
      <c r="B66" s="781" t="s">
        <v>2214</v>
      </c>
      <c r="C66" s="626">
        <f>30976+11045+59248</f>
        <v>101269</v>
      </c>
      <c r="D66" s="785">
        <f t="shared" si="0"/>
        <v>10751</v>
      </c>
      <c r="E66" s="785" t="s">
        <v>1588</v>
      </c>
      <c r="F66" s="785" t="s">
        <v>1588</v>
      </c>
      <c r="G66" s="785" t="s">
        <v>1588</v>
      </c>
      <c r="H66" s="785" t="s">
        <v>1588</v>
      </c>
      <c r="I66" s="785">
        <v>600</v>
      </c>
      <c r="J66" s="785">
        <v>202</v>
      </c>
      <c r="K66" s="785">
        <v>8280</v>
      </c>
      <c r="L66" s="804">
        <v>1669</v>
      </c>
      <c r="M66" s="805">
        <f t="shared" si="2"/>
        <v>10.616279414233379</v>
      </c>
    </row>
    <row r="67" spans="1:13" ht="27.75" customHeight="1">
      <c r="A67" s="796" t="s">
        <v>1819</v>
      </c>
      <c r="B67" s="797" t="s">
        <v>2021</v>
      </c>
      <c r="C67" s="626">
        <v>45200</v>
      </c>
      <c r="D67" s="785">
        <f t="shared" si="0"/>
        <v>1667.9099999999999</v>
      </c>
      <c r="E67" s="785">
        <f>14.5*5</f>
        <v>72.5</v>
      </c>
      <c r="F67" s="785" t="s">
        <v>1588</v>
      </c>
      <c r="G67" s="785" t="s">
        <v>1588</v>
      </c>
      <c r="H67" s="785">
        <f>19.7*36.7</f>
        <v>722.99</v>
      </c>
      <c r="I67" s="785">
        <f>4.4*2.4*30</f>
        <v>316.8</v>
      </c>
      <c r="J67" s="785">
        <f>8.9*5.8</f>
        <v>51.62</v>
      </c>
      <c r="K67" s="785">
        <v>504</v>
      </c>
      <c r="L67" s="804" t="s">
        <v>1588</v>
      </c>
      <c r="M67" s="805">
        <f t="shared" si="2"/>
        <v>3.6900663716814157</v>
      </c>
    </row>
    <row r="68" spans="1:13" ht="27.75" customHeight="1">
      <c r="A68" s="798"/>
      <c r="B68" s="797" t="s">
        <v>157</v>
      </c>
      <c r="C68" s="626">
        <v>60252</v>
      </c>
      <c r="D68" s="785">
        <f t="shared" si="0"/>
        <v>5701.2</v>
      </c>
      <c r="E68" s="785">
        <v>5701.2</v>
      </c>
      <c r="F68" s="785" t="s">
        <v>1588</v>
      </c>
      <c r="G68" s="785" t="s">
        <v>1588</v>
      </c>
      <c r="H68" s="785" t="s">
        <v>1588</v>
      </c>
      <c r="I68" s="785" t="s">
        <v>1588</v>
      </c>
      <c r="J68" s="785" t="s">
        <v>1588</v>
      </c>
      <c r="K68" s="785" t="s">
        <v>1588</v>
      </c>
      <c r="L68" s="804" t="s">
        <v>1588</v>
      </c>
      <c r="M68" s="805">
        <f t="shared" si="2"/>
        <v>9.4622585142401903</v>
      </c>
    </row>
    <row r="69" spans="1:13" ht="27.75" customHeight="1">
      <c r="A69" s="798"/>
      <c r="B69" s="797" t="s">
        <v>2022</v>
      </c>
      <c r="C69" s="626">
        <v>76992</v>
      </c>
      <c r="D69" s="785">
        <f t="shared" si="0"/>
        <v>30804.03</v>
      </c>
      <c r="E69" s="785" t="s">
        <v>1588</v>
      </c>
      <c r="F69" s="785" t="s">
        <v>1588</v>
      </c>
      <c r="G69" s="785" t="s">
        <v>1588</v>
      </c>
      <c r="H69" s="785">
        <v>25585</v>
      </c>
      <c r="I69" s="785">
        <v>4319.03</v>
      </c>
      <c r="J69" s="785">
        <v>900</v>
      </c>
      <c r="K69" s="785" t="s">
        <v>1588</v>
      </c>
      <c r="L69" s="804" t="s">
        <v>1588</v>
      </c>
      <c r="M69" s="805">
        <f t="shared" si="2"/>
        <v>40.009390586034911</v>
      </c>
    </row>
    <row r="70" spans="1:13" ht="27.75" customHeight="1">
      <c r="A70" s="795"/>
      <c r="B70" s="797" t="s">
        <v>158</v>
      </c>
      <c r="C70" s="626">
        <v>23993</v>
      </c>
      <c r="D70" s="785">
        <f t="shared" ref="D70:D133" si="11">SUM(E70:L70)</f>
        <v>4812</v>
      </c>
      <c r="E70" s="785" t="s">
        <v>1588</v>
      </c>
      <c r="F70" s="785" t="s">
        <v>1588</v>
      </c>
      <c r="G70" s="785" t="s">
        <v>1588</v>
      </c>
      <c r="H70" s="785" t="s">
        <v>1588</v>
      </c>
      <c r="I70" s="785">
        <v>135</v>
      </c>
      <c r="J70" s="785">
        <v>30</v>
      </c>
      <c r="K70" s="785">
        <v>4647</v>
      </c>
      <c r="L70" s="804" t="s">
        <v>1588</v>
      </c>
      <c r="M70" s="805">
        <f t="shared" ref="M70:M133" si="12">(D70/C70)*100</f>
        <v>20.055849622806651</v>
      </c>
    </row>
    <row r="71" spans="1:13" ht="27.75" customHeight="1">
      <c r="A71" s="798" t="s">
        <v>1823</v>
      </c>
      <c r="B71" s="781" t="s">
        <v>323</v>
      </c>
      <c r="C71" s="626">
        <v>210338</v>
      </c>
      <c r="D71" s="785">
        <f t="shared" si="11"/>
        <v>2282.75</v>
      </c>
      <c r="E71" s="785" t="s">
        <v>1588</v>
      </c>
      <c r="F71" s="785" t="s">
        <v>1588</v>
      </c>
      <c r="G71" s="785" t="s">
        <v>1588</v>
      </c>
      <c r="H71" s="785">
        <v>1946</v>
      </c>
      <c r="I71" s="785">
        <v>168.75</v>
      </c>
      <c r="J71" s="785">
        <v>168</v>
      </c>
      <c r="K71" s="785" t="s">
        <v>1588</v>
      </c>
      <c r="L71" s="804" t="s">
        <v>1588</v>
      </c>
      <c r="M71" s="805">
        <f t="shared" si="12"/>
        <v>1.0852770303036066</v>
      </c>
    </row>
    <row r="72" spans="1:13" ht="27.75" customHeight="1">
      <c r="A72" s="796" t="s">
        <v>1825</v>
      </c>
      <c r="B72" s="797" t="s">
        <v>159</v>
      </c>
      <c r="C72" s="626">
        <v>41170</v>
      </c>
      <c r="D72" s="785">
        <f t="shared" si="11"/>
        <v>2579</v>
      </c>
      <c r="E72" s="785" t="s">
        <v>1588</v>
      </c>
      <c r="F72" s="785" t="s">
        <v>1588</v>
      </c>
      <c r="G72" s="785" t="s">
        <v>1588</v>
      </c>
      <c r="H72" s="785">
        <v>2579</v>
      </c>
      <c r="I72" s="785" t="s">
        <v>1588</v>
      </c>
      <c r="J72" s="785" t="s">
        <v>1588</v>
      </c>
      <c r="K72" s="785" t="s">
        <v>1588</v>
      </c>
      <c r="L72" s="804" t="s">
        <v>1588</v>
      </c>
      <c r="M72" s="805">
        <f t="shared" si="12"/>
        <v>6.2642700995870788</v>
      </c>
    </row>
    <row r="73" spans="1:13" ht="27.75" customHeight="1">
      <c r="A73" s="798"/>
      <c r="B73" s="797" t="s">
        <v>160</v>
      </c>
      <c r="C73" s="626">
        <v>13056</v>
      </c>
      <c r="D73" s="785">
        <f t="shared" si="11"/>
        <v>917</v>
      </c>
      <c r="E73" s="785" t="s">
        <v>1588</v>
      </c>
      <c r="F73" s="785" t="s">
        <v>1588</v>
      </c>
      <c r="G73" s="785" t="s">
        <v>1588</v>
      </c>
      <c r="H73" s="785">
        <v>917</v>
      </c>
      <c r="I73" s="785" t="s">
        <v>1588</v>
      </c>
      <c r="J73" s="785" t="s">
        <v>1588</v>
      </c>
      <c r="K73" s="785" t="s">
        <v>1588</v>
      </c>
      <c r="L73" s="804" t="s">
        <v>1588</v>
      </c>
      <c r="M73" s="805">
        <f t="shared" si="12"/>
        <v>7.0235906862745097</v>
      </c>
    </row>
    <row r="74" spans="1:13" ht="27.75" customHeight="1">
      <c r="A74" s="795"/>
      <c r="B74" s="797" t="s">
        <v>161</v>
      </c>
      <c r="C74" s="626">
        <v>24757</v>
      </c>
      <c r="D74" s="785">
        <f t="shared" si="11"/>
        <v>676</v>
      </c>
      <c r="E74" s="785" t="s">
        <v>1588</v>
      </c>
      <c r="F74" s="785" t="s">
        <v>1588</v>
      </c>
      <c r="G74" s="785" t="s">
        <v>1588</v>
      </c>
      <c r="H74" s="785">
        <v>676</v>
      </c>
      <c r="I74" s="785" t="s">
        <v>1588</v>
      </c>
      <c r="J74" s="785" t="s">
        <v>1588</v>
      </c>
      <c r="K74" s="785" t="s">
        <v>1588</v>
      </c>
      <c r="L74" s="804" t="s">
        <v>1588</v>
      </c>
      <c r="M74" s="805">
        <f t="shared" si="12"/>
        <v>2.7305408571313161</v>
      </c>
    </row>
    <row r="75" spans="1:13" ht="27.75" customHeight="1">
      <c r="A75" s="798" t="s">
        <v>1826</v>
      </c>
      <c r="B75" s="797" t="s">
        <v>162</v>
      </c>
      <c r="C75" s="626">
        <v>36100</v>
      </c>
      <c r="D75" s="785">
        <f t="shared" si="11"/>
        <v>13688</v>
      </c>
      <c r="E75" s="785">
        <v>755</v>
      </c>
      <c r="F75" s="785">
        <v>1332</v>
      </c>
      <c r="G75" s="785" t="s">
        <v>1588</v>
      </c>
      <c r="H75" s="785">
        <v>6671</v>
      </c>
      <c r="I75" s="785">
        <v>810</v>
      </c>
      <c r="J75" s="785">
        <v>52</v>
      </c>
      <c r="K75" s="785">
        <v>2054</v>
      </c>
      <c r="L75" s="804">
        <v>2014</v>
      </c>
      <c r="M75" s="805">
        <f t="shared" si="12"/>
        <v>37.91689750692521</v>
      </c>
    </row>
    <row r="76" spans="1:13" ht="27.75" customHeight="1">
      <c r="A76" s="798"/>
      <c r="B76" s="797" t="s">
        <v>163</v>
      </c>
      <c r="C76" s="626">
        <v>7078</v>
      </c>
      <c r="D76" s="785">
        <f t="shared" si="11"/>
        <v>199</v>
      </c>
      <c r="E76" s="785">
        <v>25</v>
      </c>
      <c r="F76" s="785" t="s">
        <v>1588</v>
      </c>
      <c r="G76" s="785" t="s">
        <v>1588</v>
      </c>
      <c r="H76" s="785" t="s">
        <v>1588</v>
      </c>
      <c r="I76" s="785" t="s">
        <v>1588</v>
      </c>
      <c r="J76" s="785" t="s">
        <v>1588</v>
      </c>
      <c r="K76" s="785">
        <v>174</v>
      </c>
      <c r="L76" s="804" t="s">
        <v>1588</v>
      </c>
      <c r="M76" s="805">
        <f t="shared" si="12"/>
        <v>2.8115286804181969</v>
      </c>
    </row>
    <row r="77" spans="1:13" ht="27.75" customHeight="1">
      <c r="A77" s="795"/>
      <c r="B77" s="797" t="s">
        <v>164</v>
      </c>
      <c r="C77" s="626">
        <v>23570</v>
      </c>
      <c r="D77" s="785">
        <f t="shared" si="11"/>
        <v>10302</v>
      </c>
      <c r="E77" s="785">
        <v>51</v>
      </c>
      <c r="F77" s="785" t="s">
        <v>1588</v>
      </c>
      <c r="G77" s="785" t="s">
        <v>1588</v>
      </c>
      <c r="H77" s="785" t="s">
        <v>1588</v>
      </c>
      <c r="I77" s="785">
        <v>55</v>
      </c>
      <c r="J77" s="785">
        <v>348</v>
      </c>
      <c r="K77" s="785">
        <v>9848</v>
      </c>
      <c r="L77" s="804" t="s">
        <v>1588</v>
      </c>
      <c r="M77" s="805">
        <f t="shared" si="12"/>
        <v>43.708103521425542</v>
      </c>
    </row>
    <row r="78" spans="1:13" ht="27.75" customHeight="1">
      <c r="A78" s="798" t="s">
        <v>1832</v>
      </c>
      <c r="B78" s="781" t="s">
        <v>510</v>
      </c>
      <c r="C78" s="626">
        <v>129819</v>
      </c>
      <c r="D78" s="785">
        <f t="shared" si="11"/>
        <v>129819</v>
      </c>
      <c r="E78" s="785">
        <v>30</v>
      </c>
      <c r="F78" s="785">
        <v>1000</v>
      </c>
      <c r="G78" s="785">
        <v>130</v>
      </c>
      <c r="H78" s="785" t="s">
        <v>1588</v>
      </c>
      <c r="I78" s="785">
        <v>420</v>
      </c>
      <c r="J78" s="785" t="s">
        <v>1588</v>
      </c>
      <c r="K78" s="785">
        <v>585</v>
      </c>
      <c r="L78" s="804">
        <v>127654</v>
      </c>
      <c r="M78" s="805">
        <f t="shared" si="12"/>
        <v>100</v>
      </c>
    </row>
    <row r="79" spans="1:13" ht="27.75" customHeight="1">
      <c r="A79" s="796" t="s">
        <v>1833</v>
      </c>
      <c r="B79" s="797" t="s">
        <v>511</v>
      </c>
      <c r="C79" s="626">
        <v>59868</v>
      </c>
      <c r="D79" s="785">
        <f t="shared" si="11"/>
        <v>1187</v>
      </c>
      <c r="E79" s="785">
        <v>0</v>
      </c>
      <c r="F79" s="785">
        <v>0</v>
      </c>
      <c r="G79" s="785">
        <v>0</v>
      </c>
      <c r="H79" s="785">
        <v>912</v>
      </c>
      <c r="I79" s="785">
        <v>275</v>
      </c>
      <c r="J79" s="785">
        <v>0</v>
      </c>
      <c r="K79" s="785">
        <v>0</v>
      </c>
      <c r="L79" s="804" t="s">
        <v>1588</v>
      </c>
      <c r="M79" s="805">
        <f t="shared" si="12"/>
        <v>1.9826952629117391</v>
      </c>
    </row>
    <row r="80" spans="1:13" ht="27.75" customHeight="1">
      <c r="A80" s="795"/>
      <c r="B80" s="797" t="s">
        <v>512</v>
      </c>
      <c r="C80" s="626">
        <v>7450</v>
      </c>
      <c r="D80" s="785">
        <f t="shared" si="11"/>
        <v>201</v>
      </c>
      <c r="E80" s="785">
        <v>0</v>
      </c>
      <c r="F80" s="785">
        <v>0</v>
      </c>
      <c r="G80" s="785">
        <v>0</v>
      </c>
      <c r="H80" s="785">
        <v>201</v>
      </c>
      <c r="I80" s="785">
        <v>0</v>
      </c>
      <c r="J80" s="785">
        <v>0</v>
      </c>
      <c r="K80" s="785">
        <v>0</v>
      </c>
      <c r="L80" s="804" t="s">
        <v>1588</v>
      </c>
      <c r="M80" s="805">
        <f t="shared" si="12"/>
        <v>2.6979865771812084</v>
      </c>
    </row>
    <row r="81" spans="1:13" ht="27.75" customHeight="1">
      <c r="A81" s="798" t="s">
        <v>1834</v>
      </c>
      <c r="B81" s="797" t="s">
        <v>166</v>
      </c>
      <c r="C81" s="626">
        <v>38987</v>
      </c>
      <c r="D81" s="785">
        <f t="shared" si="11"/>
        <v>1481.3</v>
      </c>
      <c r="E81" s="785">
        <v>305.64999999999998</v>
      </c>
      <c r="F81" s="785">
        <v>204.05</v>
      </c>
      <c r="G81" s="785" t="s">
        <v>1588</v>
      </c>
      <c r="H81" s="785">
        <v>648</v>
      </c>
      <c r="I81" s="785">
        <v>92</v>
      </c>
      <c r="J81" s="785">
        <v>75.599999999999994</v>
      </c>
      <c r="K81" s="785">
        <v>156</v>
      </c>
      <c r="L81" s="804" t="s">
        <v>1588</v>
      </c>
      <c r="M81" s="805">
        <f t="shared" si="12"/>
        <v>3.7994716187447097</v>
      </c>
    </row>
    <row r="82" spans="1:13" ht="27.75" customHeight="1">
      <c r="A82" s="798"/>
      <c r="B82" s="797" t="s">
        <v>2229</v>
      </c>
      <c r="C82" s="626">
        <v>8750</v>
      </c>
      <c r="D82" s="785">
        <f t="shared" si="11"/>
        <v>128.19999999999999</v>
      </c>
      <c r="E82" s="785" t="s">
        <v>1588</v>
      </c>
      <c r="F82" s="785" t="s">
        <v>1588</v>
      </c>
      <c r="G82" s="785" t="s">
        <v>1588</v>
      </c>
      <c r="H82" s="785">
        <v>30</v>
      </c>
      <c r="I82" s="785">
        <v>46</v>
      </c>
      <c r="J82" s="785">
        <v>52.2</v>
      </c>
      <c r="K82" s="785" t="s">
        <v>1588</v>
      </c>
      <c r="L82" s="804" t="s">
        <v>1588</v>
      </c>
      <c r="M82" s="805">
        <f t="shared" si="12"/>
        <v>1.4651428571428571</v>
      </c>
    </row>
    <row r="83" spans="1:13" ht="27.75" customHeight="1">
      <c r="A83" s="798"/>
      <c r="B83" s="797" t="s">
        <v>2232</v>
      </c>
      <c r="C83" s="626">
        <v>9830</v>
      </c>
      <c r="D83" s="785">
        <f t="shared" si="11"/>
        <v>4523.79</v>
      </c>
      <c r="E83" s="785" t="s">
        <v>1588</v>
      </c>
      <c r="F83" s="785" t="s">
        <v>1588</v>
      </c>
      <c r="G83" s="785" t="s">
        <v>1588</v>
      </c>
      <c r="H83" s="785">
        <v>4250</v>
      </c>
      <c r="I83" s="785">
        <v>172.5</v>
      </c>
      <c r="J83" s="785">
        <v>101.29</v>
      </c>
      <c r="K83" s="785" t="s">
        <v>1588</v>
      </c>
      <c r="L83" s="804" t="s">
        <v>1588</v>
      </c>
      <c r="M83" s="805">
        <f t="shared" si="12"/>
        <v>46.020244150559513</v>
      </c>
    </row>
    <row r="84" spans="1:13" ht="27.75" customHeight="1">
      <c r="A84" s="798"/>
      <c r="B84" s="797" t="s">
        <v>167</v>
      </c>
      <c r="C84" s="626">
        <v>31225</v>
      </c>
      <c r="D84" s="785">
        <f t="shared" si="11"/>
        <v>898</v>
      </c>
      <c r="E84" s="785" t="s">
        <v>1588</v>
      </c>
      <c r="F84" s="785" t="s">
        <v>1588</v>
      </c>
      <c r="G84" s="785" t="s">
        <v>1588</v>
      </c>
      <c r="H84" s="785">
        <v>375</v>
      </c>
      <c r="I84" s="785">
        <v>253</v>
      </c>
      <c r="J84" s="785" t="s">
        <v>1588</v>
      </c>
      <c r="K84" s="785">
        <v>270</v>
      </c>
      <c r="L84" s="804" t="s">
        <v>1588</v>
      </c>
      <c r="M84" s="805">
        <f t="shared" si="12"/>
        <v>2.8759007205764613</v>
      </c>
    </row>
    <row r="85" spans="1:13" ht="27.75" customHeight="1">
      <c r="A85" s="795"/>
      <c r="B85" s="797" t="s">
        <v>168</v>
      </c>
      <c r="C85" s="626">
        <v>9573</v>
      </c>
      <c r="D85" s="785">
        <f t="shared" si="11"/>
        <v>71</v>
      </c>
      <c r="E85" s="785">
        <v>25</v>
      </c>
      <c r="F85" s="785" t="s">
        <v>1588</v>
      </c>
      <c r="G85" s="785" t="s">
        <v>1588</v>
      </c>
      <c r="H85" s="785" t="s">
        <v>1588</v>
      </c>
      <c r="I85" s="785">
        <v>46</v>
      </c>
      <c r="J85" s="785" t="s">
        <v>1588</v>
      </c>
      <c r="K85" s="785" t="s">
        <v>1588</v>
      </c>
      <c r="L85" s="804" t="s">
        <v>1588</v>
      </c>
      <c r="M85" s="805">
        <f t="shared" si="12"/>
        <v>0.7416692781782096</v>
      </c>
    </row>
    <row r="86" spans="1:13" ht="27.75" customHeight="1">
      <c r="A86" s="798" t="s">
        <v>1835</v>
      </c>
      <c r="B86" s="797" t="s">
        <v>2015</v>
      </c>
      <c r="C86" s="626">
        <v>88124</v>
      </c>
      <c r="D86" s="785">
        <f t="shared" si="11"/>
        <v>4859</v>
      </c>
      <c r="E86" s="785" t="s">
        <v>1588</v>
      </c>
      <c r="F86" s="785" t="s">
        <v>1588</v>
      </c>
      <c r="G86" s="785" t="s">
        <v>1588</v>
      </c>
      <c r="H86" s="785">
        <v>4859</v>
      </c>
      <c r="I86" s="785" t="s">
        <v>1588</v>
      </c>
      <c r="J86" s="785" t="s">
        <v>1588</v>
      </c>
      <c r="K86" s="785" t="s">
        <v>1588</v>
      </c>
      <c r="L86" s="804" t="s">
        <v>1588</v>
      </c>
      <c r="M86" s="805">
        <f t="shared" si="12"/>
        <v>5.5138214334347051</v>
      </c>
    </row>
    <row r="87" spans="1:13" ht="27.75" customHeight="1">
      <c r="A87" s="798"/>
      <c r="B87" s="797" t="s">
        <v>2378</v>
      </c>
      <c r="C87" s="626">
        <v>29419</v>
      </c>
      <c r="D87" s="785">
        <f t="shared" si="11"/>
        <v>630</v>
      </c>
      <c r="E87" s="785" t="s">
        <v>1588</v>
      </c>
      <c r="F87" s="785" t="s">
        <v>1588</v>
      </c>
      <c r="G87" s="785" t="s">
        <v>1588</v>
      </c>
      <c r="H87" s="785">
        <v>630</v>
      </c>
      <c r="I87" s="785" t="s">
        <v>1588</v>
      </c>
      <c r="J87" s="785" t="s">
        <v>1588</v>
      </c>
      <c r="K87" s="785" t="s">
        <v>1588</v>
      </c>
      <c r="L87" s="804" t="s">
        <v>1588</v>
      </c>
      <c r="M87" s="805">
        <f t="shared" si="12"/>
        <v>2.1414731975933918</v>
      </c>
    </row>
    <row r="88" spans="1:13" ht="27.75" customHeight="1">
      <c r="A88" s="795"/>
      <c r="B88" s="797" t="s">
        <v>513</v>
      </c>
      <c r="C88" s="626">
        <v>50635</v>
      </c>
      <c r="D88" s="785">
        <f t="shared" si="11"/>
        <v>916</v>
      </c>
      <c r="E88" s="785" t="s">
        <v>1588</v>
      </c>
      <c r="F88" s="785" t="s">
        <v>1588</v>
      </c>
      <c r="G88" s="785" t="s">
        <v>1588</v>
      </c>
      <c r="H88" s="785">
        <v>916</v>
      </c>
      <c r="I88" s="785" t="s">
        <v>1588</v>
      </c>
      <c r="J88" s="785" t="s">
        <v>1588</v>
      </c>
      <c r="K88" s="785" t="s">
        <v>1588</v>
      </c>
      <c r="L88" s="804" t="s">
        <v>1588</v>
      </c>
      <c r="M88" s="805">
        <f t="shared" si="12"/>
        <v>1.8090253777031697</v>
      </c>
    </row>
    <row r="89" spans="1:13" ht="27.75" customHeight="1">
      <c r="A89" s="795" t="s">
        <v>1837</v>
      </c>
      <c r="B89" s="781" t="s">
        <v>2237</v>
      </c>
      <c r="C89" s="626">
        <v>60731</v>
      </c>
      <c r="D89" s="785">
        <f t="shared" si="11"/>
        <v>11973</v>
      </c>
      <c r="E89" s="785">
        <v>11973</v>
      </c>
      <c r="F89" s="785" t="s">
        <v>1588</v>
      </c>
      <c r="G89" s="785" t="s">
        <v>1588</v>
      </c>
      <c r="H89" s="785" t="s">
        <v>1588</v>
      </c>
      <c r="I89" s="785" t="s">
        <v>1588</v>
      </c>
      <c r="J89" s="785" t="s">
        <v>1588</v>
      </c>
      <c r="K89" s="785" t="s">
        <v>1588</v>
      </c>
      <c r="L89" s="804" t="s">
        <v>1588</v>
      </c>
      <c r="M89" s="805">
        <f t="shared" si="12"/>
        <v>19.714807923465774</v>
      </c>
    </row>
    <row r="90" spans="1:13" ht="27.75" customHeight="1">
      <c r="A90" s="796" t="s">
        <v>1840</v>
      </c>
      <c r="B90" s="781" t="s">
        <v>179</v>
      </c>
      <c r="C90" s="626">
        <v>29866</v>
      </c>
      <c r="D90" s="785">
        <f t="shared" si="11"/>
        <v>1718</v>
      </c>
      <c r="E90" s="785" t="s">
        <v>1588</v>
      </c>
      <c r="F90" s="785">
        <v>448</v>
      </c>
      <c r="G90" s="785" t="s">
        <v>1588</v>
      </c>
      <c r="H90" s="785">
        <v>720</v>
      </c>
      <c r="I90" s="785">
        <v>210</v>
      </c>
      <c r="J90" s="785">
        <v>340</v>
      </c>
      <c r="K90" s="785" t="s">
        <v>1588</v>
      </c>
      <c r="L90" s="804" t="s">
        <v>1588</v>
      </c>
      <c r="M90" s="805">
        <f t="shared" si="12"/>
        <v>5.7523605437621379</v>
      </c>
    </row>
    <row r="91" spans="1:13" ht="27.75" customHeight="1">
      <c r="A91" s="446" t="s">
        <v>1841</v>
      </c>
      <c r="B91" s="797" t="s">
        <v>1599</v>
      </c>
      <c r="C91" s="626">
        <v>17477</v>
      </c>
      <c r="D91" s="785">
        <f t="shared" si="11"/>
        <v>1926</v>
      </c>
      <c r="E91" s="785">
        <v>85</v>
      </c>
      <c r="F91" s="785">
        <v>0</v>
      </c>
      <c r="G91" s="785">
        <v>0</v>
      </c>
      <c r="H91" s="785">
        <v>1045</v>
      </c>
      <c r="I91" s="785">
        <v>796</v>
      </c>
      <c r="J91" s="785">
        <v>0</v>
      </c>
      <c r="K91" s="785">
        <v>0</v>
      </c>
      <c r="L91" s="804" t="s">
        <v>1588</v>
      </c>
      <c r="M91" s="805">
        <f t="shared" si="12"/>
        <v>11.020197974480746</v>
      </c>
    </row>
    <row r="92" spans="1:13" ht="27.75" customHeight="1">
      <c r="A92" s="798"/>
      <c r="B92" s="797" t="s">
        <v>180</v>
      </c>
      <c r="C92" s="626">
        <v>21700</v>
      </c>
      <c r="D92" s="785">
        <f t="shared" si="11"/>
        <v>0</v>
      </c>
      <c r="E92" s="785">
        <v>0</v>
      </c>
      <c r="F92" s="785">
        <v>0</v>
      </c>
      <c r="G92" s="785">
        <v>0</v>
      </c>
      <c r="H92" s="785">
        <v>0</v>
      </c>
      <c r="I92" s="785">
        <v>0</v>
      </c>
      <c r="J92" s="785">
        <v>0</v>
      </c>
      <c r="K92" s="785">
        <v>0</v>
      </c>
      <c r="L92" s="804" t="s">
        <v>1588</v>
      </c>
      <c r="M92" s="805">
        <f t="shared" si="12"/>
        <v>0</v>
      </c>
    </row>
    <row r="93" spans="1:13" ht="27.75" customHeight="1">
      <c r="A93" s="795"/>
      <c r="B93" s="797" t="s">
        <v>1787</v>
      </c>
      <c r="C93" s="626">
        <v>34926</v>
      </c>
      <c r="D93" s="785">
        <f t="shared" si="11"/>
        <v>24237.4</v>
      </c>
      <c r="E93" s="785">
        <v>6500</v>
      </c>
      <c r="F93" s="785">
        <v>275</v>
      </c>
      <c r="G93" s="785">
        <v>0</v>
      </c>
      <c r="H93" s="785">
        <v>13226.4</v>
      </c>
      <c r="I93" s="785">
        <v>3500</v>
      </c>
      <c r="J93" s="785">
        <v>0</v>
      </c>
      <c r="K93" s="785">
        <v>736</v>
      </c>
      <c r="L93" s="804" t="s">
        <v>1588</v>
      </c>
      <c r="M93" s="805">
        <f t="shared" si="12"/>
        <v>69.39643818358816</v>
      </c>
    </row>
    <row r="94" spans="1:13" ht="27.75" customHeight="1">
      <c r="A94" s="796" t="s">
        <v>496</v>
      </c>
      <c r="B94" s="781" t="s">
        <v>1845</v>
      </c>
      <c r="C94" s="626">
        <v>118022</v>
      </c>
      <c r="D94" s="785">
        <f t="shared" si="11"/>
        <v>3290</v>
      </c>
      <c r="E94" s="785" t="s">
        <v>1588</v>
      </c>
      <c r="F94" s="785" t="s">
        <v>1588</v>
      </c>
      <c r="G94" s="785" t="s">
        <v>1588</v>
      </c>
      <c r="H94" s="785">
        <v>2584</v>
      </c>
      <c r="I94" s="785">
        <v>706</v>
      </c>
      <c r="J94" s="785" t="s">
        <v>1588</v>
      </c>
      <c r="K94" s="785" t="s">
        <v>1588</v>
      </c>
      <c r="L94" s="804" t="s">
        <v>1588</v>
      </c>
      <c r="M94" s="805">
        <f t="shared" si="12"/>
        <v>2.7876158682279573</v>
      </c>
    </row>
    <row r="95" spans="1:13" ht="27.75" customHeight="1">
      <c r="A95" s="796" t="s">
        <v>1616</v>
      </c>
      <c r="B95" s="794">
        <f>COUNTA(B96:B112)</f>
        <v>17</v>
      </c>
      <c r="C95" s="626">
        <f>SUM(C96:C112)</f>
        <v>314515</v>
      </c>
      <c r="D95" s="785">
        <f t="shared" si="11"/>
        <v>89856</v>
      </c>
      <c r="E95" s="785">
        <f t="shared" ref="E95:L95" si="13">SUM(E96:E112)</f>
        <v>4720</v>
      </c>
      <c r="F95" s="785">
        <f t="shared" si="13"/>
        <v>800</v>
      </c>
      <c r="G95" s="785">
        <f t="shared" si="13"/>
        <v>2428</v>
      </c>
      <c r="H95" s="785">
        <f t="shared" si="13"/>
        <v>4765</v>
      </c>
      <c r="I95" s="785">
        <f t="shared" si="13"/>
        <v>747</v>
      </c>
      <c r="J95" s="785">
        <f t="shared" si="13"/>
        <v>223</v>
      </c>
      <c r="K95" s="785">
        <f t="shared" si="13"/>
        <v>76033</v>
      </c>
      <c r="L95" s="804">
        <f t="shared" si="13"/>
        <v>140</v>
      </c>
      <c r="M95" s="805">
        <f t="shared" si="12"/>
        <v>28.569702557906616</v>
      </c>
    </row>
    <row r="96" spans="1:13" ht="27.75" customHeight="1">
      <c r="A96" s="796" t="s">
        <v>1847</v>
      </c>
      <c r="B96" s="797" t="s">
        <v>2029</v>
      </c>
      <c r="C96" s="626">
        <v>27589</v>
      </c>
      <c r="D96" s="785">
        <f t="shared" si="11"/>
        <v>648</v>
      </c>
      <c r="E96" s="785" t="s">
        <v>1588</v>
      </c>
      <c r="F96" s="785" t="s">
        <v>1588</v>
      </c>
      <c r="G96" s="785" t="s">
        <v>1588</v>
      </c>
      <c r="H96" s="785">
        <v>648</v>
      </c>
      <c r="I96" s="785" t="s">
        <v>1588</v>
      </c>
      <c r="J96" s="785" t="s">
        <v>1588</v>
      </c>
      <c r="K96" s="785" t="s">
        <v>1588</v>
      </c>
      <c r="L96" s="804" t="s">
        <v>1588</v>
      </c>
      <c r="M96" s="805">
        <f t="shared" si="12"/>
        <v>2.3487621878284823</v>
      </c>
    </row>
    <row r="97" spans="1:13" ht="27.75" customHeight="1">
      <c r="A97" s="798"/>
      <c r="B97" s="797" t="s">
        <v>2030</v>
      </c>
      <c r="C97" s="626">
        <v>21104</v>
      </c>
      <c r="D97" s="785">
        <f t="shared" si="11"/>
        <v>140</v>
      </c>
      <c r="E97" s="785" t="s">
        <v>1588</v>
      </c>
      <c r="F97" s="785" t="s">
        <v>1588</v>
      </c>
      <c r="G97" s="785" t="s">
        <v>1588</v>
      </c>
      <c r="H97" s="785">
        <v>140</v>
      </c>
      <c r="I97" s="785" t="s">
        <v>1588</v>
      </c>
      <c r="J97" s="785" t="s">
        <v>1588</v>
      </c>
      <c r="K97" s="785" t="s">
        <v>1588</v>
      </c>
      <c r="L97" s="804" t="s">
        <v>1588</v>
      </c>
      <c r="M97" s="805">
        <f t="shared" si="12"/>
        <v>0.6633813495072024</v>
      </c>
    </row>
    <row r="98" spans="1:13" ht="27.75" customHeight="1">
      <c r="A98" s="798"/>
      <c r="B98" s="797" t="s">
        <v>1600</v>
      </c>
      <c r="C98" s="626">
        <v>5593</v>
      </c>
      <c r="D98" s="785">
        <f t="shared" si="11"/>
        <v>138</v>
      </c>
      <c r="E98" s="785" t="s">
        <v>1588</v>
      </c>
      <c r="F98" s="785" t="s">
        <v>1588</v>
      </c>
      <c r="G98" s="785" t="s">
        <v>1588</v>
      </c>
      <c r="H98" s="785">
        <v>138</v>
      </c>
      <c r="I98" s="785" t="s">
        <v>1588</v>
      </c>
      <c r="J98" s="785" t="s">
        <v>1588</v>
      </c>
      <c r="K98" s="785" t="s">
        <v>1588</v>
      </c>
      <c r="L98" s="804" t="s">
        <v>1588</v>
      </c>
      <c r="M98" s="805">
        <f t="shared" si="12"/>
        <v>2.4673699266940821</v>
      </c>
    </row>
    <row r="99" spans="1:13" ht="27.75" customHeight="1">
      <c r="A99" s="795"/>
      <c r="B99" s="797" t="s">
        <v>182</v>
      </c>
      <c r="C99" s="626">
        <v>17634</v>
      </c>
      <c r="D99" s="785">
        <f t="shared" si="11"/>
        <v>3725</v>
      </c>
      <c r="E99" s="785">
        <v>3150</v>
      </c>
      <c r="F99" s="785" t="s">
        <v>1588</v>
      </c>
      <c r="G99" s="785" t="s">
        <v>1588</v>
      </c>
      <c r="H99" s="785">
        <v>575</v>
      </c>
      <c r="I99" s="785" t="s">
        <v>1588</v>
      </c>
      <c r="J99" s="785" t="s">
        <v>1588</v>
      </c>
      <c r="K99" s="785" t="s">
        <v>1588</v>
      </c>
      <c r="L99" s="804" t="s">
        <v>1588</v>
      </c>
      <c r="M99" s="805">
        <f t="shared" si="12"/>
        <v>21.123965067483272</v>
      </c>
    </row>
    <row r="100" spans="1:13" ht="27.75" customHeight="1">
      <c r="A100" s="798" t="s">
        <v>1843</v>
      </c>
      <c r="B100" s="797" t="s">
        <v>2016</v>
      </c>
      <c r="C100" s="626">
        <v>65016</v>
      </c>
      <c r="D100" s="785">
        <f t="shared" si="11"/>
        <v>2800</v>
      </c>
      <c r="E100" s="785">
        <v>800</v>
      </c>
      <c r="F100" s="785" t="s">
        <v>1588</v>
      </c>
      <c r="G100" s="785" t="s">
        <v>1588</v>
      </c>
      <c r="H100" s="785">
        <v>2000</v>
      </c>
      <c r="I100" s="785" t="s">
        <v>1588</v>
      </c>
      <c r="J100" s="785" t="s">
        <v>1588</v>
      </c>
      <c r="K100" s="785" t="s">
        <v>1588</v>
      </c>
      <c r="L100" s="804" t="s">
        <v>1588</v>
      </c>
      <c r="M100" s="805">
        <f t="shared" si="12"/>
        <v>4.3066322136089585</v>
      </c>
    </row>
    <row r="101" spans="1:13" ht="27.75" customHeight="1">
      <c r="A101" s="798"/>
      <c r="B101" s="797" t="s">
        <v>514</v>
      </c>
      <c r="C101" s="626">
        <v>6305</v>
      </c>
      <c r="D101" s="785">
        <f t="shared" si="11"/>
        <v>755</v>
      </c>
      <c r="E101" s="785">
        <v>78</v>
      </c>
      <c r="F101" s="785" t="s">
        <v>1588</v>
      </c>
      <c r="G101" s="785" t="s">
        <v>1588</v>
      </c>
      <c r="H101" s="785">
        <v>524</v>
      </c>
      <c r="I101" s="785">
        <v>153</v>
      </c>
      <c r="J101" s="785" t="s">
        <v>1588</v>
      </c>
      <c r="K101" s="785" t="s">
        <v>1588</v>
      </c>
      <c r="L101" s="804" t="s">
        <v>1588</v>
      </c>
      <c r="M101" s="805">
        <f t="shared" si="12"/>
        <v>11.9746233148295</v>
      </c>
    </row>
    <row r="102" spans="1:13" ht="27.75" customHeight="1">
      <c r="A102" s="798"/>
      <c r="B102" s="797" t="s">
        <v>515</v>
      </c>
      <c r="C102" s="626">
        <v>4062</v>
      </c>
      <c r="D102" s="785">
        <f t="shared" si="11"/>
        <v>504</v>
      </c>
      <c r="E102" s="785">
        <v>364</v>
      </c>
      <c r="F102" s="785" t="s">
        <v>1588</v>
      </c>
      <c r="G102" s="785" t="s">
        <v>1588</v>
      </c>
      <c r="H102" s="785" t="s">
        <v>1588</v>
      </c>
      <c r="I102" s="785" t="s">
        <v>1588</v>
      </c>
      <c r="J102" s="785" t="s">
        <v>1588</v>
      </c>
      <c r="K102" s="785" t="s">
        <v>1588</v>
      </c>
      <c r="L102" s="804">
        <v>140</v>
      </c>
      <c r="M102" s="805">
        <f t="shared" si="12"/>
        <v>12.407680945347121</v>
      </c>
    </row>
    <row r="103" spans="1:13" ht="27.75" customHeight="1">
      <c r="A103" s="795"/>
      <c r="B103" s="797" t="s">
        <v>516</v>
      </c>
      <c r="C103" s="626">
        <v>2559</v>
      </c>
      <c r="D103" s="785">
        <f t="shared" si="11"/>
        <v>328</v>
      </c>
      <c r="E103" s="785">
        <v>328</v>
      </c>
      <c r="F103" s="785" t="s">
        <v>1588</v>
      </c>
      <c r="G103" s="785" t="s">
        <v>1588</v>
      </c>
      <c r="H103" s="785" t="s">
        <v>1588</v>
      </c>
      <c r="I103" s="785" t="s">
        <v>1588</v>
      </c>
      <c r="J103" s="785" t="s">
        <v>1588</v>
      </c>
      <c r="K103" s="785" t="s">
        <v>1588</v>
      </c>
      <c r="L103" s="804" t="s">
        <v>1588</v>
      </c>
      <c r="M103" s="805">
        <f t="shared" si="12"/>
        <v>12.81750683860883</v>
      </c>
    </row>
    <row r="104" spans="1:13" ht="27.75" customHeight="1">
      <c r="A104" s="798" t="s">
        <v>1844</v>
      </c>
      <c r="B104" s="797" t="s">
        <v>2251</v>
      </c>
      <c r="C104" s="626">
        <v>39553</v>
      </c>
      <c r="D104" s="785">
        <f t="shared" si="11"/>
        <v>168</v>
      </c>
      <c r="E104" s="785" t="s">
        <v>1588</v>
      </c>
      <c r="F104" s="785" t="s">
        <v>1588</v>
      </c>
      <c r="G104" s="785" t="s">
        <v>1588</v>
      </c>
      <c r="H104" s="785" t="s">
        <v>1588</v>
      </c>
      <c r="I104" s="785" t="s">
        <v>1588</v>
      </c>
      <c r="J104" s="785">
        <v>168</v>
      </c>
      <c r="K104" s="785" t="s">
        <v>1588</v>
      </c>
      <c r="L104" s="804" t="s">
        <v>1588</v>
      </c>
      <c r="M104" s="805">
        <f t="shared" si="12"/>
        <v>0.4247465426137082</v>
      </c>
    </row>
    <row r="105" spans="1:13" ht="27.75" customHeight="1">
      <c r="A105" s="798"/>
      <c r="B105" s="797" t="s">
        <v>329</v>
      </c>
      <c r="C105" s="626">
        <v>10553</v>
      </c>
      <c r="D105" s="785">
        <f t="shared" si="11"/>
        <v>0</v>
      </c>
      <c r="E105" s="785" t="s">
        <v>1588</v>
      </c>
      <c r="F105" s="785" t="s">
        <v>1588</v>
      </c>
      <c r="G105" s="785" t="s">
        <v>1588</v>
      </c>
      <c r="H105" s="785" t="s">
        <v>1588</v>
      </c>
      <c r="I105" s="785" t="s">
        <v>1588</v>
      </c>
      <c r="J105" s="785" t="s">
        <v>1588</v>
      </c>
      <c r="K105" s="785" t="s">
        <v>1588</v>
      </c>
      <c r="L105" s="804" t="s">
        <v>1588</v>
      </c>
      <c r="M105" s="805">
        <f t="shared" si="12"/>
        <v>0</v>
      </c>
    </row>
    <row r="106" spans="1:13" ht="27.75" customHeight="1">
      <c r="A106" s="798"/>
      <c r="B106" s="797" t="s">
        <v>330</v>
      </c>
      <c r="C106" s="626">
        <v>6581</v>
      </c>
      <c r="D106" s="785">
        <f t="shared" si="11"/>
        <v>0</v>
      </c>
      <c r="E106" s="785" t="s">
        <v>1588</v>
      </c>
      <c r="F106" s="785" t="s">
        <v>1588</v>
      </c>
      <c r="G106" s="785" t="s">
        <v>1588</v>
      </c>
      <c r="H106" s="785" t="s">
        <v>1588</v>
      </c>
      <c r="I106" s="785" t="s">
        <v>1588</v>
      </c>
      <c r="J106" s="785" t="s">
        <v>1588</v>
      </c>
      <c r="K106" s="785" t="s">
        <v>1588</v>
      </c>
      <c r="L106" s="804" t="s">
        <v>1588</v>
      </c>
      <c r="M106" s="805">
        <f t="shared" si="12"/>
        <v>0</v>
      </c>
    </row>
    <row r="107" spans="1:13" ht="27.75" customHeight="1">
      <c r="A107" s="798"/>
      <c r="B107" s="797" t="s">
        <v>332</v>
      </c>
      <c r="C107" s="626">
        <v>23176</v>
      </c>
      <c r="D107" s="785">
        <f t="shared" si="11"/>
        <v>78337</v>
      </c>
      <c r="E107" s="785" t="s">
        <v>1588</v>
      </c>
      <c r="F107" s="785" t="s">
        <v>1588</v>
      </c>
      <c r="G107" s="785">
        <v>2304</v>
      </c>
      <c r="H107" s="785" t="s">
        <v>1588</v>
      </c>
      <c r="I107" s="785" t="s">
        <v>1588</v>
      </c>
      <c r="J107" s="785" t="s">
        <v>1588</v>
      </c>
      <c r="K107" s="785">
        <v>76033</v>
      </c>
      <c r="L107" s="804" t="s">
        <v>1588</v>
      </c>
      <c r="M107" s="805">
        <f t="shared" si="12"/>
        <v>338.0091473938557</v>
      </c>
    </row>
    <row r="108" spans="1:13" ht="27.75" customHeight="1">
      <c r="A108" s="798"/>
      <c r="B108" s="797" t="s">
        <v>333</v>
      </c>
      <c r="C108" s="626">
        <v>11170</v>
      </c>
      <c r="D108" s="785">
        <f t="shared" si="11"/>
        <v>0</v>
      </c>
      <c r="E108" s="785" t="s">
        <v>1588</v>
      </c>
      <c r="F108" s="785" t="s">
        <v>1588</v>
      </c>
      <c r="G108" s="785" t="s">
        <v>1588</v>
      </c>
      <c r="H108" s="785" t="s">
        <v>1588</v>
      </c>
      <c r="I108" s="785" t="s">
        <v>1588</v>
      </c>
      <c r="J108" s="785" t="s">
        <v>1588</v>
      </c>
      <c r="K108" s="785" t="s">
        <v>1588</v>
      </c>
      <c r="L108" s="804" t="s">
        <v>1588</v>
      </c>
      <c r="M108" s="805">
        <f t="shared" si="12"/>
        <v>0</v>
      </c>
    </row>
    <row r="109" spans="1:13" ht="27.75" customHeight="1">
      <c r="A109" s="798"/>
      <c r="B109" s="797" t="s">
        <v>334</v>
      </c>
      <c r="C109" s="626">
        <v>5998</v>
      </c>
      <c r="D109" s="785">
        <f t="shared" si="11"/>
        <v>0</v>
      </c>
      <c r="E109" s="785" t="s">
        <v>1588</v>
      </c>
      <c r="F109" s="785" t="s">
        <v>1588</v>
      </c>
      <c r="G109" s="785" t="s">
        <v>1588</v>
      </c>
      <c r="H109" s="785" t="s">
        <v>1588</v>
      </c>
      <c r="I109" s="785" t="s">
        <v>1588</v>
      </c>
      <c r="J109" s="785" t="s">
        <v>1588</v>
      </c>
      <c r="K109" s="785" t="s">
        <v>1588</v>
      </c>
      <c r="L109" s="804" t="s">
        <v>1588</v>
      </c>
      <c r="M109" s="805">
        <f t="shared" si="12"/>
        <v>0</v>
      </c>
    </row>
    <row r="110" spans="1:13" ht="27.75" customHeight="1">
      <c r="A110" s="795"/>
      <c r="B110" s="797" t="s">
        <v>331</v>
      </c>
      <c r="C110" s="626">
        <v>5735</v>
      </c>
      <c r="D110" s="785">
        <f t="shared" si="11"/>
        <v>0</v>
      </c>
      <c r="E110" s="785" t="s">
        <v>1588</v>
      </c>
      <c r="F110" s="785" t="s">
        <v>1588</v>
      </c>
      <c r="G110" s="785" t="s">
        <v>1588</v>
      </c>
      <c r="H110" s="785" t="s">
        <v>1588</v>
      </c>
      <c r="I110" s="785" t="s">
        <v>1588</v>
      </c>
      <c r="J110" s="785" t="s">
        <v>1588</v>
      </c>
      <c r="K110" s="785" t="s">
        <v>1588</v>
      </c>
      <c r="L110" s="804" t="s">
        <v>1588</v>
      </c>
      <c r="M110" s="805">
        <f t="shared" si="12"/>
        <v>0</v>
      </c>
    </row>
    <row r="111" spans="1:13" ht="27.75" customHeight="1">
      <c r="A111" s="798" t="s">
        <v>1848</v>
      </c>
      <c r="B111" s="797" t="s">
        <v>183</v>
      </c>
      <c r="C111" s="626">
        <v>54847</v>
      </c>
      <c r="D111" s="785">
        <f t="shared" si="11"/>
        <v>1851</v>
      </c>
      <c r="E111" s="785" t="s">
        <v>1588</v>
      </c>
      <c r="F111" s="785">
        <v>800</v>
      </c>
      <c r="G111" s="785">
        <v>124</v>
      </c>
      <c r="H111" s="785">
        <v>440</v>
      </c>
      <c r="I111" s="785">
        <v>432</v>
      </c>
      <c r="J111" s="785">
        <v>55</v>
      </c>
      <c r="K111" s="785" t="s">
        <v>1588</v>
      </c>
      <c r="L111" s="804" t="s">
        <v>1588</v>
      </c>
      <c r="M111" s="805">
        <f t="shared" si="12"/>
        <v>3.3748427443615876</v>
      </c>
    </row>
    <row r="112" spans="1:13" ht="27.75" customHeight="1">
      <c r="A112" s="795"/>
      <c r="B112" s="797" t="s">
        <v>184</v>
      </c>
      <c r="C112" s="626">
        <v>7040</v>
      </c>
      <c r="D112" s="785">
        <f t="shared" si="11"/>
        <v>462</v>
      </c>
      <c r="E112" s="785" t="s">
        <v>1588</v>
      </c>
      <c r="F112" s="785" t="s">
        <v>1588</v>
      </c>
      <c r="G112" s="785" t="s">
        <v>1588</v>
      </c>
      <c r="H112" s="785">
        <v>300</v>
      </c>
      <c r="I112" s="785">
        <v>162</v>
      </c>
      <c r="J112" s="785" t="s">
        <v>1588</v>
      </c>
      <c r="K112" s="785" t="s">
        <v>1588</v>
      </c>
      <c r="L112" s="804" t="s">
        <v>1588</v>
      </c>
      <c r="M112" s="805">
        <f t="shared" si="12"/>
        <v>6.5625</v>
      </c>
    </row>
    <row r="113" spans="1:13" ht="27.75" customHeight="1">
      <c r="A113" s="792" t="s">
        <v>1849</v>
      </c>
      <c r="B113" s="789">
        <f>B114+B126</f>
        <v>30</v>
      </c>
      <c r="C113" s="626">
        <f>C114+C126</f>
        <v>947277.02</v>
      </c>
      <c r="D113" s="785">
        <f t="shared" si="11"/>
        <v>128028.11500000001</v>
      </c>
      <c r="E113" s="785">
        <f t="shared" ref="E113:L113" si="14">E114+E126</f>
        <v>13320.15</v>
      </c>
      <c r="F113" s="785">
        <f t="shared" si="14"/>
        <v>5189</v>
      </c>
      <c r="G113" s="785">
        <f t="shared" si="14"/>
        <v>2018.3999999999999</v>
      </c>
      <c r="H113" s="785">
        <f t="shared" si="14"/>
        <v>31553.074999999997</v>
      </c>
      <c r="I113" s="785">
        <f t="shared" si="14"/>
        <v>12355.54</v>
      </c>
      <c r="J113" s="785">
        <f t="shared" si="14"/>
        <v>888.8</v>
      </c>
      <c r="K113" s="785">
        <f t="shared" si="14"/>
        <v>36706.15</v>
      </c>
      <c r="L113" s="804">
        <f t="shared" si="14"/>
        <v>25997</v>
      </c>
      <c r="M113" s="805">
        <f t="shared" si="12"/>
        <v>13.515382754666632</v>
      </c>
    </row>
    <row r="114" spans="1:13" ht="27.75" customHeight="1">
      <c r="A114" s="446" t="s">
        <v>1674</v>
      </c>
      <c r="B114" s="789">
        <f>COUNTA(B115:B125)</f>
        <v>11</v>
      </c>
      <c r="C114" s="626">
        <f t="shared" ref="C114:L114" si="15">SUM(C115:C125)</f>
        <v>683369</v>
      </c>
      <c r="D114" s="785">
        <f t="shared" si="11"/>
        <v>30223.7</v>
      </c>
      <c r="E114" s="785">
        <f t="shared" si="15"/>
        <v>5722.4</v>
      </c>
      <c r="F114" s="785">
        <f t="shared" si="15"/>
        <v>985</v>
      </c>
      <c r="G114" s="785">
        <f t="shared" si="15"/>
        <v>636.29999999999995</v>
      </c>
      <c r="H114" s="785">
        <f t="shared" si="15"/>
        <v>12547.2</v>
      </c>
      <c r="I114" s="785">
        <f t="shared" si="15"/>
        <v>2615</v>
      </c>
      <c r="J114" s="785">
        <f t="shared" si="15"/>
        <v>503.8</v>
      </c>
      <c r="K114" s="785">
        <f t="shared" si="15"/>
        <v>7214</v>
      </c>
      <c r="L114" s="804">
        <f t="shared" si="15"/>
        <v>0</v>
      </c>
      <c r="M114" s="805">
        <f t="shared" si="12"/>
        <v>4.4227496418479628</v>
      </c>
    </row>
    <row r="115" spans="1:13" ht="27.75" customHeight="1">
      <c r="A115" s="446" t="s">
        <v>1850</v>
      </c>
      <c r="B115" s="448" t="s">
        <v>352</v>
      </c>
      <c r="C115" s="626">
        <v>117777</v>
      </c>
      <c r="D115" s="785">
        <f t="shared" si="11"/>
        <v>5902</v>
      </c>
      <c r="E115" s="785">
        <v>2880</v>
      </c>
      <c r="F115" s="785" t="s">
        <v>1588</v>
      </c>
      <c r="G115" s="785" t="s">
        <v>1588</v>
      </c>
      <c r="H115" s="785">
        <v>3022</v>
      </c>
      <c r="I115" s="785" t="s">
        <v>1588</v>
      </c>
      <c r="J115" s="785" t="s">
        <v>1588</v>
      </c>
      <c r="K115" s="785" t="s">
        <v>1588</v>
      </c>
      <c r="L115" s="804" t="s">
        <v>1588</v>
      </c>
      <c r="M115" s="805">
        <f t="shared" si="12"/>
        <v>5.011165168071865</v>
      </c>
    </row>
    <row r="116" spans="1:13" ht="27.75" customHeight="1">
      <c r="A116" s="791"/>
      <c r="B116" s="448" t="s">
        <v>353</v>
      </c>
      <c r="C116" s="626">
        <v>13002</v>
      </c>
      <c r="D116" s="785">
        <f t="shared" si="11"/>
        <v>2166</v>
      </c>
      <c r="E116" s="785" t="s">
        <v>1588</v>
      </c>
      <c r="F116" s="785" t="s">
        <v>1588</v>
      </c>
      <c r="G116" s="785" t="s">
        <v>1588</v>
      </c>
      <c r="H116" s="785" t="s">
        <v>1588</v>
      </c>
      <c r="I116" s="785" t="s">
        <v>1588</v>
      </c>
      <c r="J116" s="785" t="s">
        <v>1588</v>
      </c>
      <c r="K116" s="785">
        <v>2166</v>
      </c>
      <c r="L116" s="804" t="s">
        <v>1588</v>
      </c>
      <c r="M116" s="805">
        <f t="shared" si="12"/>
        <v>16.658975542224272</v>
      </c>
    </row>
    <row r="117" spans="1:13" ht="27.75" customHeight="1">
      <c r="A117" s="792"/>
      <c r="B117" s="448" t="s">
        <v>517</v>
      </c>
      <c r="C117" s="626">
        <v>9999</v>
      </c>
      <c r="D117" s="785">
        <f t="shared" si="11"/>
        <v>2499</v>
      </c>
      <c r="E117" s="785">
        <v>2499</v>
      </c>
      <c r="F117" s="785" t="s">
        <v>1588</v>
      </c>
      <c r="G117" s="785" t="s">
        <v>1588</v>
      </c>
      <c r="H117" s="785" t="s">
        <v>1588</v>
      </c>
      <c r="I117" s="785" t="s">
        <v>1588</v>
      </c>
      <c r="J117" s="785" t="s">
        <v>1588</v>
      </c>
      <c r="K117" s="785" t="s">
        <v>1588</v>
      </c>
      <c r="L117" s="804" t="s">
        <v>1588</v>
      </c>
      <c r="M117" s="805">
        <f t="shared" si="12"/>
        <v>24.992499249924993</v>
      </c>
    </row>
    <row r="118" spans="1:13" ht="27.75" customHeight="1">
      <c r="A118" s="447" t="s">
        <v>1851</v>
      </c>
      <c r="B118" s="448" t="s">
        <v>339</v>
      </c>
      <c r="C118" s="626">
        <v>87000</v>
      </c>
      <c r="D118" s="785">
        <f t="shared" si="11"/>
        <v>1961.8</v>
      </c>
      <c r="E118" s="785">
        <v>16</v>
      </c>
      <c r="F118" s="785">
        <v>100</v>
      </c>
      <c r="G118" s="785">
        <v>144</v>
      </c>
      <c r="H118" s="785">
        <v>600</v>
      </c>
      <c r="I118" s="785">
        <v>812</v>
      </c>
      <c r="J118" s="785">
        <v>64.8</v>
      </c>
      <c r="K118" s="785">
        <v>225</v>
      </c>
      <c r="L118" s="804" t="s">
        <v>1588</v>
      </c>
      <c r="M118" s="805">
        <f t="shared" si="12"/>
        <v>2.2549425287356319</v>
      </c>
    </row>
    <row r="119" spans="1:13" ht="27.75" customHeight="1">
      <c r="A119" s="446" t="s">
        <v>1852</v>
      </c>
      <c r="B119" s="448" t="s">
        <v>2386</v>
      </c>
      <c r="C119" s="626">
        <v>112993</v>
      </c>
      <c r="D119" s="785">
        <f t="shared" si="11"/>
        <v>3790</v>
      </c>
      <c r="E119" s="785">
        <v>82</v>
      </c>
      <c r="F119" s="785">
        <v>325</v>
      </c>
      <c r="G119" s="785">
        <v>32</v>
      </c>
      <c r="H119" s="785">
        <v>2662</v>
      </c>
      <c r="I119" s="785">
        <v>220</v>
      </c>
      <c r="J119" s="785">
        <v>144</v>
      </c>
      <c r="K119" s="785">
        <v>325</v>
      </c>
      <c r="L119" s="804">
        <v>0</v>
      </c>
      <c r="M119" s="805">
        <f t="shared" si="12"/>
        <v>3.3541900825714865</v>
      </c>
    </row>
    <row r="120" spans="1:13" ht="27.75" customHeight="1">
      <c r="A120" s="792"/>
      <c r="B120" s="448" t="s">
        <v>1998</v>
      </c>
      <c r="C120" s="626">
        <v>31814</v>
      </c>
      <c r="D120" s="785">
        <f t="shared" si="11"/>
        <v>1454.9</v>
      </c>
      <c r="E120" s="785">
        <v>32.4</v>
      </c>
      <c r="F120" s="785">
        <v>440</v>
      </c>
      <c r="G120" s="785">
        <v>112.3</v>
      </c>
      <c r="H120" s="785">
        <v>70.2</v>
      </c>
      <c r="I120" s="785">
        <v>500</v>
      </c>
      <c r="J120" s="785">
        <v>100</v>
      </c>
      <c r="K120" s="785">
        <v>200</v>
      </c>
      <c r="L120" s="804">
        <v>0</v>
      </c>
      <c r="M120" s="805">
        <f t="shared" si="12"/>
        <v>4.5731438989124289</v>
      </c>
    </row>
    <row r="121" spans="1:13" ht="27.75" customHeight="1">
      <c r="A121" s="447" t="s">
        <v>1853</v>
      </c>
      <c r="B121" s="448" t="s">
        <v>442</v>
      </c>
      <c r="C121" s="626">
        <v>143236</v>
      </c>
      <c r="D121" s="785">
        <f t="shared" si="11"/>
        <v>0</v>
      </c>
      <c r="E121" s="785" t="s">
        <v>1588</v>
      </c>
      <c r="F121" s="785" t="s">
        <v>1588</v>
      </c>
      <c r="G121" s="785" t="s">
        <v>1588</v>
      </c>
      <c r="H121" s="785" t="s">
        <v>1588</v>
      </c>
      <c r="I121" s="785" t="s">
        <v>1588</v>
      </c>
      <c r="J121" s="785" t="s">
        <v>1588</v>
      </c>
      <c r="K121" s="785" t="s">
        <v>1588</v>
      </c>
      <c r="L121" s="804" t="s">
        <v>1588</v>
      </c>
      <c r="M121" s="805">
        <f t="shared" si="12"/>
        <v>0</v>
      </c>
    </row>
    <row r="122" spans="1:13" ht="27.75" customHeight="1">
      <c r="A122" s="447" t="s">
        <v>1854</v>
      </c>
      <c r="B122" s="448" t="s">
        <v>2312</v>
      </c>
      <c r="C122" s="626">
        <v>48960</v>
      </c>
      <c r="D122" s="785">
        <f t="shared" si="11"/>
        <v>4298</v>
      </c>
      <c r="E122" s="785" t="s">
        <v>1588</v>
      </c>
      <c r="F122" s="785" t="s">
        <v>1588</v>
      </c>
      <c r="G122" s="785" t="s">
        <v>1588</v>
      </c>
      <c r="H122" s="785" t="s">
        <v>1588</v>
      </c>
      <c r="I122" s="785" t="s">
        <v>1588</v>
      </c>
      <c r="J122" s="785" t="s">
        <v>1588</v>
      </c>
      <c r="K122" s="785">
        <v>4298</v>
      </c>
      <c r="L122" s="804" t="s">
        <v>1588</v>
      </c>
      <c r="M122" s="805">
        <f t="shared" si="12"/>
        <v>8.7785947712418295</v>
      </c>
    </row>
    <row r="123" spans="1:13" ht="27.75" customHeight="1">
      <c r="A123" s="447" t="s">
        <v>1855</v>
      </c>
      <c r="B123" s="448" t="s">
        <v>185</v>
      </c>
      <c r="C123" s="626">
        <v>58652</v>
      </c>
      <c r="D123" s="785">
        <f t="shared" si="11"/>
        <v>6406</v>
      </c>
      <c r="E123" s="785">
        <v>30</v>
      </c>
      <c r="F123" s="785">
        <v>120</v>
      </c>
      <c r="G123" s="785">
        <v>320</v>
      </c>
      <c r="H123" s="785">
        <v>5804</v>
      </c>
      <c r="I123" s="785">
        <v>66</v>
      </c>
      <c r="J123" s="785">
        <v>66</v>
      </c>
      <c r="K123" s="785" t="s">
        <v>1588</v>
      </c>
      <c r="L123" s="804" t="s">
        <v>1588</v>
      </c>
      <c r="M123" s="805">
        <f t="shared" si="12"/>
        <v>10.92204869399168</v>
      </c>
    </row>
    <row r="124" spans="1:13" ht="27.75" customHeight="1">
      <c r="A124" s="446" t="s">
        <v>1976</v>
      </c>
      <c r="B124" s="448" t="s">
        <v>2389</v>
      </c>
      <c r="C124" s="626">
        <v>36821</v>
      </c>
      <c r="D124" s="785">
        <f t="shared" si="11"/>
        <v>986</v>
      </c>
      <c r="E124" s="785">
        <v>83</v>
      </c>
      <c r="F124" s="785" t="s">
        <v>1588</v>
      </c>
      <c r="G124" s="785" t="s">
        <v>1588</v>
      </c>
      <c r="H124" s="785" t="s">
        <v>1588</v>
      </c>
      <c r="I124" s="785">
        <v>840</v>
      </c>
      <c r="J124" s="785">
        <v>63</v>
      </c>
      <c r="K124" s="785" t="s">
        <v>1588</v>
      </c>
      <c r="L124" s="804" t="s">
        <v>1588</v>
      </c>
      <c r="M124" s="805">
        <f t="shared" si="12"/>
        <v>2.6778197224409985</v>
      </c>
    </row>
    <row r="125" spans="1:13" ht="27.75" customHeight="1">
      <c r="A125" s="792"/>
      <c r="B125" s="448" t="s">
        <v>186</v>
      </c>
      <c r="C125" s="626">
        <v>23115</v>
      </c>
      <c r="D125" s="785">
        <f t="shared" si="11"/>
        <v>760</v>
      </c>
      <c r="E125" s="785">
        <v>100</v>
      </c>
      <c r="F125" s="785" t="s">
        <v>1588</v>
      </c>
      <c r="G125" s="785">
        <v>28</v>
      </c>
      <c r="H125" s="785">
        <v>389</v>
      </c>
      <c r="I125" s="785">
        <v>177</v>
      </c>
      <c r="J125" s="785">
        <v>66</v>
      </c>
      <c r="K125" s="785" t="s">
        <v>1588</v>
      </c>
      <c r="L125" s="804" t="s">
        <v>1588</v>
      </c>
      <c r="M125" s="805">
        <f t="shared" si="12"/>
        <v>3.2879082846636383</v>
      </c>
    </row>
    <row r="126" spans="1:13" ht="27.75" customHeight="1">
      <c r="A126" s="792" t="s">
        <v>1616</v>
      </c>
      <c r="B126" s="789">
        <f>COUNTA(B127:B145)</f>
        <v>19</v>
      </c>
      <c r="C126" s="626">
        <f t="shared" ref="C126:L126" si="16">SUM(C127:C145)</f>
        <v>263908.02</v>
      </c>
      <c r="D126" s="785">
        <f t="shared" si="11"/>
        <v>97804.415000000008</v>
      </c>
      <c r="E126" s="785">
        <f t="shared" si="16"/>
        <v>7597.75</v>
      </c>
      <c r="F126" s="785">
        <f t="shared" si="16"/>
        <v>4204</v>
      </c>
      <c r="G126" s="785">
        <f t="shared" si="16"/>
        <v>1382.1</v>
      </c>
      <c r="H126" s="785">
        <f t="shared" si="16"/>
        <v>19005.874999999996</v>
      </c>
      <c r="I126" s="785">
        <f t="shared" si="16"/>
        <v>9740.5400000000009</v>
      </c>
      <c r="J126" s="785">
        <f t="shared" si="16"/>
        <v>385</v>
      </c>
      <c r="K126" s="785">
        <f t="shared" si="16"/>
        <v>29492.15</v>
      </c>
      <c r="L126" s="804">
        <f t="shared" si="16"/>
        <v>25997</v>
      </c>
      <c r="M126" s="805">
        <f t="shared" si="12"/>
        <v>37.060038948418466</v>
      </c>
    </row>
    <row r="127" spans="1:13" ht="27.75" customHeight="1">
      <c r="A127" s="808" t="s">
        <v>1856</v>
      </c>
      <c r="B127" s="782" t="s">
        <v>187</v>
      </c>
      <c r="C127" s="626">
        <v>40996</v>
      </c>
      <c r="D127" s="785">
        <f t="shared" si="11"/>
        <v>4100</v>
      </c>
      <c r="E127" s="785">
        <v>350</v>
      </c>
      <c r="F127" s="785" t="s">
        <v>1588</v>
      </c>
      <c r="G127" s="785">
        <v>150</v>
      </c>
      <c r="H127" s="785">
        <v>200</v>
      </c>
      <c r="I127" s="785">
        <v>250</v>
      </c>
      <c r="J127" s="785">
        <v>100</v>
      </c>
      <c r="K127" s="785">
        <v>3000</v>
      </c>
      <c r="L127" s="804">
        <v>50</v>
      </c>
      <c r="M127" s="805">
        <f t="shared" si="12"/>
        <v>10.000975704946825</v>
      </c>
    </row>
    <row r="128" spans="1:13" ht="27.75" customHeight="1">
      <c r="A128" s="446" t="s">
        <v>1857</v>
      </c>
      <c r="B128" s="448" t="s">
        <v>518</v>
      </c>
      <c r="C128" s="626">
        <v>14061</v>
      </c>
      <c r="D128" s="785">
        <f t="shared" si="11"/>
        <v>1655.8</v>
      </c>
      <c r="E128" s="785">
        <v>1175</v>
      </c>
      <c r="F128" s="785" t="s">
        <v>1588</v>
      </c>
      <c r="G128" s="785">
        <v>388.8</v>
      </c>
      <c r="H128" s="785" t="s">
        <v>1588</v>
      </c>
      <c r="I128" s="785">
        <v>92</v>
      </c>
      <c r="J128" s="785" t="s">
        <v>1588</v>
      </c>
      <c r="K128" s="785" t="s">
        <v>1588</v>
      </c>
      <c r="L128" s="804" t="s">
        <v>1588</v>
      </c>
      <c r="M128" s="805">
        <f t="shared" si="12"/>
        <v>11.775833866723563</v>
      </c>
    </row>
    <row r="129" spans="1:13" ht="27.75" customHeight="1">
      <c r="A129" s="792"/>
      <c r="B129" s="448" t="s">
        <v>519</v>
      </c>
      <c r="C129" s="626">
        <v>8482</v>
      </c>
      <c r="D129" s="785">
        <f t="shared" si="11"/>
        <v>3143</v>
      </c>
      <c r="E129" s="785">
        <v>1313</v>
      </c>
      <c r="F129" s="785" t="s">
        <v>1588</v>
      </c>
      <c r="G129" s="785" t="s">
        <v>1588</v>
      </c>
      <c r="H129" s="785">
        <v>1784</v>
      </c>
      <c r="I129" s="785">
        <v>46</v>
      </c>
      <c r="J129" s="785" t="s">
        <v>1588</v>
      </c>
      <c r="K129" s="785" t="s">
        <v>1588</v>
      </c>
      <c r="L129" s="804" t="s">
        <v>1588</v>
      </c>
      <c r="M129" s="805">
        <f t="shared" si="12"/>
        <v>37.05493987267154</v>
      </c>
    </row>
    <row r="130" spans="1:13" ht="27.75" customHeight="1">
      <c r="A130" s="447" t="s">
        <v>1861</v>
      </c>
      <c r="B130" s="448" t="s">
        <v>355</v>
      </c>
      <c r="C130" s="626">
        <v>5764</v>
      </c>
      <c r="D130" s="785">
        <f t="shared" si="11"/>
        <v>351.5</v>
      </c>
      <c r="E130" s="785">
        <v>180</v>
      </c>
      <c r="F130" s="785" t="s">
        <v>1588</v>
      </c>
      <c r="G130" s="785" t="s">
        <v>1588</v>
      </c>
      <c r="H130" s="785" t="s">
        <v>1588</v>
      </c>
      <c r="I130" s="785">
        <v>69</v>
      </c>
      <c r="J130" s="785">
        <v>102.5</v>
      </c>
      <c r="K130" s="785" t="s">
        <v>1588</v>
      </c>
      <c r="L130" s="804" t="s">
        <v>1588</v>
      </c>
      <c r="M130" s="805">
        <f t="shared" si="12"/>
        <v>6.098195697432339</v>
      </c>
    </row>
    <row r="131" spans="1:13" ht="27.75" customHeight="1">
      <c r="A131" s="446" t="s">
        <v>1863</v>
      </c>
      <c r="B131" s="448" t="s">
        <v>520</v>
      </c>
      <c r="C131" s="626">
        <v>39404</v>
      </c>
      <c r="D131" s="785">
        <f t="shared" si="11"/>
        <v>33864</v>
      </c>
      <c r="E131" s="785">
        <v>3000</v>
      </c>
      <c r="F131" s="785">
        <v>3804</v>
      </c>
      <c r="G131" s="785">
        <v>300</v>
      </c>
      <c r="H131" s="785">
        <v>10260</v>
      </c>
      <c r="I131" s="785">
        <v>6000</v>
      </c>
      <c r="J131" s="785">
        <v>100</v>
      </c>
      <c r="K131" s="785">
        <v>10000</v>
      </c>
      <c r="L131" s="804">
        <v>400</v>
      </c>
      <c r="M131" s="805">
        <f t="shared" si="12"/>
        <v>85.940513653436199</v>
      </c>
    </row>
    <row r="132" spans="1:13" ht="27.75" customHeight="1">
      <c r="A132" s="791"/>
      <c r="B132" s="448" t="s">
        <v>521</v>
      </c>
      <c r="C132" s="626">
        <v>16902</v>
      </c>
      <c r="D132" s="785">
        <f t="shared" si="11"/>
        <v>9159.5499999999993</v>
      </c>
      <c r="E132" s="785">
        <v>43.75</v>
      </c>
      <c r="F132" s="785" t="s">
        <v>1588</v>
      </c>
      <c r="G132" s="785">
        <v>157.30000000000001</v>
      </c>
      <c r="H132" s="785">
        <v>648</v>
      </c>
      <c r="I132" s="785">
        <v>450</v>
      </c>
      <c r="J132" s="785">
        <v>82.5</v>
      </c>
      <c r="K132" s="785">
        <v>7778</v>
      </c>
      <c r="L132" s="804" t="s">
        <v>1588</v>
      </c>
      <c r="M132" s="805">
        <f t="shared" si="12"/>
        <v>54.192107442906156</v>
      </c>
    </row>
    <row r="133" spans="1:13" ht="27.75" customHeight="1">
      <c r="A133" s="791"/>
      <c r="B133" s="448" t="s">
        <v>522</v>
      </c>
      <c r="C133" s="626">
        <v>40382</v>
      </c>
      <c r="D133" s="785">
        <f t="shared" si="11"/>
        <v>23620.560000000001</v>
      </c>
      <c r="E133" s="785" t="s">
        <v>1588</v>
      </c>
      <c r="F133" s="785" t="s">
        <v>1588</v>
      </c>
      <c r="G133" s="785">
        <v>26</v>
      </c>
      <c r="H133" s="785">
        <v>1320.56</v>
      </c>
      <c r="I133" s="785">
        <v>480</v>
      </c>
      <c r="J133" s="785" t="s">
        <v>1588</v>
      </c>
      <c r="K133" s="785">
        <v>1007</v>
      </c>
      <c r="L133" s="804">
        <v>20787</v>
      </c>
      <c r="M133" s="805">
        <f t="shared" si="12"/>
        <v>58.492793819028286</v>
      </c>
    </row>
    <row r="134" spans="1:13" ht="27.75" customHeight="1">
      <c r="A134" s="791"/>
      <c r="B134" s="448" t="s">
        <v>557</v>
      </c>
      <c r="C134" s="626">
        <v>3618</v>
      </c>
      <c r="D134" s="785">
        <f t="shared" ref="D134:D197" si="17">SUM(E134:L134)</f>
        <v>2845</v>
      </c>
      <c r="E134" s="785">
        <v>150</v>
      </c>
      <c r="F134" s="785" t="s">
        <v>1588</v>
      </c>
      <c r="G134" s="785" t="s">
        <v>1588</v>
      </c>
      <c r="H134" s="785">
        <v>763</v>
      </c>
      <c r="I134" s="785">
        <v>45</v>
      </c>
      <c r="J134" s="785" t="s">
        <v>1588</v>
      </c>
      <c r="K134" s="785">
        <v>1887</v>
      </c>
      <c r="L134" s="804" t="s">
        <v>1588</v>
      </c>
      <c r="M134" s="805">
        <f t="shared" ref="M134:M197" si="18">(D134/C134)*100</f>
        <v>78.634604754007739</v>
      </c>
    </row>
    <row r="135" spans="1:13" ht="27.75" customHeight="1">
      <c r="A135" s="792"/>
      <c r="B135" s="448" t="s">
        <v>556</v>
      </c>
      <c r="C135" s="626">
        <v>1320</v>
      </c>
      <c r="D135" s="785">
        <f t="shared" si="17"/>
        <v>1142</v>
      </c>
      <c r="E135" s="785" t="s">
        <v>1588</v>
      </c>
      <c r="F135" s="785" t="s">
        <v>1588</v>
      </c>
      <c r="G135" s="785" t="s">
        <v>1588</v>
      </c>
      <c r="H135" s="785" t="s">
        <v>1588</v>
      </c>
      <c r="I135" s="785">
        <v>30</v>
      </c>
      <c r="J135" s="785" t="s">
        <v>1588</v>
      </c>
      <c r="K135" s="785" t="s">
        <v>1588</v>
      </c>
      <c r="L135" s="804">
        <v>1112</v>
      </c>
      <c r="M135" s="805">
        <f t="shared" si="18"/>
        <v>86.515151515151516</v>
      </c>
    </row>
    <row r="136" spans="1:13" ht="27.75" customHeight="1">
      <c r="A136" s="446" t="s">
        <v>1864</v>
      </c>
      <c r="B136" s="448" t="s">
        <v>357</v>
      </c>
      <c r="C136" s="626">
        <v>20447.5</v>
      </c>
      <c r="D136" s="785">
        <f t="shared" si="17"/>
        <v>1942</v>
      </c>
      <c r="E136" s="785" t="s">
        <v>1588</v>
      </c>
      <c r="F136" s="785" t="s">
        <v>1588</v>
      </c>
      <c r="G136" s="785" t="s">
        <v>1588</v>
      </c>
      <c r="H136" s="785">
        <v>1152.4000000000001</v>
      </c>
      <c r="I136" s="785">
        <v>389.6</v>
      </c>
      <c r="J136" s="785" t="s">
        <v>1588</v>
      </c>
      <c r="K136" s="785">
        <v>400</v>
      </c>
      <c r="L136" s="804" t="s">
        <v>1588</v>
      </c>
      <c r="M136" s="805">
        <f t="shared" si="18"/>
        <v>9.4974935811223862</v>
      </c>
    </row>
    <row r="137" spans="1:13" ht="27.75" customHeight="1">
      <c r="A137" s="792"/>
      <c r="B137" s="448" t="s">
        <v>358</v>
      </c>
      <c r="C137" s="626">
        <v>5719.72</v>
      </c>
      <c r="D137" s="785">
        <f t="shared" si="17"/>
        <v>426.3</v>
      </c>
      <c r="E137" s="785" t="s">
        <v>1588</v>
      </c>
      <c r="F137" s="785" t="s">
        <v>1588</v>
      </c>
      <c r="G137" s="785" t="s">
        <v>1588</v>
      </c>
      <c r="H137" s="785" t="s">
        <v>1588</v>
      </c>
      <c r="I137" s="785">
        <v>176.3</v>
      </c>
      <c r="J137" s="785" t="s">
        <v>1588</v>
      </c>
      <c r="K137" s="785">
        <v>250</v>
      </c>
      <c r="L137" s="804" t="s">
        <v>1588</v>
      </c>
      <c r="M137" s="805">
        <f t="shared" si="18"/>
        <v>7.4531620428972047</v>
      </c>
    </row>
    <row r="138" spans="1:13" ht="27.75" customHeight="1">
      <c r="A138" s="447" t="s">
        <v>1605</v>
      </c>
      <c r="B138" s="448" t="s">
        <v>190</v>
      </c>
      <c r="C138" s="626">
        <v>6422</v>
      </c>
      <c r="D138" s="785">
        <f t="shared" si="17"/>
        <v>1035.3900000000001</v>
      </c>
      <c r="E138" s="785">
        <v>0</v>
      </c>
      <c r="F138" s="785">
        <v>0</v>
      </c>
      <c r="G138" s="785">
        <v>0</v>
      </c>
      <c r="H138" s="785">
        <v>603.44000000000005</v>
      </c>
      <c r="I138" s="785">
        <v>261.8</v>
      </c>
      <c r="J138" s="785">
        <v>0</v>
      </c>
      <c r="K138" s="785">
        <v>170.15</v>
      </c>
      <c r="L138" s="804">
        <v>0</v>
      </c>
      <c r="M138" s="805">
        <f t="shared" si="18"/>
        <v>16.12254749299284</v>
      </c>
    </row>
    <row r="139" spans="1:13" ht="27.75" customHeight="1">
      <c r="A139" s="447" t="s">
        <v>1606</v>
      </c>
      <c r="B139" s="448" t="s">
        <v>558</v>
      </c>
      <c r="C139" s="626">
        <v>9336.7999999999993</v>
      </c>
      <c r="D139" s="785">
        <f t="shared" si="17"/>
        <v>0</v>
      </c>
      <c r="E139" s="785" t="s">
        <v>1588</v>
      </c>
      <c r="F139" s="785" t="s">
        <v>1588</v>
      </c>
      <c r="G139" s="785" t="s">
        <v>1588</v>
      </c>
      <c r="H139" s="785" t="s">
        <v>1588</v>
      </c>
      <c r="I139" s="785" t="s">
        <v>1588</v>
      </c>
      <c r="J139" s="785" t="s">
        <v>1588</v>
      </c>
      <c r="K139" s="785" t="s">
        <v>1588</v>
      </c>
      <c r="L139" s="804" t="s">
        <v>1588</v>
      </c>
      <c r="M139" s="805">
        <f t="shared" si="18"/>
        <v>0</v>
      </c>
    </row>
    <row r="140" spans="1:13" ht="27.75" customHeight="1">
      <c r="A140" s="446" t="s">
        <v>1608</v>
      </c>
      <c r="B140" s="448" t="s">
        <v>2391</v>
      </c>
      <c r="C140" s="626">
        <v>8362</v>
      </c>
      <c r="D140" s="785">
        <f t="shared" si="17"/>
        <v>5875</v>
      </c>
      <c r="E140" s="785">
        <v>0</v>
      </c>
      <c r="F140" s="785">
        <v>0</v>
      </c>
      <c r="G140" s="785">
        <v>0</v>
      </c>
      <c r="H140" s="785">
        <v>800</v>
      </c>
      <c r="I140" s="785">
        <v>75</v>
      </c>
      <c r="J140" s="785">
        <v>0</v>
      </c>
      <c r="K140" s="785">
        <v>5000</v>
      </c>
      <c r="L140" s="804" t="s">
        <v>1588</v>
      </c>
      <c r="M140" s="805">
        <f t="shared" si="18"/>
        <v>70.258311408753883</v>
      </c>
    </row>
    <row r="141" spans="1:13" ht="27.75" customHeight="1">
      <c r="A141" s="792"/>
      <c r="B141" s="448" t="s">
        <v>466</v>
      </c>
      <c r="C141" s="626">
        <v>3774</v>
      </c>
      <c r="D141" s="785">
        <f t="shared" si="17"/>
        <v>1500</v>
      </c>
      <c r="E141" s="785">
        <v>0</v>
      </c>
      <c r="F141" s="785">
        <v>400</v>
      </c>
      <c r="G141" s="785">
        <v>0</v>
      </c>
      <c r="H141" s="785">
        <v>600</v>
      </c>
      <c r="I141" s="785">
        <v>500</v>
      </c>
      <c r="J141" s="785">
        <v>0</v>
      </c>
      <c r="K141" s="785">
        <v>0</v>
      </c>
      <c r="L141" s="804" t="s">
        <v>1588</v>
      </c>
      <c r="M141" s="805">
        <f t="shared" si="18"/>
        <v>39.745627980922102</v>
      </c>
    </row>
    <row r="142" spans="1:13" ht="27.75" customHeight="1">
      <c r="A142" s="446" t="s">
        <v>1609</v>
      </c>
      <c r="B142" s="448" t="s">
        <v>361</v>
      </c>
      <c r="C142" s="626">
        <v>5770</v>
      </c>
      <c r="D142" s="785">
        <f t="shared" si="17"/>
        <v>1467</v>
      </c>
      <c r="E142" s="785">
        <v>90</v>
      </c>
      <c r="F142" s="785" t="s">
        <v>1588</v>
      </c>
      <c r="G142" s="785" t="s">
        <v>1588</v>
      </c>
      <c r="H142" s="785">
        <v>120</v>
      </c>
      <c r="I142" s="785">
        <v>297</v>
      </c>
      <c r="J142" s="785" t="s">
        <v>1588</v>
      </c>
      <c r="K142" s="785" t="s">
        <v>1588</v>
      </c>
      <c r="L142" s="804">
        <v>960</v>
      </c>
      <c r="M142" s="805">
        <f t="shared" si="18"/>
        <v>25.424610051993067</v>
      </c>
    </row>
    <row r="143" spans="1:13" ht="27.75" customHeight="1">
      <c r="A143" s="792"/>
      <c r="B143" s="448" t="s">
        <v>362</v>
      </c>
      <c r="C143" s="626">
        <v>10530</v>
      </c>
      <c r="D143" s="785">
        <f t="shared" si="17"/>
        <v>3176.5</v>
      </c>
      <c r="E143" s="785">
        <v>340</v>
      </c>
      <c r="F143" s="785" t="s">
        <v>1588</v>
      </c>
      <c r="G143" s="785" t="s">
        <v>1588</v>
      </c>
      <c r="H143" s="785" t="s">
        <v>1588</v>
      </c>
      <c r="I143" s="785">
        <v>148.5</v>
      </c>
      <c r="J143" s="785" t="s">
        <v>1588</v>
      </c>
      <c r="K143" s="785" t="s">
        <v>1588</v>
      </c>
      <c r="L143" s="804">
        <v>2688</v>
      </c>
      <c r="M143" s="805">
        <f t="shared" si="18"/>
        <v>30.166191832858502</v>
      </c>
    </row>
    <row r="144" spans="1:13" ht="27.75" customHeight="1">
      <c r="A144" s="446" t="s">
        <v>1610</v>
      </c>
      <c r="B144" s="448" t="s">
        <v>523</v>
      </c>
      <c r="C144" s="626">
        <v>18385</v>
      </c>
      <c r="D144" s="785">
        <f t="shared" si="17"/>
        <v>1996.8899999999999</v>
      </c>
      <c r="E144" s="785">
        <v>956</v>
      </c>
      <c r="F144" s="785" t="s">
        <v>1588</v>
      </c>
      <c r="G144" s="785">
        <v>360</v>
      </c>
      <c r="H144" s="785">
        <v>250.55</v>
      </c>
      <c r="I144" s="785">
        <v>430.34</v>
      </c>
      <c r="J144" s="785" t="s">
        <v>1588</v>
      </c>
      <c r="K144" s="785" t="s">
        <v>1588</v>
      </c>
      <c r="L144" s="804" t="s">
        <v>1588</v>
      </c>
      <c r="M144" s="805">
        <f t="shared" si="18"/>
        <v>10.861517541474026</v>
      </c>
    </row>
    <row r="145" spans="1:13" ht="27.75" customHeight="1">
      <c r="A145" s="792"/>
      <c r="B145" s="448" t="s">
        <v>524</v>
      </c>
      <c r="C145" s="626">
        <v>4232</v>
      </c>
      <c r="D145" s="785">
        <f t="shared" si="17"/>
        <v>503.92500000000001</v>
      </c>
      <c r="E145" s="785" t="s">
        <v>1588</v>
      </c>
      <c r="F145" s="785" t="s">
        <v>1588</v>
      </c>
      <c r="G145" s="785" t="s">
        <v>1588</v>
      </c>
      <c r="H145" s="785">
        <v>503.92500000000001</v>
      </c>
      <c r="I145" s="785" t="s">
        <v>1588</v>
      </c>
      <c r="J145" s="785" t="s">
        <v>1588</v>
      </c>
      <c r="K145" s="785" t="s">
        <v>1588</v>
      </c>
      <c r="L145" s="804" t="s">
        <v>1588</v>
      </c>
      <c r="M145" s="805">
        <f t="shared" si="18"/>
        <v>11.90749054820416</v>
      </c>
    </row>
    <row r="146" spans="1:13" ht="27.75" customHeight="1">
      <c r="A146" s="447" t="s">
        <v>1977</v>
      </c>
      <c r="B146" s="789">
        <f>B147+B156</f>
        <v>27</v>
      </c>
      <c r="C146" s="626">
        <f>C147+C156</f>
        <v>980742</v>
      </c>
      <c r="D146" s="785">
        <f t="shared" si="17"/>
        <v>115755.82</v>
      </c>
      <c r="E146" s="785">
        <f t="shared" ref="E146:L146" si="19">E147+E156</f>
        <v>11138.800000000001</v>
      </c>
      <c r="F146" s="785">
        <f t="shared" si="19"/>
        <v>6812</v>
      </c>
      <c r="G146" s="785">
        <f t="shared" si="19"/>
        <v>1083.4000000000001</v>
      </c>
      <c r="H146" s="785">
        <f t="shared" si="19"/>
        <v>27661.25</v>
      </c>
      <c r="I146" s="785">
        <f t="shared" si="19"/>
        <v>5372.8</v>
      </c>
      <c r="J146" s="785">
        <f t="shared" si="19"/>
        <v>4817.7000000000007</v>
      </c>
      <c r="K146" s="785">
        <f t="shared" si="19"/>
        <v>55749.87</v>
      </c>
      <c r="L146" s="804">
        <f t="shared" si="19"/>
        <v>3120</v>
      </c>
      <c r="M146" s="805">
        <f t="shared" si="18"/>
        <v>11.802881899622939</v>
      </c>
    </row>
    <row r="147" spans="1:13" ht="27.75" customHeight="1">
      <c r="A147" s="447" t="s">
        <v>1674</v>
      </c>
      <c r="B147" s="789">
        <f>COUNTA(B148:B155)</f>
        <v>8</v>
      </c>
      <c r="C147" s="626">
        <f>SUM(C148:C155)</f>
        <v>572684</v>
      </c>
      <c r="D147" s="785">
        <f t="shared" si="17"/>
        <v>62866.200000000004</v>
      </c>
      <c r="E147" s="785">
        <f t="shared" ref="E147:L147" si="20">SUM(E148:E155)</f>
        <v>10439.200000000001</v>
      </c>
      <c r="F147" s="785">
        <f t="shared" si="20"/>
        <v>6812</v>
      </c>
      <c r="G147" s="785">
        <f t="shared" si="20"/>
        <v>600</v>
      </c>
      <c r="H147" s="785">
        <f t="shared" si="20"/>
        <v>16746</v>
      </c>
      <c r="I147" s="785">
        <f t="shared" si="20"/>
        <v>2942.8</v>
      </c>
      <c r="J147" s="785">
        <f t="shared" si="20"/>
        <v>3760.3</v>
      </c>
      <c r="K147" s="785">
        <f t="shared" si="20"/>
        <v>19809.900000000001</v>
      </c>
      <c r="L147" s="804">
        <f t="shared" si="20"/>
        <v>1756</v>
      </c>
      <c r="M147" s="805">
        <f t="shared" si="18"/>
        <v>10.977467503893944</v>
      </c>
    </row>
    <row r="148" spans="1:13" ht="27.75" customHeight="1">
      <c r="A148" s="446" t="s">
        <v>1611</v>
      </c>
      <c r="B148" s="448" t="s">
        <v>364</v>
      </c>
      <c r="C148" s="626">
        <v>335143</v>
      </c>
      <c r="D148" s="785">
        <f t="shared" si="17"/>
        <v>35800</v>
      </c>
      <c r="E148" s="785" t="s">
        <v>1588</v>
      </c>
      <c r="F148" s="785">
        <v>6812</v>
      </c>
      <c r="G148" s="785" t="s">
        <v>1588</v>
      </c>
      <c r="H148" s="785">
        <v>14422</v>
      </c>
      <c r="I148" s="785" t="s">
        <v>1588</v>
      </c>
      <c r="J148" s="785" t="s">
        <v>1588</v>
      </c>
      <c r="K148" s="785">
        <v>14566</v>
      </c>
      <c r="L148" s="804" t="s">
        <v>1588</v>
      </c>
      <c r="M148" s="805">
        <f t="shared" si="18"/>
        <v>10.682007381923537</v>
      </c>
    </row>
    <row r="149" spans="1:13" ht="27.75" customHeight="1">
      <c r="A149" s="898" t="s">
        <v>1612</v>
      </c>
      <c r="B149" s="790" t="s">
        <v>192</v>
      </c>
      <c r="C149" s="626">
        <v>83500</v>
      </c>
      <c r="D149" s="785">
        <f t="shared" si="17"/>
        <v>1969</v>
      </c>
      <c r="E149" s="785" t="s">
        <v>1588</v>
      </c>
      <c r="F149" s="785" t="s">
        <v>1588</v>
      </c>
      <c r="G149" s="785" t="s">
        <v>1588</v>
      </c>
      <c r="H149" s="785" t="s">
        <v>1588</v>
      </c>
      <c r="I149" s="785">
        <v>408</v>
      </c>
      <c r="J149" s="785">
        <v>1561</v>
      </c>
      <c r="K149" s="785" t="s">
        <v>1588</v>
      </c>
      <c r="L149" s="804" t="s">
        <v>1588</v>
      </c>
      <c r="M149" s="805">
        <f t="shared" si="18"/>
        <v>2.3580838323353293</v>
      </c>
    </row>
    <row r="150" spans="1:13" ht="27.75" customHeight="1">
      <c r="A150" s="900"/>
      <c r="B150" s="790" t="s">
        <v>193</v>
      </c>
      <c r="C150" s="626">
        <v>51928</v>
      </c>
      <c r="D150" s="785">
        <f t="shared" si="17"/>
        <v>20356</v>
      </c>
      <c r="E150" s="785">
        <v>10000</v>
      </c>
      <c r="F150" s="785" t="s">
        <v>1588</v>
      </c>
      <c r="G150" s="785">
        <v>600</v>
      </c>
      <c r="H150" s="785">
        <v>1000</v>
      </c>
      <c r="I150" s="785">
        <v>2000</v>
      </c>
      <c r="J150" s="785">
        <v>2000</v>
      </c>
      <c r="K150" s="785">
        <v>3000</v>
      </c>
      <c r="L150" s="804">
        <v>1756</v>
      </c>
      <c r="M150" s="805">
        <f t="shared" si="18"/>
        <v>39.200431366507473</v>
      </c>
    </row>
    <row r="151" spans="1:13" ht="27.75" customHeight="1">
      <c r="A151" s="900"/>
      <c r="B151" s="797" t="s">
        <v>194</v>
      </c>
      <c r="C151" s="626">
        <v>5740</v>
      </c>
      <c r="D151" s="785">
        <f t="shared" si="17"/>
        <v>265</v>
      </c>
      <c r="E151" s="785" t="s">
        <v>1588</v>
      </c>
      <c r="F151" s="785" t="s">
        <v>1588</v>
      </c>
      <c r="G151" s="785" t="s">
        <v>1588</v>
      </c>
      <c r="H151" s="785">
        <v>250</v>
      </c>
      <c r="I151" s="785">
        <v>15</v>
      </c>
      <c r="J151" s="785" t="s">
        <v>1588</v>
      </c>
      <c r="K151" s="785" t="s">
        <v>1588</v>
      </c>
      <c r="L151" s="804" t="s">
        <v>1588</v>
      </c>
      <c r="M151" s="805">
        <f t="shared" si="18"/>
        <v>4.6167247386759582</v>
      </c>
    </row>
    <row r="152" spans="1:13" ht="27.75" customHeight="1">
      <c r="A152" s="900"/>
      <c r="B152" s="797" t="s">
        <v>195</v>
      </c>
      <c r="C152" s="626">
        <v>7787</v>
      </c>
      <c r="D152" s="785">
        <f t="shared" si="17"/>
        <v>925</v>
      </c>
      <c r="E152" s="785" t="s">
        <v>1588</v>
      </c>
      <c r="F152" s="785" t="s">
        <v>1588</v>
      </c>
      <c r="G152" s="785" t="s">
        <v>1588</v>
      </c>
      <c r="H152" s="785">
        <v>700</v>
      </c>
      <c r="I152" s="785" t="s">
        <v>1588</v>
      </c>
      <c r="J152" s="785" t="s">
        <v>1588</v>
      </c>
      <c r="K152" s="785">
        <v>225</v>
      </c>
      <c r="L152" s="804" t="s">
        <v>1588</v>
      </c>
      <c r="M152" s="805">
        <f t="shared" si="18"/>
        <v>11.878772312829074</v>
      </c>
    </row>
    <row r="153" spans="1:13" ht="27.75" customHeight="1">
      <c r="A153" s="900"/>
      <c r="B153" s="797" t="s">
        <v>196</v>
      </c>
      <c r="C153" s="626">
        <v>8981</v>
      </c>
      <c r="D153" s="785">
        <f t="shared" si="17"/>
        <v>1019.1999999999999</v>
      </c>
      <c r="E153" s="785">
        <v>7.2</v>
      </c>
      <c r="F153" s="785" t="s">
        <v>1588</v>
      </c>
      <c r="G153" s="785" t="s">
        <v>1588</v>
      </c>
      <c r="H153" s="785">
        <v>374</v>
      </c>
      <c r="I153" s="785">
        <v>519.79999999999995</v>
      </c>
      <c r="J153" s="785">
        <v>99.3</v>
      </c>
      <c r="K153" s="785">
        <v>18.899999999999999</v>
      </c>
      <c r="L153" s="804" t="s">
        <v>1588</v>
      </c>
      <c r="M153" s="805">
        <f t="shared" si="18"/>
        <v>11.348402182385033</v>
      </c>
    </row>
    <row r="154" spans="1:13" ht="27.75" customHeight="1">
      <c r="A154" s="902"/>
      <c r="B154" s="797" t="s">
        <v>473</v>
      </c>
      <c r="C154" s="626">
        <v>2880</v>
      </c>
      <c r="D154" s="785">
        <f t="shared" si="17"/>
        <v>432</v>
      </c>
      <c r="E154" s="785">
        <v>432</v>
      </c>
      <c r="F154" s="785" t="s">
        <v>1588</v>
      </c>
      <c r="G154" s="785" t="s">
        <v>1588</v>
      </c>
      <c r="H154" s="785" t="s">
        <v>1588</v>
      </c>
      <c r="I154" s="785" t="s">
        <v>1588</v>
      </c>
      <c r="J154" s="785" t="s">
        <v>1588</v>
      </c>
      <c r="K154" s="785" t="s">
        <v>1588</v>
      </c>
      <c r="L154" s="804" t="s">
        <v>1588</v>
      </c>
      <c r="M154" s="805">
        <f t="shared" si="18"/>
        <v>15</v>
      </c>
    </row>
    <row r="155" spans="1:13" ht="27.75" customHeight="1">
      <c r="A155" s="792" t="s">
        <v>1614</v>
      </c>
      <c r="B155" s="901" t="s">
        <v>2245</v>
      </c>
      <c r="C155" s="626">
        <v>76725</v>
      </c>
      <c r="D155" s="785">
        <f t="shared" si="17"/>
        <v>2100</v>
      </c>
      <c r="E155" s="785" t="s">
        <v>1588</v>
      </c>
      <c r="F155" s="785" t="s">
        <v>1588</v>
      </c>
      <c r="G155" s="785" t="s">
        <v>1588</v>
      </c>
      <c r="H155" s="785" t="s">
        <v>1588</v>
      </c>
      <c r="I155" s="785" t="s">
        <v>1588</v>
      </c>
      <c r="J155" s="785">
        <v>100</v>
      </c>
      <c r="K155" s="785">
        <v>2000</v>
      </c>
      <c r="L155" s="804" t="s">
        <v>1588</v>
      </c>
      <c r="M155" s="805">
        <f t="shared" si="18"/>
        <v>2.7370478983382207</v>
      </c>
    </row>
    <row r="156" spans="1:13" ht="27.75" customHeight="1">
      <c r="A156" s="446" t="s">
        <v>1616</v>
      </c>
      <c r="B156" s="901">
        <f>COUNTA(B157:B175)</f>
        <v>19</v>
      </c>
      <c r="C156" s="626">
        <f>SUM(C157:C175)</f>
        <v>408058</v>
      </c>
      <c r="D156" s="785">
        <f t="shared" si="17"/>
        <v>52889.62</v>
      </c>
      <c r="E156" s="785">
        <f t="shared" ref="E156:L156" si="21">SUM(E157:E175)</f>
        <v>699.6</v>
      </c>
      <c r="F156" s="785">
        <f t="shared" si="21"/>
        <v>0</v>
      </c>
      <c r="G156" s="785">
        <f t="shared" si="21"/>
        <v>483.4</v>
      </c>
      <c r="H156" s="785">
        <f t="shared" si="21"/>
        <v>10915.25</v>
      </c>
      <c r="I156" s="785">
        <f t="shared" si="21"/>
        <v>2430</v>
      </c>
      <c r="J156" s="785">
        <f t="shared" si="21"/>
        <v>1057.4000000000001</v>
      </c>
      <c r="K156" s="785">
        <f t="shared" si="21"/>
        <v>35939.97</v>
      </c>
      <c r="L156" s="804">
        <f t="shared" si="21"/>
        <v>1364</v>
      </c>
      <c r="M156" s="805">
        <f t="shared" si="18"/>
        <v>12.961299619171784</v>
      </c>
    </row>
    <row r="157" spans="1:13" ht="27.75" customHeight="1">
      <c r="A157" s="898" t="s">
        <v>1617</v>
      </c>
      <c r="B157" s="903" t="s">
        <v>525</v>
      </c>
      <c r="C157" s="626">
        <v>36000</v>
      </c>
      <c r="D157" s="785">
        <f t="shared" si="17"/>
        <v>9724</v>
      </c>
      <c r="E157" s="785">
        <v>50</v>
      </c>
      <c r="F157" s="785" t="s">
        <v>1588</v>
      </c>
      <c r="G157" s="785" t="s">
        <v>1588</v>
      </c>
      <c r="H157" s="785" t="s">
        <v>1588</v>
      </c>
      <c r="I157" s="785">
        <v>93</v>
      </c>
      <c r="J157" s="785">
        <v>182</v>
      </c>
      <c r="K157" s="785">
        <v>9399</v>
      </c>
      <c r="L157" s="804" t="s">
        <v>1588</v>
      </c>
      <c r="M157" s="805">
        <f t="shared" si="18"/>
        <v>27.011111111111113</v>
      </c>
    </row>
    <row r="158" spans="1:13" ht="27.75" customHeight="1">
      <c r="A158" s="900"/>
      <c r="B158" s="903" t="s">
        <v>199</v>
      </c>
      <c r="C158" s="626">
        <v>2900</v>
      </c>
      <c r="D158" s="785">
        <f t="shared" si="17"/>
        <v>287</v>
      </c>
      <c r="E158" s="785">
        <v>20</v>
      </c>
      <c r="F158" s="785" t="s">
        <v>1588</v>
      </c>
      <c r="G158" s="785" t="s">
        <v>1588</v>
      </c>
      <c r="H158" s="785" t="s">
        <v>1588</v>
      </c>
      <c r="I158" s="785">
        <v>18</v>
      </c>
      <c r="J158" s="785" t="s">
        <v>1588</v>
      </c>
      <c r="K158" s="785">
        <v>249</v>
      </c>
      <c r="L158" s="804" t="s">
        <v>1588</v>
      </c>
      <c r="M158" s="805">
        <f t="shared" si="18"/>
        <v>9.8965517241379306</v>
      </c>
    </row>
    <row r="159" spans="1:13" ht="27.75" customHeight="1">
      <c r="A159" s="900"/>
      <c r="B159" s="790" t="s">
        <v>200</v>
      </c>
      <c r="C159" s="626">
        <v>2995</v>
      </c>
      <c r="D159" s="785">
        <f t="shared" si="17"/>
        <v>80</v>
      </c>
      <c r="E159" s="785">
        <v>30</v>
      </c>
      <c r="F159" s="785" t="s">
        <v>1588</v>
      </c>
      <c r="G159" s="785" t="s">
        <v>1588</v>
      </c>
      <c r="H159" s="785" t="s">
        <v>1588</v>
      </c>
      <c r="I159" s="785">
        <v>50</v>
      </c>
      <c r="J159" s="785" t="s">
        <v>1588</v>
      </c>
      <c r="K159" s="785" t="s">
        <v>1588</v>
      </c>
      <c r="L159" s="804" t="s">
        <v>1588</v>
      </c>
      <c r="M159" s="805">
        <f t="shared" si="18"/>
        <v>2.671118530884808</v>
      </c>
    </row>
    <row r="160" spans="1:13" ht="27.75" customHeight="1">
      <c r="A160" s="900"/>
      <c r="B160" s="790" t="s">
        <v>201</v>
      </c>
      <c r="C160" s="626">
        <v>4932</v>
      </c>
      <c r="D160" s="785">
        <f t="shared" si="17"/>
        <v>223</v>
      </c>
      <c r="E160" s="785">
        <v>198</v>
      </c>
      <c r="F160" s="785" t="s">
        <v>1588</v>
      </c>
      <c r="G160" s="785" t="s">
        <v>1588</v>
      </c>
      <c r="H160" s="785" t="s">
        <v>1588</v>
      </c>
      <c r="I160" s="785">
        <v>25</v>
      </c>
      <c r="J160" s="785" t="s">
        <v>1588</v>
      </c>
      <c r="K160" s="785" t="s">
        <v>1588</v>
      </c>
      <c r="L160" s="804" t="s">
        <v>1588</v>
      </c>
      <c r="M160" s="805">
        <f t="shared" si="18"/>
        <v>4.521492295214923</v>
      </c>
    </row>
    <row r="161" spans="1:13" ht="27.75" customHeight="1">
      <c r="A161" s="900"/>
      <c r="B161" s="790" t="s">
        <v>202</v>
      </c>
      <c r="C161" s="626">
        <v>1795</v>
      </c>
      <c r="D161" s="785">
        <f t="shared" si="17"/>
        <v>43</v>
      </c>
      <c r="E161" s="785">
        <v>10</v>
      </c>
      <c r="F161" s="785" t="s">
        <v>1588</v>
      </c>
      <c r="G161" s="785" t="s">
        <v>1588</v>
      </c>
      <c r="H161" s="785" t="s">
        <v>1588</v>
      </c>
      <c r="I161" s="785">
        <v>33</v>
      </c>
      <c r="J161" s="785" t="s">
        <v>1588</v>
      </c>
      <c r="K161" s="785" t="s">
        <v>1588</v>
      </c>
      <c r="L161" s="804" t="s">
        <v>1588</v>
      </c>
      <c r="M161" s="805">
        <f t="shared" si="18"/>
        <v>2.395543175487465</v>
      </c>
    </row>
    <row r="162" spans="1:13" ht="27.75" customHeight="1">
      <c r="A162" s="898" t="s">
        <v>1619</v>
      </c>
      <c r="B162" s="790" t="s">
        <v>203</v>
      </c>
      <c r="C162" s="626">
        <v>20885</v>
      </c>
      <c r="D162" s="785">
        <f t="shared" si="17"/>
        <v>280</v>
      </c>
      <c r="E162" s="785">
        <v>60</v>
      </c>
      <c r="F162" s="785" t="s">
        <v>1588</v>
      </c>
      <c r="G162" s="785">
        <v>50</v>
      </c>
      <c r="H162" s="785">
        <v>100</v>
      </c>
      <c r="I162" s="785">
        <v>50</v>
      </c>
      <c r="J162" s="785" t="s">
        <v>1588</v>
      </c>
      <c r="K162" s="785">
        <v>20</v>
      </c>
      <c r="L162" s="804" t="s">
        <v>1588</v>
      </c>
      <c r="M162" s="805">
        <f t="shared" si="18"/>
        <v>1.3406751256882929</v>
      </c>
    </row>
    <row r="163" spans="1:13" ht="27.75" customHeight="1">
      <c r="A163" s="900"/>
      <c r="B163" s="790" t="s">
        <v>204</v>
      </c>
      <c r="C163" s="626">
        <v>8240</v>
      </c>
      <c r="D163" s="785">
        <f t="shared" si="17"/>
        <v>130</v>
      </c>
      <c r="E163" s="785">
        <v>30</v>
      </c>
      <c r="F163" s="785" t="s">
        <v>1588</v>
      </c>
      <c r="G163" s="785">
        <v>10</v>
      </c>
      <c r="H163" s="785">
        <v>60</v>
      </c>
      <c r="I163" s="785">
        <v>30</v>
      </c>
      <c r="J163" s="785" t="s">
        <v>1588</v>
      </c>
      <c r="K163" s="785" t="s">
        <v>1588</v>
      </c>
      <c r="L163" s="804" t="s">
        <v>1588</v>
      </c>
      <c r="M163" s="805">
        <f t="shared" si="18"/>
        <v>1.5776699029126213</v>
      </c>
    </row>
    <row r="164" spans="1:13" ht="27.75" customHeight="1">
      <c r="A164" s="900"/>
      <c r="B164" s="790" t="s">
        <v>207</v>
      </c>
      <c r="C164" s="626">
        <v>1432</v>
      </c>
      <c r="D164" s="785">
        <f t="shared" si="17"/>
        <v>70</v>
      </c>
      <c r="E164" s="785">
        <v>50</v>
      </c>
      <c r="F164" s="785" t="s">
        <v>1588</v>
      </c>
      <c r="G164" s="785" t="s">
        <v>1588</v>
      </c>
      <c r="H164" s="785" t="s">
        <v>1588</v>
      </c>
      <c r="I164" s="785">
        <v>20</v>
      </c>
      <c r="J164" s="785" t="s">
        <v>1588</v>
      </c>
      <c r="K164" s="785" t="s">
        <v>1588</v>
      </c>
      <c r="L164" s="804" t="s">
        <v>1588</v>
      </c>
      <c r="M164" s="805">
        <f t="shared" si="18"/>
        <v>4.8882681564245809</v>
      </c>
    </row>
    <row r="165" spans="1:13" ht="27.75" customHeight="1">
      <c r="A165" s="898" t="s">
        <v>1624</v>
      </c>
      <c r="B165" s="790" t="s">
        <v>208</v>
      </c>
      <c r="C165" s="626">
        <v>62390</v>
      </c>
      <c r="D165" s="785">
        <f t="shared" si="17"/>
        <v>2153</v>
      </c>
      <c r="E165" s="785" t="s">
        <v>1588</v>
      </c>
      <c r="F165" s="785" t="s">
        <v>1588</v>
      </c>
      <c r="G165" s="785" t="s">
        <v>1588</v>
      </c>
      <c r="H165" s="785">
        <v>423</v>
      </c>
      <c r="I165" s="785">
        <v>168</v>
      </c>
      <c r="J165" s="785">
        <v>198</v>
      </c>
      <c r="K165" s="785" t="s">
        <v>1588</v>
      </c>
      <c r="L165" s="804">
        <v>1364</v>
      </c>
      <c r="M165" s="805">
        <f t="shared" si="18"/>
        <v>3.4508735374258692</v>
      </c>
    </row>
    <row r="166" spans="1:13" ht="27.75" customHeight="1">
      <c r="A166" s="902"/>
      <c r="B166" s="790" t="s">
        <v>366</v>
      </c>
      <c r="C166" s="626">
        <v>1894</v>
      </c>
      <c r="D166" s="785">
        <f t="shared" si="17"/>
        <v>100</v>
      </c>
      <c r="E166" s="785" t="s">
        <v>1588</v>
      </c>
      <c r="F166" s="785" t="s">
        <v>1588</v>
      </c>
      <c r="G166" s="785" t="s">
        <v>1588</v>
      </c>
      <c r="H166" s="785">
        <v>100</v>
      </c>
      <c r="I166" s="785" t="s">
        <v>1588</v>
      </c>
      <c r="J166" s="785" t="s">
        <v>1588</v>
      </c>
      <c r="K166" s="785" t="s">
        <v>1588</v>
      </c>
      <c r="L166" s="804" t="s">
        <v>1588</v>
      </c>
      <c r="M166" s="805">
        <f t="shared" si="18"/>
        <v>5.2798310454065467</v>
      </c>
    </row>
    <row r="167" spans="1:13" ht="27.75" customHeight="1">
      <c r="A167" s="792" t="s">
        <v>1630</v>
      </c>
      <c r="B167" s="448" t="s">
        <v>2269</v>
      </c>
      <c r="C167" s="626">
        <v>20818</v>
      </c>
      <c r="D167" s="785">
        <f t="shared" si="17"/>
        <v>1076</v>
      </c>
      <c r="E167" s="785">
        <v>73</v>
      </c>
      <c r="F167" s="785" t="s">
        <v>1588</v>
      </c>
      <c r="G167" s="785">
        <v>209</v>
      </c>
      <c r="H167" s="785">
        <v>112</v>
      </c>
      <c r="I167" s="785">
        <v>210</v>
      </c>
      <c r="J167" s="785">
        <v>252</v>
      </c>
      <c r="K167" s="785">
        <v>220</v>
      </c>
      <c r="L167" s="804" t="s">
        <v>1588</v>
      </c>
      <c r="M167" s="805">
        <f t="shared" si="18"/>
        <v>5.1686040926121626</v>
      </c>
    </row>
    <row r="168" spans="1:13" ht="27.75" customHeight="1">
      <c r="A168" s="446" t="s">
        <v>1631</v>
      </c>
      <c r="B168" s="448" t="s">
        <v>526</v>
      </c>
      <c r="C168" s="626">
        <v>86743</v>
      </c>
      <c r="D168" s="785">
        <f t="shared" si="17"/>
        <v>20745</v>
      </c>
      <c r="E168" s="785" t="s">
        <v>1588</v>
      </c>
      <c r="F168" s="785" t="s">
        <v>1588</v>
      </c>
      <c r="G168" s="785" t="s">
        <v>1588</v>
      </c>
      <c r="H168" s="785" t="s">
        <v>1588</v>
      </c>
      <c r="I168" s="785">
        <v>800</v>
      </c>
      <c r="J168" s="785">
        <v>110</v>
      </c>
      <c r="K168" s="785">
        <v>19835</v>
      </c>
      <c r="L168" s="804" t="s">
        <v>1588</v>
      </c>
      <c r="M168" s="805">
        <f t="shared" si="18"/>
        <v>23.915474447505851</v>
      </c>
    </row>
    <row r="169" spans="1:13" ht="27.75" customHeight="1">
      <c r="A169" s="446" t="s">
        <v>1633</v>
      </c>
      <c r="B169" s="790" t="s">
        <v>370</v>
      </c>
      <c r="C169" s="626">
        <v>33362</v>
      </c>
      <c r="D169" s="785">
        <f t="shared" si="17"/>
        <v>1810.3</v>
      </c>
      <c r="E169" s="785">
        <v>52</v>
      </c>
      <c r="F169" s="785" t="s">
        <v>1588</v>
      </c>
      <c r="G169" s="785">
        <v>86.4</v>
      </c>
      <c r="H169" s="785" t="s">
        <v>1588</v>
      </c>
      <c r="I169" s="785">
        <v>264.5</v>
      </c>
      <c r="J169" s="785">
        <v>86.4</v>
      </c>
      <c r="K169" s="785">
        <v>1321</v>
      </c>
      <c r="L169" s="804" t="s">
        <v>1588</v>
      </c>
      <c r="M169" s="805">
        <f t="shared" si="18"/>
        <v>5.4262334392422513</v>
      </c>
    </row>
    <row r="170" spans="1:13" ht="27.75" customHeight="1">
      <c r="A170" s="791"/>
      <c r="B170" s="790" t="s">
        <v>371</v>
      </c>
      <c r="C170" s="626">
        <v>7380</v>
      </c>
      <c r="D170" s="785">
        <f t="shared" si="17"/>
        <v>1843.12</v>
      </c>
      <c r="E170" s="785" t="s">
        <v>1588</v>
      </c>
      <c r="F170" s="785" t="s">
        <v>1588</v>
      </c>
      <c r="G170" s="785" t="s">
        <v>1588</v>
      </c>
      <c r="H170" s="785" t="s">
        <v>1588</v>
      </c>
      <c r="I170" s="785">
        <v>57.5</v>
      </c>
      <c r="J170" s="785" t="s">
        <v>1588</v>
      </c>
      <c r="K170" s="785">
        <v>1785.62</v>
      </c>
      <c r="L170" s="804" t="s">
        <v>1588</v>
      </c>
      <c r="M170" s="805">
        <f t="shared" si="18"/>
        <v>24.974525745257452</v>
      </c>
    </row>
    <row r="171" spans="1:13" ht="27.75" customHeight="1">
      <c r="A171" s="792"/>
      <c r="B171" s="790" t="s">
        <v>372</v>
      </c>
      <c r="C171" s="626">
        <v>7320</v>
      </c>
      <c r="D171" s="785">
        <f t="shared" si="17"/>
        <v>2529.35</v>
      </c>
      <c r="E171" s="785" t="s">
        <v>1588</v>
      </c>
      <c r="F171" s="785" t="s">
        <v>1588</v>
      </c>
      <c r="G171" s="785" t="s">
        <v>1588</v>
      </c>
      <c r="H171" s="785" t="s">
        <v>1588</v>
      </c>
      <c r="I171" s="785">
        <v>69</v>
      </c>
      <c r="J171" s="785" t="s">
        <v>1588</v>
      </c>
      <c r="K171" s="785">
        <v>2460.35</v>
      </c>
      <c r="L171" s="804" t="s">
        <v>1588</v>
      </c>
      <c r="M171" s="805">
        <f t="shared" si="18"/>
        <v>34.553961748633874</v>
      </c>
    </row>
    <row r="172" spans="1:13" ht="27.75" customHeight="1">
      <c r="A172" s="791" t="s">
        <v>1634</v>
      </c>
      <c r="B172" s="448" t="s">
        <v>2274</v>
      </c>
      <c r="C172" s="626">
        <v>28975</v>
      </c>
      <c r="D172" s="785">
        <f t="shared" si="17"/>
        <v>4509</v>
      </c>
      <c r="E172" s="785">
        <v>40</v>
      </c>
      <c r="F172" s="785" t="s">
        <v>1588</v>
      </c>
      <c r="G172" s="785">
        <v>38</v>
      </c>
      <c r="H172" s="785">
        <v>3351</v>
      </c>
      <c r="I172" s="785">
        <v>400</v>
      </c>
      <c r="J172" s="785">
        <v>30</v>
      </c>
      <c r="K172" s="785">
        <v>650</v>
      </c>
      <c r="L172" s="804" t="s">
        <v>1588</v>
      </c>
      <c r="M172" s="805">
        <f t="shared" si="18"/>
        <v>15.561691113028472</v>
      </c>
    </row>
    <row r="173" spans="1:13" ht="27.75" customHeight="1">
      <c r="A173" s="446" t="s">
        <v>1635</v>
      </c>
      <c r="B173" s="790" t="s">
        <v>212</v>
      </c>
      <c r="C173" s="626">
        <v>37515</v>
      </c>
      <c r="D173" s="785">
        <f t="shared" si="17"/>
        <v>876.25</v>
      </c>
      <c r="E173" s="785" t="s">
        <v>1588</v>
      </c>
      <c r="F173" s="785" t="s">
        <v>1588</v>
      </c>
      <c r="G173" s="785" t="s">
        <v>1588</v>
      </c>
      <c r="H173" s="785">
        <v>763.25</v>
      </c>
      <c r="I173" s="785">
        <v>58</v>
      </c>
      <c r="J173" s="785">
        <v>55</v>
      </c>
      <c r="K173" s="785" t="s">
        <v>1588</v>
      </c>
      <c r="L173" s="804" t="s">
        <v>1588</v>
      </c>
      <c r="M173" s="805">
        <f t="shared" si="18"/>
        <v>2.33573237371718</v>
      </c>
    </row>
    <row r="174" spans="1:13" ht="27.75" customHeight="1">
      <c r="A174" s="792"/>
      <c r="B174" s="790" t="s">
        <v>213</v>
      </c>
      <c r="C174" s="626">
        <v>31082</v>
      </c>
      <c r="D174" s="785">
        <f t="shared" si="17"/>
        <v>6031</v>
      </c>
      <c r="E174" s="785">
        <v>49</v>
      </c>
      <c r="F174" s="785" t="s">
        <v>1588</v>
      </c>
      <c r="G174" s="785">
        <v>90</v>
      </c>
      <c r="H174" s="785">
        <v>5664</v>
      </c>
      <c r="I174" s="785">
        <v>84</v>
      </c>
      <c r="J174" s="785">
        <v>144</v>
      </c>
      <c r="K174" s="785" t="s">
        <v>1588</v>
      </c>
      <c r="L174" s="804" t="s">
        <v>1588</v>
      </c>
      <c r="M174" s="805">
        <f t="shared" si="18"/>
        <v>19.403513287433242</v>
      </c>
    </row>
    <row r="175" spans="1:13" ht="27.75" customHeight="1">
      <c r="A175" s="792" t="s">
        <v>1636</v>
      </c>
      <c r="B175" s="448" t="s">
        <v>215</v>
      </c>
      <c r="C175" s="626">
        <v>11400</v>
      </c>
      <c r="D175" s="785">
        <f t="shared" si="17"/>
        <v>379.6</v>
      </c>
      <c r="E175" s="785">
        <v>37.6</v>
      </c>
      <c r="F175" s="785" t="s">
        <v>1588</v>
      </c>
      <c r="G175" s="785" t="s">
        <v>1588</v>
      </c>
      <c r="H175" s="785">
        <v>342</v>
      </c>
      <c r="I175" s="785" t="s">
        <v>1588</v>
      </c>
      <c r="J175" s="785" t="s">
        <v>1588</v>
      </c>
      <c r="K175" s="785" t="s">
        <v>1588</v>
      </c>
      <c r="L175" s="804" t="s">
        <v>1588</v>
      </c>
      <c r="M175" s="805">
        <f t="shared" si="18"/>
        <v>3.3298245614035089</v>
      </c>
    </row>
    <row r="176" spans="1:13" ht="27.75" customHeight="1">
      <c r="A176" s="447" t="s">
        <v>1637</v>
      </c>
      <c r="B176" s="789">
        <f>B177+B193</f>
        <v>30</v>
      </c>
      <c r="C176" s="626">
        <f>C177+C193</f>
        <v>1053506</v>
      </c>
      <c r="D176" s="785">
        <f t="shared" si="17"/>
        <v>206057.48</v>
      </c>
      <c r="E176" s="785">
        <f t="shared" ref="E176:L176" si="22">E177+E193</f>
        <v>11474.7</v>
      </c>
      <c r="F176" s="785">
        <f t="shared" si="22"/>
        <v>8181.8</v>
      </c>
      <c r="G176" s="785">
        <f t="shared" si="22"/>
        <v>1604.6</v>
      </c>
      <c r="H176" s="785">
        <f t="shared" si="22"/>
        <v>77481.56</v>
      </c>
      <c r="I176" s="785">
        <f t="shared" si="22"/>
        <v>24403.120000000003</v>
      </c>
      <c r="J176" s="785">
        <f t="shared" si="22"/>
        <v>1128</v>
      </c>
      <c r="K176" s="785">
        <f t="shared" si="22"/>
        <v>19861.2</v>
      </c>
      <c r="L176" s="804">
        <f t="shared" si="22"/>
        <v>61922.5</v>
      </c>
      <c r="M176" s="805">
        <f t="shared" si="18"/>
        <v>19.559212761958641</v>
      </c>
    </row>
    <row r="177" spans="1:13" ht="27.75" customHeight="1">
      <c r="A177" s="446" t="s">
        <v>1674</v>
      </c>
      <c r="B177" s="789">
        <f>COUNTA(B178:B192)</f>
        <v>15</v>
      </c>
      <c r="C177" s="626">
        <f t="shared" ref="C177:L177" si="23">SUM(C178:C192)</f>
        <v>655734</v>
      </c>
      <c r="D177" s="785">
        <f t="shared" si="17"/>
        <v>99979.199999999997</v>
      </c>
      <c r="E177" s="785">
        <f t="shared" si="23"/>
        <v>2485</v>
      </c>
      <c r="F177" s="785">
        <f t="shared" si="23"/>
        <v>4600</v>
      </c>
      <c r="G177" s="785">
        <f t="shared" si="23"/>
        <v>1298.5999999999999</v>
      </c>
      <c r="H177" s="785">
        <f t="shared" si="23"/>
        <v>51268.5</v>
      </c>
      <c r="I177" s="785">
        <f t="shared" si="23"/>
        <v>11304.6</v>
      </c>
      <c r="J177" s="785">
        <f t="shared" si="23"/>
        <v>480.8</v>
      </c>
      <c r="K177" s="785">
        <f t="shared" si="23"/>
        <v>9410.2000000000007</v>
      </c>
      <c r="L177" s="804">
        <f t="shared" si="23"/>
        <v>19131.5</v>
      </c>
      <c r="M177" s="805">
        <f t="shared" si="18"/>
        <v>15.246914145064919</v>
      </c>
    </row>
    <row r="178" spans="1:13" ht="27.75" customHeight="1">
      <c r="A178" s="446" t="s">
        <v>1638</v>
      </c>
      <c r="B178" s="797" t="s">
        <v>2280</v>
      </c>
      <c r="C178" s="626">
        <v>126050</v>
      </c>
      <c r="D178" s="785">
        <f t="shared" si="17"/>
        <v>15650</v>
      </c>
      <c r="E178" s="785" t="s">
        <v>1588</v>
      </c>
      <c r="F178" s="785">
        <v>4600</v>
      </c>
      <c r="G178" s="785">
        <v>1200</v>
      </c>
      <c r="H178" s="785">
        <v>3300</v>
      </c>
      <c r="I178" s="785">
        <v>6500</v>
      </c>
      <c r="J178" s="785">
        <v>50</v>
      </c>
      <c r="K178" s="785" t="s">
        <v>1588</v>
      </c>
      <c r="L178" s="804" t="s">
        <v>1588</v>
      </c>
      <c r="M178" s="805">
        <f t="shared" si="18"/>
        <v>12.415708052360175</v>
      </c>
    </row>
    <row r="179" spans="1:13" ht="27.75" customHeight="1">
      <c r="A179" s="798"/>
      <c r="B179" s="797" t="s">
        <v>216</v>
      </c>
      <c r="C179" s="626">
        <v>40616</v>
      </c>
      <c r="D179" s="785">
        <f t="shared" si="17"/>
        <v>230</v>
      </c>
      <c r="E179" s="785" t="s">
        <v>1588</v>
      </c>
      <c r="F179" s="785" t="s">
        <v>1588</v>
      </c>
      <c r="G179" s="785" t="s">
        <v>1588</v>
      </c>
      <c r="H179" s="785" t="s">
        <v>1588</v>
      </c>
      <c r="I179" s="785">
        <v>230</v>
      </c>
      <c r="J179" s="785" t="s">
        <v>1588</v>
      </c>
      <c r="K179" s="785" t="s">
        <v>1588</v>
      </c>
      <c r="L179" s="804" t="s">
        <v>1588</v>
      </c>
      <c r="M179" s="805">
        <f t="shared" si="18"/>
        <v>0.56627929879850303</v>
      </c>
    </row>
    <row r="180" spans="1:13" ht="27.75" customHeight="1">
      <c r="A180" s="798"/>
      <c r="B180" s="797" t="s">
        <v>527</v>
      </c>
      <c r="C180" s="626">
        <v>36530</v>
      </c>
      <c r="D180" s="785">
        <f t="shared" si="17"/>
        <v>10825</v>
      </c>
      <c r="E180" s="785" t="s">
        <v>1588</v>
      </c>
      <c r="F180" s="785" t="s">
        <v>1588</v>
      </c>
      <c r="G180" s="785" t="s">
        <v>1588</v>
      </c>
      <c r="H180" s="785">
        <v>10825</v>
      </c>
      <c r="I180" s="785" t="s">
        <v>1588</v>
      </c>
      <c r="J180" s="785" t="s">
        <v>1588</v>
      </c>
      <c r="K180" s="785" t="s">
        <v>1588</v>
      </c>
      <c r="L180" s="804" t="s">
        <v>1588</v>
      </c>
      <c r="M180" s="805">
        <f t="shared" si="18"/>
        <v>29.633178209690662</v>
      </c>
    </row>
    <row r="181" spans="1:13" ht="27.75" customHeight="1">
      <c r="A181" s="796" t="s">
        <v>1639</v>
      </c>
      <c r="B181" s="881" t="s">
        <v>467</v>
      </c>
      <c r="C181" s="626">
        <v>52488</v>
      </c>
      <c r="D181" s="785">
        <f t="shared" si="17"/>
        <v>3915.1</v>
      </c>
      <c r="E181" s="785" t="s">
        <v>1588</v>
      </c>
      <c r="F181" s="785" t="s">
        <v>1588</v>
      </c>
      <c r="G181" s="785">
        <v>69.599999999999994</v>
      </c>
      <c r="H181" s="785">
        <v>1260.2</v>
      </c>
      <c r="I181" s="785">
        <v>212.5</v>
      </c>
      <c r="J181" s="785">
        <v>152.80000000000001</v>
      </c>
      <c r="K181" s="785">
        <v>2220</v>
      </c>
      <c r="L181" s="804" t="s">
        <v>1588</v>
      </c>
      <c r="M181" s="805">
        <f t="shared" si="18"/>
        <v>7.4590382563633595</v>
      </c>
    </row>
    <row r="182" spans="1:13" ht="27.75" customHeight="1">
      <c r="A182" s="798"/>
      <c r="B182" s="881" t="s">
        <v>528</v>
      </c>
      <c r="C182" s="626">
        <v>9339</v>
      </c>
      <c r="D182" s="785">
        <f t="shared" si="17"/>
        <v>6629.9</v>
      </c>
      <c r="E182" s="785">
        <v>1033</v>
      </c>
      <c r="F182" s="785" t="s">
        <v>1588</v>
      </c>
      <c r="G182" s="785" t="s">
        <v>1588</v>
      </c>
      <c r="H182" s="785">
        <v>1671.3</v>
      </c>
      <c r="I182" s="785">
        <v>164.1</v>
      </c>
      <c r="J182" s="785" t="s">
        <v>1588</v>
      </c>
      <c r="K182" s="785">
        <v>3602</v>
      </c>
      <c r="L182" s="804">
        <v>159.5</v>
      </c>
      <c r="M182" s="805">
        <f t="shared" si="18"/>
        <v>70.991540850198092</v>
      </c>
    </row>
    <row r="183" spans="1:13" ht="27.75" customHeight="1">
      <c r="A183" s="798"/>
      <c r="B183" s="881" t="s">
        <v>529</v>
      </c>
      <c r="C183" s="626">
        <v>3131</v>
      </c>
      <c r="D183" s="785">
        <f t="shared" si="17"/>
        <v>1054.5</v>
      </c>
      <c r="E183" s="785" t="s">
        <v>1588</v>
      </c>
      <c r="F183" s="785" t="s">
        <v>1588</v>
      </c>
      <c r="G183" s="785" t="s">
        <v>1588</v>
      </c>
      <c r="H183" s="785" t="s">
        <v>1588</v>
      </c>
      <c r="I183" s="785">
        <v>142.5</v>
      </c>
      <c r="J183" s="785" t="s">
        <v>1588</v>
      </c>
      <c r="K183" s="785">
        <v>912</v>
      </c>
      <c r="L183" s="804" t="s">
        <v>1588</v>
      </c>
      <c r="M183" s="805">
        <f t="shared" si="18"/>
        <v>33.679335675503033</v>
      </c>
    </row>
    <row r="184" spans="1:13" ht="27.75" customHeight="1">
      <c r="A184" s="798"/>
      <c r="B184" s="881" t="s">
        <v>530</v>
      </c>
      <c r="C184" s="626">
        <v>4607</v>
      </c>
      <c r="D184" s="785">
        <f t="shared" si="17"/>
        <v>2671.7</v>
      </c>
      <c r="E184" s="785" t="s">
        <v>1588</v>
      </c>
      <c r="F184" s="785" t="s">
        <v>1588</v>
      </c>
      <c r="G184" s="785" t="s">
        <v>1588</v>
      </c>
      <c r="H184" s="785" t="s">
        <v>1588</v>
      </c>
      <c r="I184" s="785">
        <v>87.5</v>
      </c>
      <c r="J184" s="785" t="s">
        <v>1588</v>
      </c>
      <c r="K184" s="785">
        <v>2451.1999999999998</v>
      </c>
      <c r="L184" s="804">
        <v>133</v>
      </c>
      <c r="M184" s="805">
        <f t="shared" si="18"/>
        <v>57.992185804210983</v>
      </c>
    </row>
    <row r="185" spans="1:13" ht="27.75" customHeight="1">
      <c r="A185" s="446" t="s">
        <v>1641</v>
      </c>
      <c r="B185" s="797" t="s">
        <v>531</v>
      </c>
      <c r="C185" s="626">
        <v>92600</v>
      </c>
      <c r="D185" s="785">
        <f t="shared" si="17"/>
        <v>3535</v>
      </c>
      <c r="E185" s="785" t="s">
        <v>1588</v>
      </c>
      <c r="F185" s="785" t="s">
        <v>1588</v>
      </c>
      <c r="G185" s="785" t="s">
        <v>1588</v>
      </c>
      <c r="H185" s="785">
        <v>2025</v>
      </c>
      <c r="I185" s="785">
        <v>1400</v>
      </c>
      <c r="J185" s="785">
        <v>110</v>
      </c>
      <c r="K185" s="785" t="s">
        <v>1588</v>
      </c>
      <c r="L185" s="804" t="s">
        <v>1588</v>
      </c>
      <c r="M185" s="805">
        <f t="shared" si="18"/>
        <v>3.8174946004319659</v>
      </c>
    </row>
    <row r="186" spans="1:13" ht="27.75" customHeight="1">
      <c r="A186" s="795"/>
      <c r="B186" s="797" t="s">
        <v>1970</v>
      </c>
      <c r="C186" s="626">
        <v>20400</v>
      </c>
      <c r="D186" s="785">
        <f t="shared" si="17"/>
        <v>7368</v>
      </c>
      <c r="E186" s="785">
        <v>512</v>
      </c>
      <c r="F186" s="785" t="s">
        <v>1588</v>
      </c>
      <c r="G186" s="785" t="s">
        <v>1588</v>
      </c>
      <c r="H186" s="785">
        <v>2620</v>
      </c>
      <c r="I186" s="785">
        <v>192</v>
      </c>
      <c r="J186" s="785" t="s">
        <v>1588</v>
      </c>
      <c r="K186" s="785">
        <v>225</v>
      </c>
      <c r="L186" s="804">
        <v>3819</v>
      </c>
      <c r="M186" s="805">
        <f t="shared" si="18"/>
        <v>36.117647058823529</v>
      </c>
    </row>
    <row r="187" spans="1:13" ht="27.75" customHeight="1">
      <c r="A187" s="798" t="s">
        <v>1645</v>
      </c>
      <c r="B187" s="781" t="s">
        <v>532</v>
      </c>
      <c r="C187" s="626">
        <v>77115</v>
      </c>
      <c r="D187" s="785">
        <f t="shared" si="17"/>
        <v>1560</v>
      </c>
      <c r="E187" s="785" t="s">
        <v>1588</v>
      </c>
      <c r="F187" s="785" t="s">
        <v>1588</v>
      </c>
      <c r="G187" s="785" t="s">
        <v>1588</v>
      </c>
      <c r="H187" s="785">
        <v>1500</v>
      </c>
      <c r="I187" s="785">
        <v>60</v>
      </c>
      <c r="J187" s="785" t="s">
        <v>1588</v>
      </c>
      <c r="K187" s="785" t="s">
        <v>1588</v>
      </c>
      <c r="L187" s="804" t="s">
        <v>1588</v>
      </c>
      <c r="M187" s="805">
        <f t="shared" si="18"/>
        <v>2.0229527329313362</v>
      </c>
    </row>
    <row r="188" spans="1:13" ht="27.75" customHeight="1">
      <c r="A188" s="796" t="s">
        <v>1649</v>
      </c>
      <c r="B188" s="797" t="s">
        <v>222</v>
      </c>
      <c r="C188" s="626">
        <v>109999</v>
      </c>
      <c r="D188" s="785">
        <f t="shared" si="17"/>
        <v>40375</v>
      </c>
      <c r="E188" s="785">
        <v>940</v>
      </c>
      <c r="F188" s="785" t="s">
        <v>1588</v>
      </c>
      <c r="G188" s="785">
        <v>29</v>
      </c>
      <c r="H188" s="785">
        <v>22418</v>
      </c>
      <c r="I188" s="785">
        <v>1800</v>
      </c>
      <c r="J188" s="785">
        <v>168</v>
      </c>
      <c r="K188" s="785" t="s">
        <v>1588</v>
      </c>
      <c r="L188" s="804">
        <v>15020</v>
      </c>
      <c r="M188" s="805">
        <f t="shared" si="18"/>
        <v>36.704879135264868</v>
      </c>
    </row>
    <row r="189" spans="1:13" ht="27.75" customHeight="1">
      <c r="A189" s="798"/>
      <c r="B189" s="797" t="s">
        <v>223</v>
      </c>
      <c r="C189" s="626">
        <v>1383</v>
      </c>
      <c r="D189" s="785">
        <f t="shared" si="17"/>
        <v>0</v>
      </c>
      <c r="E189" s="785" t="s">
        <v>1588</v>
      </c>
      <c r="F189" s="785" t="s">
        <v>1588</v>
      </c>
      <c r="G189" s="785" t="s">
        <v>1588</v>
      </c>
      <c r="H189" s="785" t="s">
        <v>1588</v>
      </c>
      <c r="I189" s="785" t="s">
        <v>1588</v>
      </c>
      <c r="J189" s="785" t="s">
        <v>1588</v>
      </c>
      <c r="K189" s="785" t="s">
        <v>1588</v>
      </c>
      <c r="L189" s="804" t="s">
        <v>1588</v>
      </c>
      <c r="M189" s="805">
        <f t="shared" si="18"/>
        <v>0</v>
      </c>
    </row>
    <row r="190" spans="1:13" ht="27.75" customHeight="1">
      <c r="A190" s="795"/>
      <c r="B190" s="797" t="s">
        <v>224</v>
      </c>
      <c r="C190" s="626">
        <v>1766</v>
      </c>
      <c r="D190" s="785">
        <f t="shared" si="17"/>
        <v>0</v>
      </c>
      <c r="E190" s="785" t="s">
        <v>1588</v>
      </c>
      <c r="F190" s="785" t="s">
        <v>1588</v>
      </c>
      <c r="G190" s="785" t="s">
        <v>1588</v>
      </c>
      <c r="H190" s="785" t="s">
        <v>1588</v>
      </c>
      <c r="I190" s="785" t="s">
        <v>1588</v>
      </c>
      <c r="J190" s="785" t="s">
        <v>1588</v>
      </c>
      <c r="K190" s="785" t="s">
        <v>1588</v>
      </c>
      <c r="L190" s="804" t="s">
        <v>1588</v>
      </c>
      <c r="M190" s="805">
        <f t="shared" si="18"/>
        <v>0</v>
      </c>
    </row>
    <row r="191" spans="1:13" ht="27.75" customHeight="1">
      <c r="A191" s="795" t="s">
        <v>1651</v>
      </c>
      <c r="B191" s="781" t="s">
        <v>474</v>
      </c>
      <c r="C191" s="626">
        <v>55210</v>
      </c>
      <c r="D191" s="785">
        <f t="shared" si="17"/>
        <v>5982</v>
      </c>
      <c r="E191" s="785" t="s">
        <v>1588</v>
      </c>
      <c r="F191" s="785" t="s">
        <v>1588</v>
      </c>
      <c r="G191" s="785" t="s">
        <v>1588</v>
      </c>
      <c r="H191" s="785">
        <v>5586</v>
      </c>
      <c r="I191" s="785">
        <v>396</v>
      </c>
      <c r="J191" s="785" t="s">
        <v>1588</v>
      </c>
      <c r="K191" s="785" t="s">
        <v>1588</v>
      </c>
      <c r="L191" s="804" t="s">
        <v>1588</v>
      </c>
      <c r="M191" s="805">
        <f t="shared" si="18"/>
        <v>10.834993660568736</v>
      </c>
    </row>
    <row r="192" spans="1:13" ht="27.75" customHeight="1">
      <c r="A192" s="793" t="s">
        <v>533</v>
      </c>
      <c r="B192" s="781" t="s">
        <v>373</v>
      </c>
      <c r="C192" s="626">
        <v>24500</v>
      </c>
      <c r="D192" s="785">
        <f t="shared" si="17"/>
        <v>183</v>
      </c>
      <c r="E192" s="785">
        <v>0</v>
      </c>
      <c r="F192" s="785">
        <v>0</v>
      </c>
      <c r="G192" s="785">
        <v>0</v>
      </c>
      <c r="H192" s="785">
        <v>63</v>
      </c>
      <c r="I192" s="785">
        <v>120</v>
      </c>
      <c r="J192" s="785">
        <v>0</v>
      </c>
      <c r="K192" s="785">
        <v>0</v>
      </c>
      <c r="L192" s="804">
        <v>0</v>
      </c>
      <c r="M192" s="805">
        <f t="shared" si="18"/>
        <v>0.74693877551020404</v>
      </c>
    </row>
    <row r="193" spans="1:13" ht="27.75" customHeight="1">
      <c r="A193" s="447" t="s">
        <v>1616</v>
      </c>
      <c r="B193" s="789">
        <f>COUNTA(B194:B208)</f>
        <v>15</v>
      </c>
      <c r="C193" s="626">
        <f t="shared" ref="C193:L193" si="24">SUM(C194:C208)</f>
        <v>397772</v>
      </c>
      <c r="D193" s="785">
        <f t="shared" si="17"/>
        <v>106078.28</v>
      </c>
      <c r="E193" s="785">
        <f t="shared" si="24"/>
        <v>8989.7000000000007</v>
      </c>
      <c r="F193" s="785">
        <f t="shared" si="24"/>
        <v>3581.8</v>
      </c>
      <c r="G193" s="785">
        <f t="shared" si="24"/>
        <v>306</v>
      </c>
      <c r="H193" s="785">
        <f t="shared" si="24"/>
        <v>26213.059999999998</v>
      </c>
      <c r="I193" s="785">
        <f t="shared" si="24"/>
        <v>13098.52</v>
      </c>
      <c r="J193" s="785">
        <f t="shared" si="24"/>
        <v>647.20000000000005</v>
      </c>
      <c r="K193" s="785">
        <f t="shared" si="24"/>
        <v>10451</v>
      </c>
      <c r="L193" s="804">
        <f t="shared" si="24"/>
        <v>42791</v>
      </c>
      <c r="M193" s="805">
        <f t="shared" si="18"/>
        <v>26.668111380388765</v>
      </c>
    </row>
    <row r="194" spans="1:13" ht="27.75" customHeight="1">
      <c r="A194" s="446" t="s">
        <v>1655</v>
      </c>
      <c r="B194" s="448" t="s">
        <v>227</v>
      </c>
      <c r="C194" s="626">
        <v>22661</v>
      </c>
      <c r="D194" s="785">
        <f t="shared" si="17"/>
        <v>1290</v>
      </c>
      <c r="E194" s="785" t="s">
        <v>1588</v>
      </c>
      <c r="F194" s="785" t="s">
        <v>1588</v>
      </c>
      <c r="G194" s="785" t="s">
        <v>1588</v>
      </c>
      <c r="H194" s="785">
        <v>540</v>
      </c>
      <c r="I194" s="785">
        <v>750</v>
      </c>
      <c r="J194" s="785" t="s">
        <v>1588</v>
      </c>
      <c r="K194" s="785" t="s">
        <v>1588</v>
      </c>
      <c r="L194" s="804" t="s">
        <v>1588</v>
      </c>
      <c r="M194" s="805">
        <f t="shared" si="18"/>
        <v>5.6925996204933584</v>
      </c>
    </row>
    <row r="195" spans="1:13" ht="27.75" customHeight="1">
      <c r="A195" s="904" t="s">
        <v>1658</v>
      </c>
      <c r="B195" s="790" t="s">
        <v>228</v>
      </c>
      <c r="C195" s="626">
        <v>41299</v>
      </c>
      <c r="D195" s="785">
        <f t="shared" si="17"/>
        <v>35220</v>
      </c>
      <c r="E195" s="785">
        <v>100</v>
      </c>
      <c r="F195" s="785">
        <v>966</v>
      </c>
      <c r="G195" s="785" t="s">
        <v>1588</v>
      </c>
      <c r="H195" s="785">
        <v>10087</v>
      </c>
      <c r="I195" s="785">
        <v>7667</v>
      </c>
      <c r="J195" s="785" t="s">
        <v>1588</v>
      </c>
      <c r="K195" s="785">
        <v>1166</v>
      </c>
      <c r="L195" s="804">
        <v>15234</v>
      </c>
      <c r="M195" s="805">
        <f t="shared" si="18"/>
        <v>85.280515266713479</v>
      </c>
    </row>
    <row r="196" spans="1:13" ht="27.75" customHeight="1">
      <c r="A196" s="905"/>
      <c r="B196" s="790" t="s">
        <v>229</v>
      </c>
      <c r="C196" s="626">
        <v>16214</v>
      </c>
      <c r="D196" s="785">
        <f t="shared" si="17"/>
        <v>15147</v>
      </c>
      <c r="E196" s="785">
        <v>1000</v>
      </c>
      <c r="F196" s="785" t="s">
        <v>1588</v>
      </c>
      <c r="G196" s="785" t="s">
        <v>1588</v>
      </c>
      <c r="H196" s="785">
        <v>2000</v>
      </c>
      <c r="I196" s="785">
        <v>100</v>
      </c>
      <c r="J196" s="785" t="s">
        <v>1588</v>
      </c>
      <c r="K196" s="785" t="s">
        <v>1588</v>
      </c>
      <c r="L196" s="804">
        <v>12047</v>
      </c>
      <c r="M196" s="805">
        <f t="shared" si="18"/>
        <v>93.419267299864316</v>
      </c>
    </row>
    <row r="197" spans="1:13" ht="27.75" customHeight="1">
      <c r="A197" s="446" t="s">
        <v>1661</v>
      </c>
      <c r="B197" s="790" t="s">
        <v>374</v>
      </c>
      <c r="C197" s="626">
        <v>32683</v>
      </c>
      <c r="D197" s="785">
        <f t="shared" si="17"/>
        <v>4364</v>
      </c>
      <c r="E197" s="785">
        <v>1200</v>
      </c>
      <c r="F197" s="785" t="s">
        <v>1588</v>
      </c>
      <c r="G197" s="785">
        <v>96</v>
      </c>
      <c r="H197" s="785">
        <v>1800</v>
      </c>
      <c r="I197" s="785">
        <v>1000</v>
      </c>
      <c r="J197" s="785">
        <v>196</v>
      </c>
      <c r="K197" s="785">
        <v>72</v>
      </c>
      <c r="L197" s="804" t="s">
        <v>1588</v>
      </c>
      <c r="M197" s="805">
        <f t="shared" si="18"/>
        <v>13.352507419759508</v>
      </c>
    </row>
    <row r="198" spans="1:13" ht="27.75" customHeight="1">
      <c r="A198" s="792"/>
      <c r="B198" s="790" t="s">
        <v>375</v>
      </c>
      <c r="C198" s="626">
        <v>9201</v>
      </c>
      <c r="D198" s="785">
        <f t="shared" ref="D198:D261" si="25">SUM(E198:L198)</f>
        <v>48</v>
      </c>
      <c r="E198" s="785" t="s">
        <v>1588</v>
      </c>
      <c r="F198" s="785" t="s">
        <v>1588</v>
      </c>
      <c r="G198" s="785" t="s">
        <v>1588</v>
      </c>
      <c r="H198" s="785" t="s">
        <v>1588</v>
      </c>
      <c r="I198" s="785">
        <v>48</v>
      </c>
      <c r="J198" s="785" t="s">
        <v>1588</v>
      </c>
      <c r="K198" s="785" t="s">
        <v>1588</v>
      </c>
      <c r="L198" s="804" t="s">
        <v>1588</v>
      </c>
      <c r="M198" s="805">
        <f t="shared" ref="M198:M261" si="26">(D198/C198)*100</f>
        <v>0.52168242582328006</v>
      </c>
    </row>
    <row r="199" spans="1:13" ht="27.75" customHeight="1">
      <c r="A199" s="792" t="s">
        <v>1664</v>
      </c>
      <c r="B199" s="448" t="s">
        <v>534</v>
      </c>
      <c r="C199" s="626">
        <v>22848</v>
      </c>
      <c r="D199" s="785">
        <f t="shared" si="25"/>
        <v>11811</v>
      </c>
      <c r="E199" s="785">
        <v>60</v>
      </c>
      <c r="F199" s="785" t="s">
        <v>1588</v>
      </c>
      <c r="G199" s="785">
        <v>100</v>
      </c>
      <c r="H199" s="785">
        <v>880</v>
      </c>
      <c r="I199" s="785">
        <v>250</v>
      </c>
      <c r="J199" s="785" t="s">
        <v>1588</v>
      </c>
      <c r="K199" s="785" t="s">
        <v>1588</v>
      </c>
      <c r="L199" s="804">
        <v>10521</v>
      </c>
      <c r="M199" s="805">
        <f t="shared" si="26"/>
        <v>51.693802521008401</v>
      </c>
    </row>
    <row r="200" spans="1:13" ht="27.75" customHeight="1">
      <c r="A200" s="447" t="s">
        <v>1665</v>
      </c>
      <c r="B200" s="448" t="s">
        <v>2291</v>
      </c>
      <c r="C200" s="626">
        <v>12848</v>
      </c>
      <c r="D200" s="785">
        <f t="shared" si="25"/>
        <v>1240.78</v>
      </c>
      <c r="E200" s="785" t="s">
        <v>1588</v>
      </c>
      <c r="F200" s="785">
        <v>644</v>
      </c>
      <c r="G200" s="785" t="s">
        <v>1588</v>
      </c>
      <c r="H200" s="785">
        <v>333.06</v>
      </c>
      <c r="I200" s="785">
        <v>220.52</v>
      </c>
      <c r="J200" s="785">
        <v>43.2</v>
      </c>
      <c r="K200" s="785" t="s">
        <v>1588</v>
      </c>
      <c r="L200" s="804" t="s">
        <v>1588</v>
      </c>
      <c r="M200" s="805">
        <f t="shared" si="26"/>
        <v>9.6573785803237868</v>
      </c>
    </row>
    <row r="201" spans="1:13" ht="27.75" customHeight="1">
      <c r="A201" s="796" t="s">
        <v>1668</v>
      </c>
      <c r="B201" s="797" t="s">
        <v>2293</v>
      </c>
      <c r="C201" s="626">
        <v>70143</v>
      </c>
      <c r="D201" s="785">
        <f t="shared" si="25"/>
        <v>1772</v>
      </c>
      <c r="E201" s="785" t="s">
        <v>1588</v>
      </c>
      <c r="F201" s="785">
        <v>352</v>
      </c>
      <c r="G201" s="785">
        <v>40</v>
      </c>
      <c r="H201" s="785">
        <v>770</v>
      </c>
      <c r="I201" s="785">
        <v>510</v>
      </c>
      <c r="J201" s="785">
        <v>100</v>
      </c>
      <c r="K201" s="785" t="s">
        <v>1588</v>
      </c>
      <c r="L201" s="804" t="s">
        <v>1588</v>
      </c>
      <c r="M201" s="805">
        <f t="shared" si="26"/>
        <v>2.526267767275423</v>
      </c>
    </row>
    <row r="202" spans="1:13" ht="27.75" customHeight="1">
      <c r="A202" s="798"/>
      <c r="B202" s="797" t="s">
        <v>210</v>
      </c>
      <c r="C202" s="626">
        <v>20710</v>
      </c>
      <c r="D202" s="785">
        <f t="shared" si="25"/>
        <v>2470</v>
      </c>
      <c r="E202" s="785" t="s">
        <v>1588</v>
      </c>
      <c r="F202" s="785">
        <v>1600</v>
      </c>
      <c r="G202" s="785">
        <v>70</v>
      </c>
      <c r="H202" s="785" t="s">
        <v>1588</v>
      </c>
      <c r="I202" s="785">
        <v>800</v>
      </c>
      <c r="J202" s="785" t="s">
        <v>1588</v>
      </c>
      <c r="K202" s="785" t="s">
        <v>1588</v>
      </c>
      <c r="L202" s="804" t="s">
        <v>1588</v>
      </c>
      <c r="M202" s="805">
        <f t="shared" si="26"/>
        <v>11.926605504587156</v>
      </c>
    </row>
    <row r="203" spans="1:13" ht="27.75" customHeight="1">
      <c r="A203" s="795"/>
      <c r="B203" s="797" t="s">
        <v>535</v>
      </c>
      <c r="C203" s="626">
        <v>6621</v>
      </c>
      <c r="D203" s="785">
        <f t="shared" si="25"/>
        <v>400</v>
      </c>
      <c r="E203" s="785" t="s">
        <v>1588</v>
      </c>
      <c r="F203" s="785" t="s">
        <v>1588</v>
      </c>
      <c r="G203" s="785" t="s">
        <v>1588</v>
      </c>
      <c r="H203" s="785" t="s">
        <v>1588</v>
      </c>
      <c r="I203" s="785">
        <v>400</v>
      </c>
      <c r="J203" s="785" t="s">
        <v>1588</v>
      </c>
      <c r="K203" s="785" t="s">
        <v>1588</v>
      </c>
      <c r="L203" s="804" t="s">
        <v>1588</v>
      </c>
      <c r="M203" s="805">
        <f t="shared" si="26"/>
        <v>6.0413834768161907</v>
      </c>
    </row>
    <row r="204" spans="1:13" ht="27.75" customHeight="1">
      <c r="A204" s="791" t="s">
        <v>1670</v>
      </c>
      <c r="B204" s="790" t="s">
        <v>238</v>
      </c>
      <c r="C204" s="626">
        <v>25100</v>
      </c>
      <c r="D204" s="785">
        <f t="shared" si="25"/>
        <v>1500</v>
      </c>
      <c r="E204" s="785" t="s">
        <v>1588</v>
      </c>
      <c r="F204" s="785" t="s">
        <v>1588</v>
      </c>
      <c r="G204" s="785" t="s">
        <v>1588</v>
      </c>
      <c r="H204" s="785">
        <v>350</v>
      </c>
      <c r="I204" s="785">
        <v>500</v>
      </c>
      <c r="J204" s="785">
        <v>150</v>
      </c>
      <c r="K204" s="785">
        <v>500</v>
      </c>
      <c r="L204" s="804" t="s">
        <v>1588</v>
      </c>
      <c r="M204" s="805">
        <f t="shared" si="26"/>
        <v>5.9760956175298805</v>
      </c>
    </row>
    <row r="205" spans="1:13" ht="27.75" customHeight="1">
      <c r="A205" s="792"/>
      <c r="B205" s="790" t="s">
        <v>2295</v>
      </c>
      <c r="C205" s="626">
        <v>7143</v>
      </c>
      <c r="D205" s="785">
        <f t="shared" si="25"/>
        <v>1100</v>
      </c>
      <c r="E205" s="785" t="s">
        <v>1588</v>
      </c>
      <c r="F205" s="785" t="s">
        <v>1588</v>
      </c>
      <c r="G205" s="785" t="s">
        <v>1588</v>
      </c>
      <c r="H205" s="785" t="s">
        <v>1588</v>
      </c>
      <c r="I205" s="785">
        <v>100</v>
      </c>
      <c r="J205" s="785" t="s">
        <v>1588</v>
      </c>
      <c r="K205" s="785">
        <v>1000</v>
      </c>
      <c r="L205" s="804" t="s">
        <v>1588</v>
      </c>
      <c r="M205" s="805">
        <f t="shared" si="26"/>
        <v>15.399692006159876</v>
      </c>
    </row>
    <row r="206" spans="1:13" ht="27.75" customHeight="1">
      <c r="A206" s="791" t="s">
        <v>1672</v>
      </c>
      <c r="B206" s="790" t="s">
        <v>239</v>
      </c>
      <c r="C206" s="626">
        <v>40206</v>
      </c>
      <c r="D206" s="785">
        <f t="shared" si="25"/>
        <v>6721.5</v>
      </c>
      <c r="E206" s="785">
        <v>629.70000000000005</v>
      </c>
      <c r="F206" s="785">
        <v>19.8</v>
      </c>
      <c r="G206" s="785" t="s">
        <v>1588</v>
      </c>
      <c r="H206" s="785">
        <v>1214</v>
      </c>
      <c r="I206" s="785">
        <v>351</v>
      </c>
      <c r="J206" s="785">
        <v>110</v>
      </c>
      <c r="K206" s="785" t="s">
        <v>1588</v>
      </c>
      <c r="L206" s="804">
        <v>4397</v>
      </c>
      <c r="M206" s="805">
        <f t="shared" si="26"/>
        <v>16.717654081480376</v>
      </c>
    </row>
    <row r="207" spans="1:13" ht="27.75" customHeight="1">
      <c r="A207" s="791"/>
      <c r="B207" s="790" t="s">
        <v>536</v>
      </c>
      <c r="C207" s="626">
        <v>42438</v>
      </c>
      <c r="D207" s="785">
        <f t="shared" si="25"/>
        <v>7994</v>
      </c>
      <c r="E207" s="785">
        <v>6000</v>
      </c>
      <c r="F207" s="785" t="s">
        <v>1588</v>
      </c>
      <c r="G207" s="785" t="s">
        <v>1588</v>
      </c>
      <c r="H207" s="785">
        <v>1672</v>
      </c>
      <c r="I207" s="785">
        <v>322</v>
      </c>
      <c r="J207" s="785" t="s">
        <v>1588</v>
      </c>
      <c r="K207" s="785" t="s">
        <v>1588</v>
      </c>
      <c r="L207" s="804" t="s">
        <v>1588</v>
      </c>
      <c r="M207" s="805">
        <f t="shared" si="26"/>
        <v>18.836891465196288</v>
      </c>
    </row>
    <row r="208" spans="1:13" ht="27.75" customHeight="1">
      <c r="A208" s="792"/>
      <c r="B208" s="790" t="s">
        <v>537</v>
      </c>
      <c r="C208" s="626">
        <v>27657</v>
      </c>
      <c r="D208" s="785">
        <f t="shared" si="25"/>
        <v>15000</v>
      </c>
      <c r="E208" s="785" t="s">
        <v>1588</v>
      </c>
      <c r="F208" s="785" t="s">
        <v>1588</v>
      </c>
      <c r="G208" s="785" t="s">
        <v>1588</v>
      </c>
      <c r="H208" s="785">
        <v>6567</v>
      </c>
      <c r="I208" s="785">
        <v>80</v>
      </c>
      <c r="J208" s="785">
        <v>48</v>
      </c>
      <c r="K208" s="785">
        <v>7713</v>
      </c>
      <c r="L208" s="804">
        <v>592</v>
      </c>
      <c r="M208" s="805">
        <f t="shared" si="26"/>
        <v>54.235817333767223</v>
      </c>
    </row>
    <row r="209" spans="1:13" ht="27.75" customHeight="1">
      <c r="A209" s="792" t="s">
        <v>1673</v>
      </c>
      <c r="B209" s="789">
        <f>+B210+B219</f>
        <v>18</v>
      </c>
      <c r="C209" s="626">
        <f>+C210+C219</f>
        <v>917252</v>
      </c>
      <c r="D209" s="785">
        <f t="shared" si="25"/>
        <v>133344.19</v>
      </c>
      <c r="E209" s="785">
        <f t="shared" ref="E209:L209" si="27">+E210+E219</f>
        <v>22769.21</v>
      </c>
      <c r="F209" s="785">
        <f t="shared" si="27"/>
        <v>7150</v>
      </c>
      <c r="G209" s="785">
        <f t="shared" si="27"/>
        <v>459.5</v>
      </c>
      <c r="H209" s="785">
        <f t="shared" si="27"/>
        <v>8033.12</v>
      </c>
      <c r="I209" s="785">
        <f t="shared" si="27"/>
        <v>17725.8</v>
      </c>
      <c r="J209" s="785">
        <f t="shared" si="27"/>
        <v>2827.41</v>
      </c>
      <c r="K209" s="785">
        <f t="shared" si="27"/>
        <v>66093</v>
      </c>
      <c r="L209" s="804">
        <f t="shared" si="27"/>
        <v>8286.15</v>
      </c>
      <c r="M209" s="805">
        <f t="shared" si="26"/>
        <v>14.537356146402516</v>
      </c>
    </row>
    <row r="210" spans="1:13" ht="27.75" customHeight="1">
      <c r="A210" s="447" t="s">
        <v>1674</v>
      </c>
      <c r="B210" s="789">
        <f>COUNTA(B211:B218)</f>
        <v>8</v>
      </c>
      <c r="C210" s="626">
        <f>+SUM(C211:C218)</f>
        <v>747643</v>
      </c>
      <c r="D210" s="785">
        <f t="shared" si="25"/>
        <v>95234</v>
      </c>
      <c r="E210" s="785">
        <f>+SUM(E211:E218)</f>
        <v>21783</v>
      </c>
      <c r="F210" s="785">
        <f t="shared" ref="F210:L210" si="28">+SUM(F211:F218)</f>
        <v>6650</v>
      </c>
      <c r="G210" s="785">
        <f t="shared" si="28"/>
        <v>168</v>
      </c>
      <c r="H210" s="785">
        <f t="shared" si="28"/>
        <v>6320</v>
      </c>
      <c r="I210" s="785">
        <f t="shared" si="28"/>
        <v>16546</v>
      </c>
      <c r="J210" s="785">
        <f t="shared" si="28"/>
        <v>1976</v>
      </c>
      <c r="K210" s="785">
        <f t="shared" si="28"/>
        <v>41791</v>
      </c>
      <c r="L210" s="804">
        <f t="shared" si="28"/>
        <v>0</v>
      </c>
      <c r="M210" s="805">
        <f t="shared" si="26"/>
        <v>12.737897632961188</v>
      </c>
    </row>
    <row r="211" spans="1:13" ht="27.75" customHeight="1">
      <c r="A211" s="447" t="s">
        <v>1675</v>
      </c>
      <c r="B211" s="448" t="s">
        <v>377</v>
      </c>
      <c r="C211" s="626">
        <v>316009</v>
      </c>
      <c r="D211" s="785">
        <f t="shared" si="25"/>
        <v>65611</v>
      </c>
      <c r="E211" s="785">
        <v>5325</v>
      </c>
      <c r="F211" s="785" t="s">
        <v>1588</v>
      </c>
      <c r="G211" s="785" t="s">
        <v>1588</v>
      </c>
      <c r="H211" s="785">
        <v>4163</v>
      </c>
      <c r="I211" s="785">
        <v>15057</v>
      </c>
      <c r="J211" s="785">
        <v>1605</v>
      </c>
      <c r="K211" s="785">
        <v>39461</v>
      </c>
      <c r="L211" s="804" t="s">
        <v>1588</v>
      </c>
      <c r="M211" s="805">
        <f t="shared" si="26"/>
        <v>20.762383349841301</v>
      </c>
    </row>
    <row r="212" spans="1:13" ht="27.75" customHeight="1">
      <c r="A212" s="446" t="s">
        <v>1677</v>
      </c>
      <c r="B212" s="448" t="s">
        <v>242</v>
      </c>
      <c r="C212" s="626">
        <v>239580</v>
      </c>
      <c r="D212" s="785">
        <f t="shared" si="25"/>
        <v>2850</v>
      </c>
      <c r="E212" s="785">
        <v>200</v>
      </c>
      <c r="F212" s="785" t="s">
        <v>1588</v>
      </c>
      <c r="G212" s="785">
        <v>50</v>
      </c>
      <c r="H212" s="785">
        <v>150</v>
      </c>
      <c r="I212" s="785">
        <v>600</v>
      </c>
      <c r="J212" s="785">
        <v>50</v>
      </c>
      <c r="K212" s="785">
        <v>1800</v>
      </c>
      <c r="L212" s="804" t="s">
        <v>1588</v>
      </c>
      <c r="M212" s="805">
        <f t="shared" si="26"/>
        <v>1.1895817680941647</v>
      </c>
    </row>
    <row r="213" spans="1:13" ht="27.75" customHeight="1">
      <c r="A213" s="446" t="s">
        <v>1678</v>
      </c>
      <c r="B213" s="790" t="s">
        <v>243</v>
      </c>
      <c r="C213" s="626">
        <v>72730</v>
      </c>
      <c r="D213" s="785">
        <f t="shared" si="25"/>
        <v>452</v>
      </c>
      <c r="E213" s="785">
        <v>50</v>
      </c>
      <c r="F213" s="785">
        <v>250</v>
      </c>
      <c r="G213" s="785">
        <v>13</v>
      </c>
      <c r="H213" s="785">
        <v>13</v>
      </c>
      <c r="I213" s="785">
        <v>60</v>
      </c>
      <c r="J213" s="785">
        <v>66</v>
      </c>
      <c r="K213" s="785" t="s">
        <v>1588</v>
      </c>
      <c r="L213" s="804" t="s">
        <v>1588</v>
      </c>
      <c r="M213" s="805">
        <f t="shared" si="26"/>
        <v>0.62147669462395161</v>
      </c>
    </row>
    <row r="214" spans="1:13" ht="27.75" customHeight="1">
      <c r="A214" s="792"/>
      <c r="B214" s="790" t="s">
        <v>244</v>
      </c>
      <c r="C214" s="626">
        <v>20198</v>
      </c>
      <c r="D214" s="785">
        <f t="shared" si="25"/>
        <v>950</v>
      </c>
      <c r="E214" s="785">
        <v>10</v>
      </c>
      <c r="F214" s="785">
        <v>400</v>
      </c>
      <c r="G214" s="785">
        <v>5</v>
      </c>
      <c r="H214" s="785">
        <v>5</v>
      </c>
      <c r="I214" s="785">
        <v>30</v>
      </c>
      <c r="J214" s="785">
        <v>0</v>
      </c>
      <c r="K214" s="785">
        <v>500</v>
      </c>
      <c r="L214" s="804" t="s">
        <v>1588</v>
      </c>
      <c r="M214" s="805">
        <f t="shared" si="26"/>
        <v>4.7034359837607687</v>
      </c>
    </row>
    <row r="215" spans="1:13" ht="27.75" customHeight="1">
      <c r="A215" s="791" t="s">
        <v>1687</v>
      </c>
      <c r="B215" s="790" t="s">
        <v>2245</v>
      </c>
      <c r="C215" s="626">
        <v>38760</v>
      </c>
      <c r="D215" s="785">
        <f t="shared" si="25"/>
        <v>7930</v>
      </c>
      <c r="E215" s="785">
        <v>200</v>
      </c>
      <c r="F215" s="785">
        <v>6000</v>
      </c>
      <c r="G215" s="785">
        <v>100</v>
      </c>
      <c r="H215" s="785">
        <v>1000</v>
      </c>
      <c r="I215" s="785">
        <v>400</v>
      </c>
      <c r="J215" s="785">
        <v>200</v>
      </c>
      <c r="K215" s="785">
        <v>30</v>
      </c>
      <c r="L215" s="804" t="s">
        <v>1588</v>
      </c>
      <c r="M215" s="805">
        <f t="shared" si="26"/>
        <v>20.459236326109391</v>
      </c>
    </row>
    <row r="216" spans="1:13" ht="27.75" customHeight="1">
      <c r="A216" s="791"/>
      <c r="B216" s="790" t="s">
        <v>538</v>
      </c>
      <c r="C216" s="626">
        <v>3735</v>
      </c>
      <c r="D216" s="785">
        <f t="shared" si="25"/>
        <v>50</v>
      </c>
      <c r="E216" s="785">
        <v>0</v>
      </c>
      <c r="F216" s="785">
        <v>0</v>
      </c>
      <c r="G216" s="785">
        <v>0</v>
      </c>
      <c r="H216" s="785">
        <v>0</v>
      </c>
      <c r="I216" s="785">
        <v>50</v>
      </c>
      <c r="J216" s="785">
        <v>0</v>
      </c>
      <c r="K216" s="785">
        <v>0</v>
      </c>
      <c r="L216" s="804" t="s">
        <v>1588</v>
      </c>
      <c r="M216" s="805">
        <f t="shared" si="26"/>
        <v>1.3386880856760375</v>
      </c>
    </row>
    <row r="217" spans="1:13" ht="27.75" customHeight="1">
      <c r="A217" s="792"/>
      <c r="B217" s="790" t="s">
        <v>539</v>
      </c>
      <c r="C217" s="626">
        <v>3616</v>
      </c>
      <c r="D217" s="785">
        <f t="shared" si="25"/>
        <v>50</v>
      </c>
      <c r="E217" s="785">
        <v>0</v>
      </c>
      <c r="F217" s="785">
        <v>0</v>
      </c>
      <c r="G217" s="785">
        <v>0</v>
      </c>
      <c r="H217" s="785">
        <v>0</v>
      </c>
      <c r="I217" s="785">
        <v>50</v>
      </c>
      <c r="J217" s="785">
        <v>0</v>
      </c>
      <c r="K217" s="785">
        <v>0</v>
      </c>
      <c r="L217" s="804" t="s">
        <v>1588</v>
      </c>
      <c r="M217" s="805">
        <f t="shared" si="26"/>
        <v>1.3827433628318584</v>
      </c>
    </row>
    <row r="218" spans="1:13" ht="27.75" customHeight="1">
      <c r="A218" s="792" t="s">
        <v>1691</v>
      </c>
      <c r="B218" s="448" t="s">
        <v>249</v>
      </c>
      <c r="C218" s="626">
        <v>53015</v>
      </c>
      <c r="D218" s="785">
        <f t="shared" si="25"/>
        <v>17341</v>
      </c>
      <c r="E218" s="785">
        <v>15998</v>
      </c>
      <c r="F218" s="785" t="s">
        <v>1588</v>
      </c>
      <c r="G218" s="785" t="s">
        <v>1588</v>
      </c>
      <c r="H218" s="785">
        <v>989</v>
      </c>
      <c r="I218" s="785">
        <v>299</v>
      </c>
      <c r="J218" s="785">
        <v>55</v>
      </c>
      <c r="K218" s="785" t="s">
        <v>1588</v>
      </c>
      <c r="L218" s="804" t="s">
        <v>1588</v>
      </c>
      <c r="M218" s="805">
        <f t="shared" si="26"/>
        <v>32.70961048759785</v>
      </c>
    </row>
    <row r="219" spans="1:13" ht="27.75" customHeight="1">
      <c r="A219" s="447" t="s">
        <v>1616</v>
      </c>
      <c r="B219" s="789">
        <f>COUNTA(B220:B229)</f>
        <v>10</v>
      </c>
      <c r="C219" s="626">
        <f>+SUM(C220:C229)</f>
        <v>169609</v>
      </c>
      <c r="D219" s="785">
        <f t="shared" si="25"/>
        <v>38110.19</v>
      </c>
      <c r="E219" s="785">
        <f>+SUM(E220:E229)</f>
        <v>986.21</v>
      </c>
      <c r="F219" s="785">
        <f>+SUM(F220:F229)</f>
        <v>500</v>
      </c>
      <c r="G219" s="785">
        <f t="shared" ref="G219:L219" si="29">+SUM(G220:G229)</f>
        <v>291.5</v>
      </c>
      <c r="H219" s="785">
        <f t="shared" si="29"/>
        <v>1713.12</v>
      </c>
      <c r="I219" s="785">
        <f t="shared" si="29"/>
        <v>1179.8</v>
      </c>
      <c r="J219" s="785">
        <f t="shared" si="29"/>
        <v>851.41</v>
      </c>
      <c r="K219" s="785">
        <f t="shared" si="29"/>
        <v>24302</v>
      </c>
      <c r="L219" s="804">
        <f t="shared" si="29"/>
        <v>8286.15</v>
      </c>
      <c r="M219" s="805">
        <f t="shared" si="26"/>
        <v>22.469438532153365</v>
      </c>
    </row>
    <row r="220" spans="1:13" ht="27.75" customHeight="1">
      <c r="A220" s="447" t="s">
        <v>1692</v>
      </c>
      <c r="B220" s="448" t="s">
        <v>250</v>
      </c>
      <c r="C220" s="626">
        <v>43024</v>
      </c>
      <c r="D220" s="785">
        <f t="shared" si="25"/>
        <v>4159.84</v>
      </c>
      <c r="E220" s="785">
        <f>(19*12.9)</f>
        <v>245.1</v>
      </c>
      <c r="F220" s="785" t="s">
        <v>1588</v>
      </c>
      <c r="G220" s="785">
        <f>3*5.5</f>
        <v>16.5</v>
      </c>
      <c r="H220" s="785">
        <f>18.2*21.6</f>
        <v>393.12</v>
      </c>
      <c r="I220" s="785">
        <f>(5.5*14.4)+(5.5*36)+(5.5*7.2)</f>
        <v>316.8</v>
      </c>
      <c r="J220" s="785">
        <f>14.4*36</f>
        <v>518.4</v>
      </c>
      <c r="K220" s="785" t="s">
        <v>1588</v>
      </c>
      <c r="L220" s="804">
        <f>((4*(32.7+5.5+36.9+5.5+25.6+6))*2)+(15.2*(36.5+5.5+32.7+8+15.6+18.3))</f>
        <v>2669.92</v>
      </c>
      <c r="M220" s="805">
        <f t="shared" si="26"/>
        <v>9.6686500557828197</v>
      </c>
    </row>
    <row r="221" spans="1:13" ht="27.75" customHeight="1">
      <c r="A221" s="447" t="s">
        <v>1693</v>
      </c>
      <c r="B221" s="448" t="s">
        <v>251</v>
      </c>
      <c r="C221" s="626">
        <v>8500</v>
      </c>
      <c r="D221" s="785">
        <f t="shared" si="25"/>
        <v>1880</v>
      </c>
      <c r="E221" s="785">
        <v>80</v>
      </c>
      <c r="F221" s="785" t="s">
        <v>1588</v>
      </c>
      <c r="G221" s="785">
        <v>200</v>
      </c>
      <c r="H221" s="785">
        <v>400</v>
      </c>
      <c r="I221" s="785">
        <v>300</v>
      </c>
      <c r="J221" s="785">
        <v>50</v>
      </c>
      <c r="K221" s="785" t="s">
        <v>1588</v>
      </c>
      <c r="L221" s="804">
        <v>850</v>
      </c>
      <c r="M221" s="805">
        <f t="shared" si="26"/>
        <v>22.117647058823529</v>
      </c>
    </row>
    <row r="222" spans="1:13" ht="27.75" customHeight="1">
      <c r="A222" s="447" t="s">
        <v>1695</v>
      </c>
      <c r="B222" s="448" t="s">
        <v>2305</v>
      </c>
      <c r="C222" s="626">
        <v>31527</v>
      </c>
      <c r="D222" s="785">
        <f t="shared" si="25"/>
        <v>3025</v>
      </c>
      <c r="E222" s="785" t="s">
        <v>1588</v>
      </c>
      <c r="F222" s="785" t="s">
        <v>1588</v>
      </c>
      <c r="G222" s="785" t="s">
        <v>1588</v>
      </c>
      <c r="H222" s="785">
        <v>25</v>
      </c>
      <c r="I222" s="785" t="s">
        <v>1588</v>
      </c>
      <c r="J222" s="785" t="s">
        <v>1588</v>
      </c>
      <c r="K222" s="785">
        <v>3000</v>
      </c>
      <c r="L222" s="804" t="s">
        <v>1588</v>
      </c>
      <c r="M222" s="805">
        <f t="shared" si="26"/>
        <v>9.5949503600088821</v>
      </c>
    </row>
    <row r="223" spans="1:13" ht="27.75" customHeight="1">
      <c r="A223" s="446" t="s">
        <v>1696</v>
      </c>
      <c r="B223" s="448" t="s">
        <v>252</v>
      </c>
      <c r="C223" s="626">
        <v>5900</v>
      </c>
      <c r="D223" s="785">
        <f t="shared" si="25"/>
        <v>2507.16</v>
      </c>
      <c r="E223" s="785">
        <v>23.17</v>
      </c>
      <c r="F223" s="785" t="s">
        <v>1588</v>
      </c>
      <c r="G223" s="785" t="s">
        <v>1588</v>
      </c>
      <c r="H223" s="785" t="s">
        <v>1588</v>
      </c>
      <c r="I223" s="785">
        <v>100</v>
      </c>
      <c r="J223" s="785">
        <v>77.760000000000005</v>
      </c>
      <c r="K223" s="785" t="s">
        <v>1588</v>
      </c>
      <c r="L223" s="804">
        <v>2306.23</v>
      </c>
      <c r="M223" s="805">
        <f t="shared" si="26"/>
        <v>42.494237288135587</v>
      </c>
    </row>
    <row r="224" spans="1:13" ht="27.75" customHeight="1">
      <c r="A224" s="792"/>
      <c r="B224" s="448" t="s">
        <v>253</v>
      </c>
      <c r="C224" s="626">
        <v>7468</v>
      </c>
      <c r="D224" s="785">
        <f t="shared" si="25"/>
        <v>2978.19</v>
      </c>
      <c r="E224" s="785">
        <v>62.94</v>
      </c>
      <c r="F224" s="785" t="s">
        <v>1588</v>
      </c>
      <c r="G224" s="785" t="s">
        <v>1588</v>
      </c>
      <c r="H224" s="785">
        <v>20</v>
      </c>
      <c r="I224" s="785">
        <v>110</v>
      </c>
      <c r="J224" s="785">
        <v>55.25</v>
      </c>
      <c r="K224" s="785">
        <v>400</v>
      </c>
      <c r="L224" s="804">
        <v>2330</v>
      </c>
      <c r="M224" s="805">
        <f t="shared" si="26"/>
        <v>39.879351901446171</v>
      </c>
    </row>
    <row r="225" spans="1:13" ht="27.75" customHeight="1">
      <c r="A225" s="793" t="s">
        <v>1702</v>
      </c>
      <c r="B225" s="781" t="s">
        <v>254</v>
      </c>
      <c r="C225" s="626">
        <v>9820</v>
      </c>
      <c r="D225" s="785">
        <f t="shared" si="25"/>
        <v>7902</v>
      </c>
      <c r="E225" s="785" t="s">
        <v>1588</v>
      </c>
      <c r="F225" s="785" t="s">
        <v>1588</v>
      </c>
      <c r="G225" s="785" t="s">
        <v>1588</v>
      </c>
      <c r="H225" s="785" t="s">
        <v>1588</v>
      </c>
      <c r="I225" s="785" t="s">
        <v>1588</v>
      </c>
      <c r="J225" s="785" t="s">
        <v>1588</v>
      </c>
      <c r="K225" s="785">
        <v>7902</v>
      </c>
      <c r="L225" s="804" t="s">
        <v>1588</v>
      </c>
      <c r="M225" s="805">
        <f t="shared" si="26"/>
        <v>80.468431771894089</v>
      </c>
    </row>
    <row r="226" spans="1:13" ht="27.75" customHeight="1">
      <c r="A226" s="447" t="s">
        <v>1866</v>
      </c>
      <c r="B226" s="448" t="s">
        <v>2308</v>
      </c>
      <c r="C226" s="626">
        <v>7853</v>
      </c>
      <c r="D226" s="785">
        <f t="shared" si="25"/>
        <v>12000</v>
      </c>
      <c r="E226" s="785" t="s">
        <v>1588</v>
      </c>
      <c r="F226" s="785" t="s">
        <v>1588</v>
      </c>
      <c r="G226" s="785" t="s">
        <v>1588</v>
      </c>
      <c r="H226" s="785" t="s">
        <v>1588</v>
      </c>
      <c r="I226" s="785" t="s">
        <v>1588</v>
      </c>
      <c r="J226" s="785" t="s">
        <v>1588</v>
      </c>
      <c r="K226" s="785">
        <v>12000</v>
      </c>
      <c r="L226" s="804" t="s">
        <v>1588</v>
      </c>
      <c r="M226" s="805">
        <f t="shared" si="26"/>
        <v>152.80784413599898</v>
      </c>
    </row>
    <row r="227" spans="1:13" ht="27.75" customHeight="1">
      <c r="A227" s="447" t="s">
        <v>1870</v>
      </c>
      <c r="B227" s="448" t="s">
        <v>256</v>
      </c>
      <c r="C227" s="626">
        <v>34427</v>
      </c>
      <c r="D227" s="785">
        <f t="shared" si="25"/>
        <v>1349</v>
      </c>
      <c r="E227" s="785">
        <v>50</v>
      </c>
      <c r="F227" s="785" t="s">
        <v>1588</v>
      </c>
      <c r="G227" s="785">
        <v>75</v>
      </c>
      <c r="H227" s="785">
        <v>875</v>
      </c>
      <c r="I227" s="785">
        <v>99</v>
      </c>
      <c r="J227" s="785">
        <v>150</v>
      </c>
      <c r="K227" s="785">
        <v>100</v>
      </c>
      <c r="L227" s="804" t="s">
        <v>1588</v>
      </c>
      <c r="M227" s="805">
        <f t="shared" si="26"/>
        <v>3.9184361111917969</v>
      </c>
    </row>
    <row r="228" spans="1:13" ht="27.75" customHeight="1">
      <c r="A228" s="447" t="s">
        <v>1870</v>
      </c>
      <c r="B228" s="448" t="s">
        <v>257</v>
      </c>
      <c r="C228" s="626">
        <v>4400</v>
      </c>
      <c r="D228" s="785">
        <f t="shared" si="25"/>
        <v>79</v>
      </c>
      <c r="E228" s="785">
        <v>25</v>
      </c>
      <c r="F228" s="785" t="s">
        <v>1588</v>
      </c>
      <c r="G228" s="785" t="s">
        <v>1588</v>
      </c>
      <c r="H228" s="785" t="s">
        <v>1588</v>
      </c>
      <c r="I228" s="785">
        <v>54</v>
      </c>
      <c r="J228" s="785" t="s">
        <v>1588</v>
      </c>
      <c r="K228" s="785" t="s">
        <v>1588</v>
      </c>
      <c r="L228" s="804" t="s">
        <v>1588</v>
      </c>
      <c r="M228" s="805">
        <f t="shared" si="26"/>
        <v>1.7954545454545456</v>
      </c>
    </row>
    <row r="229" spans="1:13" ht="27.75" customHeight="1">
      <c r="A229" s="447" t="s">
        <v>1871</v>
      </c>
      <c r="B229" s="448" t="s">
        <v>258</v>
      </c>
      <c r="C229" s="626">
        <v>16690</v>
      </c>
      <c r="D229" s="785">
        <f t="shared" si="25"/>
        <v>2230</v>
      </c>
      <c r="E229" s="785">
        <v>500</v>
      </c>
      <c r="F229" s="785">
        <v>500</v>
      </c>
      <c r="G229" s="785" t="s">
        <v>1588</v>
      </c>
      <c r="H229" s="785" t="s">
        <v>1588</v>
      </c>
      <c r="I229" s="785">
        <v>200</v>
      </c>
      <c r="J229" s="785" t="s">
        <v>1588</v>
      </c>
      <c r="K229" s="785">
        <v>900</v>
      </c>
      <c r="L229" s="804">
        <v>130</v>
      </c>
      <c r="M229" s="805">
        <f t="shared" si="26"/>
        <v>13.361294188136608</v>
      </c>
    </row>
    <row r="230" spans="1:13" ht="27.75" customHeight="1">
      <c r="A230" s="906" t="s">
        <v>1872</v>
      </c>
      <c r="B230" s="907">
        <f>B231+B242</f>
        <v>31</v>
      </c>
      <c r="C230" s="626">
        <f>C231+C242</f>
        <v>1270724</v>
      </c>
      <c r="D230" s="785">
        <f t="shared" si="25"/>
        <v>351663.73</v>
      </c>
      <c r="E230" s="785">
        <f t="shared" ref="E230:L230" si="30">E231+E242</f>
        <v>60331</v>
      </c>
      <c r="F230" s="785">
        <f t="shared" si="30"/>
        <v>12570.7</v>
      </c>
      <c r="G230" s="785">
        <f t="shared" si="30"/>
        <v>3808</v>
      </c>
      <c r="H230" s="785">
        <f t="shared" si="30"/>
        <v>86264</v>
      </c>
      <c r="I230" s="785">
        <f t="shared" si="30"/>
        <v>21131.5</v>
      </c>
      <c r="J230" s="785">
        <f t="shared" si="30"/>
        <v>3018</v>
      </c>
      <c r="K230" s="785">
        <f t="shared" si="30"/>
        <v>52936</v>
      </c>
      <c r="L230" s="804">
        <f t="shared" si="30"/>
        <v>111604.53</v>
      </c>
      <c r="M230" s="805">
        <f t="shared" si="26"/>
        <v>27.674280961089899</v>
      </c>
    </row>
    <row r="231" spans="1:13" ht="27.75" customHeight="1">
      <c r="A231" s="793" t="s">
        <v>1674</v>
      </c>
      <c r="B231" s="907">
        <f>COUNTA(B232:B241)</f>
        <v>10</v>
      </c>
      <c r="C231" s="626">
        <f>SUM(C232:C241)</f>
        <v>711892.8</v>
      </c>
      <c r="D231" s="785">
        <f t="shared" si="25"/>
        <v>262266.23</v>
      </c>
      <c r="E231" s="785">
        <f>SUM(E232:E241)</f>
        <v>53251</v>
      </c>
      <c r="F231" s="785">
        <f t="shared" ref="F231:L231" si="31">SUM(F232:F241)</f>
        <v>5868.7</v>
      </c>
      <c r="G231" s="785">
        <f t="shared" si="31"/>
        <v>3444</v>
      </c>
      <c r="H231" s="785">
        <f t="shared" si="31"/>
        <v>64598</v>
      </c>
      <c r="I231" s="785">
        <f t="shared" si="31"/>
        <v>11392</v>
      </c>
      <c r="J231" s="785">
        <f t="shared" si="31"/>
        <v>1332</v>
      </c>
      <c r="K231" s="785">
        <f t="shared" si="31"/>
        <v>34550</v>
      </c>
      <c r="L231" s="804">
        <f t="shared" si="31"/>
        <v>87830.53</v>
      </c>
      <c r="M231" s="805">
        <f t="shared" si="26"/>
        <v>36.840691463658573</v>
      </c>
    </row>
    <row r="232" spans="1:13" ht="27.75" customHeight="1">
      <c r="A232" s="796" t="s">
        <v>1873</v>
      </c>
      <c r="B232" s="781" t="s">
        <v>378</v>
      </c>
      <c r="C232" s="626">
        <v>79336</v>
      </c>
      <c r="D232" s="785">
        <f t="shared" si="25"/>
        <v>76452</v>
      </c>
      <c r="E232" s="785" t="s">
        <v>1588</v>
      </c>
      <c r="F232" s="785" t="s">
        <v>1588</v>
      </c>
      <c r="G232" s="785" t="s">
        <v>1588</v>
      </c>
      <c r="H232" s="785" t="s">
        <v>1588</v>
      </c>
      <c r="I232" s="785" t="s">
        <v>1588</v>
      </c>
      <c r="J232" s="785" t="s">
        <v>1588</v>
      </c>
      <c r="K232" s="785" t="s">
        <v>1588</v>
      </c>
      <c r="L232" s="804">
        <v>76452</v>
      </c>
      <c r="M232" s="805">
        <f t="shared" si="26"/>
        <v>96.364828073005953</v>
      </c>
    </row>
    <row r="233" spans="1:13" ht="27.75" customHeight="1">
      <c r="A233" s="795"/>
      <c r="B233" s="908" t="s">
        <v>468</v>
      </c>
      <c r="C233" s="626">
        <v>77918.8</v>
      </c>
      <c r="D233" s="785">
        <f t="shared" si="25"/>
        <v>388.53</v>
      </c>
      <c r="E233" s="785" t="s">
        <v>1588</v>
      </c>
      <c r="F233" s="785" t="s">
        <v>1588</v>
      </c>
      <c r="G233" s="785" t="s">
        <v>1588</v>
      </c>
      <c r="H233" s="785" t="s">
        <v>1588</v>
      </c>
      <c r="I233" s="785" t="s">
        <v>1588</v>
      </c>
      <c r="J233" s="785" t="s">
        <v>1588</v>
      </c>
      <c r="K233" s="785" t="s">
        <v>1588</v>
      </c>
      <c r="L233" s="804">
        <v>388.53</v>
      </c>
      <c r="M233" s="805">
        <f t="shared" si="26"/>
        <v>0.49863447589028576</v>
      </c>
    </row>
    <row r="234" spans="1:13" ht="27.75" customHeight="1">
      <c r="A234" s="793" t="s">
        <v>1874</v>
      </c>
      <c r="B234" s="781" t="s">
        <v>540</v>
      </c>
      <c r="C234" s="626">
        <v>131321</v>
      </c>
      <c r="D234" s="785">
        <f t="shared" si="25"/>
        <v>61038</v>
      </c>
      <c r="E234" s="785">
        <v>50031</v>
      </c>
      <c r="F234" s="785">
        <v>2523</v>
      </c>
      <c r="G234" s="785">
        <v>1324</v>
      </c>
      <c r="H234" s="785">
        <v>5138</v>
      </c>
      <c r="I234" s="785">
        <v>1200</v>
      </c>
      <c r="J234" s="785">
        <v>242</v>
      </c>
      <c r="K234" s="785">
        <v>580</v>
      </c>
      <c r="L234" s="804" t="s">
        <v>1588</v>
      </c>
      <c r="M234" s="805">
        <f t="shared" si="26"/>
        <v>46.479999390805737</v>
      </c>
    </row>
    <row r="235" spans="1:13" ht="27.75" customHeight="1">
      <c r="A235" s="447" t="s">
        <v>1875</v>
      </c>
      <c r="B235" s="448" t="s">
        <v>541</v>
      </c>
      <c r="C235" s="626">
        <v>203525</v>
      </c>
      <c r="D235" s="785">
        <f t="shared" si="25"/>
        <v>37927.699999999997</v>
      </c>
      <c r="E235" s="785" t="s">
        <v>1588</v>
      </c>
      <c r="F235" s="785">
        <v>345.7</v>
      </c>
      <c r="G235" s="785" t="s">
        <v>1588</v>
      </c>
      <c r="H235" s="785">
        <v>28210</v>
      </c>
      <c r="I235" s="785">
        <v>4662</v>
      </c>
      <c r="J235" s="785" t="s">
        <v>1588</v>
      </c>
      <c r="K235" s="785">
        <v>4710</v>
      </c>
      <c r="L235" s="804" t="s">
        <v>1588</v>
      </c>
      <c r="M235" s="805">
        <f t="shared" si="26"/>
        <v>18.63540105638128</v>
      </c>
    </row>
    <row r="236" spans="1:13" ht="27.75" customHeight="1">
      <c r="A236" s="446" t="s">
        <v>1879</v>
      </c>
      <c r="B236" s="448" t="s">
        <v>2430</v>
      </c>
      <c r="C236" s="626">
        <v>46981</v>
      </c>
      <c r="D236" s="785">
        <f t="shared" si="25"/>
        <v>3500</v>
      </c>
      <c r="E236" s="785">
        <v>500</v>
      </c>
      <c r="F236" s="785" t="s">
        <v>1588</v>
      </c>
      <c r="G236" s="785" t="s">
        <v>1588</v>
      </c>
      <c r="H236" s="785">
        <v>1000</v>
      </c>
      <c r="I236" s="785">
        <v>1000</v>
      </c>
      <c r="J236" s="785" t="s">
        <v>1588</v>
      </c>
      <c r="K236" s="785">
        <v>1000</v>
      </c>
      <c r="L236" s="804" t="s">
        <v>1588</v>
      </c>
      <c r="M236" s="805">
        <f t="shared" si="26"/>
        <v>7.4498201400566195</v>
      </c>
    </row>
    <row r="237" spans="1:13" ht="27.75" customHeight="1">
      <c r="A237" s="791"/>
      <c r="B237" s="448" t="s">
        <v>1886</v>
      </c>
      <c r="C237" s="626">
        <v>23045</v>
      </c>
      <c r="D237" s="785">
        <f t="shared" si="25"/>
        <v>1200</v>
      </c>
      <c r="E237" s="785">
        <v>200</v>
      </c>
      <c r="F237" s="785" t="s">
        <v>1588</v>
      </c>
      <c r="G237" s="785" t="s">
        <v>1588</v>
      </c>
      <c r="H237" s="785" t="s">
        <v>1588</v>
      </c>
      <c r="I237" s="785">
        <v>500</v>
      </c>
      <c r="J237" s="785" t="s">
        <v>1588</v>
      </c>
      <c r="K237" s="785">
        <v>500</v>
      </c>
      <c r="L237" s="804" t="s">
        <v>1588</v>
      </c>
      <c r="M237" s="805">
        <f t="shared" si="26"/>
        <v>5.2072032978954219</v>
      </c>
    </row>
    <row r="238" spans="1:13" ht="27.75" customHeight="1">
      <c r="A238" s="792"/>
      <c r="B238" s="448" t="s">
        <v>1884</v>
      </c>
      <c r="C238" s="626">
        <v>5974</v>
      </c>
      <c r="D238" s="785">
        <f t="shared" si="25"/>
        <v>200</v>
      </c>
      <c r="E238" s="785" t="s">
        <v>1588</v>
      </c>
      <c r="F238" s="785" t="s">
        <v>1588</v>
      </c>
      <c r="G238" s="785" t="s">
        <v>1588</v>
      </c>
      <c r="H238" s="785" t="s">
        <v>1588</v>
      </c>
      <c r="I238" s="785">
        <v>200</v>
      </c>
      <c r="J238" s="785" t="s">
        <v>1588</v>
      </c>
      <c r="K238" s="785" t="s">
        <v>1588</v>
      </c>
      <c r="L238" s="804" t="s">
        <v>1588</v>
      </c>
      <c r="M238" s="805">
        <f t="shared" si="26"/>
        <v>3.3478406427854033</v>
      </c>
    </row>
    <row r="239" spans="1:13" ht="27.75" customHeight="1">
      <c r="A239" s="446" t="s">
        <v>1889</v>
      </c>
      <c r="B239" s="448" t="s">
        <v>2146</v>
      </c>
      <c r="C239" s="626">
        <v>81550</v>
      </c>
      <c r="D239" s="785">
        <f t="shared" si="25"/>
        <v>70350</v>
      </c>
      <c r="E239" s="785">
        <v>2000</v>
      </c>
      <c r="F239" s="785">
        <v>3000</v>
      </c>
      <c r="G239" s="785">
        <v>2000</v>
      </c>
      <c r="H239" s="785">
        <v>28000</v>
      </c>
      <c r="I239" s="785">
        <v>2000</v>
      </c>
      <c r="J239" s="785">
        <v>1000</v>
      </c>
      <c r="K239" s="785">
        <v>25360</v>
      </c>
      <c r="L239" s="804">
        <v>6990</v>
      </c>
      <c r="M239" s="805">
        <f t="shared" si="26"/>
        <v>86.266094420600865</v>
      </c>
    </row>
    <row r="240" spans="1:13" ht="27.75" customHeight="1">
      <c r="A240" s="791"/>
      <c r="B240" s="448" t="s">
        <v>476</v>
      </c>
      <c r="C240" s="626">
        <v>17730</v>
      </c>
      <c r="D240" s="785">
        <f t="shared" si="25"/>
        <v>4460</v>
      </c>
      <c r="E240" s="785">
        <v>100</v>
      </c>
      <c r="F240" s="785">
        <v>0</v>
      </c>
      <c r="G240" s="785">
        <v>30</v>
      </c>
      <c r="H240" s="785">
        <v>0</v>
      </c>
      <c r="I240" s="785">
        <v>330</v>
      </c>
      <c r="J240" s="785">
        <v>0</v>
      </c>
      <c r="K240" s="785">
        <v>2000</v>
      </c>
      <c r="L240" s="804">
        <v>2000</v>
      </c>
      <c r="M240" s="805">
        <f t="shared" si="26"/>
        <v>25.155104342921604</v>
      </c>
    </row>
    <row r="241" spans="1:13" ht="27.75" customHeight="1">
      <c r="A241" s="909"/>
      <c r="B241" s="448" t="s">
        <v>475</v>
      </c>
      <c r="C241" s="626">
        <v>44512</v>
      </c>
      <c r="D241" s="785">
        <f t="shared" si="25"/>
        <v>6750</v>
      </c>
      <c r="E241" s="785">
        <v>420</v>
      </c>
      <c r="F241" s="785">
        <v>0</v>
      </c>
      <c r="G241" s="785">
        <v>90</v>
      </c>
      <c r="H241" s="785">
        <v>2250</v>
      </c>
      <c r="I241" s="785">
        <v>1500</v>
      </c>
      <c r="J241" s="785">
        <v>90</v>
      </c>
      <c r="K241" s="785">
        <v>400</v>
      </c>
      <c r="L241" s="804">
        <v>2000</v>
      </c>
      <c r="M241" s="805">
        <f t="shared" si="26"/>
        <v>15.164450035945363</v>
      </c>
    </row>
    <row r="242" spans="1:13" ht="27.75" customHeight="1">
      <c r="A242" s="447" t="s">
        <v>1616</v>
      </c>
      <c r="B242" s="789">
        <f>COUNTA(B243:B263)</f>
        <v>21</v>
      </c>
      <c r="C242" s="626">
        <f>SUM(C243:C263)</f>
        <v>558831.19999999995</v>
      </c>
      <c r="D242" s="785">
        <f t="shared" si="25"/>
        <v>89397.5</v>
      </c>
      <c r="E242" s="785">
        <f t="shared" ref="E242:L242" si="32">SUM(E243:E263)</f>
        <v>7080</v>
      </c>
      <c r="F242" s="785">
        <f t="shared" si="32"/>
        <v>6702</v>
      </c>
      <c r="G242" s="785">
        <f t="shared" si="32"/>
        <v>364</v>
      </c>
      <c r="H242" s="785">
        <f t="shared" si="32"/>
        <v>21666</v>
      </c>
      <c r="I242" s="785">
        <f t="shared" si="32"/>
        <v>9739.5</v>
      </c>
      <c r="J242" s="785">
        <f t="shared" si="32"/>
        <v>1686</v>
      </c>
      <c r="K242" s="785">
        <f t="shared" si="32"/>
        <v>18386</v>
      </c>
      <c r="L242" s="804">
        <f t="shared" si="32"/>
        <v>23774</v>
      </c>
      <c r="M242" s="805">
        <f t="shared" si="26"/>
        <v>15.997227785420714</v>
      </c>
    </row>
    <row r="243" spans="1:13" ht="27.75" customHeight="1">
      <c r="A243" s="447" t="s">
        <v>1890</v>
      </c>
      <c r="B243" s="448" t="s">
        <v>381</v>
      </c>
      <c r="C243" s="626">
        <v>35503</v>
      </c>
      <c r="D243" s="785">
        <f t="shared" si="25"/>
        <v>3505</v>
      </c>
      <c r="E243" s="785">
        <v>330</v>
      </c>
      <c r="F243" s="785" t="s">
        <v>1588</v>
      </c>
      <c r="G243" s="785" t="s">
        <v>1588</v>
      </c>
      <c r="H243" s="785">
        <v>991</v>
      </c>
      <c r="I243" s="785">
        <v>200</v>
      </c>
      <c r="J243" s="785" t="s">
        <v>1588</v>
      </c>
      <c r="K243" s="785" t="s">
        <v>1588</v>
      </c>
      <c r="L243" s="804">
        <v>1984</v>
      </c>
      <c r="M243" s="805">
        <f t="shared" si="26"/>
        <v>9.8724051488606595</v>
      </c>
    </row>
    <row r="244" spans="1:13" ht="27.75" customHeight="1">
      <c r="A244" s="446" t="s">
        <v>1891</v>
      </c>
      <c r="B244" s="448" t="s">
        <v>2315</v>
      </c>
      <c r="C244" s="626">
        <v>16272</v>
      </c>
      <c r="D244" s="785">
        <f t="shared" si="25"/>
        <v>10470</v>
      </c>
      <c r="E244" s="785">
        <v>1500</v>
      </c>
      <c r="F244" s="785">
        <v>1800</v>
      </c>
      <c r="G244" s="785" t="s">
        <v>1588</v>
      </c>
      <c r="H244" s="785">
        <v>800</v>
      </c>
      <c r="I244" s="785">
        <v>2000</v>
      </c>
      <c r="J244" s="785">
        <v>70</v>
      </c>
      <c r="K244" s="785">
        <v>200</v>
      </c>
      <c r="L244" s="804">
        <v>4100</v>
      </c>
      <c r="M244" s="805">
        <f t="shared" si="26"/>
        <v>64.343657817109147</v>
      </c>
    </row>
    <row r="245" spans="1:13" ht="27.75" customHeight="1">
      <c r="A245" s="791"/>
      <c r="B245" s="448" t="s">
        <v>264</v>
      </c>
      <c r="C245" s="626">
        <v>6301.2</v>
      </c>
      <c r="D245" s="785">
        <f t="shared" si="25"/>
        <v>1691</v>
      </c>
      <c r="E245" s="785">
        <v>1087</v>
      </c>
      <c r="F245" s="785" t="s">
        <v>1588</v>
      </c>
      <c r="G245" s="785" t="s">
        <v>1588</v>
      </c>
      <c r="H245" s="785">
        <v>310</v>
      </c>
      <c r="I245" s="785">
        <v>148</v>
      </c>
      <c r="J245" s="785" t="s">
        <v>1588</v>
      </c>
      <c r="K245" s="785">
        <v>70</v>
      </c>
      <c r="L245" s="804">
        <v>76</v>
      </c>
      <c r="M245" s="805">
        <f t="shared" si="26"/>
        <v>26.836158192090398</v>
      </c>
    </row>
    <row r="246" spans="1:13" ht="27.75" customHeight="1">
      <c r="A246" s="792"/>
      <c r="B246" s="448" t="s">
        <v>265</v>
      </c>
      <c r="C246" s="626">
        <v>1952</v>
      </c>
      <c r="D246" s="785">
        <f t="shared" si="25"/>
        <v>429</v>
      </c>
      <c r="E246" s="785">
        <v>220</v>
      </c>
      <c r="F246" s="785" t="s">
        <v>1588</v>
      </c>
      <c r="G246" s="785" t="s">
        <v>1588</v>
      </c>
      <c r="H246" s="785" t="s">
        <v>1588</v>
      </c>
      <c r="I246" s="785">
        <v>112</v>
      </c>
      <c r="J246" s="785" t="s">
        <v>1588</v>
      </c>
      <c r="K246" s="785">
        <v>7</v>
      </c>
      <c r="L246" s="804">
        <v>90</v>
      </c>
      <c r="M246" s="805">
        <f t="shared" si="26"/>
        <v>21.977459016393443</v>
      </c>
    </row>
    <row r="247" spans="1:13" ht="27.75" customHeight="1">
      <c r="A247" s="446" t="s">
        <v>1707</v>
      </c>
      <c r="B247" s="448" t="s">
        <v>542</v>
      </c>
      <c r="C247" s="626">
        <v>74080</v>
      </c>
      <c r="D247" s="785">
        <f t="shared" si="25"/>
        <v>2882</v>
      </c>
      <c r="E247" s="785" t="s">
        <v>1588</v>
      </c>
      <c r="F247" s="785" t="s">
        <v>1588</v>
      </c>
      <c r="G247" s="785" t="s">
        <v>1588</v>
      </c>
      <c r="H247" s="785">
        <v>2290</v>
      </c>
      <c r="I247" s="785" t="s">
        <v>1588</v>
      </c>
      <c r="J247" s="785" t="s">
        <v>1588</v>
      </c>
      <c r="K247" s="785">
        <v>592</v>
      </c>
      <c r="L247" s="804" t="s">
        <v>1588</v>
      </c>
      <c r="M247" s="805">
        <f t="shared" si="26"/>
        <v>3.8903887688984882</v>
      </c>
    </row>
    <row r="248" spans="1:13" ht="27.75" customHeight="1">
      <c r="A248" s="792"/>
      <c r="B248" s="448" t="s">
        <v>266</v>
      </c>
      <c r="C248" s="626">
        <v>9870</v>
      </c>
      <c r="D248" s="785">
        <f t="shared" si="25"/>
        <v>20</v>
      </c>
      <c r="E248" s="785" t="s">
        <v>1588</v>
      </c>
      <c r="F248" s="785" t="s">
        <v>1588</v>
      </c>
      <c r="G248" s="785" t="s">
        <v>1588</v>
      </c>
      <c r="H248" s="785" t="s">
        <v>1588</v>
      </c>
      <c r="I248" s="785" t="s">
        <v>1588</v>
      </c>
      <c r="J248" s="785" t="s">
        <v>1588</v>
      </c>
      <c r="K248" s="785">
        <v>20</v>
      </c>
      <c r="L248" s="804" t="s">
        <v>1588</v>
      </c>
      <c r="M248" s="805">
        <f t="shared" si="26"/>
        <v>0.2026342451874367</v>
      </c>
    </row>
    <row r="249" spans="1:13" ht="27.75" customHeight="1">
      <c r="A249" s="446" t="s">
        <v>1709</v>
      </c>
      <c r="B249" s="448" t="s">
        <v>2433</v>
      </c>
      <c r="C249" s="626">
        <v>14990</v>
      </c>
      <c r="D249" s="785">
        <f t="shared" si="25"/>
        <v>9571</v>
      </c>
      <c r="E249" s="785">
        <v>250</v>
      </c>
      <c r="F249" s="785">
        <v>1276</v>
      </c>
      <c r="G249" s="785" t="s">
        <v>1588</v>
      </c>
      <c r="H249" s="785">
        <f>81+24+98</f>
        <v>203</v>
      </c>
      <c r="I249" s="785">
        <v>690</v>
      </c>
      <c r="J249" s="785">
        <v>75</v>
      </c>
      <c r="K249" s="785">
        <v>81</v>
      </c>
      <c r="L249" s="804">
        <v>6996</v>
      </c>
      <c r="M249" s="805">
        <f t="shared" si="26"/>
        <v>63.849232821881252</v>
      </c>
    </row>
    <row r="250" spans="1:13" ht="27.75" customHeight="1">
      <c r="A250" s="792"/>
      <c r="B250" s="448" t="s">
        <v>2051</v>
      </c>
      <c r="C250" s="626">
        <v>11752</v>
      </c>
      <c r="D250" s="785">
        <f t="shared" si="25"/>
        <v>6537</v>
      </c>
      <c r="E250" s="785">
        <v>600</v>
      </c>
      <c r="F250" s="785" t="s">
        <v>1588</v>
      </c>
      <c r="G250" s="785" t="s">
        <v>1588</v>
      </c>
      <c r="H250" s="785">
        <v>1500</v>
      </c>
      <c r="I250" s="785">
        <v>69</v>
      </c>
      <c r="J250" s="785" t="s">
        <v>1588</v>
      </c>
      <c r="K250" s="785">
        <v>100</v>
      </c>
      <c r="L250" s="804">
        <v>4268</v>
      </c>
      <c r="M250" s="805">
        <f t="shared" si="26"/>
        <v>55.624574540503744</v>
      </c>
    </row>
    <row r="251" spans="1:13" ht="27.75" customHeight="1">
      <c r="A251" s="446" t="s">
        <v>1710</v>
      </c>
      <c r="B251" s="448" t="s">
        <v>2160</v>
      </c>
      <c r="C251" s="626">
        <v>19000</v>
      </c>
      <c r="D251" s="785">
        <f t="shared" si="25"/>
        <v>3960</v>
      </c>
      <c r="E251" s="785">
        <v>60</v>
      </c>
      <c r="F251" s="785">
        <v>1800</v>
      </c>
      <c r="G251" s="785" t="s">
        <v>1588</v>
      </c>
      <c r="H251" s="785">
        <v>300</v>
      </c>
      <c r="I251" s="785">
        <v>300</v>
      </c>
      <c r="J251" s="785" t="s">
        <v>1588</v>
      </c>
      <c r="K251" s="785">
        <v>1500</v>
      </c>
      <c r="L251" s="804" t="s">
        <v>1588</v>
      </c>
      <c r="M251" s="805">
        <f t="shared" si="26"/>
        <v>20.842105263157894</v>
      </c>
    </row>
    <row r="252" spans="1:13" ht="27.75" customHeight="1">
      <c r="A252" s="791"/>
      <c r="B252" s="448" t="s">
        <v>2161</v>
      </c>
      <c r="C252" s="626">
        <v>3921</v>
      </c>
      <c r="D252" s="785">
        <f t="shared" si="25"/>
        <v>360</v>
      </c>
      <c r="E252" s="785">
        <v>60</v>
      </c>
      <c r="F252" s="785" t="s">
        <v>1588</v>
      </c>
      <c r="G252" s="785" t="s">
        <v>1588</v>
      </c>
      <c r="H252" s="785">
        <v>150</v>
      </c>
      <c r="I252" s="785">
        <v>150</v>
      </c>
      <c r="J252" s="785" t="s">
        <v>1588</v>
      </c>
      <c r="K252" s="785" t="s">
        <v>1588</v>
      </c>
      <c r="L252" s="804" t="s">
        <v>1588</v>
      </c>
      <c r="M252" s="805">
        <f t="shared" si="26"/>
        <v>9.1813312930374913</v>
      </c>
    </row>
    <row r="253" spans="1:13" ht="27.75" customHeight="1">
      <c r="A253" s="792"/>
      <c r="B253" s="448" t="s">
        <v>477</v>
      </c>
      <c r="C253" s="626">
        <v>2153</v>
      </c>
      <c r="D253" s="785">
        <f t="shared" si="25"/>
        <v>280</v>
      </c>
      <c r="E253" s="785">
        <v>60</v>
      </c>
      <c r="F253" s="785" t="s">
        <v>1588</v>
      </c>
      <c r="G253" s="785" t="s">
        <v>1588</v>
      </c>
      <c r="H253" s="785">
        <v>150</v>
      </c>
      <c r="I253" s="785">
        <v>70</v>
      </c>
      <c r="J253" s="785" t="s">
        <v>1588</v>
      </c>
      <c r="K253" s="785" t="s">
        <v>1588</v>
      </c>
      <c r="L253" s="804" t="s">
        <v>1588</v>
      </c>
      <c r="M253" s="805">
        <f t="shared" si="26"/>
        <v>13.005109150023223</v>
      </c>
    </row>
    <row r="254" spans="1:13" ht="27.75" customHeight="1">
      <c r="A254" s="447" t="s">
        <v>1718</v>
      </c>
      <c r="B254" s="448" t="s">
        <v>555</v>
      </c>
      <c r="C254" s="626">
        <v>23801</v>
      </c>
      <c r="D254" s="785">
        <f t="shared" si="25"/>
        <v>8286</v>
      </c>
      <c r="E254" s="785">
        <v>2318</v>
      </c>
      <c r="F254" s="785">
        <v>192</v>
      </c>
      <c r="G254" s="785">
        <v>129</v>
      </c>
      <c r="H254" s="785">
        <v>2744</v>
      </c>
      <c r="I254" s="785">
        <v>1378</v>
      </c>
      <c r="J254" s="785">
        <v>937</v>
      </c>
      <c r="K254" s="785">
        <v>588</v>
      </c>
      <c r="L254" s="804" t="s">
        <v>1588</v>
      </c>
      <c r="M254" s="805">
        <f t="shared" si="26"/>
        <v>34.81366329145834</v>
      </c>
    </row>
    <row r="255" spans="1:13" ht="27.75" customHeight="1">
      <c r="A255" s="447" t="s">
        <v>1722</v>
      </c>
      <c r="B255" s="448" t="s">
        <v>2320</v>
      </c>
      <c r="C255" s="626">
        <v>16118</v>
      </c>
      <c r="D255" s="785">
        <f t="shared" si="25"/>
        <v>1920</v>
      </c>
      <c r="E255" s="785">
        <v>300</v>
      </c>
      <c r="F255" s="785">
        <v>0</v>
      </c>
      <c r="G255" s="785">
        <v>0</v>
      </c>
      <c r="H255" s="785">
        <v>0</v>
      </c>
      <c r="I255" s="785">
        <v>1500</v>
      </c>
      <c r="J255" s="785">
        <v>0</v>
      </c>
      <c r="K255" s="785">
        <v>0</v>
      </c>
      <c r="L255" s="804">
        <v>120</v>
      </c>
      <c r="M255" s="805">
        <f t="shared" si="26"/>
        <v>11.912147909169873</v>
      </c>
    </row>
    <row r="256" spans="1:13" ht="27.75" customHeight="1">
      <c r="A256" s="446" t="s">
        <v>1724</v>
      </c>
      <c r="B256" s="448" t="s">
        <v>274</v>
      </c>
      <c r="C256" s="626">
        <v>31672</v>
      </c>
      <c r="D256" s="785">
        <f t="shared" si="25"/>
        <v>1920</v>
      </c>
      <c r="E256" s="785">
        <v>50</v>
      </c>
      <c r="F256" s="785">
        <v>0</v>
      </c>
      <c r="G256" s="785">
        <v>50</v>
      </c>
      <c r="H256" s="785">
        <v>1200</v>
      </c>
      <c r="I256" s="785">
        <v>500</v>
      </c>
      <c r="J256" s="785">
        <v>120</v>
      </c>
      <c r="K256" s="785" t="s">
        <v>1588</v>
      </c>
      <c r="L256" s="804" t="s">
        <v>1588</v>
      </c>
      <c r="M256" s="805">
        <f t="shared" si="26"/>
        <v>6.0621369032583985</v>
      </c>
    </row>
    <row r="257" spans="1:13" ht="27.75" customHeight="1">
      <c r="A257" s="792"/>
      <c r="B257" s="448" t="s">
        <v>2323</v>
      </c>
      <c r="C257" s="626">
        <v>99946</v>
      </c>
      <c r="D257" s="785">
        <f t="shared" si="25"/>
        <v>1950</v>
      </c>
      <c r="E257" s="785">
        <v>50</v>
      </c>
      <c r="F257" s="785">
        <v>0</v>
      </c>
      <c r="G257" s="785">
        <v>100</v>
      </c>
      <c r="H257" s="785">
        <v>1000</v>
      </c>
      <c r="I257" s="785">
        <v>600</v>
      </c>
      <c r="J257" s="785">
        <v>200</v>
      </c>
      <c r="K257" s="785" t="s">
        <v>1588</v>
      </c>
      <c r="L257" s="804" t="s">
        <v>1588</v>
      </c>
      <c r="M257" s="805">
        <f t="shared" si="26"/>
        <v>1.9510535689272208</v>
      </c>
    </row>
    <row r="258" spans="1:13" ht="27.75" customHeight="1">
      <c r="A258" s="446" t="s">
        <v>1725</v>
      </c>
      <c r="B258" s="448" t="s">
        <v>275</v>
      </c>
      <c r="C258" s="626">
        <v>19640</v>
      </c>
      <c r="D258" s="785">
        <f t="shared" si="25"/>
        <v>7555</v>
      </c>
      <c r="E258" s="785">
        <v>60</v>
      </c>
      <c r="F258" s="785">
        <v>1152</v>
      </c>
      <c r="G258" s="785">
        <v>85</v>
      </c>
      <c r="H258" s="785">
        <v>1016</v>
      </c>
      <c r="I258" s="785">
        <v>125</v>
      </c>
      <c r="J258" s="785">
        <v>197</v>
      </c>
      <c r="K258" s="785">
        <v>1920</v>
      </c>
      <c r="L258" s="804">
        <v>3000</v>
      </c>
      <c r="M258" s="805">
        <f t="shared" si="26"/>
        <v>38.467413441955195</v>
      </c>
    </row>
    <row r="259" spans="1:13" ht="27.75" customHeight="1">
      <c r="A259" s="792"/>
      <c r="B259" s="448" t="s">
        <v>276</v>
      </c>
      <c r="C259" s="626">
        <v>16389</v>
      </c>
      <c r="D259" s="785">
        <f t="shared" si="25"/>
        <v>3122.5</v>
      </c>
      <c r="E259" s="785">
        <v>60</v>
      </c>
      <c r="F259" s="785">
        <v>0</v>
      </c>
      <c r="G259" s="785">
        <v>0</v>
      </c>
      <c r="H259" s="785">
        <v>0</v>
      </c>
      <c r="I259" s="785">
        <v>62.5</v>
      </c>
      <c r="J259" s="785">
        <v>0</v>
      </c>
      <c r="K259" s="785">
        <v>0</v>
      </c>
      <c r="L259" s="804">
        <v>3000</v>
      </c>
      <c r="M259" s="805">
        <f t="shared" si="26"/>
        <v>19.052413203978276</v>
      </c>
    </row>
    <row r="260" spans="1:13" ht="27.75" customHeight="1">
      <c r="A260" s="447" t="s">
        <v>1728</v>
      </c>
      <c r="B260" s="448" t="s">
        <v>469</v>
      </c>
      <c r="C260" s="626">
        <v>56783</v>
      </c>
      <c r="D260" s="785">
        <f t="shared" si="25"/>
        <v>6933</v>
      </c>
      <c r="E260" s="785">
        <v>75</v>
      </c>
      <c r="F260" s="785" t="s">
        <v>1588</v>
      </c>
      <c r="G260" s="785" t="s">
        <v>1588</v>
      </c>
      <c r="H260" s="785">
        <v>272</v>
      </c>
      <c r="I260" s="785" t="s">
        <v>1588</v>
      </c>
      <c r="J260" s="785" t="s">
        <v>1588</v>
      </c>
      <c r="K260" s="785">
        <v>6586</v>
      </c>
      <c r="L260" s="804" t="s">
        <v>1588</v>
      </c>
      <c r="M260" s="805">
        <f t="shared" si="26"/>
        <v>12.209640209217547</v>
      </c>
    </row>
    <row r="261" spans="1:13" ht="27.75" customHeight="1">
      <c r="A261" s="447" t="s">
        <v>1731</v>
      </c>
      <c r="B261" s="448" t="s">
        <v>2370</v>
      </c>
      <c r="C261" s="626">
        <v>29183</v>
      </c>
      <c r="D261" s="785">
        <f t="shared" si="25"/>
        <v>12567</v>
      </c>
      <c r="E261" s="785" t="s">
        <v>1588</v>
      </c>
      <c r="F261" s="785" t="s">
        <v>1588</v>
      </c>
      <c r="G261" s="785" t="s">
        <v>1588</v>
      </c>
      <c r="H261" s="785">
        <v>7999</v>
      </c>
      <c r="I261" s="785">
        <v>953</v>
      </c>
      <c r="J261" s="785" t="s">
        <v>1588</v>
      </c>
      <c r="K261" s="785">
        <v>3615</v>
      </c>
      <c r="L261" s="804" t="s">
        <v>1588</v>
      </c>
      <c r="M261" s="805">
        <f t="shared" si="26"/>
        <v>43.062742007333036</v>
      </c>
    </row>
    <row r="262" spans="1:13" ht="27.75" customHeight="1">
      <c r="A262" s="447" t="s">
        <v>1732</v>
      </c>
      <c r="B262" s="448" t="s">
        <v>278</v>
      </c>
      <c r="C262" s="626">
        <v>67480</v>
      </c>
      <c r="D262" s="785">
        <f t="shared" ref="D262:D325" si="33">SUM(E262:L262)</f>
        <v>5132</v>
      </c>
      <c r="E262" s="785" t="s">
        <v>1588</v>
      </c>
      <c r="F262" s="785">
        <v>482</v>
      </c>
      <c r="G262" s="785" t="s">
        <v>1588</v>
      </c>
      <c r="H262" s="785">
        <v>741</v>
      </c>
      <c r="I262" s="785">
        <v>762</v>
      </c>
      <c r="J262" s="785">
        <v>87</v>
      </c>
      <c r="K262" s="785">
        <v>3060</v>
      </c>
      <c r="L262" s="804" t="s">
        <v>1588</v>
      </c>
      <c r="M262" s="805">
        <f t="shared" ref="M262:M325" si="34">(D262/C262)*100</f>
        <v>7.605216360403082</v>
      </c>
    </row>
    <row r="263" spans="1:13" ht="27.75" customHeight="1">
      <c r="A263" s="447" t="s">
        <v>1742</v>
      </c>
      <c r="B263" s="448" t="s">
        <v>470</v>
      </c>
      <c r="C263" s="626">
        <v>2025</v>
      </c>
      <c r="D263" s="785">
        <f t="shared" si="33"/>
        <v>307</v>
      </c>
      <c r="E263" s="785" t="s">
        <v>1588</v>
      </c>
      <c r="F263" s="785" t="s">
        <v>1588</v>
      </c>
      <c r="G263" s="785" t="s">
        <v>1588</v>
      </c>
      <c r="H263" s="785" t="s">
        <v>1588</v>
      </c>
      <c r="I263" s="785">
        <v>120</v>
      </c>
      <c r="J263" s="785" t="s">
        <v>1588</v>
      </c>
      <c r="K263" s="785">
        <v>47</v>
      </c>
      <c r="L263" s="804">
        <v>140</v>
      </c>
      <c r="M263" s="805">
        <f t="shared" si="34"/>
        <v>15.160493827160494</v>
      </c>
    </row>
    <row r="264" spans="1:13" ht="27.75" customHeight="1">
      <c r="A264" s="447" t="s">
        <v>1743</v>
      </c>
      <c r="B264" s="789">
        <f>B265+B289</f>
        <v>37</v>
      </c>
      <c r="C264" s="626">
        <f>C265+C289</f>
        <v>1669953</v>
      </c>
      <c r="D264" s="785">
        <f t="shared" si="33"/>
        <v>256801.08000000002</v>
      </c>
      <c r="E264" s="626">
        <f t="shared" ref="E264:L264" si="35">E265+E289</f>
        <v>33961.85</v>
      </c>
      <c r="F264" s="785">
        <f t="shared" si="35"/>
        <v>5675</v>
      </c>
      <c r="G264" s="785">
        <f t="shared" si="35"/>
        <v>4993.2</v>
      </c>
      <c r="H264" s="785">
        <f t="shared" si="35"/>
        <v>77828.81</v>
      </c>
      <c r="I264" s="785">
        <f t="shared" si="35"/>
        <v>20663.849999999999</v>
      </c>
      <c r="J264" s="785">
        <f t="shared" si="35"/>
        <v>4705.5999999999995</v>
      </c>
      <c r="K264" s="785">
        <f t="shared" si="35"/>
        <v>42475</v>
      </c>
      <c r="L264" s="804">
        <f t="shared" si="35"/>
        <v>66497.77</v>
      </c>
      <c r="M264" s="805">
        <f t="shared" si="34"/>
        <v>15.377742966418817</v>
      </c>
    </row>
    <row r="265" spans="1:13" ht="27.75" customHeight="1">
      <c r="A265" s="447" t="s">
        <v>1674</v>
      </c>
      <c r="B265" s="789">
        <f>COUNTA(B266:B288)</f>
        <v>23</v>
      </c>
      <c r="C265" s="626">
        <f>SUM(C266:C288)</f>
        <v>1335058</v>
      </c>
      <c r="D265" s="785">
        <f t="shared" si="33"/>
        <v>190885.18</v>
      </c>
      <c r="E265" s="785">
        <f t="shared" ref="E265:L265" si="36">SUM(E266:E288)</f>
        <v>30806.5</v>
      </c>
      <c r="F265" s="785">
        <f t="shared" si="36"/>
        <v>5175</v>
      </c>
      <c r="G265" s="785">
        <f t="shared" si="36"/>
        <v>3522.2</v>
      </c>
      <c r="H265" s="785">
        <f t="shared" si="36"/>
        <v>54618.61</v>
      </c>
      <c r="I265" s="785">
        <f t="shared" si="36"/>
        <v>16857.669999999998</v>
      </c>
      <c r="J265" s="785">
        <f t="shared" si="36"/>
        <v>4119.2</v>
      </c>
      <c r="K265" s="785">
        <f t="shared" si="36"/>
        <v>38261</v>
      </c>
      <c r="L265" s="804">
        <f t="shared" si="36"/>
        <v>37525</v>
      </c>
      <c r="M265" s="805">
        <f t="shared" si="34"/>
        <v>14.297894173886078</v>
      </c>
    </row>
    <row r="266" spans="1:13" ht="27.75" customHeight="1">
      <c r="A266" s="446" t="s">
        <v>1744</v>
      </c>
      <c r="B266" s="448" t="s">
        <v>2373</v>
      </c>
      <c r="C266" s="626">
        <v>122200</v>
      </c>
      <c r="D266" s="785">
        <f t="shared" si="33"/>
        <v>19300</v>
      </c>
      <c r="E266" s="785">
        <v>1500</v>
      </c>
      <c r="F266" s="785" t="s">
        <v>1588</v>
      </c>
      <c r="G266" s="785" t="s">
        <v>1588</v>
      </c>
      <c r="H266" s="785">
        <v>12000</v>
      </c>
      <c r="I266" s="785">
        <v>2500</v>
      </c>
      <c r="J266" s="785">
        <v>600</v>
      </c>
      <c r="K266" s="785">
        <v>1200</v>
      </c>
      <c r="L266" s="804">
        <v>1500</v>
      </c>
      <c r="M266" s="805">
        <f t="shared" si="34"/>
        <v>15.79378068739771</v>
      </c>
    </row>
    <row r="267" spans="1:13" ht="27.75" customHeight="1">
      <c r="A267" s="791"/>
      <c r="B267" s="448" t="s">
        <v>2059</v>
      </c>
      <c r="C267" s="626">
        <v>21000</v>
      </c>
      <c r="D267" s="785">
        <f t="shared" si="33"/>
        <v>2580</v>
      </c>
      <c r="E267" s="785">
        <v>490</v>
      </c>
      <c r="F267" s="785" t="s">
        <v>1588</v>
      </c>
      <c r="G267" s="785" t="s">
        <v>1588</v>
      </c>
      <c r="H267" s="785">
        <v>330</v>
      </c>
      <c r="I267" s="785">
        <v>200</v>
      </c>
      <c r="J267" s="785">
        <v>330</v>
      </c>
      <c r="K267" s="785">
        <v>900</v>
      </c>
      <c r="L267" s="804">
        <v>330</v>
      </c>
      <c r="M267" s="805">
        <f t="shared" si="34"/>
        <v>12.285714285714286</v>
      </c>
    </row>
    <row r="268" spans="1:13" ht="27.75" customHeight="1">
      <c r="A268" s="792"/>
      <c r="B268" s="448" t="s">
        <v>2061</v>
      </c>
      <c r="C268" s="626">
        <v>56013</v>
      </c>
      <c r="D268" s="785">
        <f t="shared" si="33"/>
        <v>31000</v>
      </c>
      <c r="E268" s="785">
        <v>2900</v>
      </c>
      <c r="F268" s="785">
        <v>2500</v>
      </c>
      <c r="G268" s="785">
        <v>2700</v>
      </c>
      <c r="H268" s="785">
        <v>11300</v>
      </c>
      <c r="I268" s="785">
        <v>2000</v>
      </c>
      <c r="J268" s="785">
        <v>1500</v>
      </c>
      <c r="K268" s="785">
        <v>5100</v>
      </c>
      <c r="L268" s="804">
        <v>3000</v>
      </c>
      <c r="M268" s="805">
        <f t="shared" si="34"/>
        <v>55.344295074357738</v>
      </c>
    </row>
    <row r="269" spans="1:13" ht="27.75" customHeight="1">
      <c r="A269" s="446" t="s">
        <v>1894</v>
      </c>
      <c r="B269" s="448" t="s">
        <v>2374</v>
      </c>
      <c r="C269" s="626">
        <v>169381</v>
      </c>
      <c r="D269" s="785">
        <f t="shared" si="33"/>
        <v>9348</v>
      </c>
      <c r="E269" s="785">
        <v>0</v>
      </c>
      <c r="F269" s="785">
        <v>0</v>
      </c>
      <c r="G269" s="785">
        <v>0</v>
      </c>
      <c r="H269" s="785">
        <v>2452</v>
      </c>
      <c r="I269" s="785">
        <v>0</v>
      </c>
      <c r="J269" s="785">
        <v>207</v>
      </c>
      <c r="K269" s="785">
        <v>6689</v>
      </c>
      <c r="L269" s="804">
        <v>0</v>
      </c>
      <c r="M269" s="805">
        <f t="shared" si="34"/>
        <v>5.5189188870062171</v>
      </c>
    </row>
    <row r="270" spans="1:13" ht="27.75" customHeight="1">
      <c r="A270" s="791"/>
      <c r="B270" s="448" t="s">
        <v>2065</v>
      </c>
      <c r="C270" s="626">
        <v>40148</v>
      </c>
      <c r="D270" s="785">
        <f t="shared" si="33"/>
        <v>0</v>
      </c>
      <c r="E270" s="785">
        <v>0</v>
      </c>
      <c r="F270" s="785">
        <v>0</v>
      </c>
      <c r="G270" s="785">
        <v>0</v>
      </c>
      <c r="H270" s="785">
        <v>0</v>
      </c>
      <c r="I270" s="785">
        <v>0</v>
      </c>
      <c r="J270" s="785">
        <v>0</v>
      </c>
      <c r="K270" s="785">
        <v>0</v>
      </c>
      <c r="L270" s="804">
        <v>0</v>
      </c>
      <c r="M270" s="805">
        <f t="shared" si="34"/>
        <v>0</v>
      </c>
    </row>
    <row r="271" spans="1:13" ht="27.75" customHeight="1">
      <c r="A271" s="791"/>
      <c r="B271" s="448" t="s">
        <v>279</v>
      </c>
      <c r="C271" s="626">
        <v>23402</v>
      </c>
      <c r="D271" s="785">
        <f t="shared" si="33"/>
        <v>4500</v>
      </c>
      <c r="E271" s="785">
        <v>0</v>
      </c>
      <c r="F271" s="785">
        <v>0</v>
      </c>
      <c r="G271" s="785">
        <v>0</v>
      </c>
      <c r="H271" s="785">
        <v>4500</v>
      </c>
      <c r="I271" s="785">
        <v>0</v>
      </c>
      <c r="J271" s="785">
        <v>0</v>
      </c>
      <c r="K271" s="785">
        <v>0</v>
      </c>
      <c r="L271" s="804">
        <v>0</v>
      </c>
      <c r="M271" s="805">
        <f t="shared" si="34"/>
        <v>19.22912571575079</v>
      </c>
    </row>
    <row r="272" spans="1:13" ht="27.75" customHeight="1">
      <c r="A272" s="791"/>
      <c r="B272" s="448" t="s">
        <v>280</v>
      </c>
      <c r="C272" s="626">
        <v>987</v>
      </c>
      <c r="D272" s="785">
        <f t="shared" si="33"/>
        <v>0</v>
      </c>
      <c r="E272" s="785">
        <v>0</v>
      </c>
      <c r="F272" s="785">
        <v>0</v>
      </c>
      <c r="G272" s="785">
        <v>0</v>
      </c>
      <c r="H272" s="785">
        <v>0</v>
      </c>
      <c r="I272" s="785">
        <v>0</v>
      </c>
      <c r="J272" s="785">
        <v>0</v>
      </c>
      <c r="K272" s="785">
        <v>0</v>
      </c>
      <c r="L272" s="804">
        <v>0</v>
      </c>
      <c r="M272" s="805">
        <f t="shared" si="34"/>
        <v>0</v>
      </c>
    </row>
    <row r="273" spans="1:13" ht="27.75" customHeight="1">
      <c r="A273" s="791"/>
      <c r="B273" s="448" t="s">
        <v>281</v>
      </c>
      <c r="C273" s="626">
        <v>991</v>
      </c>
      <c r="D273" s="785">
        <f t="shared" si="33"/>
        <v>0</v>
      </c>
      <c r="E273" s="785">
        <v>0</v>
      </c>
      <c r="F273" s="785">
        <v>0</v>
      </c>
      <c r="G273" s="785">
        <v>0</v>
      </c>
      <c r="H273" s="785">
        <v>0</v>
      </c>
      <c r="I273" s="785">
        <v>0</v>
      </c>
      <c r="J273" s="785">
        <v>0</v>
      </c>
      <c r="K273" s="785">
        <v>0</v>
      </c>
      <c r="L273" s="804">
        <v>0</v>
      </c>
      <c r="M273" s="805">
        <f t="shared" si="34"/>
        <v>0</v>
      </c>
    </row>
    <row r="274" spans="1:13" ht="27.75" customHeight="1">
      <c r="A274" s="792"/>
      <c r="B274" s="448" t="s">
        <v>282</v>
      </c>
      <c r="C274" s="626">
        <v>980</v>
      </c>
      <c r="D274" s="785">
        <f t="shared" si="33"/>
        <v>0</v>
      </c>
      <c r="E274" s="785">
        <v>0</v>
      </c>
      <c r="F274" s="785">
        <v>0</v>
      </c>
      <c r="G274" s="785">
        <v>0</v>
      </c>
      <c r="H274" s="785">
        <v>0</v>
      </c>
      <c r="I274" s="785">
        <v>0</v>
      </c>
      <c r="J274" s="785">
        <v>0</v>
      </c>
      <c r="K274" s="785">
        <v>0</v>
      </c>
      <c r="L274" s="804">
        <v>0</v>
      </c>
      <c r="M274" s="805">
        <f t="shared" si="34"/>
        <v>0</v>
      </c>
    </row>
    <row r="275" spans="1:13" ht="27.75" customHeight="1">
      <c r="A275" s="447" t="s">
        <v>1898</v>
      </c>
      <c r="B275" s="448" t="s">
        <v>2324</v>
      </c>
      <c r="C275" s="626">
        <v>134340</v>
      </c>
      <c r="D275" s="785">
        <f t="shared" si="33"/>
        <v>36340</v>
      </c>
      <c r="E275" s="785">
        <v>1900</v>
      </c>
      <c r="F275" s="785">
        <v>1800</v>
      </c>
      <c r="G275" s="785">
        <v>320</v>
      </c>
      <c r="H275" s="785">
        <v>2500</v>
      </c>
      <c r="I275" s="785">
        <v>3000</v>
      </c>
      <c r="J275" s="785">
        <v>320</v>
      </c>
      <c r="K275" s="785">
        <v>17300</v>
      </c>
      <c r="L275" s="804">
        <v>9200</v>
      </c>
      <c r="M275" s="805">
        <f t="shared" si="34"/>
        <v>27.050766711329459</v>
      </c>
    </row>
    <row r="276" spans="1:13" ht="27.75" customHeight="1">
      <c r="A276" s="447" t="s">
        <v>1968</v>
      </c>
      <c r="B276" s="448" t="s">
        <v>2325</v>
      </c>
      <c r="C276" s="626">
        <v>76633</v>
      </c>
      <c r="D276" s="785">
        <f t="shared" si="33"/>
        <v>2539.6999999999998</v>
      </c>
      <c r="E276" s="785">
        <v>31.5</v>
      </c>
      <c r="F276" s="785">
        <v>0</v>
      </c>
      <c r="G276" s="785">
        <v>146.19999999999999</v>
      </c>
      <c r="H276" s="785">
        <v>1315</v>
      </c>
      <c r="I276" s="785">
        <v>900.8</v>
      </c>
      <c r="J276" s="785">
        <v>146.19999999999999</v>
      </c>
      <c r="K276" s="785">
        <v>0</v>
      </c>
      <c r="L276" s="804">
        <v>0</v>
      </c>
      <c r="M276" s="805">
        <f t="shared" si="34"/>
        <v>3.3141074993801625</v>
      </c>
    </row>
    <row r="277" spans="1:13" ht="27.75" customHeight="1">
      <c r="A277" s="446" t="s">
        <v>1969</v>
      </c>
      <c r="B277" s="781" t="s">
        <v>2326</v>
      </c>
      <c r="C277" s="626">
        <v>214743</v>
      </c>
      <c r="D277" s="785">
        <f t="shared" si="33"/>
        <v>26732</v>
      </c>
      <c r="E277" s="785">
        <v>23209</v>
      </c>
      <c r="F277" s="785">
        <v>100</v>
      </c>
      <c r="G277" s="785" t="s">
        <v>1588</v>
      </c>
      <c r="H277" s="785">
        <v>400</v>
      </c>
      <c r="I277" s="785">
        <v>2400</v>
      </c>
      <c r="J277" s="785">
        <v>623</v>
      </c>
      <c r="K277" s="785" t="s">
        <v>1588</v>
      </c>
      <c r="L277" s="804" t="s">
        <v>1588</v>
      </c>
      <c r="M277" s="805">
        <f t="shared" si="34"/>
        <v>12.448368514922489</v>
      </c>
    </row>
    <row r="278" spans="1:13" ht="27.75" customHeight="1">
      <c r="A278" s="791"/>
      <c r="B278" s="781" t="s">
        <v>283</v>
      </c>
      <c r="C278" s="626">
        <v>2850</v>
      </c>
      <c r="D278" s="785">
        <f t="shared" si="33"/>
        <v>60</v>
      </c>
      <c r="E278" s="785" t="s">
        <v>1588</v>
      </c>
      <c r="F278" s="785" t="s">
        <v>1588</v>
      </c>
      <c r="G278" s="785" t="s">
        <v>1588</v>
      </c>
      <c r="H278" s="785" t="s">
        <v>1588</v>
      </c>
      <c r="I278" s="785">
        <v>60</v>
      </c>
      <c r="J278" s="785" t="s">
        <v>1588</v>
      </c>
      <c r="K278" s="785" t="s">
        <v>1588</v>
      </c>
      <c r="L278" s="804" t="s">
        <v>1588</v>
      </c>
      <c r="M278" s="805">
        <f t="shared" si="34"/>
        <v>2.1052631578947367</v>
      </c>
    </row>
    <row r="279" spans="1:13" ht="27.75" customHeight="1">
      <c r="A279" s="791"/>
      <c r="B279" s="781" t="s">
        <v>284</v>
      </c>
      <c r="C279" s="626">
        <v>97000</v>
      </c>
      <c r="D279" s="785">
        <f t="shared" si="33"/>
        <v>15814</v>
      </c>
      <c r="E279" s="785">
        <v>81</v>
      </c>
      <c r="F279" s="785" t="s">
        <v>1588</v>
      </c>
      <c r="G279" s="785" t="s">
        <v>1588</v>
      </c>
      <c r="H279" s="785">
        <v>13857</v>
      </c>
      <c r="I279" s="785">
        <v>254</v>
      </c>
      <c r="J279" s="785" t="s">
        <v>1588</v>
      </c>
      <c r="K279" s="785">
        <v>1622</v>
      </c>
      <c r="L279" s="804" t="s">
        <v>1588</v>
      </c>
      <c r="M279" s="805">
        <f t="shared" si="34"/>
        <v>16.303092783505154</v>
      </c>
    </row>
    <row r="280" spans="1:13" ht="27.75" customHeight="1">
      <c r="A280" s="792"/>
      <c r="B280" s="448" t="s">
        <v>285</v>
      </c>
      <c r="C280" s="626">
        <v>12506</v>
      </c>
      <c r="D280" s="785">
        <f t="shared" si="33"/>
        <v>4852</v>
      </c>
      <c r="E280" s="785">
        <v>66</v>
      </c>
      <c r="F280" s="785">
        <v>385</v>
      </c>
      <c r="G280" s="785">
        <v>73</v>
      </c>
      <c r="H280" s="785">
        <v>100</v>
      </c>
      <c r="I280" s="785">
        <v>200</v>
      </c>
      <c r="J280" s="785">
        <v>73</v>
      </c>
      <c r="K280" s="785">
        <v>100</v>
      </c>
      <c r="L280" s="804">
        <v>3855</v>
      </c>
      <c r="M280" s="805">
        <f t="shared" si="34"/>
        <v>38.797377258915724</v>
      </c>
    </row>
    <row r="281" spans="1:13" ht="27.75" customHeight="1">
      <c r="A281" s="910" t="s">
        <v>2008</v>
      </c>
      <c r="B281" s="911" t="s">
        <v>2328</v>
      </c>
      <c r="C281" s="626">
        <v>104266</v>
      </c>
      <c r="D281" s="785">
        <f t="shared" si="33"/>
        <v>7483.48</v>
      </c>
      <c r="E281" s="785" t="s">
        <v>1588</v>
      </c>
      <c r="F281" s="785">
        <v>200</v>
      </c>
      <c r="G281" s="785" t="s">
        <v>1588</v>
      </c>
      <c r="H281" s="785">
        <f>450*3.3058</f>
        <v>1487.6100000000001</v>
      </c>
      <c r="I281" s="785">
        <f>150*3.3058</f>
        <v>495.87</v>
      </c>
      <c r="J281" s="785" t="s">
        <v>1588</v>
      </c>
      <c r="K281" s="785">
        <v>5300</v>
      </c>
      <c r="L281" s="804" t="s">
        <v>1588</v>
      </c>
      <c r="M281" s="805">
        <f t="shared" si="34"/>
        <v>7.1772965300289631</v>
      </c>
    </row>
    <row r="282" spans="1:13" ht="27.75" customHeight="1">
      <c r="A282" s="446" t="s">
        <v>1901</v>
      </c>
      <c r="B282" s="448" t="s">
        <v>2329</v>
      </c>
      <c r="C282" s="626">
        <v>35894</v>
      </c>
      <c r="D282" s="785">
        <f t="shared" si="33"/>
        <v>1060</v>
      </c>
      <c r="E282" s="785" t="s">
        <v>1588</v>
      </c>
      <c r="F282" s="785" t="s">
        <v>1588</v>
      </c>
      <c r="G282" s="785">
        <v>20</v>
      </c>
      <c r="H282" s="785">
        <v>800</v>
      </c>
      <c r="I282" s="785">
        <v>240</v>
      </c>
      <c r="J282" s="785" t="s">
        <v>1588</v>
      </c>
      <c r="K282" s="785" t="s">
        <v>1588</v>
      </c>
      <c r="L282" s="804" t="s">
        <v>1588</v>
      </c>
      <c r="M282" s="805">
        <f t="shared" si="34"/>
        <v>2.9531398005237643</v>
      </c>
    </row>
    <row r="283" spans="1:13" ht="27.75" customHeight="1">
      <c r="A283" s="792"/>
      <c r="B283" s="448" t="s">
        <v>286</v>
      </c>
      <c r="C283" s="626">
        <v>28358</v>
      </c>
      <c r="D283" s="785">
        <f t="shared" si="33"/>
        <v>6863</v>
      </c>
      <c r="E283" s="785">
        <v>9</v>
      </c>
      <c r="F283" s="785" t="s">
        <v>1588</v>
      </c>
      <c r="G283" s="785">
        <v>47</v>
      </c>
      <c r="H283" s="785" t="s">
        <v>1588</v>
      </c>
      <c r="I283" s="785">
        <v>207</v>
      </c>
      <c r="J283" s="785" t="s">
        <v>1588</v>
      </c>
      <c r="K283" s="785" t="s">
        <v>1588</v>
      </c>
      <c r="L283" s="804">
        <v>6600</v>
      </c>
      <c r="M283" s="805">
        <f t="shared" si="34"/>
        <v>24.201283588405389</v>
      </c>
    </row>
    <row r="284" spans="1:13" ht="27.75" customHeight="1">
      <c r="A284" s="447" t="s">
        <v>1902</v>
      </c>
      <c r="B284" s="448" t="s">
        <v>2167</v>
      </c>
      <c r="C284" s="626">
        <v>34977</v>
      </c>
      <c r="D284" s="785">
        <f t="shared" si="33"/>
        <v>1506</v>
      </c>
      <c r="E284" s="785">
        <v>320</v>
      </c>
      <c r="F284" s="785">
        <v>90</v>
      </c>
      <c r="G284" s="785">
        <v>126</v>
      </c>
      <c r="H284" s="785">
        <v>360</v>
      </c>
      <c r="I284" s="785">
        <v>400</v>
      </c>
      <c r="J284" s="785">
        <v>170</v>
      </c>
      <c r="K284" s="785">
        <v>0</v>
      </c>
      <c r="L284" s="804">
        <v>40</v>
      </c>
      <c r="M284" s="805">
        <f t="shared" si="34"/>
        <v>4.3056865940475166</v>
      </c>
    </row>
    <row r="285" spans="1:13" ht="27.75" customHeight="1">
      <c r="A285" s="446" t="s">
        <v>2009</v>
      </c>
      <c r="B285" s="448" t="s">
        <v>2332</v>
      </c>
      <c r="C285" s="626">
        <v>78806</v>
      </c>
      <c r="D285" s="785">
        <f t="shared" si="33"/>
        <v>11630</v>
      </c>
      <c r="E285" s="785">
        <v>100</v>
      </c>
      <c r="F285" s="785">
        <v>100</v>
      </c>
      <c r="G285" s="785">
        <v>30</v>
      </c>
      <c r="H285" s="785">
        <v>200</v>
      </c>
      <c r="I285" s="785">
        <v>2000</v>
      </c>
      <c r="J285" s="785">
        <v>150</v>
      </c>
      <c r="K285" s="785">
        <v>50</v>
      </c>
      <c r="L285" s="804">
        <v>9000</v>
      </c>
      <c r="M285" s="805">
        <f t="shared" si="34"/>
        <v>14.757759561454712</v>
      </c>
    </row>
    <row r="286" spans="1:13" ht="27.75" customHeight="1">
      <c r="A286" s="791"/>
      <c r="B286" s="448" t="s">
        <v>287</v>
      </c>
      <c r="C286" s="626">
        <v>22524</v>
      </c>
      <c r="D286" s="785">
        <f t="shared" si="33"/>
        <v>3630</v>
      </c>
      <c r="E286" s="785">
        <v>100</v>
      </c>
      <c r="F286" s="785" t="s">
        <v>1588</v>
      </c>
      <c r="G286" s="785">
        <v>30</v>
      </c>
      <c r="H286" s="785">
        <v>2500</v>
      </c>
      <c r="I286" s="785">
        <v>1000</v>
      </c>
      <c r="J286" s="785" t="s">
        <v>1588</v>
      </c>
      <c r="K286" s="785" t="s">
        <v>1588</v>
      </c>
      <c r="L286" s="804" t="s">
        <v>1588</v>
      </c>
      <c r="M286" s="805">
        <f t="shared" si="34"/>
        <v>16.116142781033567</v>
      </c>
    </row>
    <row r="287" spans="1:13" ht="27.75" customHeight="1">
      <c r="A287" s="792"/>
      <c r="B287" s="448" t="s">
        <v>288</v>
      </c>
      <c r="C287" s="626">
        <v>10423</v>
      </c>
      <c r="D287" s="785">
        <f t="shared" si="33"/>
        <v>5130</v>
      </c>
      <c r="E287" s="785">
        <v>100</v>
      </c>
      <c r="F287" s="785" t="s">
        <v>1588</v>
      </c>
      <c r="G287" s="785">
        <v>30</v>
      </c>
      <c r="H287" s="785" t="s">
        <v>1588</v>
      </c>
      <c r="I287" s="785">
        <v>1000</v>
      </c>
      <c r="J287" s="785" t="s">
        <v>1588</v>
      </c>
      <c r="K287" s="785" t="s">
        <v>1588</v>
      </c>
      <c r="L287" s="804">
        <v>4000</v>
      </c>
      <c r="M287" s="805">
        <f t="shared" si="34"/>
        <v>49.218075410150632</v>
      </c>
    </row>
    <row r="288" spans="1:13" ht="27.75" customHeight="1">
      <c r="A288" s="447" t="s">
        <v>1753</v>
      </c>
      <c r="B288" s="448" t="s">
        <v>2333</v>
      </c>
      <c r="C288" s="626">
        <v>46636</v>
      </c>
      <c r="D288" s="785">
        <f t="shared" si="33"/>
        <v>517</v>
      </c>
      <c r="E288" s="785" t="s">
        <v>1588</v>
      </c>
      <c r="F288" s="785" t="s">
        <v>1588</v>
      </c>
      <c r="G288" s="785" t="s">
        <v>1588</v>
      </c>
      <c r="H288" s="785">
        <v>517</v>
      </c>
      <c r="I288" s="785" t="s">
        <v>1588</v>
      </c>
      <c r="J288" s="785" t="s">
        <v>1588</v>
      </c>
      <c r="K288" s="785" t="s">
        <v>1588</v>
      </c>
      <c r="L288" s="804" t="s">
        <v>1588</v>
      </c>
      <c r="M288" s="805">
        <f t="shared" si="34"/>
        <v>1.1085856419933098</v>
      </c>
    </row>
    <row r="289" spans="1:13" ht="27.75" customHeight="1">
      <c r="A289" s="447" t="s">
        <v>1616</v>
      </c>
      <c r="B289" s="789">
        <f>COUNTA(B290:B303)</f>
        <v>14</v>
      </c>
      <c r="C289" s="626">
        <f t="shared" ref="C289:L289" si="37">SUM(C290:C303)</f>
        <v>334895</v>
      </c>
      <c r="D289" s="785">
        <f t="shared" si="33"/>
        <v>65915.900000000009</v>
      </c>
      <c r="E289" s="785">
        <f t="shared" si="37"/>
        <v>3155.35</v>
      </c>
      <c r="F289" s="785">
        <f t="shared" si="37"/>
        <v>500</v>
      </c>
      <c r="G289" s="785">
        <f t="shared" si="37"/>
        <v>1471</v>
      </c>
      <c r="H289" s="785">
        <f t="shared" si="37"/>
        <v>23210.2</v>
      </c>
      <c r="I289" s="785">
        <f t="shared" si="37"/>
        <v>3806.1800000000003</v>
      </c>
      <c r="J289" s="785">
        <f t="shared" si="37"/>
        <v>586.4</v>
      </c>
      <c r="K289" s="785">
        <f t="shared" si="37"/>
        <v>4214</v>
      </c>
      <c r="L289" s="804">
        <f t="shared" si="37"/>
        <v>28972.77</v>
      </c>
      <c r="M289" s="805">
        <f t="shared" si="34"/>
        <v>19.68255721942699</v>
      </c>
    </row>
    <row r="290" spans="1:13" ht="27.75" customHeight="1">
      <c r="A290" s="446" t="s">
        <v>1909</v>
      </c>
      <c r="B290" s="448" t="s">
        <v>2334</v>
      </c>
      <c r="C290" s="626">
        <v>21978</v>
      </c>
      <c r="D290" s="785">
        <f t="shared" si="33"/>
        <v>7554.15</v>
      </c>
      <c r="E290" s="785">
        <f>1700+(7.5*7.5)</f>
        <v>1756.25</v>
      </c>
      <c r="F290" s="785" t="s">
        <v>1588</v>
      </c>
      <c r="G290" s="785">
        <f>108+98</f>
        <v>206</v>
      </c>
      <c r="H290" s="785" t="s">
        <v>1588</v>
      </c>
      <c r="I290" s="785">
        <v>172.5</v>
      </c>
      <c r="J290" s="785">
        <v>50.4</v>
      </c>
      <c r="K290" s="785" t="s">
        <v>1588</v>
      </c>
      <c r="L290" s="804">
        <v>5369</v>
      </c>
      <c r="M290" s="805">
        <f t="shared" si="34"/>
        <v>34.371416871416869</v>
      </c>
    </row>
    <row r="291" spans="1:13" ht="27.75" customHeight="1">
      <c r="A291" s="792"/>
      <c r="B291" s="448" t="s">
        <v>289</v>
      </c>
      <c r="C291" s="626">
        <v>8819</v>
      </c>
      <c r="D291" s="785">
        <f t="shared" si="33"/>
        <v>4884.7000000000007</v>
      </c>
      <c r="E291" s="785">
        <v>327.85</v>
      </c>
      <c r="F291" s="785" t="s">
        <v>1588</v>
      </c>
      <c r="G291" s="785" t="s">
        <v>1588</v>
      </c>
      <c r="H291" s="785" t="s">
        <v>1588</v>
      </c>
      <c r="I291" s="785">
        <v>4.08</v>
      </c>
      <c r="J291" s="785" t="s">
        <v>1588</v>
      </c>
      <c r="K291" s="785" t="s">
        <v>1588</v>
      </c>
      <c r="L291" s="804">
        <v>4552.7700000000004</v>
      </c>
      <c r="M291" s="805">
        <f t="shared" si="34"/>
        <v>55.388366027894328</v>
      </c>
    </row>
    <row r="292" spans="1:13" ht="27.75" customHeight="1">
      <c r="A292" s="446" t="s">
        <v>1917</v>
      </c>
      <c r="B292" s="448" t="s">
        <v>2041</v>
      </c>
      <c r="C292" s="626">
        <v>32509</v>
      </c>
      <c r="D292" s="785">
        <f t="shared" si="33"/>
        <v>13608</v>
      </c>
      <c r="E292" s="785">
        <v>54</v>
      </c>
      <c r="F292" s="785" t="s">
        <v>1588</v>
      </c>
      <c r="G292" s="785" t="s">
        <v>1588</v>
      </c>
      <c r="H292" s="785">
        <v>700</v>
      </c>
      <c r="I292" s="785">
        <v>175</v>
      </c>
      <c r="J292" s="785">
        <v>80</v>
      </c>
      <c r="K292" s="785" t="s">
        <v>1588</v>
      </c>
      <c r="L292" s="804">
        <v>12599</v>
      </c>
      <c r="M292" s="805">
        <f t="shared" si="34"/>
        <v>41.859177458549937</v>
      </c>
    </row>
    <row r="293" spans="1:13" ht="27.75" customHeight="1">
      <c r="A293" s="791"/>
      <c r="B293" s="448" t="s">
        <v>2337</v>
      </c>
      <c r="C293" s="626">
        <v>9913</v>
      </c>
      <c r="D293" s="785">
        <f t="shared" si="33"/>
        <v>510.05</v>
      </c>
      <c r="E293" s="785">
        <v>0.25</v>
      </c>
      <c r="F293" s="785" t="s">
        <v>1588</v>
      </c>
      <c r="G293" s="785" t="s">
        <v>1588</v>
      </c>
      <c r="H293" s="785">
        <v>340.2</v>
      </c>
      <c r="I293" s="785">
        <v>44.6</v>
      </c>
      <c r="J293" s="785" t="s">
        <v>1588</v>
      </c>
      <c r="K293" s="785">
        <v>125</v>
      </c>
      <c r="L293" s="804" t="s">
        <v>1588</v>
      </c>
      <c r="M293" s="805">
        <f t="shared" si="34"/>
        <v>5.1452637950166444</v>
      </c>
    </row>
    <row r="294" spans="1:13" ht="27.75" customHeight="1">
      <c r="A294" s="792"/>
      <c r="B294" s="448" t="s">
        <v>2076</v>
      </c>
      <c r="C294" s="626">
        <v>376</v>
      </c>
      <c r="D294" s="785">
        <f t="shared" si="33"/>
        <v>0</v>
      </c>
      <c r="E294" s="785" t="s">
        <v>1588</v>
      </c>
      <c r="F294" s="785" t="s">
        <v>1588</v>
      </c>
      <c r="G294" s="785" t="s">
        <v>1588</v>
      </c>
      <c r="H294" s="785" t="s">
        <v>1588</v>
      </c>
      <c r="I294" s="785" t="s">
        <v>1588</v>
      </c>
      <c r="J294" s="785" t="s">
        <v>1588</v>
      </c>
      <c r="K294" s="785" t="s">
        <v>1588</v>
      </c>
      <c r="L294" s="804" t="s">
        <v>1588</v>
      </c>
      <c r="M294" s="805">
        <f t="shared" si="34"/>
        <v>0</v>
      </c>
    </row>
    <row r="295" spans="1:13" ht="27.75" customHeight="1">
      <c r="A295" s="446" t="s">
        <v>1918</v>
      </c>
      <c r="B295" s="448" t="s">
        <v>2338</v>
      </c>
      <c r="C295" s="626">
        <v>29158</v>
      </c>
      <c r="D295" s="785">
        <f t="shared" si="33"/>
        <v>6910</v>
      </c>
      <c r="E295" s="785">
        <v>150</v>
      </c>
      <c r="F295" s="785">
        <v>500</v>
      </c>
      <c r="G295" s="785">
        <v>1000</v>
      </c>
      <c r="H295" s="785">
        <v>60</v>
      </c>
      <c r="I295" s="785">
        <v>100</v>
      </c>
      <c r="J295" s="785">
        <v>100</v>
      </c>
      <c r="K295" s="785" t="s">
        <v>1588</v>
      </c>
      <c r="L295" s="804">
        <v>5000</v>
      </c>
      <c r="M295" s="805">
        <f t="shared" si="34"/>
        <v>23.698470402633927</v>
      </c>
    </row>
    <row r="296" spans="1:13" ht="27.75" customHeight="1">
      <c r="A296" s="792"/>
      <c r="B296" s="448" t="s">
        <v>338</v>
      </c>
      <c r="C296" s="626">
        <v>4833</v>
      </c>
      <c r="D296" s="785">
        <f t="shared" si="33"/>
        <v>1050</v>
      </c>
      <c r="E296" s="785" t="s">
        <v>1588</v>
      </c>
      <c r="F296" s="785" t="s">
        <v>1588</v>
      </c>
      <c r="G296" s="785" t="s">
        <v>1588</v>
      </c>
      <c r="H296" s="785" t="s">
        <v>1588</v>
      </c>
      <c r="I296" s="785">
        <v>50</v>
      </c>
      <c r="J296" s="785" t="s">
        <v>1588</v>
      </c>
      <c r="K296" s="785" t="s">
        <v>1588</v>
      </c>
      <c r="L296" s="804">
        <v>1000</v>
      </c>
      <c r="M296" s="805">
        <f t="shared" si="34"/>
        <v>21.725636250775914</v>
      </c>
    </row>
    <row r="297" spans="1:13" ht="27.75" customHeight="1">
      <c r="A297" s="447" t="s">
        <v>1919</v>
      </c>
      <c r="B297" s="448" t="s">
        <v>2341</v>
      </c>
      <c r="C297" s="626">
        <v>29434</v>
      </c>
      <c r="D297" s="785">
        <f t="shared" si="33"/>
        <v>1152</v>
      </c>
      <c r="E297" s="785" t="s">
        <v>1588</v>
      </c>
      <c r="F297" s="785" t="s">
        <v>1588</v>
      </c>
      <c r="G297" s="785" t="s">
        <v>1588</v>
      </c>
      <c r="H297" s="785">
        <v>1152</v>
      </c>
      <c r="I297" s="785" t="s">
        <v>1588</v>
      </c>
      <c r="J297" s="785" t="s">
        <v>1588</v>
      </c>
      <c r="K297" s="785" t="s">
        <v>1588</v>
      </c>
      <c r="L297" s="804" t="s">
        <v>1588</v>
      </c>
      <c r="M297" s="805">
        <f t="shared" si="34"/>
        <v>3.9138411361011074</v>
      </c>
    </row>
    <row r="298" spans="1:13" ht="27.75" customHeight="1">
      <c r="A298" s="447" t="s">
        <v>1921</v>
      </c>
      <c r="B298" s="448" t="s">
        <v>2342</v>
      </c>
      <c r="C298" s="626">
        <v>11134</v>
      </c>
      <c r="D298" s="785">
        <f t="shared" si="33"/>
        <v>5588</v>
      </c>
      <c r="E298" s="785">
        <v>100</v>
      </c>
      <c r="F298" s="785" t="s">
        <v>1588</v>
      </c>
      <c r="G298" s="785">
        <v>265</v>
      </c>
      <c r="H298" s="785">
        <v>900</v>
      </c>
      <c r="I298" s="785">
        <v>235</v>
      </c>
      <c r="J298" s="785">
        <v>36</v>
      </c>
      <c r="K298" s="785">
        <v>3600</v>
      </c>
      <c r="L298" s="804">
        <v>452</v>
      </c>
      <c r="M298" s="805">
        <f t="shared" si="34"/>
        <v>50.188611460391598</v>
      </c>
    </row>
    <row r="299" spans="1:13" ht="27.75" customHeight="1">
      <c r="A299" s="446" t="s">
        <v>1922</v>
      </c>
      <c r="B299" s="448" t="s">
        <v>290</v>
      </c>
      <c r="C299" s="626">
        <v>74000</v>
      </c>
      <c r="D299" s="785">
        <f t="shared" si="33"/>
        <v>9150</v>
      </c>
      <c r="E299" s="785" t="s">
        <v>1588</v>
      </c>
      <c r="F299" s="785" t="s">
        <v>1588</v>
      </c>
      <c r="G299" s="785" t="s">
        <v>1588</v>
      </c>
      <c r="H299" s="785">
        <v>8000</v>
      </c>
      <c r="I299" s="785">
        <v>1000</v>
      </c>
      <c r="J299" s="785" t="s">
        <v>1588</v>
      </c>
      <c r="K299" s="785">
        <v>150</v>
      </c>
      <c r="L299" s="804" t="s">
        <v>1588</v>
      </c>
      <c r="M299" s="805">
        <f t="shared" si="34"/>
        <v>12.364864864864865</v>
      </c>
    </row>
    <row r="300" spans="1:13" ht="27.75" customHeight="1">
      <c r="A300" s="792"/>
      <c r="B300" s="448" t="s">
        <v>291</v>
      </c>
      <c r="C300" s="626">
        <v>29000</v>
      </c>
      <c r="D300" s="785">
        <f t="shared" si="33"/>
        <v>750</v>
      </c>
      <c r="E300" s="785" t="s">
        <v>1588</v>
      </c>
      <c r="F300" s="785" t="s">
        <v>1588</v>
      </c>
      <c r="G300" s="785" t="s">
        <v>1588</v>
      </c>
      <c r="H300" s="785">
        <v>600</v>
      </c>
      <c r="I300" s="785">
        <v>150</v>
      </c>
      <c r="J300" s="785" t="s">
        <v>1588</v>
      </c>
      <c r="K300" s="785" t="s">
        <v>1588</v>
      </c>
      <c r="L300" s="804" t="s">
        <v>1588</v>
      </c>
      <c r="M300" s="805">
        <f t="shared" si="34"/>
        <v>2.5862068965517242</v>
      </c>
    </row>
    <row r="301" spans="1:13" ht="27.75" customHeight="1">
      <c r="A301" s="447" t="s">
        <v>1923</v>
      </c>
      <c r="B301" s="448" t="s">
        <v>544</v>
      </c>
      <c r="C301" s="626">
        <v>51983</v>
      </c>
      <c r="D301" s="785">
        <f t="shared" si="33"/>
        <v>13283</v>
      </c>
      <c r="E301" s="785">
        <v>450</v>
      </c>
      <c r="F301" s="785" t="s">
        <v>1588</v>
      </c>
      <c r="G301" s="785" t="s">
        <v>1588</v>
      </c>
      <c r="H301" s="785">
        <v>11433</v>
      </c>
      <c r="I301" s="785">
        <v>1080</v>
      </c>
      <c r="J301" s="785">
        <v>320</v>
      </c>
      <c r="K301" s="785" t="s">
        <v>1588</v>
      </c>
      <c r="L301" s="804" t="s">
        <v>1588</v>
      </c>
      <c r="M301" s="805">
        <f t="shared" si="34"/>
        <v>25.552584498778447</v>
      </c>
    </row>
    <row r="302" spans="1:13" ht="27.75" customHeight="1">
      <c r="A302" s="898" t="s">
        <v>1928</v>
      </c>
      <c r="B302" s="782" t="s">
        <v>2345</v>
      </c>
      <c r="C302" s="626">
        <v>18550</v>
      </c>
      <c r="D302" s="785">
        <f t="shared" si="33"/>
        <v>1076</v>
      </c>
      <c r="E302" s="785">
        <v>317</v>
      </c>
      <c r="F302" s="785" t="s">
        <v>1588</v>
      </c>
      <c r="G302" s="785" t="s">
        <v>1588</v>
      </c>
      <c r="H302" s="785">
        <v>25</v>
      </c>
      <c r="I302" s="785">
        <v>395</v>
      </c>
      <c r="J302" s="785" t="s">
        <v>1588</v>
      </c>
      <c r="K302" s="785">
        <v>339</v>
      </c>
      <c r="L302" s="804" t="s">
        <v>1588</v>
      </c>
      <c r="M302" s="805">
        <f t="shared" si="34"/>
        <v>5.8005390835579513</v>
      </c>
    </row>
    <row r="303" spans="1:13" ht="27.75" customHeight="1">
      <c r="A303" s="902"/>
      <c r="B303" s="782" t="s">
        <v>292</v>
      </c>
      <c r="C303" s="626">
        <v>13208</v>
      </c>
      <c r="D303" s="785">
        <f t="shared" si="33"/>
        <v>400</v>
      </c>
      <c r="E303" s="785" t="s">
        <v>1588</v>
      </c>
      <c r="F303" s="785" t="s">
        <v>1588</v>
      </c>
      <c r="G303" s="785" t="s">
        <v>1588</v>
      </c>
      <c r="H303" s="785" t="s">
        <v>1588</v>
      </c>
      <c r="I303" s="785">
        <v>400</v>
      </c>
      <c r="J303" s="785" t="s">
        <v>1588</v>
      </c>
      <c r="K303" s="785" t="s">
        <v>1588</v>
      </c>
      <c r="L303" s="804" t="s">
        <v>1588</v>
      </c>
      <c r="M303" s="805">
        <f t="shared" si="34"/>
        <v>3.0284675953967293</v>
      </c>
    </row>
    <row r="304" spans="1:13" ht="27.75" customHeight="1">
      <c r="A304" s="447" t="s">
        <v>1978</v>
      </c>
      <c r="B304" s="789">
        <f>B305+B325</f>
        <v>34</v>
      </c>
      <c r="C304" s="626">
        <f>C305+C325</f>
        <v>1739505</v>
      </c>
      <c r="D304" s="785">
        <f t="shared" si="33"/>
        <v>292764.45</v>
      </c>
      <c r="E304" s="626">
        <f t="shared" ref="E304:L304" si="38">E305+E325</f>
        <v>47700.77</v>
      </c>
      <c r="F304" s="785">
        <f t="shared" si="38"/>
        <v>19484.8</v>
      </c>
      <c r="G304" s="785">
        <f t="shared" si="38"/>
        <v>2155.2399999999998</v>
      </c>
      <c r="H304" s="785">
        <f t="shared" si="38"/>
        <v>61416.899999999994</v>
      </c>
      <c r="I304" s="785">
        <f t="shared" si="38"/>
        <v>19823.5</v>
      </c>
      <c r="J304" s="785">
        <f t="shared" si="38"/>
        <v>11375.44</v>
      </c>
      <c r="K304" s="785">
        <f t="shared" si="38"/>
        <v>24682.6</v>
      </c>
      <c r="L304" s="804">
        <f t="shared" si="38"/>
        <v>106125.2</v>
      </c>
      <c r="M304" s="805">
        <f t="shared" si="34"/>
        <v>16.830331042451732</v>
      </c>
    </row>
    <row r="305" spans="1:13" ht="27.75" customHeight="1">
      <c r="A305" s="446" t="s">
        <v>1674</v>
      </c>
      <c r="B305" s="789">
        <f>COUNTA(B306:B324)</f>
        <v>19</v>
      </c>
      <c r="C305" s="626">
        <f t="shared" ref="C305:L305" si="39">SUM(C306:C324)</f>
        <v>1317280</v>
      </c>
      <c r="D305" s="785">
        <f t="shared" si="33"/>
        <v>245946.97999999998</v>
      </c>
      <c r="E305" s="785">
        <f t="shared" si="39"/>
        <v>45694</v>
      </c>
      <c r="F305" s="785">
        <f t="shared" si="39"/>
        <v>17854.8</v>
      </c>
      <c r="G305" s="785">
        <f t="shared" si="39"/>
        <v>1889.24</v>
      </c>
      <c r="H305" s="785">
        <f t="shared" si="39"/>
        <v>52967.199999999997</v>
      </c>
      <c r="I305" s="785">
        <f t="shared" si="39"/>
        <v>14476.8</v>
      </c>
      <c r="J305" s="785">
        <f t="shared" si="39"/>
        <v>10657.94</v>
      </c>
      <c r="K305" s="785">
        <f t="shared" si="39"/>
        <v>2996</v>
      </c>
      <c r="L305" s="804">
        <f t="shared" si="39"/>
        <v>99411</v>
      </c>
      <c r="M305" s="805">
        <f t="shared" si="34"/>
        <v>18.670820174905863</v>
      </c>
    </row>
    <row r="306" spans="1:13" ht="27.75" customHeight="1">
      <c r="A306" s="446" t="s">
        <v>1930</v>
      </c>
      <c r="B306" s="448" t="s">
        <v>2346</v>
      </c>
      <c r="C306" s="626">
        <v>223991</v>
      </c>
      <c r="D306" s="785">
        <f t="shared" si="33"/>
        <v>10100</v>
      </c>
      <c r="E306" s="785">
        <v>1000</v>
      </c>
      <c r="F306" s="785" t="s">
        <v>1588</v>
      </c>
      <c r="G306" s="785">
        <v>100</v>
      </c>
      <c r="H306" s="785">
        <v>5000</v>
      </c>
      <c r="I306" s="785">
        <v>3000</v>
      </c>
      <c r="J306" s="785" t="s">
        <v>1588</v>
      </c>
      <c r="K306" s="785">
        <v>1000</v>
      </c>
      <c r="L306" s="804" t="s">
        <v>1588</v>
      </c>
      <c r="M306" s="805">
        <f t="shared" si="34"/>
        <v>4.5091097410163803</v>
      </c>
    </row>
    <row r="307" spans="1:13" ht="27.75" customHeight="1">
      <c r="A307" s="446" t="s">
        <v>1931</v>
      </c>
      <c r="B307" s="790" t="s">
        <v>488</v>
      </c>
      <c r="C307" s="626">
        <v>153275</v>
      </c>
      <c r="D307" s="785">
        <f t="shared" si="33"/>
        <v>635.18000000000006</v>
      </c>
      <c r="E307" s="785" t="s">
        <v>1588</v>
      </c>
      <c r="F307" s="785" t="s">
        <v>1588</v>
      </c>
      <c r="G307" s="785">
        <v>112.24</v>
      </c>
      <c r="H307" s="785" t="s">
        <v>1588</v>
      </c>
      <c r="I307" s="785">
        <v>469</v>
      </c>
      <c r="J307" s="785">
        <v>53.94</v>
      </c>
      <c r="K307" s="785" t="s">
        <v>1588</v>
      </c>
      <c r="L307" s="804" t="s">
        <v>1588</v>
      </c>
      <c r="M307" s="805">
        <f t="shared" si="34"/>
        <v>0.41440548034578378</v>
      </c>
    </row>
    <row r="308" spans="1:13" ht="27.75" customHeight="1">
      <c r="A308" s="791"/>
      <c r="B308" s="790" t="s">
        <v>489</v>
      </c>
      <c r="C308" s="626">
        <v>19482</v>
      </c>
      <c r="D308" s="785">
        <f t="shared" si="33"/>
        <v>253</v>
      </c>
      <c r="E308" s="785" t="s">
        <v>1588</v>
      </c>
      <c r="F308" s="785" t="s">
        <v>1588</v>
      </c>
      <c r="G308" s="785" t="s">
        <v>1588</v>
      </c>
      <c r="H308" s="785" t="s">
        <v>1588</v>
      </c>
      <c r="I308" s="785">
        <v>253</v>
      </c>
      <c r="J308" s="785" t="s">
        <v>1588</v>
      </c>
      <c r="K308" s="785" t="s">
        <v>1588</v>
      </c>
      <c r="L308" s="804" t="s">
        <v>1588</v>
      </c>
      <c r="M308" s="805">
        <f t="shared" si="34"/>
        <v>1.2986346371009136</v>
      </c>
    </row>
    <row r="309" spans="1:13" ht="27.75" customHeight="1">
      <c r="A309" s="792"/>
      <c r="B309" s="790" t="s">
        <v>490</v>
      </c>
      <c r="C309" s="626">
        <v>18067</v>
      </c>
      <c r="D309" s="785">
        <f t="shared" si="33"/>
        <v>253</v>
      </c>
      <c r="E309" s="785" t="s">
        <v>1588</v>
      </c>
      <c r="F309" s="785" t="s">
        <v>1588</v>
      </c>
      <c r="G309" s="785" t="s">
        <v>1588</v>
      </c>
      <c r="H309" s="785" t="s">
        <v>1588</v>
      </c>
      <c r="I309" s="785">
        <v>253</v>
      </c>
      <c r="J309" s="785" t="s">
        <v>1588</v>
      </c>
      <c r="K309" s="785" t="s">
        <v>1588</v>
      </c>
      <c r="L309" s="804" t="s">
        <v>1588</v>
      </c>
      <c r="M309" s="805">
        <f t="shared" si="34"/>
        <v>1.400343167100238</v>
      </c>
    </row>
    <row r="310" spans="1:13" ht="27.75" customHeight="1">
      <c r="A310" s="792" t="s">
        <v>1933</v>
      </c>
      <c r="B310" s="448" t="s">
        <v>2439</v>
      </c>
      <c r="C310" s="626">
        <v>77917</v>
      </c>
      <c r="D310" s="785">
        <f t="shared" si="33"/>
        <v>19031.5</v>
      </c>
      <c r="E310" s="785" t="s">
        <v>1588</v>
      </c>
      <c r="F310" s="785" t="s">
        <v>1588</v>
      </c>
      <c r="G310" s="785">
        <v>1224</v>
      </c>
      <c r="H310" s="785">
        <v>6395.5</v>
      </c>
      <c r="I310" s="785">
        <v>2322</v>
      </c>
      <c r="J310" s="785">
        <v>9090</v>
      </c>
      <c r="K310" s="785" t="s">
        <v>1588</v>
      </c>
      <c r="L310" s="804" t="s">
        <v>1588</v>
      </c>
      <c r="M310" s="805">
        <f t="shared" si="34"/>
        <v>24.425350051978388</v>
      </c>
    </row>
    <row r="311" spans="1:13" ht="27.75" customHeight="1">
      <c r="A311" s="446" t="s">
        <v>1936</v>
      </c>
      <c r="B311" s="448" t="s">
        <v>2440</v>
      </c>
      <c r="C311" s="626">
        <v>34483</v>
      </c>
      <c r="D311" s="785">
        <f t="shared" si="33"/>
        <v>790</v>
      </c>
      <c r="E311" s="785" t="s">
        <v>1588</v>
      </c>
      <c r="F311" s="785">
        <v>220</v>
      </c>
      <c r="G311" s="785" t="s">
        <v>1588</v>
      </c>
      <c r="H311" s="785">
        <v>20</v>
      </c>
      <c r="I311" s="785" t="s">
        <v>1588</v>
      </c>
      <c r="J311" s="785">
        <v>50</v>
      </c>
      <c r="K311" s="785" t="s">
        <v>1588</v>
      </c>
      <c r="L311" s="804">
        <v>500</v>
      </c>
      <c r="M311" s="805">
        <f t="shared" si="34"/>
        <v>2.2909839631122582</v>
      </c>
    </row>
    <row r="312" spans="1:13" ht="27.75" customHeight="1">
      <c r="A312" s="446" t="s">
        <v>1937</v>
      </c>
      <c r="B312" s="790" t="s">
        <v>1938</v>
      </c>
      <c r="C312" s="626">
        <v>36700</v>
      </c>
      <c r="D312" s="785">
        <f t="shared" si="33"/>
        <v>3675</v>
      </c>
      <c r="E312" s="785">
        <v>1980</v>
      </c>
      <c r="F312" s="785" t="s">
        <v>1588</v>
      </c>
      <c r="G312" s="785">
        <v>165</v>
      </c>
      <c r="H312" s="785">
        <v>990</v>
      </c>
      <c r="I312" s="785">
        <v>425</v>
      </c>
      <c r="J312" s="785" t="s">
        <v>1588</v>
      </c>
      <c r="K312" s="785" t="s">
        <v>1588</v>
      </c>
      <c r="L312" s="804">
        <v>115</v>
      </c>
      <c r="M312" s="805">
        <f t="shared" si="34"/>
        <v>10.013623978201634</v>
      </c>
    </row>
    <row r="313" spans="1:13" ht="27.75" customHeight="1">
      <c r="A313" s="791"/>
      <c r="B313" s="790" t="s">
        <v>298</v>
      </c>
      <c r="C313" s="626">
        <v>85762</v>
      </c>
      <c r="D313" s="785">
        <f t="shared" si="33"/>
        <v>17319</v>
      </c>
      <c r="E313" s="785">
        <v>78</v>
      </c>
      <c r="F313" s="785">
        <v>16704</v>
      </c>
      <c r="G313" s="785">
        <v>72</v>
      </c>
      <c r="H313" s="785">
        <v>170</v>
      </c>
      <c r="I313" s="785">
        <v>280</v>
      </c>
      <c r="J313" s="785" t="s">
        <v>1588</v>
      </c>
      <c r="K313" s="785" t="s">
        <v>1588</v>
      </c>
      <c r="L313" s="804">
        <v>15</v>
      </c>
      <c r="M313" s="805">
        <f t="shared" si="34"/>
        <v>20.194258529418622</v>
      </c>
    </row>
    <row r="314" spans="1:13" ht="27.75" customHeight="1">
      <c r="A314" s="791"/>
      <c r="B314" s="790" t="s">
        <v>2131</v>
      </c>
      <c r="C314" s="626">
        <v>9247</v>
      </c>
      <c r="D314" s="785">
        <f t="shared" si="33"/>
        <v>3517</v>
      </c>
      <c r="E314" s="785">
        <v>162</v>
      </c>
      <c r="F314" s="785" t="s">
        <v>1588</v>
      </c>
      <c r="G314" s="785" t="s">
        <v>1588</v>
      </c>
      <c r="H314" s="785">
        <v>3155</v>
      </c>
      <c r="I314" s="785">
        <v>200</v>
      </c>
      <c r="J314" s="785" t="s">
        <v>1588</v>
      </c>
      <c r="K314" s="785" t="s">
        <v>1588</v>
      </c>
      <c r="L314" s="804" t="s">
        <v>1588</v>
      </c>
      <c r="M314" s="805">
        <f t="shared" si="34"/>
        <v>38.033956959013729</v>
      </c>
    </row>
    <row r="315" spans="1:13" ht="27.75" customHeight="1">
      <c r="A315" s="792"/>
      <c r="B315" s="790" t="s">
        <v>299</v>
      </c>
      <c r="C315" s="626">
        <v>16985</v>
      </c>
      <c r="D315" s="785">
        <f t="shared" si="33"/>
        <v>9555</v>
      </c>
      <c r="E315" s="785">
        <v>152</v>
      </c>
      <c r="F315" s="785" t="s">
        <v>1588</v>
      </c>
      <c r="G315" s="785" t="s">
        <v>1588</v>
      </c>
      <c r="H315" s="785">
        <v>9028</v>
      </c>
      <c r="I315" s="785">
        <v>375</v>
      </c>
      <c r="J315" s="785" t="s">
        <v>1588</v>
      </c>
      <c r="K315" s="785" t="s">
        <v>1588</v>
      </c>
      <c r="L315" s="804" t="s">
        <v>1588</v>
      </c>
      <c r="M315" s="805">
        <f t="shared" si="34"/>
        <v>56.25551957609656</v>
      </c>
    </row>
    <row r="316" spans="1:13" ht="27.75" customHeight="1">
      <c r="A316" s="791" t="s">
        <v>1939</v>
      </c>
      <c r="B316" s="790" t="s">
        <v>545</v>
      </c>
      <c r="C316" s="626">
        <v>107406</v>
      </c>
      <c r="D316" s="785">
        <f t="shared" si="33"/>
        <v>1596.6</v>
      </c>
      <c r="E316" s="785" t="s">
        <v>1588</v>
      </c>
      <c r="F316" s="785" t="s">
        <v>1588</v>
      </c>
      <c r="G316" s="785" t="s">
        <v>1588</v>
      </c>
      <c r="H316" s="785">
        <v>851.8</v>
      </c>
      <c r="I316" s="785">
        <v>438.8</v>
      </c>
      <c r="J316" s="785">
        <v>306</v>
      </c>
      <c r="K316" s="785" t="s">
        <v>1588</v>
      </c>
      <c r="L316" s="804" t="s">
        <v>1588</v>
      </c>
      <c r="M316" s="805">
        <f t="shared" si="34"/>
        <v>1.486509133567957</v>
      </c>
    </row>
    <row r="317" spans="1:13" ht="27.75" customHeight="1">
      <c r="A317" s="791"/>
      <c r="B317" s="790" t="s">
        <v>546</v>
      </c>
      <c r="C317" s="626">
        <v>137890</v>
      </c>
      <c r="D317" s="785">
        <f t="shared" si="33"/>
        <v>8243.9</v>
      </c>
      <c r="E317" s="785">
        <v>7706</v>
      </c>
      <c r="F317" s="785" t="s">
        <v>1588</v>
      </c>
      <c r="G317" s="785" t="s">
        <v>1588</v>
      </c>
      <c r="H317" s="785">
        <v>337.9</v>
      </c>
      <c r="I317" s="785">
        <v>200</v>
      </c>
      <c r="J317" s="785" t="s">
        <v>1588</v>
      </c>
      <c r="K317" s="785" t="s">
        <v>1588</v>
      </c>
      <c r="L317" s="804" t="s">
        <v>1588</v>
      </c>
      <c r="M317" s="805">
        <f t="shared" si="34"/>
        <v>5.9786061353252586</v>
      </c>
    </row>
    <row r="318" spans="1:13" ht="27.75" customHeight="1">
      <c r="A318" s="792"/>
      <c r="B318" s="790" t="s">
        <v>547</v>
      </c>
      <c r="C318" s="626">
        <v>38396</v>
      </c>
      <c r="D318" s="785">
        <f t="shared" si="33"/>
        <v>1943</v>
      </c>
      <c r="E318" s="785">
        <v>124</v>
      </c>
      <c r="F318" s="785" t="s">
        <v>1588</v>
      </c>
      <c r="G318" s="785">
        <v>216</v>
      </c>
      <c r="H318" s="785">
        <v>1120</v>
      </c>
      <c r="I318" s="785">
        <v>261</v>
      </c>
      <c r="J318" s="785">
        <v>144</v>
      </c>
      <c r="K318" s="785">
        <v>78</v>
      </c>
      <c r="L318" s="804" t="s">
        <v>1588</v>
      </c>
      <c r="M318" s="805">
        <f t="shared" si="34"/>
        <v>5.0604229607250755</v>
      </c>
    </row>
    <row r="319" spans="1:13" ht="27.75" customHeight="1">
      <c r="A319" s="791" t="s">
        <v>1941</v>
      </c>
      <c r="B319" s="899" t="s">
        <v>548</v>
      </c>
      <c r="C319" s="626">
        <v>53964</v>
      </c>
      <c r="D319" s="785">
        <f t="shared" si="33"/>
        <v>360</v>
      </c>
      <c r="E319" s="785">
        <v>160</v>
      </c>
      <c r="F319" s="785" t="s">
        <v>1588</v>
      </c>
      <c r="G319" s="785" t="s">
        <v>1588</v>
      </c>
      <c r="H319" s="785">
        <v>200</v>
      </c>
      <c r="I319" s="785" t="s">
        <v>1588</v>
      </c>
      <c r="J319" s="785" t="s">
        <v>1588</v>
      </c>
      <c r="K319" s="785" t="s">
        <v>1588</v>
      </c>
      <c r="L319" s="804" t="s">
        <v>1588</v>
      </c>
      <c r="M319" s="805">
        <f t="shared" si="34"/>
        <v>0.66711140760507004</v>
      </c>
    </row>
    <row r="320" spans="1:13" ht="27.75" customHeight="1">
      <c r="A320" s="791"/>
      <c r="B320" s="899" t="s">
        <v>549</v>
      </c>
      <c r="C320" s="626">
        <v>27003</v>
      </c>
      <c r="D320" s="785">
        <f t="shared" si="33"/>
        <v>120</v>
      </c>
      <c r="E320" s="785">
        <v>120</v>
      </c>
      <c r="F320" s="785" t="s">
        <v>1588</v>
      </c>
      <c r="G320" s="785" t="s">
        <v>1588</v>
      </c>
      <c r="H320" s="785" t="s">
        <v>1588</v>
      </c>
      <c r="I320" s="785" t="s">
        <v>1588</v>
      </c>
      <c r="J320" s="785" t="s">
        <v>1588</v>
      </c>
      <c r="K320" s="785" t="s">
        <v>1588</v>
      </c>
      <c r="L320" s="804" t="s">
        <v>1588</v>
      </c>
      <c r="M320" s="805">
        <f t="shared" si="34"/>
        <v>0.44439506721475391</v>
      </c>
    </row>
    <row r="321" spans="1:13" ht="27.75" customHeight="1">
      <c r="A321" s="792"/>
      <c r="B321" s="899" t="s">
        <v>550</v>
      </c>
      <c r="C321" s="626">
        <v>27215</v>
      </c>
      <c r="D321" s="785">
        <f t="shared" si="33"/>
        <v>120</v>
      </c>
      <c r="E321" s="785">
        <v>120</v>
      </c>
      <c r="F321" s="785" t="s">
        <v>1588</v>
      </c>
      <c r="G321" s="785" t="s">
        <v>1588</v>
      </c>
      <c r="H321" s="785" t="s">
        <v>1588</v>
      </c>
      <c r="I321" s="785" t="s">
        <v>1588</v>
      </c>
      <c r="J321" s="785" t="s">
        <v>1588</v>
      </c>
      <c r="K321" s="785" t="s">
        <v>1588</v>
      </c>
      <c r="L321" s="804" t="s">
        <v>1588</v>
      </c>
      <c r="M321" s="805">
        <f t="shared" si="34"/>
        <v>0.44093330883703835</v>
      </c>
    </row>
    <row r="322" spans="1:13" ht="27.75" customHeight="1">
      <c r="A322" s="798" t="s">
        <v>1943</v>
      </c>
      <c r="B322" s="797" t="s">
        <v>304</v>
      </c>
      <c r="C322" s="626">
        <v>34972</v>
      </c>
      <c r="D322" s="785">
        <f t="shared" si="33"/>
        <v>20001.8</v>
      </c>
      <c r="E322" s="785">
        <v>8780</v>
      </c>
      <c r="F322" s="785">
        <v>30.8</v>
      </c>
      <c r="G322" s="785">
        <v>0</v>
      </c>
      <c r="H322" s="785">
        <v>980</v>
      </c>
      <c r="I322" s="785">
        <v>520</v>
      </c>
      <c r="J322" s="785">
        <v>64</v>
      </c>
      <c r="K322" s="785">
        <v>141</v>
      </c>
      <c r="L322" s="804">
        <v>9486</v>
      </c>
      <c r="M322" s="805">
        <f t="shared" si="34"/>
        <v>57.193755004003201</v>
      </c>
    </row>
    <row r="323" spans="1:13" ht="27.75" customHeight="1">
      <c r="A323" s="792"/>
      <c r="B323" s="790" t="s">
        <v>1944</v>
      </c>
      <c r="C323" s="626">
        <v>14000</v>
      </c>
      <c r="D323" s="785">
        <f t="shared" si="33"/>
        <v>7587</v>
      </c>
      <c r="E323" s="785">
        <v>5500</v>
      </c>
      <c r="F323" s="785" t="s">
        <v>1588</v>
      </c>
      <c r="G323" s="785" t="s">
        <v>1588</v>
      </c>
      <c r="H323" s="785">
        <v>50</v>
      </c>
      <c r="I323" s="785">
        <v>180</v>
      </c>
      <c r="J323" s="785" t="s">
        <v>1588</v>
      </c>
      <c r="K323" s="785" t="s">
        <v>1588</v>
      </c>
      <c r="L323" s="804">
        <v>1857</v>
      </c>
      <c r="M323" s="805">
        <f t="shared" si="34"/>
        <v>54.192857142857143</v>
      </c>
    </row>
    <row r="324" spans="1:13" ht="27.75" customHeight="1">
      <c r="A324" s="791" t="s">
        <v>1771</v>
      </c>
      <c r="B324" s="782" t="s">
        <v>551</v>
      </c>
      <c r="C324" s="626">
        <v>200525</v>
      </c>
      <c r="D324" s="785">
        <f t="shared" si="33"/>
        <v>140846</v>
      </c>
      <c r="E324" s="785">
        <v>19812</v>
      </c>
      <c r="F324" s="785">
        <v>900</v>
      </c>
      <c r="G324" s="785" t="s">
        <v>1588</v>
      </c>
      <c r="H324" s="785">
        <v>24669</v>
      </c>
      <c r="I324" s="785">
        <v>5300</v>
      </c>
      <c r="J324" s="785">
        <v>950</v>
      </c>
      <c r="K324" s="785">
        <v>1777</v>
      </c>
      <c r="L324" s="804">
        <v>87438</v>
      </c>
      <c r="M324" s="805">
        <f t="shared" si="34"/>
        <v>70.238623613015832</v>
      </c>
    </row>
    <row r="325" spans="1:13" ht="27.75" customHeight="1">
      <c r="A325" s="447" t="s">
        <v>1616</v>
      </c>
      <c r="B325" s="912">
        <f>COUNTA(B326:B340)</f>
        <v>15</v>
      </c>
      <c r="C325" s="626">
        <f t="shared" ref="C325:L325" si="40">SUM(C326:C340)</f>
        <v>422225</v>
      </c>
      <c r="D325" s="785">
        <f t="shared" si="33"/>
        <v>46817.47</v>
      </c>
      <c r="E325" s="785">
        <f t="shared" si="40"/>
        <v>2006.77</v>
      </c>
      <c r="F325" s="785">
        <f t="shared" si="40"/>
        <v>1630</v>
      </c>
      <c r="G325" s="785">
        <f t="shared" si="40"/>
        <v>266</v>
      </c>
      <c r="H325" s="785">
        <f t="shared" si="40"/>
        <v>8449.7000000000007</v>
      </c>
      <c r="I325" s="785">
        <f t="shared" si="40"/>
        <v>5346.7</v>
      </c>
      <c r="J325" s="785">
        <f t="shared" si="40"/>
        <v>717.5</v>
      </c>
      <c r="K325" s="785">
        <f t="shared" si="40"/>
        <v>21686.6</v>
      </c>
      <c r="L325" s="804">
        <f t="shared" si="40"/>
        <v>6714.2</v>
      </c>
      <c r="M325" s="805">
        <f t="shared" si="34"/>
        <v>11.088275208715732</v>
      </c>
    </row>
    <row r="326" spans="1:13" ht="27.75" customHeight="1">
      <c r="A326" s="791" t="s">
        <v>1774</v>
      </c>
      <c r="B326" s="790" t="s">
        <v>305</v>
      </c>
      <c r="C326" s="626">
        <v>47515</v>
      </c>
      <c r="D326" s="785">
        <f t="shared" ref="D326:D346" si="41">SUM(E326:L326)</f>
        <v>6850</v>
      </c>
      <c r="E326" s="785">
        <v>50</v>
      </c>
      <c r="F326" s="785" t="s">
        <v>1588</v>
      </c>
      <c r="G326" s="785" t="s">
        <v>1588</v>
      </c>
      <c r="H326" s="785">
        <v>5600</v>
      </c>
      <c r="I326" s="785">
        <v>1200</v>
      </c>
      <c r="J326" s="785" t="s">
        <v>1588</v>
      </c>
      <c r="K326" s="785" t="s">
        <v>1588</v>
      </c>
      <c r="L326" s="804" t="s">
        <v>1588</v>
      </c>
      <c r="M326" s="805">
        <f t="shared" ref="M326:M346" si="42">(D326/C326)*100</f>
        <v>14.416500052614964</v>
      </c>
    </row>
    <row r="327" spans="1:13" ht="27.75" customHeight="1">
      <c r="A327" s="792"/>
      <c r="B327" s="790" t="s">
        <v>306</v>
      </c>
      <c r="C327" s="626">
        <v>4500</v>
      </c>
      <c r="D327" s="785">
        <f t="shared" si="41"/>
        <v>0</v>
      </c>
      <c r="E327" s="785" t="s">
        <v>1588</v>
      </c>
      <c r="F327" s="785" t="s">
        <v>1588</v>
      </c>
      <c r="G327" s="785" t="s">
        <v>1588</v>
      </c>
      <c r="H327" s="785" t="s">
        <v>1588</v>
      </c>
      <c r="I327" s="785" t="s">
        <v>1588</v>
      </c>
      <c r="J327" s="785" t="s">
        <v>1588</v>
      </c>
      <c r="K327" s="785" t="s">
        <v>1588</v>
      </c>
      <c r="L327" s="804" t="s">
        <v>1588</v>
      </c>
      <c r="M327" s="805">
        <f t="shared" si="42"/>
        <v>0</v>
      </c>
    </row>
    <row r="328" spans="1:13" ht="27.75" customHeight="1">
      <c r="A328" s="791" t="s">
        <v>1775</v>
      </c>
      <c r="B328" s="790" t="s">
        <v>307</v>
      </c>
      <c r="C328" s="626">
        <v>58061</v>
      </c>
      <c r="D328" s="785">
        <f t="shared" si="41"/>
        <v>0</v>
      </c>
      <c r="E328" s="785" t="s">
        <v>1588</v>
      </c>
      <c r="F328" s="785" t="s">
        <v>1588</v>
      </c>
      <c r="G328" s="785" t="s">
        <v>1588</v>
      </c>
      <c r="H328" s="785" t="s">
        <v>1588</v>
      </c>
      <c r="I328" s="785" t="s">
        <v>1588</v>
      </c>
      <c r="J328" s="785" t="s">
        <v>1588</v>
      </c>
      <c r="K328" s="785" t="s">
        <v>1588</v>
      </c>
      <c r="L328" s="804" t="s">
        <v>1588</v>
      </c>
      <c r="M328" s="805">
        <f t="shared" si="42"/>
        <v>0</v>
      </c>
    </row>
    <row r="329" spans="1:13" ht="27.75" customHeight="1">
      <c r="A329" s="792"/>
      <c r="B329" s="790" t="s">
        <v>308</v>
      </c>
      <c r="C329" s="626">
        <v>5010</v>
      </c>
      <c r="D329" s="785">
        <f t="shared" si="41"/>
        <v>0</v>
      </c>
      <c r="E329" s="785" t="s">
        <v>1588</v>
      </c>
      <c r="F329" s="785" t="s">
        <v>1588</v>
      </c>
      <c r="G329" s="785" t="s">
        <v>1588</v>
      </c>
      <c r="H329" s="785" t="s">
        <v>1588</v>
      </c>
      <c r="I329" s="785" t="s">
        <v>1588</v>
      </c>
      <c r="J329" s="785" t="s">
        <v>1588</v>
      </c>
      <c r="K329" s="785" t="s">
        <v>1588</v>
      </c>
      <c r="L329" s="804" t="s">
        <v>1588</v>
      </c>
      <c r="M329" s="805">
        <f t="shared" si="42"/>
        <v>0</v>
      </c>
    </row>
    <row r="330" spans="1:13" ht="27.75" customHeight="1">
      <c r="A330" s="791" t="s">
        <v>1778</v>
      </c>
      <c r="B330" s="899" t="s">
        <v>552</v>
      </c>
      <c r="C330" s="626">
        <v>20822</v>
      </c>
      <c r="D330" s="785">
        <f t="shared" si="41"/>
        <v>871</v>
      </c>
      <c r="E330" s="785">
        <v>45</v>
      </c>
      <c r="F330" s="785" t="s">
        <v>1588</v>
      </c>
      <c r="G330" s="785">
        <v>36</v>
      </c>
      <c r="H330" s="785" t="s">
        <v>1588</v>
      </c>
      <c r="I330" s="785">
        <v>660</v>
      </c>
      <c r="J330" s="785">
        <v>130</v>
      </c>
      <c r="K330" s="785" t="s">
        <v>1588</v>
      </c>
      <c r="L330" s="804" t="s">
        <v>1588</v>
      </c>
      <c r="M330" s="805">
        <f t="shared" si="42"/>
        <v>4.1830755931226582</v>
      </c>
    </row>
    <row r="331" spans="1:13" ht="27.75" customHeight="1">
      <c r="A331" s="791"/>
      <c r="B331" s="899" t="s">
        <v>553</v>
      </c>
      <c r="C331" s="626">
        <v>46042</v>
      </c>
      <c r="D331" s="785">
        <f t="shared" si="41"/>
        <v>466</v>
      </c>
      <c r="E331" s="785">
        <v>394</v>
      </c>
      <c r="F331" s="785" t="s">
        <v>1588</v>
      </c>
      <c r="G331" s="785" t="s">
        <v>1588</v>
      </c>
      <c r="H331" s="785" t="s">
        <v>1588</v>
      </c>
      <c r="I331" s="785">
        <v>72</v>
      </c>
      <c r="J331" s="785" t="s">
        <v>1588</v>
      </c>
      <c r="K331" s="785" t="s">
        <v>1588</v>
      </c>
      <c r="L331" s="804" t="s">
        <v>1588</v>
      </c>
      <c r="M331" s="805">
        <f t="shared" si="42"/>
        <v>1.0121193692715347</v>
      </c>
    </row>
    <row r="332" spans="1:13" ht="27.75" customHeight="1">
      <c r="A332" s="792"/>
      <c r="B332" s="899" t="s">
        <v>438</v>
      </c>
      <c r="C332" s="626">
        <v>27744</v>
      </c>
      <c r="D332" s="785">
        <f t="shared" si="41"/>
        <v>725</v>
      </c>
      <c r="E332" s="785">
        <v>100</v>
      </c>
      <c r="F332" s="785" t="s">
        <v>1588</v>
      </c>
      <c r="G332" s="785">
        <v>80</v>
      </c>
      <c r="H332" s="785" t="s">
        <v>1588</v>
      </c>
      <c r="I332" s="785">
        <v>200</v>
      </c>
      <c r="J332" s="785">
        <v>135</v>
      </c>
      <c r="K332" s="785" t="s">
        <v>1588</v>
      </c>
      <c r="L332" s="804">
        <v>210</v>
      </c>
      <c r="M332" s="805">
        <f t="shared" si="42"/>
        <v>2.6131776239907727</v>
      </c>
    </row>
    <row r="333" spans="1:13" ht="27.75" customHeight="1">
      <c r="A333" s="791" t="s">
        <v>1609</v>
      </c>
      <c r="B333" s="782" t="s">
        <v>2357</v>
      </c>
      <c r="C333" s="626">
        <v>41060</v>
      </c>
      <c r="D333" s="785">
        <f t="shared" si="41"/>
        <v>8382</v>
      </c>
      <c r="E333" s="785">
        <v>200</v>
      </c>
      <c r="F333" s="785">
        <v>480</v>
      </c>
      <c r="G333" s="785">
        <v>50</v>
      </c>
      <c r="H333" s="785">
        <v>544</v>
      </c>
      <c r="I333" s="785">
        <v>600</v>
      </c>
      <c r="J333" s="785" t="s">
        <v>1588</v>
      </c>
      <c r="K333" s="785">
        <v>3034</v>
      </c>
      <c r="L333" s="804">
        <v>3474</v>
      </c>
      <c r="M333" s="805">
        <f t="shared" si="42"/>
        <v>20.414028251339502</v>
      </c>
    </row>
    <row r="334" spans="1:13" ht="27.75" customHeight="1">
      <c r="A334" s="446" t="s">
        <v>1945</v>
      </c>
      <c r="B334" s="790" t="s">
        <v>1946</v>
      </c>
      <c r="C334" s="626">
        <v>24737</v>
      </c>
      <c r="D334" s="785">
        <f t="shared" si="41"/>
        <v>8037</v>
      </c>
      <c r="E334" s="785">
        <v>140</v>
      </c>
      <c r="F334" s="785" t="s">
        <v>1588</v>
      </c>
      <c r="G334" s="785" t="s">
        <v>1588</v>
      </c>
      <c r="H334" s="785">
        <v>186</v>
      </c>
      <c r="I334" s="785">
        <v>220</v>
      </c>
      <c r="J334" s="785">
        <v>72</v>
      </c>
      <c r="K334" s="785">
        <v>7419</v>
      </c>
      <c r="L334" s="804" t="s">
        <v>1588</v>
      </c>
      <c r="M334" s="805">
        <f t="shared" si="42"/>
        <v>32.489792618344985</v>
      </c>
    </row>
    <row r="335" spans="1:13" ht="27.75" customHeight="1">
      <c r="A335" s="792"/>
      <c r="B335" s="790" t="s">
        <v>2167</v>
      </c>
      <c r="C335" s="626">
        <v>13550</v>
      </c>
      <c r="D335" s="785">
        <f t="shared" si="41"/>
        <v>4129</v>
      </c>
      <c r="E335" s="785">
        <v>0</v>
      </c>
      <c r="F335" s="785" t="s">
        <v>1588</v>
      </c>
      <c r="G335" s="785" t="s">
        <v>1588</v>
      </c>
      <c r="H335" s="785" t="s">
        <v>1588</v>
      </c>
      <c r="I335" s="785">
        <v>68</v>
      </c>
      <c r="J335" s="785" t="s">
        <v>1588</v>
      </c>
      <c r="K335" s="785">
        <v>4061</v>
      </c>
      <c r="L335" s="804" t="s">
        <v>1588</v>
      </c>
      <c r="M335" s="805">
        <f t="shared" si="42"/>
        <v>30.472324723247233</v>
      </c>
    </row>
    <row r="336" spans="1:13" ht="27.75" customHeight="1">
      <c r="A336" s="792" t="s">
        <v>1948</v>
      </c>
      <c r="B336" s="782" t="s">
        <v>2359</v>
      </c>
      <c r="C336" s="626">
        <v>14800</v>
      </c>
      <c r="D336" s="785">
        <f t="shared" si="41"/>
        <v>5000</v>
      </c>
      <c r="E336" s="785" t="s">
        <v>1588</v>
      </c>
      <c r="F336" s="785" t="s">
        <v>1588</v>
      </c>
      <c r="G336" s="785" t="s">
        <v>1588</v>
      </c>
      <c r="H336" s="785" t="s">
        <v>1588</v>
      </c>
      <c r="I336" s="785" t="s">
        <v>1588</v>
      </c>
      <c r="J336" s="785" t="s">
        <v>1588</v>
      </c>
      <c r="K336" s="785">
        <v>5000</v>
      </c>
      <c r="L336" s="804" t="s">
        <v>1588</v>
      </c>
      <c r="M336" s="805">
        <f t="shared" si="42"/>
        <v>33.783783783783782</v>
      </c>
    </row>
    <row r="337" spans="1:13" ht="27.75" customHeight="1">
      <c r="A337" s="447" t="s">
        <v>1956</v>
      </c>
      <c r="B337" s="448" t="s">
        <v>554</v>
      </c>
      <c r="C337" s="626">
        <v>16650</v>
      </c>
      <c r="D337" s="785">
        <f t="shared" si="41"/>
        <v>453.7</v>
      </c>
      <c r="E337" s="785" t="s">
        <v>1588</v>
      </c>
      <c r="F337" s="785" t="s">
        <v>1588</v>
      </c>
      <c r="G337" s="785" t="s">
        <v>1588</v>
      </c>
      <c r="H337" s="785">
        <v>191.7</v>
      </c>
      <c r="I337" s="785">
        <v>126.7</v>
      </c>
      <c r="J337" s="785">
        <v>60.5</v>
      </c>
      <c r="K337" s="785">
        <v>44.6</v>
      </c>
      <c r="L337" s="804">
        <v>30.2</v>
      </c>
      <c r="M337" s="805">
        <f t="shared" si="42"/>
        <v>2.7249249249249248</v>
      </c>
    </row>
    <row r="338" spans="1:13" ht="27.75" customHeight="1">
      <c r="A338" s="447" t="s">
        <v>1957</v>
      </c>
      <c r="B338" s="782" t="s">
        <v>2312</v>
      </c>
      <c r="C338" s="626">
        <v>33000</v>
      </c>
      <c r="D338" s="785">
        <f t="shared" si="41"/>
        <v>9300</v>
      </c>
      <c r="E338" s="785">
        <v>1000</v>
      </c>
      <c r="F338" s="785">
        <v>1000</v>
      </c>
      <c r="G338" s="785">
        <v>100</v>
      </c>
      <c r="H338" s="785">
        <v>1000</v>
      </c>
      <c r="I338" s="785">
        <v>1000</v>
      </c>
      <c r="J338" s="785">
        <v>200</v>
      </c>
      <c r="K338" s="785">
        <v>2000</v>
      </c>
      <c r="L338" s="804">
        <v>3000</v>
      </c>
      <c r="M338" s="805">
        <f t="shared" si="42"/>
        <v>28.18181818181818</v>
      </c>
    </row>
    <row r="339" spans="1:13" ht="27.75" customHeight="1">
      <c r="A339" s="447" t="s">
        <v>497</v>
      </c>
      <c r="B339" s="448" t="s">
        <v>2445</v>
      </c>
      <c r="C339" s="626">
        <v>52979</v>
      </c>
      <c r="D339" s="785">
        <f t="shared" si="41"/>
        <v>2055</v>
      </c>
      <c r="E339" s="785">
        <v>55</v>
      </c>
      <c r="F339" s="785">
        <v>150</v>
      </c>
      <c r="G339" s="785">
        <v>0</v>
      </c>
      <c r="H339" s="785">
        <v>650</v>
      </c>
      <c r="I339" s="785">
        <v>1200</v>
      </c>
      <c r="J339" s="785">
        <v>0</v>
      </c>
      <c r="K339" s="785">
        <v>0</v>
      </c>
      <c r="L339" s="804">
        <v>0</v>
      </c>
      <c r="M339" s="805">
        <f t="shared" si="42"/>
        <v>3.8788954113894185</v>
      </c>
    </row>
    <row r="340" spans="1:13" ht="27.75" customHeight="1">
      <c r="A340" s="447" t="s">
        <v>1960</v>
      </c>
      <c r="B340" s="448" t="s">
        <v>2052</v>
      </c>
      <c r="C340" s="626">
        <v>15755</v>
      </c>
      <c r="D340" s="785">
        <f t="shared" si="41"/>
        <v>548.77</v>
      </c>
      <c r="E340" s="785">
        <v>22.77</v>
      </c>
      <c r="F340" s="785">
        <v>0</v>
      </c>
      <c r="G340" s="785">
        <v>0</v>
      </c>
      <c r="H340" s="785">
        <v>278</v>
      </c>
      <c r="I340" s="785">
        <v>0</v>
      </c>
      <c r="J340" s="785">
        <v>120</v>
      </c>
      <c r="K340" s="785">
        <v>128</v>
      </c>
      <c r="L340" s="804">
        <v>0</v>
      </c>
      <c r="M340" s="805">
        <f t="shared" si="42"/>
        <v>3.4831482069184383</v>
      </c>
    </row>
    <row r="341" spans="1:13" ht="27.75" customHeight="1">
      <c r="A341" s="447" t="s">
        <v>1989</v>
      </c>
      <c r="B341" s="789">
        <f>COUNTA(B342:B346)</f>
        <v>5</v>
      </c>
      <c r="C341" s="626">
        <f t="shared" ref="C341:L341" si="43">SUM(C342:C346)</f>
        <v>236070</v>
      </c>
      <c r="D341" s="785">
        <f t="shared" si="41"/>
        <v>129774.5</v>
      </c>
      <c r="E341" s="785">
        <f t="shared" si="43"/>
        <v>9802</v>
      </c>
      <c r="F341" s="785">
        <f t="shared" si="43"/>
        <v>3012.5</v>
      </c>
      <c r="G341" s="785">
        <f t="shared" si="43"/>
        <v>2052</v>
      </c>
      <c r="H341" s="785">
        <f t="shared" si="43"/>
        <v>12070</v>
      </c>
      <c r="I341" s="785">
        <f t="shared" si="43"/>
        <v>4885</v>
      </c>
      <c r="J341" s="785">
        <f t="shared" si="43"/>
        <v>224</v>
      </c>
      <c r="K341" s="785">
        <f t="shared" si="43"/>
        <v>10000</v>
      </c>
      <c r="L341" s="804">
        <f t="shared" si="43"/>
        <v>87729</v>
      </c>
      <c r="M341" s="805">
        <f t="shared" si="42"/>
        <v>54.97288939721269</v>
      </c>
    </row>
    <row r="342" spans="1:13" ht="27.75" customHeight="1">
      <c r="A342" s="446" t="s">
        <v>1992</v>
      </c>
      <c r="B342" s="448" t="s">
        <v>484</v>
      </c>
      <c r="C342" s="626">
        <v>111466</v>
      </c>
      <c r="D342" s="785">
        <f t="shared" si="41"/>
        <v>84351</v>
      </c>
      <c r="E342" s="785">
        <v>36</v>
      </c>
      <c r="F342" s="785" t="s">
        <v>1588</v>
      </c>
      <c r="G342" s="785">
        <v>150</v>
      </c>
      <c r="H342" s="785">
        <v>522</v>
      </c>
      <c r="I342" s="785">
        <v>172</v>
      </c>
      <c r="J342" s="785">
        <v>99</v>
      </c>
      <c r="K342" s="785" t="s">
        <v>1588</v>
      </c>
      <c r="L342" s="804">
        <v>83372</v>
      </c>
      <c r="M342" s="805">
        <f t="shared" si="42"/>
        <v>75.674196616008473</v>
      </c>
    </row>
    <row r="343" spans="1:13" ht="27.75" customHeight="1">
      <c r="A343" s="898" t="s">
        <v>1990</v>
      </c>
      <c r="B343" s="899" t="s">
        <v>317</v>
      </c>
      <c r="C343" s="626">
        <v>47478</v>
      </c>
      <c r="D343" s="785">
        <f t="shared" si="41"/>
        <v>19017</v>
      </c>
      <c r="E343" s="785">
        <v>7910</v>
      </c>
      <c r="F343" s="785">
        <v>1182</v>
      </c>
      <c r="G343" s="785">
        <v>97</v>
      </c>
      <c r="H343" s="785">
        <v>9348</v>
      </c>
      <c r="I343" s="785">
        <v>405</v>
      </c>
      <c r="J343" s="785">
        <v>75</v>
      </c>
      <c r="K343" s="785" t="s">
        <v>1588</v>
      </c>
      <c r="L343" s="804" t="s">
        <v>1588</v>
      </c>
      <c r="M343" s="805">
        <f t="shared" si="42"/>
        <v>40.054340957917347</v>
      </c>
    </row>
    <row r="344" spans="1:13" ht="27.75" customHeight="1">
      <c r="A344" s="900"/>
      <c r="B344" s="899" t="s">
        <v>318</v>
      </c>
      <c r="C344" s="626">
        <v>23749</v>
      </c>
      <c r="D344" s="785">
        <f t="shared" si="41"/>
        <v>11290</v>
      </c>
      <c r="E344" s="785">
        <v>50</v>
      </c>
      <c r="F344" s="785">
        <v>1000</v>
      </c>
      <c r="G344" s="785">
        <v>100</v>
      </c>
      <c r="H344" s="785" t="s">
        <v>1588</v>
      </c>
      <c r="I344" s="785">
        <v>90</v>
      </c>
      <c r="J344" s="785">
        <v>50</v>
      </c>
      <c r="K344" s="785">
        <v>10000</v>
      </c>
      <c r="L344" s="804" t="s">
        <v>1588</v>
      </c>
      <c r="M344" s="805">
        <f t="shared" si="42"/>
        <v>47.53884374078909</v>
      </c>
    </row>
    <row r="345" spans="1:13" ht="27.75" customHeight="1">
      <c r="A345" s="900"/>
      <c r="B345" s="899" t="s">
        <v>2250</v>
      </c>
      <c r="C345" s="626">
        <v>27687</v>
      </c>
      <c r="D345" s="785">
        <f t="shared" si="41"/>
        <v>7826.5</v>
      </c>
      <c r="E345" s="785">
        <v>1625</v>
      </c>
      <c r="F345" s="785">
        <v>242.5</v>
      </c>
      <c r="G345" s="785">
        <v>1705</v>
      </c>
      <c r="H345" s="785">
        <v>600</v>
      </c>
      <c r="I345" s="785">
        <v>3654</v>
      </c>
      <c r="J345" s="785" t="s">
        <v>1588</v>
      </c>
      <c r="K345" s="785" t="s">
        <v>1588</v>
      </c>
      <c r="L345" s="804" t="s">
        <v>1588</v>
      </c>
      <c r="M345" s="805">
        <f t="shared" si="42"/>
        <v>28.267779102105685</v>
      </c>
    </row>
    <row r="346" spans="1:13" ht="27.75" customHeight="1" thickBot="1">
      <c r="A346" s="913"/>
      <c r="B346" s="914" t="s">
        <v>319</v>
      </c>
      <c r="C346" s="637">
        <v>25690</v>
      </c>
      <c r="D346" s="822">
        <f t="shared" si="41"/>
        <v>7290</v>
      </c>
      <c r="E346" s="822">
        <v>181</v>
      </c>
      <c r="F346" s="822">
        <v>588</v>
      </c>
      <c r="G346" s="822" t="s">
        <v>1588</v>
      </c>
      <c r="H346" s="822">
        <v>1600</v>
      </c>
      <c r="I346" s="822">
        <v>564</v>
      </c>
      <c r="J346" s="822" t="s">
        <v>1588</v>
      </c>
      <c r="K346" s="822" t="s">
        <v>1588</v>
      </c>
      <c r="L346" s="806">
        <f>200+244+3860+53</f>
        <v>4357</v>
      </c>
      <c r="M346" s="807">
        <f t="shared" si="42"/>
        <v>28.376800311405216</v>
      </c>
    </row>
  </sheetData>
  <mergeCells count="8">
    <mergeCell ref="A1:XFD1"/>
    <mergeCell ref="A2:XFD2"/>
    <mergeCell ref="H3:I3"/>
    <mergeCell ref="A4:A5"/>
    <mergeCell ref="B4:B5"/>
    <mergeCell ref="C4:C5"/>
    <mergeCell ref="D4:L4"/>
    <mergeCell ref="M4:M5"/>
  </mergeCells>
  <phoneticPr fontId="3" type="noConversion"/>
  <conditionalFormatting sqref="A6:M346">
    <cfRule type="expression" dxfId="3" priority="2" stopIfTrue="1">
      <formula>OR($A6="시부",$A6="군부")</formula>
    </cfRule>
    <cfRule type="expression" dxfId="2" priority="3" stopIfTrue="1">
      <formula>OR(RIGHT($A6,3)="특별시",RIGHT($A6,3)="광역시",RIGHT($A6,1)="도",$A6=2006)</formula>
    </cfRule>
  </conditionalFormatting>
  <conditionalFormatting sqref="D6:L346">
    <cfRule type="expression" dxfId="1" priority="1" stopIfTrue="1">
      <formula>ISBLANK(D6)</formula>
    </cfRule>
  </conditionalFormatting>
  <pageMargins left="0.74803149606299213" right="0.74803149606299213" top="0.98425196850393704" bottom="0.98425196850393704" header="0.51181102362204722" footer="0.51181102362204722"/>
  <pageSetup paperSize="9" scale="60" orientation="landscape" horizontalDpi="300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23"/>
  <sheetViews>
    <sheetView view="pageBreakPreview" zoomScale="90" zoomScaleNormal="70" zoomScaleSheetLayoutView="90" workbookViewId="0">
      <selection activeCell="AG24" sqref="AG24"/>
    </sheetView>
  </sheetViews>
  <sheetFormatPr defaultRowHeight="11.25"/>
  <cols>
    <col min="1" max="1" width="6.5546875" style="11" customWidth="1"/>
    <col min="2" max="2" width="4.21875" style="11" customWidth="1"/>
    <col min="3" max="3" width="8.88671875" style="11"/>
    <col min="4" max="4" width="1.21875" style="11" customWidth="1"/>
    <col min="5" max="5" width="10.88671875" style="11" customWidth="1"/>
    <col min="6" max="6" width="14.5546875" style="11" customWidth="1"/>
    <col min="7" max="24" width="11.88671875" style="11" customWidth="1"/>
    <col min="25" max="25" width="9.33203125" style="11" customWidth="1"/>
    <col min="26" max="26" width="8.44140625" style="11" customWidth="1"/>
    <col min="27" max="27" width="11.109375" style="11" customWidth="1"/>
    <col min="28" max="28" width="8.6640625" style="11" bestFit="1" customWidth="1"/>
    <col min="29" max="29" width="11.44140625" style="11" customWidth="1"/>
    <col min="30" max="30" width="8.44140625" style="11" bestFit="1" customWidth="1"/>
    <col min="31" max="31" width="11.33203125" style="11" customWidth="1"/>
    <col min="32" max="32" width="8.88671875" style="11" customWidth="1"/>
    <col min="33" max="33" width="11.44140625" style="11" customWidth="1"/>
    <col min="34" max="16384" width="8.88671875" style="11"/>
  </cols>
  <sheetData>
    <row r="1" spans="1:34" ht="21" customHeight="1">
      <c r="A1" s="1661"/>
      <c r="B1" s="1661"/>
      <c r="C1" s="1661"/>
      <c r="D1" s="1661"/>
      <c r="E1" s="1661"/>
    </row>
    <row r="2" spans="1:34" ht="21" customHeight="1">
      <c r="A2" s="1662" t="s">
        <v>9186</v>
      </c>
      <c r="B2" s="1662"/>
      <c r="C2" s="1662"/>
      <c r="D2" s="1662"/>
      <c r="E2" s="1662"/>
      <c r="F2" s="990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34" ht="12" thickBot="1"/>
    <row r="4" spans="1:34" ht="27" customHeight="1">
      <c r="A4" s="1671" t="s">
        <v>6056</v>
      </c>
      <c r="B4" s="1672"/>
      <c r="C4" s="1672" t="s">
        <v>6057</v>
      </c>
      <c r="D4" s="1672"/>
      <c r="E4" s="630" t="s">
        <v>8786</v>
      </c>
      <c r="F4" s="1672" t="s">
        <v>6058</v>
      </c>
      <c r="G4" s="1073" t="s">
        <v>8953</v>
      </c>
      <c r="H4" s="630">
        <v>1994</v>
      </c>
      <c r="I4" s="630">
        <v>1995</v>
      </c>
      <c r="J4" s="630">
        <v>1996</v>
      </c>
      <c r="K4" s="630">
        <v>1997</v>
      </c>
      <c r="L4" s="630">
        <v>1998</v>
      </c>
      <c r="M4" s="630">
        <v>1999</v>
      </c>
      <c r="N4" s="630">
        <v>2000</v>
      </c>
      <c r="O4" s="630">
        <v>2001</v>
      </c>
      <c r="P4" s="630">
        <v>2002</v>
      </c>
      <c r="Q4" s="630">
        <v>2003</v>
      </c>
      <c r="R4" s="630">
        <v>2004</v>
      </c>
      <c r="S4" s="630">
        <v>2005</v>
      </c>
      <c r="T4" s="630">
        <v>2006</v>
      </c>
      <c r="U4" s="630">
        <v>2007</v>
      </c>
      <c r="V4" s="630">
        <v>2008</v>
      </c>
      <c r="W4" s="630">
        <v>2009</v>
      </c>
      <c r="X4" s="630">
        <v>2010</v>
      </c>
      <c r="Y4" s="1672">
        <v>2011</v>
      </c>
      <c r="Z4" s="1672"/>
      <c r="AA4" s="1672">
        <v>2012</v>
      </c>
      <c r="AB4" s="1672"/>
      <c r="AC4" s="1672">
        <v>2013</v>
      </c>
      <c r="AD4" s="1672"/>
      <c r="AE4" s="1672">
        <v>2014</v>
      </c>
      <c r="AF4" s="1672"/>
      <c r="AG4" s="1667">
        <v>2015</v>
      </c>
      <c r="AH4" s="1668"/>
    </row>
    <row r="5" spans="1:34" ht="20.25" customHeight="1">
      <c r="A5" s="1673"/>
      <c r="B5" s="1660"/>
      <c r="C5" s="1660"/>
      <c r="D5" s="1660"/>
      <c r="E5" s="429" t="s">
        <v>6059</v>
      </c>
      <c r="F5" s="1674"/>
      <c r="G5" s="1135" t="s">
        <v>8904</v>
      </c>
      <c r="H5" s="429">
        <v>22</v>
      </c>
      <c r="I5" s="429">
        <v>21</v>
      </c>
      <c r="J5" s="429">
        <v>20</v>
      </c>
      <c r="K5" s="429">
        <v>19</v>
      </c>
      <c r="L5" s="429">
        <v>18</v>
      </c>
      <c r="M5" s="429">
        <v>17</v>
      </c>
      <c r="N5" s="429">
        <v>16</v>
      </c>
      <c r="O5" s="429">
        <v>15</v>
      </c>
      <c r="P5" s="429">
        <v>14</v>
      </c>
      <c r="Q5" s="429">
        <v>13</v>
      </c>
      <c r="R5" s="429">
        <v>12</v>
      </c>
      <c r="S5" s="429">
        <v>11</v>
      </c>
      <c r="T5" s="429">
        <v>10</v>
      </c>
      <c r="U5" s="429">
        <v>9</v>
      </c>
      <c r="V5" s="429">
        <v>8</v>
      </c>
      <c r="W5" s="429">
        <v>7</v>
      </c>
      <c r="X5" s="429">
        <v>6</v>
      </c>
      <c r="Y5" s="1660">
        <v>5</v>
      </c>
      <c r="Z5" s="1660"/>
      <c r="AA5" s="1660">
        <v>4</v>
      </c>
      <c r="AB5" s="1660"/>
      <c r="AC5" s="1660">
        <v>3</v>
      </c>
      <c r="AD5" s="1660"/>
      <c r="AE5" s="1660">
        <v>2</v>
      </c>
      <c r="AF5" s="1660"/>
      <c r="AG5" s="1669">
        <v>1</v>
      </c>
      <c r="AH5" s="1670"/>
    </row>
    <row r="6" spans="1:34" s="1048" customFormat="1" ht="27">
      <c r="A6" s="1673"/>
      <c r="B6" s="1660"/>
      <c r="C6" s="1660"/>
      <c r="D6" s="1660"/>
      <c r="E6" s="429" t="s">
        <v>6060</v>
      </c>
      <c r="F6" s="429" t="s">
        <v>6061</v>
      </c>
      <c r="G6" s="429" t="s">
        <v>1538</v>
      </c>
      <c r="H6" s="429" t="s">
        <v>1538</v>
      </c>
      <c r="I6" s="429" t="s">
        <v>1538</v>
      </c>
      <c r="J6" s="429" t="s">
        <v>1538</v>
      </c>
      <c r="K6" s="429" t="s">
        <v>1538</v>
      </c>
      <c r="L6" s="429" t="s">
        <v>1538</v>
      </c>
      <c r="M6" s="429" t="s">
        <v>1538</v>
      </c>
      <c r="N6" s="429" t="s">
        <v>1538</v>
      </c>
      <c r="O6" s="429" t="s">
        <v>1538</v>
      </c>
      <c r="P6" s="429" t="s">
        <v>1538</v>
      </c>
      <c r="Q6" s="429" t="s">
        <v>1538</v>
      </c>
      <c r="R6" s="429" t="s">
        <v>1538</v>
      </c>
      <c r="S6" s="429" t="s">
        <v>1538</v>
      </c>
      <c r="T6" s="429" t="s">
        <v>1538</v>
      </c>
      <c r="U6" s="429" t="s">
        <v>1538</v>
      </c>
      <c r="V6" s="429" t="s">
        <v>1538</v>
      </c>
      <c r="W6" s="429" t="s">
        <v>1538</v>
      </c>
      <c r="X6" s="429" t="s">
        <v>1538</v>
      </c>
      <c r="Y6" s="429" t="s">
        <v>8788</v>
      </c>
      <c r="Z6" s="429" t="s">
        <v>8785</v>
      </c>
      <c r="AA6" s="429" t="s">
        <v>8788</v>
      </c>
      <c r="AB6" s="429" t="s">
        <v>8785</v>
      </c>
      <c r="AC6" s="429" t="s">
        <v>8784</v>
      </c>
      <c r="AD6" s="429" t="s">
        <v>8785</v>
      </c>
      <c r="AE6" s="429" t="s">
        <v>8784</v>
      </c>
      <c r="AF6" s="429" t="s">
        <v>8785</v>
      </c>
      <c r="AG6" s="1155" t="s">
        <v>8784</v>
      </c>
      <c r="AH6" s="1133" t="s">
        <v>8785</v>
      </c>
    </row>
    <row r="7" spans="1:34" s="1048" customFormat="1" ht="27" customHeight="1">
      <c r="A7" s="1663" t="s">
        <v>9165</v>
      </c>
      <c r="B7" s="1664"/>
      <c r="C7" s="1602" t="s">
        <v>1488</v>
      </c>
      <c r="D7" s="1602"/>
      <c r="E7" s="1602"/>
      <c r="F7" s="999">
        <f>G7+H7+I7+J7+K7+L7+M7+N7+O7+P7+Q7+R7+S7+T7+U7+V7+W7+X7+Y7+AA7+AC7+AE7+AG7</f>
        <v>1498894</v>
      </c>
      <c r="G7" s="1323">
        <f t="shared" ref="G7" si="0">SUM(G8:G20)</f>
        <v>491668</v>
      </c>
      <c r="H7" s="1323">
        <f t="shared" ref="H7:AH7" si="1">SUM(H8:H20)</f>
        <v>5923</v>
      </c>
      <c r="I7" s="1323">
        <f t="shared" si="1"/>
        <v>69075</v>
      </c>
      <c r="J7" s="1323">
        <f t="shared" si="1"/>
        <v>11639</v>
      </c>
      <c r="K7" s="1323">
        <f t="shared" si="1"/>
        <v>35866</v>
      </c>
      <c r="L7" s="1323">
        <f t="shared" si="1"/>
        <v>7054</v>
      </c>
      <c r="M7" s="1323">
        <f t="shared" si="1"/>
        <v>178780</v>
      </c>
      <c r="N7" s="1323">
        <f t="shared" si="1"/>
        <v>22713</v>
      </c>
      <c r="O7" s="1323">
        <f t="shared" si="1"/>
        <v>69130</v>
      </c>
      <c r="P7" s="1323">
        <f t="shared" si="1"/>
        <v>34881</v>
      </c>
      <c r="Q7" s="1323">
        <f t="shared" si="1"/>
        <v>26748.999999999949</v>
      </c>
      <c r="R7" s="1323">
        <f t="shared" si="1"/>
        <v>67530.999999999942</v>
      </c>
      <c r="S7" s="1323">
        <f t="shared" si="1"/>
        <v>49720</v>
      </c>
      <c r="T7" s="1323">
        <f t="shared" si="1"/>
        <v>12107</v>
      </c>
      <c r="U7" s="1323">
        <f t="shared" si="1"/>
        <v>6664</v>
      </c>
      <c r="V7" s="1323">
        <f t="shared" si="1"/>
        <v>61340</v>
      </c>
      <c r="W7" s="1323">
        <f t="shared" si="1"/>
        <v>39438</v>
      </c>
      <c r="X7" s="1323">
        <f t="shared" si="1"/>
        <v>53500</v>
      </c>
      <c r="Y7" s="1323">
        <f t="shared" si="1"/>
        <v>55353</v>
      </c>
      <c r="Z7" s="999">
        <f t="shared" si="1"/>
        <v>0</v>
      </c>
      <c r="AA7" s="999">
        <f t="shared" si="1"/>
        <v>44970</v>
      </c>
      <c r="AB7" s="999">
        <f t="shared" si="1"/>
        <v>0</v>
      </c>
      <c r="AC7" s="999">
        <f t="shared" si="1"/>
        <v>67433</v>
      </c>
      <c r="AD7" s="999">
        <f t="shared" si="1"/>
        <v>0</v>
      </c>
      <c r="AE7" s="999">
        <f t="shared" si="1"/>
        <v>66360</v>
      </c>
      <c r="AF7" s="1134">
        <f t="shared" si="1"/>
        <v>0</v>
      </c>
      <c r="AG7" s="999">
        <f t="shared" si="1"/>
        <v>21000</v>
      </c>
      <c r="AH7" s="1134">
        <f t="shared" si="1"/>
        <v>0</v>
      </c>
    </row>
    <row r="8" spans="1:34" s="1048" customFormat="1" ht="27" customHeight="1">
      <c r="A8" s="1663"/>
      <c r="B8" s="1664"/>
      <c r="C8" s="1602" t="s">
        <v>1542</v>
      </c>
      <c r="D8" s="1602"/>
      <c r="E8" s="1602"/>
      <c r="F8" s="999">
        <f t="shared" ref="F8:F19" si="2">SUM(G8:Z8)+AA8+AC8-AB8-AD8</f>
        <v>753705</v>
      </c>
      <c r="G8" s="991">
        <v>315940</v>
      </c>
      <c r="H8" s="1324">
        <v>514</v>
      </c>
      <c r="I8" s="1324">
        <v>51726</v>
      </c>
      <c r="J8" s="1324">
        <v>8792</v>
      </c>
      <c r="K8" s="1324">
        <v>2790</v>
      </c>
      <c r="L8" s="1324">
        <v>2156</v>
      </c>
      <c r="M8" s="1324">
        <v>158159</v>
      </c>
      <c r="N8" s="1324">
        <v>10042</v>
      </c>
      <c r="O8" s="1324">
        <v>52866</v>
      </c>
      <c r="P8" s="1324">
        <v>20874</v>
      </c>
      <c r="Q8" s="1324">
        <v>18754.999999999949</v>
      </c>
      <c r="R8" s="1324">
        <v>45702.999999999942</v>
      </c>
      <c r="S8" s="1324">
        <v>33674</v>
      </c>
      <c r="T8" s="1324">
        <v>1759</v>
      </c>
      <c r="U8" s="1324">
        <v>674</v>
      </c>
      <c r="V8" s="1324">
        <v>28886</v>
      </c>
      <c r="W8" s="1324">
        <v>0</v>
      </c>
      <c r="X8" s="1324">
        <v>0</v>
      </c>
      <c r="Y8" s="1324">
        <v>395</v>
      </c>
      <c r="Z8" s="991"/>
      <c r="AA8" s="991"/>
      <c r="AB8" s="991"/>
      <c r="AC8" s="991"/>
      <c r="AD8" s="991"/>
      <c r="AE8" s="991"/>
      <c r="AF8" s="1325"/>
      <c r="AG8" s="991"/>
      <c r="AH8" s="1325"/>
    </row>
    <row r="9" spans="1:34" s="1048" customFormat="1" ht="27" customHeight="1">
      <c r="A9" s="1663"/>
      <c r="B9" s="1664"/>
      <c r="C9" s="1602" t="s">
        <v>1543</v>
      </c>
      <c r="D9" s="1602"/>
      <c r="E9" s="1602"/>
      <c r="F9" s="999">
        <f t="shared" si="2"/>
        <v>21692</v>
      </c>
      <c r="G9" s="991">
        <v>7739</v>
      </c>
      <c r="H9" s="1324">
        <v>0</v>
      </c>
      <c r="I9" s="1324">
        <v>0</v>
      </c>
      <c r="J9" s="1324">
        <v>0</v>
      </c>
      <c r="K9" s="1324">
        <v>0</v>
      </c>
      <c r="L9" s="1324">
        <v>0</v>
      </c>
      <c r="M9" s="1324">
        <v>0</v>
      </c>
      <c r="N9" s="1324">
        <v>3019</v>
      </c>
      <c r="O9" s="1324">
        <v>2780</v>
      </c>
      <c r="P9" s="1324">
        <v>1416</v>
      </c>
      <c r="Q9" s="1324">
        <v>1154</v>
      </c>
      <c r="R9" s="1324">
        <v>0</v>
      </c>
      <c r="S9" s="1324">
        <v>5344</v>
      </c>
      <c r="T9" s="1324">
        <v>0</v>
      </c>
      <c r="U9" s="1324">
        <v>240</v>
      </c>
      <c r="V9" s="1324">
        <v>0</v>
      </c>
      <c r="W9" s="1324">
        <v>0</v>
      </c>
      <c r="X9" s="1324">
        <v>0</v>
      </c>
      <c r="Y9" s="1324">
        <v>0</v>
      </c>
      <c r="Z9" s="991"/>
      <c r="AA9" s="991"/>
      <c r="AB9" s="1326"/>
      <c r="AC9" s="991"/>
      <c r="AD9" s="1326"/>
      <c r="AE9" s="991"/>
      <c r="AF9" s="1327"/>
      <c r="AG9" s="991"/>
      <c r="AH9" s="1327"/>
    </row>
    <row r="10" spans="1:34" s="1048" customFormat="1" ht="27" customHeight="1">
      <c r="A10" s="1663"/>
      <c r="B10" s="1664"/>
      <c r="C10" s="1602" t="s">
        <v>1544</v>
      </c>
      <c r="D10" s="1602"/>
      <c r="E10" s="1602"/>
      <c r="F10" s="999">
        <f t="shared" si="2"/>
        <v>0</v>
      </c>
      <c r="G10" s="991">
        <v>0</v>
      </c>
      <c r="H10" s="1324">
        <v>0</v>
      </c>
      <c r="I10" s="1324">
        <v>0</v>
      </c>
      <c r="J10" s="1324">
        <v>0</v>
      </c>
      <c r="K10" s="1324">
        <v>0</v>
      </c>
      <c r="L10" s="1324">
        <v>0</v>
      </c>
      <c r="M10" s="1324">
        <v>0</v>
      </c>
      <c r="N10" s="1324">
        <v>0</v>
      </c>
      <c r="O10" s="1324">
        <v>0</v>
      </c>
      <c r="P10" s="1324">
        <v>0</v>
      </c>
      <c r="Q10" s="1324">
        <v>0</v>
      </c>
      <c r="R10" s="1324">
        <v>0</v>
      </c>
      <c r="S10" s="1324">
        <v>0</v>
      </c>
      <c r="T10" s="1324">
        <v>0</v>
      </c>
      <c r="U10" s="1324">
        <v>0</v>
      </c>
      <c r="V10" s="1324">
        <v>0</v>
      </c>
      <c r="W10" s="1324">
        <v>0</v>
      </c>
      <c r="X10" s="1324">
        <v>0</v>
      </c>
      <c r="Y10" s="1324">
        <v>0</v>
      </c>
      <c r="Z10" s="991"/>
      <c r="AA10" s="991"/>
      <c r="AB10" s="1326"/>
      <c r="AC10" s="991"/>
      <c r="AD10" s="1326"/>
      <c r="AE10" s="991"/>
      <c r="AF10" s="1327"/>
      <c r="AG10" s="991"/>
      <c r="AH10" s="1327"/>
    </row>
    <row r="11" spans="1:34" s="1048" customFormat="1" ht="27" customHeight="1">
      <c r="A11" s="1663"/>
      <c r="B11" s="1664"/>
      <c r="C11" s="1602" t="s">
        <v>1540</v>
      </c>
      <c r="D11" s="1602"/>
      <c r="E11" s="1602"/>
      <c r="F11" s="999">
        <f>SUM(G11:AG11)</f>
        <v>278214</v>
      </c>
      <c r="G11" s="991">
        <v>0</v>
      </c>
      <c r="H11" s="1324">
        <v>0</v>
      </c>
      <c r="I11" s="1324">
        <v>0</v>
      </c>
      <c r="J11" s="1324">
        <v>1089</v>
      </c>
      <c r="K11" s="1324">
        <v>16509</v>
      </c>
      <c r="L11" s="1324">
        <v>109</v>
      </c>
      <c r="M11" s="1324">
        <v>1245</v>
      </c>
      <c r="N11" s="1324">
        <v>4755</v>
      </c>
      <c r="O11" s="1324">
        <v>0</v>
      </c>
      <c r="P11" s="1324">
        <v>0</v>
      </c>
      <c r="Q11" s="1324">
        <v>0</v>
      </c>
      <c r="R11" s="1324">
        <v>0</v>
      </c>
      <c r="S11" s="1324">
        <v>0</v>
      </c>
      <c r="T11" s="1324">
        <v>0</v>
      </c>
      <c r="U11" s="1324">
        <v>0</v>
      </c>
      <c r="V11" s="1324">
        <v>0</v>
      </c>
      <c r="W11" s="1324">
        <v>30282</v>
      </c>
      <c r="X11" s="1324">
        <v>45765</v>
      </c>
      <c r="Y11" s="1324">
        <v>54282</v>
      </c>
      <c r="Z11" s="991"/>
      <c r="AA11" s="991">
        <v>34627</v>
      </c>
      <c r="AB11" s="1326"/>
      <c r="AC11" s="991">
        <v>51891</v>
      </c>
      <c r="AD11" s="1326"/>
      <c r="AE11" s="991">
        <v>34260</v>
      </c>
      <c r="AF11" s="1327"/>
      <c r="AG11" s="991">
        <v>3400</v>
      </c>
      <c r="AH11" s="1327"/>
    </row>
    <row r="12" spans="1:34" s="1048" customFormat="1" ht="27" customHeight="1">
      <c r="A12" s="1663"/>
      <c r="B12" s="1664"/>
      <c r="C12" s="1602" t="s">
        <v>1545</v>
      </c>
      <c r="D12" s="1602"/>
      <c r="E12" s="1602"/>
      <c r="F12" s="999">
        <f t="shared" si="2"/>
        <v>0</v>
      </c>
      <c r="G12" s="991">
        <v>0</v>
      </c>
      <c r="H12" s="1324">
        <v>0</v>
      </c>
      <c r="I12" s="1324">
        <v>0</v>
      </c>
      <c r="J12" s="1324">
        <v>0</v>
      </c>
      <c r="K12" s="1324">
        <v>0</v>
      </c>
      <c r="L12" s="1324">
        <v>0</v>
      </c>
      <c r="M12" s="1324">
        <v>0</v>
      </c>
      <c r="N12" s="1324">
        <v>0</v>
      </c>
      <c r="O12" s="1324">
        <v>0</v>
      </c>
      <c r="P12" s="1324">
        <v>0</v>
      </c>
      <c r="Q12" s="1324">
        <v>0</v>
      </c>
      <c r="R12" s="1324">
        <v>0</v>
      </c>
      <c r="S12" s="1324">
        <v>0</v>
      </c>
      <c r="T12" s="1324">
        <v>0</v>
      </c>
      <c r="U12" s="1324">
        <v>0</v>
      </c>
      <c r="V12" s="1324">
        <v>0</v>
      </c>
      <c r="W12" s="1324">
        <v>0</v>
      </c>
      <c r="X12" s="1324">
        <v>0</v>
      </c>
      <c r="Y12" s="1324">
        <v>0</v>
      </c>
      <c r="Z12" s="991"/>
      <c r="AA12" s="991">
        <v>0</v>
      </c>
      <c r="AB12" s="1326"/>
      <c r="AC12" s="991">
        <v>0</v>
      </c>
      <c r="AD12" s="1326"/>
      <c r="AE12" s="991"/>
      <c r="AF12" s="1327"/>
      <c r="AG12" s="991"/>
      <c r="AH12" s="1327"/>
    </row>
    <row r="13" spans="1:34" s="1048" customFormat="1" ht="27" customHeight="1">
      <c r="A13" s="1663"/>
      <c r="B13" s="1664"/>
      <c r="C13" s="1602" t="s">
        <v>1546</v>
      </c>
      <c r="D13" s="1602"/>
      <c r="E13" s="1602"/>
      <c r="F13" s="999">
        <f>SUM(G13:AG13)</f>
        <v>44083</v>
      </c>
      <c r="G13" s="991">
        <v>0</v>
      </c>
      <c r="H13" s="1324">
        <v>0</v>
      </c>
      <c r="I13" s="1324">
        <v>0</v>
      </c>
      <c r="J13" s="1324">
        <v>0</v>
      </c>
      <c r="K13" s="1324">
        <v>0</v>
      </c>
      <c r="L13" s="1324">
        <v>0</v>
      </c>
      <c r="M13" s="1324">
        <v>0</v>
      </c>
      <c r="N13" s="1324">
        <v>0</v>
      </c>
      <c r="O13" s="1324">
        <v>2955</v>
      </c>
      <c r="P13" s="1324">
        <v>0</v>
      </c>
      <c r="Q13" s="1324">
        <v>2771</v>
      </c>
      <c r="R13" s="1324">
        <v>190</v>
      </c>
      <c r="S13" s="1324">
        <v>1933</v>
      </c>
      <c r="T13" s="1324">
        <v>3676</v>
      </c>
      <c r="U13" s="1324">
        <v>1968</v>
      </c>
      <c r="V13" s="1324">
        <v>2802</v>
      </c>
      <c r="W13" s="1324">
        <v>4471</v>
      </c>
      <c r="X13" s="1324">
        <v>2367</v>
      </c>
      <c r="Y13" s="1324">
        <v>0</v>
      </c>
      <c r="Z13" s="991"/>
      <c r="AA13" s="991">
        <v>0</v>
      </c>
      <c r="AB13" s="1326"/>
      <c r="AC13" s="991">
        <v>2150</v>
      </c>
      <c r="AD13" s="1326"/>
      <c r="AE13" s="991">
        <v>9000</v>
      </c>
      <c r="AF13" s="1327"/>
      <c r="AG13" s="991">
        <v>9800</v>
      </c>
      <c r="AH13" s="1327"/>
    </row>
    <row r="14" spans="1:34" s="1048" customFormat="1" ht="27" customHeight="1">
      <c r="A14" s="1663"/>
      <c r="B14" s="1664"/>
      <c r="C14" s="1602" t="s">
        <v>1541</v>
      </c>
      <c r="D14" s="1602"/>
      <c r="E14" s="1602"/>
      <c r="F14" s="999">
        <f>SUM(G14:AG14)</f>
        <v>111432</v>
      </c>
      <c r="G14" s="991">
        <v>20550</v>
      </c>
      <c r="H14" s="1324">
        <v>5409</v>
      </c>
      <c r="I14" s="1324">
        <v>7900</v>
      </c>
      <c r="J14" s="1324">
        <v>1758</v>
      </c>
      <c r="K14" s="1324">
        <v>395</v>
      </c>
      <c r="L14" s="1324">
        <v>4767</v>
      </c>
      <c r="M14" s="1324">
        <v>248</v>
      </c>
      <c r="N14" s="1324">
        <v>1245</v>
      </c>
      <c r="O14" s="1324">
        <v>8347</v>
      </c>
      <c r="P14" s="1324">
        <v>9823</v>
      </c>
      <c r="Q14" s="1324">
        <v>3839</v>
      </c>
      <c r="R14" s="1324">
        <v>8377</v>
      </c>
      <c r="S14" s="1324">
        <v>331.99999999999903</v>
      </c>
      <c r="T14" s="1324">
        <v>2322</v>
      </c>
      <c r="U14" s="1324">
        <v>1772</v>
      </c>
      <c r="V14" s="1324">
        <v>1589</v>
      </c>
      <c r="W14" s="1324">
        <v>2831</v>
      </c>
      <c r="X14" s="1324">
        <v>3856</v>
      </c>
      <c r="Y14" s="1324">
        <v>0</v>
      </c>
      <c r="Z14" s="991"/>
      <c r="AA14" s="991">
        <v>2946</v>
      </c>
      <c r="AB14" s="1326"/>
      <c r="AC14" s="991">
        <v>5966</v>
      </c>
      <c r="AD14" s="1326"/>
      <c r="AE14" s="991">
        <v>9360</v>
      </c>
      <c r="AF14" s="1327"/>
      <c r="AG14" s="991">
        <v>7800</v>
      </c>
      <c r="AH14" s="1327"/>
    </row>
    <row r="15" spans="1:34" s="1048" customFormat="1" ht="27" customHeight="1">
      <c r="A15" s="1663"/>
      <c r="B15" s="1664"/>
      <c r="C15" s="1602" t="s">
        <v>1539</v>
      </c>
      <c r="D15" s="1602"/>
      <c r="E15" s="1602"/>
      <c r="F15" s="999">
        <v>33226</v>
      </c>
      <c r="G15" s="991">
        <v>4467</v>
      </c>
      <c r="H15" s="1324">
        <v>0</v>
      </c>
      <c r="I15" s="1324">
        <v>0</v>
      </c>
      <c r="J15" s="1324">
        <v>0</v>
      </c>
      <c r="K15" s="1324">
        <v>0</v>
      </c>
      <c r="L15" s="1324">
        <v>0</v>
      </c>
      <c r="M15" s="1324">
        <v>0</v>
      </c>
      <c r="N15" s="1324">
        <v>1305</v>
      </c>
      <c r="O15" s="1324">
        <v>0</v>
      </c>
      <c r="P15" s="1324">
        <v>271.00000000000296</v>
      </c>
      <c r="Q15" s="1324">
        <v>0</v>
      </c>
      <c r="R15" s="1324">
        <v>6569</v>
      </c>
      <c r="S15" s="1324">
        <v>0</v>
      </c>
      <c r="T15" s="1324">
        <v>0</v>
      </c>
      <c r="U15" s="1324">
        <v>4</v>
      </c>
      <c r="V15" s="1324">
        <v>11</v>
      </c>
      <c r="W15" s="1324">
        <v>1844</v>
      </c>
      <c r="X15" s="1324">
        <v>1512</v>
      </c>
      <c r="Y15" s="1324">
        <v>657</v>
      </c>
      <c r="Z15" s="991"/>
      <c r="AA15" s="991">
        <v>1522</v>
      </c>
      <c r="AB15" s="1326"/>
      <c r="AC15" s="991">
        <v>1324</v>
      </c>
      <c r="AD15" s="1326"/>
      <c r="AE15" s="991">
        <v>13740</v>
      </c>
      <c r="AF15" s="1327"/>
      <c r="AG15" s="991"/>
      <c r="AH15" s="1327"/>
    </row>
    <row r="16" spans="1:34" s="1048" customFormat="1" ht="27" customHeight="1">
      <c r="A16" s="1663"/>
      <c r="B16" s="1664"/>
      <c r="C16" s="1602" t="s">
        <v>1547</v>
      </c>
      <c r="D16" s="1602"/>
      <c r="E16" s="1602"/>
      <c r="F16" s="999">
        <f t="shared" si="2"/>
        <v>36952</v>
      </c>
      <c r="G16" s="991">
        <v>25653</v>
      </c>
      <c r="H16" s="1324">
        <v>0</v>
      </c>
      <c r="I16" s="1324">
        <v>153</v>
      </c>
      <c r="J16" s="1324">
        <v>0</v>
      </c>
      <c r="K16" s="1324">
        <v>595</v>
      </c>
      <c r="L16" s="1324">
        <v>0</v>
      </c>
      <c r="M16" s="1324">
        <v>0</v>
      </c>
      <c r="N16" s="1324">
        <v>1497</v>
      </c>
      <c r="O16" s="1324">
        <v>461</v>
      </c>
      <c r="P16" s="1324">
        <v>10</v>
      </c>
      <c r="Q16" s="1324">
        <v>4</v>
      </c>
      <c r="R16" s="1324">
        <v>935</v>
      </c>
      <c r="S16" s="1324">
        <v>3182</v>
      </c>
      <c r="T16" s="1324">
        <v>1339</v>
      </c>
      <c r="U16" s="1324">
        <v>326</v>
      </c>
      <c r="V16" s="1324">
        <v>2778</v>
      </c>
      <c r="W16" s="1324">
        <v>0</v>
      </c>
      <c r="X16" s="1324">
        <v>0</v>
      </c>
      <c r="Y16" s="1324">
        <v>19</v>
      </c>
      <c r="Z16" s="991"/>
      <c r="AA16" s="991">
        <v>0</v>
      </c>
      <c r="AB16" s="1326"/>
      <c r="AC16" s="991">
        <v>0</v>
      </c>
      <c r="AD16" s="1326"/>
      <c r="AE16" s="991"/>
      <c r="AF16" s="1327"/>
      <c r="AG16" s="991"/>
      <c r="AH16" s="1327"/>
    </row>
    <row r="17" spans="1:34" s="1048" customFormat="1" ht="27" customHeight="1">
      <c r="A17" s="1663"/>
      <c r="B17" s="1664"/>
      <c r="C17" s="1602" t="s">
        <v>1548</v>
      </c>
      <c r="D17" s="1602"/>
      <c r="E17" s="1602"/>
      <c r="F17" s="999">
        <f t="shared" si="2"/>
        <v>0</v>
      </c>
      <c r="G17" s="991">
        <v>0</v>
      </c>
      <c r="H17" s="1324">
        <v>0</v>
      </c>
      <c r="I17" s="1324">
        <v>0</v>
      </c>
      <c r="J17" s="1324">
        <v>0</v>
      </c>
      <c r="K17" s="1324">
        <v>0</v>
      </c>
      <c r="L17" s="1324">
        <v>0</v>
      </c>
      <c r="M17" s="1324">
        <v>0</v>
      </c>
      <c r="N17" s="1324">
        <v>0</v>
      </c>
      <c r="O17" s="1324">
        <v>0</v>
      </c>
      <c r="P17" s="1324">
        <v>0</v>
      </c>
      <c r="Q17" s="1324">
        <v>0</v>
      </c>
      <c r="R17" s="1324">
        <v>0</v>
      </c>
      <c r="S17" s="1324">
        <v>0</v>
      </c>
      <c r="T17" s="1324">
        <v>0</v>
      </c>
      <c r="U17" s="1324">
        <v>0</v>
      </c>
      <c r="V17" s="1324">
        <v>0</v>
      </c>
      <c r="W17" s="1324">
        <v>0</v>
      </c>
      <c r="X17" s="1324">
        <v>0</v>
      </c>
      <c r="Y17" s="1324">
        <v>0</v>
      </c>
      <c r="Z17" s="991"/>
      <c r="AA17" s="991">
        <v>0</v>
      </c>
      <c r="AB17" s="1326"/>
      <c r="AC17" s="991">
        <v>0</v>
      </c>
      <c r="AD17" s="1326"/>
      <c r="AE17" s="991"/>
      <c r="AF17" s="1327"/>
      <c r="AG17" s="991"/>
      <c r="AH17" s="1327"/>
    </row>
    <row r="18" spans="1:34" s="1048" customFormat="1" ht="27" customHeight="1">
      <c r="A18" s="1663"/>
      <c r="B18" s="1664"/>
      <c r="C18" s="1605" t="s">
        <v>8692</v>
      </c>
      <c r="D18" s="1605"/>
      <c r="E18" s="1605"/>
      <c r="F18" s="999">
        <f t="shared" si="2"/>
        <v>31640</v>
      </c>
      <c r="G18" s="991">
        <v>2204</v>
      </c>
      <c r="H18" s="1324">
        <v>0</v>
      </c>
      <c r="I18" s="1324">
        <v>8338</v>
      </c>
      <c r="J18" s="1324">
        <v>0</v>
      </c>
      <c r="K18" s="1324">
        <v>1769</v>
      </c>
      <c r="L18" s="1324">
        <v>0</v>
      </c>
      <c r="M18" s="1324">
        <v>4962</v>
      </c>
      <c r="N18" s="1324">
        <v>0</v>
      </c>
      <c r="O18" s="1324">
        <v>0</v>
      </c>
      <c r="P18" s="1324">
        <v>2252</v>
      </c>
      <c r="Q18" s="1324">
        <v>48</v>
      </c>
      <c r="R18" s="1324">
        <v>5528</v>
      </c>
      <c r="S18" s="1324">
        <v>4742</v>
      </c>
      <c r="T18" s="1324">
        <v>171</v>
      </c>
      <c r="U18" s="1324">
        <v>190</v>
      </c>
      <c r="V18" s="1324">
        <v>1426</v>
      </c>
      <c r="W18" s="1324">
        <v>10</v>
      </c>
      <c r="X18" s="1324">
        <v>0</v>
      </c>
      <c r="Y18" s="1324">
        <v>0</v>
      </c>
      <c r="Z18" s="991"/>
      <c r="AA18" s="991">
        <v>0</v>
      </c>
      <c r="AB18" s="1326"/>
      <c r="AC18" s="991">
        <v>0</v>
      </c>
      <c r="AD18" s="1326"/>
      <c r="AE18" s="991"/>
      <c r="AF18" s="1327"/>
      <c r="AG18" s="991"/>
      <c r="AH18" s="1327"/>
    </row>
    <row r="19" spans="1:34" s="1048" customFormat="1" ht="27" customHeight="1">
      <c r="A19" s="1663"/>
      <c r="B19" s="1664"/>
      <c r="C19" s="1605" t="s">
        <v>8693</v>
      </c>
      <c r="D19" s="1605"/>
      <c r="E19" s="1605"/>
      <c r="F19" s="999">
        <f t="shared" si="2"/>
        <v>39654</v>
      </c>
      <c r="G19" s="991">
        <v>30948</v>
      </c>
      <c r="H19" s="1324">
        <v>0</v>
      </c>
      <c r="I19" s="1324">
        <v>408</v>
      </c>
      <c r="J19" s="1324">
        <v>0</v>
      </c>
      <c r="K19" s="1324">
        <v>21</v>
      </c>
      <c r="L19" s="1324">
        <v>22</v>
      </c>
      <c r="M19" s="1324">
        <v>1072</v>
      </c>
      <c r="N19" s="1324">
        <v>625</v>
      </c>
      <c r="O19" s="1324">
        <v>1635</v>
      </c>
      <c r="P19" s="1324">
        <v>230</v>
      </c>
      <c r="Q19" s="1324">
        <v>72</v>
      </c>
      <c r="R19" s="1324">
        <v>190</v>
      </c>
      <c r="S19" s="1324">
        <v>211</v>
      </c>
      <c r="T19" s="1324">
        <v>2730</v>
      </c>
      <c r="U19" s="1324">
        <v>1390</v>
      </c>
      <c r="V19" s="1324">
        <v>100</v>
      </c>
      <c r="W19" s="1324">
        <v>0</v>
      </c>
      <c r="X19" s="1324">
        <v>0</v>
      </c>
      <c r="Y19" s="1324">
        <v>0</v>
      </c>
      <c r="Z19" s="991"/>
      <c r="AA19" s="991">
        <v>0</v>
      </c>
      <c r="AB19" s="1326"/>
      <c r="AC19" s="991">
        <v>0</v>
      </c>
      <c r="AD19" s="1326"/>
      <c r="AE19" s="991"/>
      <c r="AF19" s="1327"/>
      <c r="AG19" s="991"/>
      <c r="AH19" s="1327"/>
    </row>
    <row r="20" spans="1:34" s="1048" customFormat="1" ht="27" customHeight="1" thickBot="1">
      <c r="A20" s="1665"/>
      <c r="B20" s="1666"/>
      <c r="C20" s="1603" t="s">
        <v>7654</v>
      </c>
      <c r="D20" s="1603"/>
      <c r="E20" s="1603"/>
      <c r="F20" s="1328">
        <f>G20+I20+K20+M20+N20+O20+P20+Q20+R20+S20+T20+U20+V20+AA20+AC20</f>
        <v>148296</v>
      </c>
      <c r="G20" s="991">
        <v>84167</v>
      </c>
      <c r="H20" s="1324">
        <v>0</v>
      </c>
      <c r="I20" s="1324">
        <v>550</v>
      </c>
      <c r="J20" s="1324">
        <v>0</v>
      </c>
      <c r="K20" s="1324">
        <v>13787</v>
      </c>
      <c r="L20" s="1324">
        <v>0</v>
      </c>
      <c r="M20" s="1324">
        <v>13094</v>
      </c>
      <c r="N20" s="1324">
        <v>225</v>
      </c>
      <c r="O20" s="1324">
        <v>86</v>
      </c>
      <c r="P20" s="1324">
        <v>5</v>
      </c>
      <c r="Q20" s="1324">
        <v>106</v>
      </c>
      <c r="R20" s="1324">
        <v>39</v>
      </c>
      <c r="S20" s="1324">
        <v>302</v>
      </c>
      <c r="T20" s="1324">
        <v>110</v>
      </c>
      <c r="U20" s="1324">
        <v>100</v>
      </c>
      <c r="V20" s="1324">
        <v>23748</v>
      </c>
      <c r="W20" s="1324">
        <v>0</v>
      </c>
      <c r="X20" s="1324">
        <v>0</v>
      </c>
      <c r="Y20" s="1324">
        <v>0</v>
      </c>
      <c r="Z20" s="1329"/>
      <c r="AA20" s="991">
        <v>5875</v>
      </c>
      <c r="AB20" s="1330"/>
      <c r="AC20" s="991">
        <v>6102</v>
      </c>
      <c r="AD20" s="1330"/>
      <c r="AE20" s="1329"/>
      <c r="AF20" s="1331"/>
      <c r="AG20" s="1329"/>
      <c r="AH20" s="1331"/>
    </row>
    <row r="21" spans="1:34" s="1048" customForma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</row>
    <row r="22" spans="1:34" s="1048" customForma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</row>
    <row r="23" spans="1:34" s="1048" customFormat="1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</sheetData>
  <mergeCells count="30">
    <mergeCell ref="AG4:AH4"/>
    <mergeCell ref="AG5:AH5"/>
    <mergeCell ref="A4:B6"/>
    <mergeCell ref="C4:D6"/>
    <mergeCell ref="C10:E10"/>
    <mergeCell ref="F4:F5"/>
    <mergeCell ref="C8:E8"/>
    <mergeCell ref="C7:E7"/>
    <mergeCell ref="AC4:AD4"/>
    <mergeCell ref="AC5:AD5"/>
    <mergeCell ref="AA4:AB4"/>
    <mergeCell ref="AA5:AB5"/>
    <mergeCell ref="Y4:Z4"/>
    <mergeCell ref="Y5:Z5"/>
    <mergeCell ref="C9:E9"/>
    <mergeCell ref="AE4:AF4"/>
    <mergeCell ref="AE5:AF5"/>
    <mergeCell ref="C20:E20"/>
    <mergeCell ref="A1:E1"/>
    <mergeCell ref="A2:E2"/>
    <mergeCell ref="C18:E18"/>
    <mergeCell ref="C19:E19"/>
    <mergeCell ref="A7:B20"/>
    <mergeCell ref="C12:E12"/>
    <mergeCell ref="C11:E11"/>
    <mergeCell ref="C15:E15"/>
    <mergeCell ref="C14:E14"/>
    <mergeCell ref="C13:E13"/>
    <mergeCell ref="C17:E17"/>
    <mergeCell ref="C16:E16"/>
  </mergeCells>
  <phoneticPr fontId="3" type="noConversion"/>
  <conditionalFormatting sqref="Y8:Y20">
    <cfRule type="expression" dxfId="542" priority="29" stopIfTrue="1">
      <formula>OR(RIGHT($A8,3)="특별시",RIGHT($A8,3)="광역시", RIGHT($A8,1)="도")</formula>
    </cfRule>
    <cfRule type="expression" dxfId="541" priority="30" stopIfTrue="1">
      <formula>OR(RIGHT($A8,1)="시",RIGHT($A8,1)="군")</formula>
    </cfRule>
  </conditionalFormatting>
  <conditionalFormatting sqref="Y8:Y20">
    <cfRule type="expression" dxfId="540" priority="28" stopIfTrue="1">
      <formula>$C8="총계"</formula>
    </cfRule>
  </conditionalFormatting>
  <conditionalFormatting sqref="X8:X20">
    <cfRule type="expression" dxfId="539" priority="26" stopIfTrue="1">
      <formula>OR(RIGHT($A8,3)="특별시",RIGHT($A8,3)="광역시", RIGHT($A8,1)="도")</formula>
    </cfRule>
    <cfRule type="expression" dxfId="538" priority="27" stopIfTrue="1">
      <formula>OR(RIGHT($A8,1)="시",RIGHT($A8,1)="군")</formula>
    </cfRule>
  </conditionalFormatting>
  <conditionalFormatting sqref="X8:X20">
    <cfRule type="expression" dxfId="537" priority="25" stopIfTrue="1">
      <formula>$C8="총계"</formula>
    </cfRule>
  </conditionalFormatting>
  <conditionalFormatting sqref="W8:W20">
    <cfRule type="expression" dxfId="536" priority="23" stopIfTrue="1">
      <formula>OR(RIGHT($A8,3)="특별시",RIGHT($A8,3)="광역시", RIGHT($A8,1)="도")</formula>
    </cfRule>
    <cfRule type="expression" dxfId="535" priority="24" stopIfTrue="1">
      <formula>OR(RIGHT($A8,1)="시",RIGHT($A8,1)="군")</formula>
    </cfRule>
  </conditionalFormatting>
  <conditionalFormatting sqref="W8:W20">
    <cfRule type="expression" dxfId="534" priority="22" stopIfTrue="1">
      <formula>$C8="총계"</formula>
    </cfRule>
  </conditionalFormatting>
  <conditionalFormatting sqref="V8:V20">
    <cfRule type="expression" dxfId="533" priority="20" stopIfTrue="1">
      <formula>OR(RIGHT($A8,3)="특별시",RIGHT($A8,3)="광역시", RIGHT($A8,1)="도")</formula>
    </cfRule>
    <cfRule type="expression" dxfId="532" priority="21" stopIfTrue="1">
      <formula>OR(RIGHT($A8,1)="시",RIGHT($A8,1)="군")</formula>
    </cfRule>
  </conditionalFormatting>
  <conditionalFormatting sqref="V8:V20">
    <cfRule type="expression" dxfId="531" priority="19" stopIfTrue="1">
      <formula>$C8="총계"</formula>
    </cfRule>
  </conditionalFormatting>
  <conditionalFormatting sqref="U8:U20">
    <cfRule type="expression" dxfId="530" priority="17" stopIfTrue="1">
      <formula>OR(RIGHT($A8,3)="특별시",RIGHT($A8,3)="광역시", RIGHT($A8,1)="도")</formula>
    </cfRule>
    <cfRule type="expression" dxfId="529" priority="18" stopIfTrue="1">
      <formula>OR(RIGHT($A8,1)="시",RIGHT($A8,1)="군")</formula>
    </cfRule>
  </conditionalFormatting>
  <conditionalFormatting sqref="U8:U20">
    <cfRule type="expression" dxfId="528" priority="16" stopIfTrue="1">
      <formula>$C8="총계"</formula>
    </cfRule>
  </conditionalFormatting>
  <conditionalFormatting sqref="T8:T20">
    <cfRule type="expression" dxfId="527" priority="14" stopIfTrue="1">
      <formula>OR(RIGHT($A8,3)="특별시",RIGHT($A8,3)="광역시", RIGHT($A8,1)="도")</formula>
    </cfRule>
    <cfRule type="expression" dxfId="526" priority="15" stopIfTrue="1">
      <formula>OR(RIGHT($A8,1)="시",RIGHT($A8,1)="군")</formula>
    </cfRule>
  </conditionalFormatting>
  <conditionalFormatting sqref="T8:T20">
    <cfRule type="expression" dxfId="525" priority="13" stopIfTrue="1">
      <formula>$C8="총계"</formula>
    </cfRule>
  </conditionalFormatting>
  <conditionalFormatting sqref="S8:S20">
    <cfRule type="expression" dxfId="524" priority="11" stopIfTrue="1">
      <formula>OR(RIGHT($A8,3)="특별시",RIGHT($A8,3)="광역시", RIGHT($A8,1)="도")</formula>
    </cfRule>
    <cfRule type="expression" dxfId="523" priority="12" stopIfTrue="1">
      <formula>OR(RIGHT($A8,1)="시",RIGHT($A8,1)="군")</formula>
    </cfRule>
  </conditionalFormatting>
  <conditionalFormatting sqref="S8:S20">
    <cfRule type="expression" dxfId="522" priority="10" stopIfTrue="1">
      <formula>$C8="총계"</formula>
    </cfRule>
  </conditionalFormatting>
  <conditionalFormatting sqref="Q8:R20">
    <cfRule type="expression" dxfId="521" priority="8" stopIfTrue="1">
      <formula>OR(RIGHT($A8,3)="특별시",RIGHT($A8,3)="광역시", RIGHT($A8,1)="도")</formula>
    </cfRule>
    <cfRule type="expression" dxfId="520" priority="9" stopIfTrue="1">
      <formula>OR(RIGHT($A8,1)="시",RIGHT($A8,1)="군")</formula>
    </cfRule>
  </conditionalFormatting>
  <conditionalFormatting sqref="Q8:R20">
    <cfRule type="expression" dxfId="519" priority="7" stopIfTrue="1">
      <formula>$C8="총계"</formula>
    </cfRule>
  </conditionalFormatting>
  <conditionalFormatting sqref="N8:P20">
    <cfRule type="expression" dxfId="518" priority="5" stopIfTrue="1">
      <formula>OR(RIGHT($A8,3)="특별시",RIGHT($A8,3)="광역시", RIGHT($A8,1)="도")</formula>
    </cfRule>
    <cfRule type="expression" dxfId="517" priority="6" stopIfTrue="1">
      <formula>OR(RIGHT($A8,1)="시",RIGHT($A8,1)="군")</formula>
    </cfRule>
  </conditionalFormatting>
  <conditionalFormatting sqref="N8:P20">
    <cfRule type="expression" dxfId="516" priority="4" stopIfTrue="1">
      <formula>$C8="총계"</formula>
    </cfRule>
  </conditionalFormatting>
  <conditionalFormatting sqref="H8:M20">
    <cfRule type="expression" dxfId="515" priority="2" stopIfTrue="1">
      <formula>OR(RIGHT($A8,3)="특별시",RIGHT($A8,3)="광역시", RIGHT($A8,1)="도")</formula>
    </cfRule>
    <cfRule type="expression" dxfId="514" priority="3" stopIfTrue="1">
      <formula>OR(RIGHT($A8,1)="시",RIGHT($A8,1)="군")</formula>
    </cfRule>
  </conditionalFormatting>
  <conditionalFormatting sqref="H8:M20">
    <cfRule type="expression" dxfId="513" priority="1" stopIfTrue="1">
      <formula>$C8="총계"</formula>
    </cfRule>
  </conditionalFormatting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9"/>
  <sheetViews>
    <sheetView view="pageBreakPreview" zoomScale="85" zoomScaleNormal="85" zoomScaleSheetLayoutView="85" workbookViewId="0">
      <selection activeCell="G26" sqref="G26"/>
    </sheetView>
  </sheetViews>
  <sheetFormatPr defaultRowHeight="11.25"/>
  <cols>
    <col min="1" max="2" width="5.21875" style="11" customWidth="1"/>
    <col min="3" max="3" width="8.88671875" style="11"/>
    <col min="4" max="4" width="1.21875" style="11" customWidth="1"/>
    <col min="5" max="5" width="7.6640625" style="11" customWidth="1"/>
    <col min="6" max="11" width="15.44140625" style="11" customWidth="1"/>
    <col min="12" max="13" width="9.109375" style="11" customWidth="1"/>
    <col min="14" max="26" width="5.88671875" style="11" customWidth="1"/>
    <col min="27" max="16384" width="8.88671875" style="11"/>
  </cols>
  <sheetData>
    <row r="1" spans="1:21" ht="21" customHeight="1">
      <c r="A1" s="1661"/>
      <c r="B1" s="1661"/>
      <c r="C1" s="1661"/>
      <c r="D1" s="1661"/>
      <c r="E1" s="1661"/>
    </row>
    <row r="2" spans="1:21" ht="21" customHeight="1">
      <c r="A2" s="1678" t="s">
        <v>9185</v>
      </c>
      <c r="B2" s="1678"/>
      <c r="C2" s="1678"/>
      <c r="D2" s="1678"/>
      <c r="E2" s="1678"/>
      <c r="F2" s="992"/>
      <c r="G2" s="992"/>
      <c r="H2" s="992"/>
      <c r="I2" s="992"/>
      <c r="J2" s="992"/>
      <c r="K2" s="992"/>
      <c r="L2" s="992"/>
      <c r="M2" s="12"/>
      <c r="N2" s="12"/>
      <c r="O2" s="12"/>
      <c r="P2" s="12"/>
      <c r="Q2" s="12"/>
      <c r="R2" s="12"/>
      <c r="S2" s="12"/>
      <c r="T2" s="12"/>
      <c r="U2" s="12"/>
    </row>
    <row r="3" spans="1:21" ht="12" thickBot="1">
      <c r="A3" s="993"/>
      <c r="B3" s="993"/>
      <c r="C3" s="993"/>
      <c r="D3" s="993"/>
      <c r="E3" s="993"/>
      <c r="F3" s="993"/>
      <c r="G3" s="993"/>
      <c r="H3" s="993"/>
      <c r="I3" s="993"/>
      <c r="J3" s="993"/>
      <c r="K3" s="993"/>
      <c r="L3" s="993"/>
    </row>
    <row r="4" spans="1:21" ht="27" customHeight="1">
      <c r="A4" s="1679" t="s">
        <v>1528</v>
      </c>
      <c r="B4" s="1675"/>
      <c r="C4" s="1675" t="s">
        <v>1549</v>
      </c>
      <c r="D4" s="1675"/>
      <c r="E4" s="1675"/>
      <c r="F4" s="1675" t="s">
        <v>1575</v>
      </c>
      <c r="G4" s="1675" t="s">
        <v>7655</v>
      </c>
      <c r="H4" s="1675"/>
      <c r="I4" s="1675"/>
      <c r="J4" s="1675"/>
      <c r="K4" s="1675"/>
      <c r="L4" s="1675" t="s">
        <v>1585</v>
      </c>
      <c r="M4" s="1658" t="s">
        <v>453</v>
      </c>
    </row>
    <row r="5" spans="1:21" ht="27.75" thickBot="1">
      <c r="A5" s="1680"/>
      <c r="B5" s="1676"/>
      <c r="C5" s="1676"/>
      <c r="D5" s="1676"/>
      <c r="E5" s="1676"/>
      <c r="F5" s="1676"/>
      <c r="G5" s="1164" t="s">
        <v>7656</v>
      </c>
      <c r="H5" s="1164" t="s">
        <v>7657</v>
      </c>
      <c r="I5" s="1164" t="s">
        <v>7659</v>
      </c>
      <c r="J5" s="1164" t="s">
        <v>7660</v>
      </c>
      <c r="K5" s="1164" t="s">
        <v>7658</v>
      </c>
      <c r="L5" s="1676"/>
      <c r="M5" s="1659"/>
    </row>
    <row r="6" spans="1:21" ht="27" customHeight="1">
      <c r="A6" s="1682"/>
      <c r="B6" s="1677"/>
      <c r="C6" s="1677" t="s">
        <v>1488</v>
      </c>
      <c r="D6" s="1677"/>
      <c r="E6" s="1677"/>
      <c r="F6" s="1332">
        <f t="shared" ref="F6:F19" si="0">SUM(G6:M6)</f>
        <v>1498894</v>
      </c>
      <c r="G6" s="1332">
        <f t="shared" ref="G6:M6" si="1">SUM(G7:G19)</f>
        <v>137131</v>
      </c>
      <c r="H6" s="1332">
        <f t="shared" si="1"/>
        <v>311114</v>
      </c>
      <c r="I6" s="1332">
        <f t="shared" si="1"/>
        <v>532095</v>
      </c>
      <c r="J6" s="1332">
        <f t="shared" si="1"/>
        <v>257439</v>
      </c>
      <c r="K6" s="1332">
        <f t="shared" si="1"/>
        <v>147582</v>
      </c>
      <c r="L6" s="1332">
        <f t="shared" si="1"/>
        <v>113533</v>
      </c>
      <c r="M6" s="1333">
        <f t="shared" si="1"/>
        <v>0</v>
      </c>
    </row>
    <row r="7" spans="1:21" ht="27" customHeight="1">
      <c r="A7" s="1682"/>
      <c r="B7" s="1677"/>
      <c r="C7" s="1677" t="s">
        <v>1542</v>
      </c>
      <c r="D7" s="1677"/>
      <c r="E7" s="1677"/>
      <c r="F7" s="1030">
        <f t="shared" si="0"/>
        <v>753705</v>
      </c>
      <c r="G7" s="1334">
        <v>335</v>
      </c>
      <c r="H7" s="1334">
        <v>760</v>
      </c>
      <c r="I7" s="1334">
        <v>403103</v>
      </c>
      <c r="J7" s="1334">
        <v>158573</v>
      </c>
      <c r="K7" s="1334">
        <v>79430</v>
      </c>
      <c r="L7" s="1334">
        <v>111504</v>
      </c>
      <c r="M7" s="1335">
        <v>0</v>
      </c>
    </row>
    <row r="8" spans="1:21" ht="27" customHeight="1">
      <c r="A8" s="1682"/>
      <c r="B8" s="1677"/>
      <c r="C8" s="1677" t="s">
        <v>1543</v>
      </c>
      <c r="D8" s="1677"/>
      <c r="E8" s="1677"/>
      <c r="F8" s="1030">
        <f t="shared" si="0"/>
        <v>21692</v>
      </c>
      <c r="G8" s="1334">
        <v>277</v>
      </c>
      <c r="H8" s="1334">
        <v>0</v>
      </c>
      <c r="I8" s="1334">
        <v>5431</v>
      </c>
      <c r="J8" s="1334">
        <v>6714</v>
      </c>
      <c r="K8" s="1334">
        <v>9270</v>
      </c>
      <c r="L8" s="1334">
        <v>0</v>
      </c>
      <c r="M8" s="1335">
        <v>0</v>
      </c>
    </row>
    <row r="9" spans="1:21" ht="27" customHeight="1">
      <c r="A9" s="1682"/>
      <c r="B9" s="1677"/>
      <c r="C9" s="1677" t="s">
        <v>1544</v>
      </c>
      <c r="D9" s="1677"/>
      <c r="E9" s="1677"/>
      <c r="F9" s="1030">
        <f t="shared" si="0"/>
        <v>0</v>
      </c>
      <c r="G9" s="1334">
        <v>0</v>
      </c>
      <c r="H9" s="1334">
        <v>0</v>
      </c>
      <c r="I9" s="1334">
        <v>0</v>
      </c>
      <c r="J9" s="1334">
        <v>0</v>
      </c>
      <c r="K9" s="1334">
        <v>0</v>
      </c>
      <c r="L9" s="1334">
        <v>0</v>
      </c>
      <c r="M9" s="1335">
        <v>0</v>
      </c>
    </row>
    <row r="10" spans="1:21" ht="27" customHeight="1">
      <c r="A10" s="1682"/>
      <c r="B10" s="1677"/>
      <c r="C10" s="1677" t="s">
        <v>1540</v>
      </c>
      <c r="D10" s="1677"/>
      <c r="E10" s="1677"/>
      <c r="F10" s="1030">
        <f t="shared" si="0"/>
        <v>278214</v>
      </c>
      <c r="G10" s="1334">
        <v>71314</v>
      </c>
      <c r="H10" s="1334">
        <v>168110</v>
      </c>
      <c r="I10" s="1334">
        <v>38681</v>
      </c>
      <c r="J10" s="1334">
        <v>109</v>
      </c>
      <c r="K10" s="1334">
        <v>0</v>
      </c>
      <c r="L10" s="1334">
        <v>0</v>
      </c>
      <c r="M10" s="1335">
        <v>0</v>
      </c>
    </row>
    <row r="11" spans="1:21" ht="27" customHeight="1">
      <c r="A11" s="1682"/>
      <c r="B11" s="1677"/>
      <c r="C11" s="1677" t="s">
        <v>1545</v>
      </c>
      <c r="D11" s="1677"/>
      <c r="E11" s="1677"/>
      <c r="F11" s="1030">
        <f t="shared" si="0"/>
        <v>0</v>
      </c>
      <c r="G11" s="1334">
        <v>0</v>
      </c>
      <c r="H11" s="1334">
        <v>0</v>
      </c>
      <c r="I11" s="1334">
        <v>0</v>
      </c>
      <c r="J11" s="1334">
        <v>0</v>
      </c>
      <c r="K11" s="1334">
        <v>0</v>
      </c>
      <c r="L11" s="1334">
        <v>0</v>
      </c>
      <c r="M11" s="1335">
        <v>0</v>
      </c>
    </row>
    <row r="12" spans="1:21" ht="27" customHeight="1">
      <c r="A12" s="1682"/>
      <c r="B12" s="1677"/>
      <c r="C12" s="1677" t="s">
        <v>1546</v>
      </c>
      <c r="D12" s="1677"/>
      <c r="E12" s="1677"/>
      <c r="F12" s="1030">
        <f t="shared" si="0"/>
        <v>44083</v>
      </c>
      <c r="G12" s="1334">
        <v>0</v>
      </c>
      <c r="H12" s="1334">
        <v>23295</v>
      </c>
      <c r="I12" s="1334">
        <v>12662</v>
      </c>
      <c r="J12" s="1334">
        <v>5839</v>
      </c>
      <c r="K12" s="1334">
        <v>2287</v>
      </c>
      <c r="L12" s="1334">
        <v>0</v>
      </c>
      <c r="M12" s="1335">
        <v>0</v>
      </c>
    </row>
    <row r="13" spans="1:21" ht="27" customHeight="1">
      <c r="A13" s="1682"/>
      <c r="B13" s="1677"/>
      <c r="C13" s="1677" t="s">
        <v>1541</v>
      </c>
      <c r="D13" s="1677"/>
      <c r="E13" s="1677"/>
      <c r="F13" s="1030">
        <f t="shared" si="0"/>
        <v>111432</v>
      </c>
      <c r="G13" s="1334">
        <v>13909</v>
      </c>
      <c r="H13" s="1334">
        <v>60230</v>
      </c>
      <c r="I13" s="1334">
        <v>23093</v>
      </c>
      <c r="J13" s="1334">
        <v>14177</v>
      </c>
      <c r="K13" s="1334">
        <v>23</v>
      </c>
      <c r="L13" s="1334">
        <v>0</v>
      </c>
      <c r="M13" s="1335">
        <v>0</v>
      </c>
    </row>
    <row r="14" spans="1:21" ht="27" customHeight="1">
      <c r="A14" s="1682"/>
      <c r="B14" s="1677"/>
      <c r="C14" s="1677" t="s">
        <v>1539</v>
      </c>
      <c r="D14" s="1677"/>
      <c r="E14" s="1677"/>
      <c r="F14" s="1030">
        <f t="shared" si="0"/>
        <v>33226</v>
      </c>
      <c r="G14" s="1334">
        <v>19271</v>
      </c>
      <c r="H14" s="1334">
        <v>2746</v>
      </c>
      <c r="I14" s="1334">
        <v>6076</v>
      </c>
      <c r="J14" s="1334">
        <v>5133</v>
      </c>
      <c r="K14" s="1334">
        <v>0</v>
      </c>
      <c r="L14" s="1334">
        <v>0</v>
      </c>
      <c r="M14" s="1335">
        <v>0</v>
      </c>
    </row>
    <row r="15" spans="1:21" ht="27" customHeight="1">
      <c r="A15" s="1682"/>
      <c r="B15" s="1677"/>
      <c r="C15" s="1677" t="s">
        <v>1547</v>
      </c>
      <c r="D15" s="1677"/>
      <c r="E15" s="1677"/>
      <c r="F15" s="1030">
        <f t="shared" si="0"/>
        <v>36952</v>
      </c>
      <c r="G15" s="1334">
        <v>329</v>
      </c>
      <c r="H15" s="1334">
        <v>116</v>
      </c>
      <c r="I15" s="1334">
        <v>12471</v>
      </c>
      <c r="J15" s="1334">
        <v>16703</v>
      </c>
      <c r="K15" s="1334">
        <v>7333</v>
      </c>
      <c r="L15" s="1334">
        <v>0</v>
      </c>
      <c r="M15" s="1335">
        <v>0</v>
      </c>
    </row>
    <row r="16" spans="1:21" ht="27" customHeight="1">
      <c r="A16" s="1682"/>
      <c r="B16" s="1677"/>
      <c r="C16" s="1685" t="s">
        <v>8694</v>
      </c>
      <c r="D16" s="1685"/>
      <c r="E16" s="1685"/>
      <c r="F16" s="1030">
        <f t="shared" si="0"/>
        <v>0</v>
      </c>
      <c r="G16" s="1334">
        <v>0</v>
      </c>
      <c r="H16" s="1334">
        <v>0</v>
      </c>
      <c r="I16" s="1334">
        <v>0</v>
      </c>
      <c r="J16" s="1334">
        <v>0</v>
      </c>
      <c r="K16" s="1334">
        <v>0</v>
      </c>
      <c r="L16" s="1334">
        <v>0</v>
      </c>
      <c r="M16" s="1335">
        <v>0</v>
      </c>
    </row>
    <row r="17" spans="1:13" ht="27" customHeight="1">
      <c r="A17" s="1682"/>
      <c r="B17" s="1677"/>
      <c r="C17" s="1684" t="s">
        <v>8692</v>
      </c>
      <c r="D17" s="1684"/>
      <c r="E17" s="1684"/>
      <c r="F17" s="1030">
        <f t="shared" si="0"/>
        <v>31640</v>
      </c>
      <c r="G17" s="1334">
        <v>0</v>
      </c>
      <c r="H17" s="1334">
        <v>0</v>
      </c>
      <c r="I17" s="1334">
        <v>2280</v>
      </c>
      <c r="J17" s="1334">
        <v>14558</v>
      </c>
      <c r="K17" s="1334">
        <v>14802</v>
      </c>
      <c r="L17" s="1334">
        <v>0</v>
      </c>
      <c r="M17" s="1335">
        <v>0</v>
      </c>
    </row>
    <row r="18" spans="1:13" ht="27" customHeight="1">
      <c r="A18" s="1682"/>
      <c r="B18" s="1677"/>
      <c r="C18" s="1684" t="s">
        <v>8693</v>
      </c>
      <c r="D18" s="1684"/>
      <c r="E18" s="1684"/>
      <c r="F18" s="1030">
        <f t="shared" si="0"/>
        <v>39654</v>
      </c>
      <c r="G18" s="1334">
        <v>3619</v>
      </c>
      <c r="H18" s="1334">
        <v>1493</v>
      </c>
      <c r="I18" s="1334">
        <v>14511</v>
      </c>
      <c r="J18" s="1334">
        <v>15095</v>
      </c>
      <c r="K18" s="1334">
        <v>4936</v>
      </c>
      <c r="L18" s="1334">
        <v>0</v>
      </c>
      <c r="M18" s="1335">
        <v>0</v>
      </c>
    </row>
    <row r="19" spans="1:13" ht="27" customHeight="1" thickBot="1">
      <c r="A19" s="1683"/>
      <c r="B19" s="1681"/>
      <c r="C19" s="1681" t="s">
        <v>1404</v>
      </c>
      <c r="D19" s="1681"/>
      <c r="E19" s="1681"/>
      <c r="F19" s="1030">
        <f t="shared" si="0"/>
        <v>148296</v>
      </c>
      <c r="G19" s="1334">
        <v>28077</v>
      </c>
      <c r="H19" s="1334">
        <v>54364</v>
      </c>
      <c r="I19" s="1334">
        <v>13787</v>
      </c>
      <c r="J19" s="1334">
        <v>20538</v>
      </c>
      <c r="K19" s="1334">
        <v>29501</v>
      </c>
      <c r="L19" s="1334">
        <v>2029</v>
      </c>
      <c r="M19" s="1335">
        <v>0</v>
      </c>
    </row>
  </sheetData>
  <mergeCells count="23">
    <mergeCell ref="M4:M5"/>
    <mergeCell ref="C19:E19"/>
    <mergeCell ref="A6:B19"/>
    <mergeCell ref="C6:E6"/>
    <mergeCell ref="C7:E7"/>
    <mergeCell ref="C8:E8"/>
    <mergeCell ref="C9:E9"/>
    <mergeCell ref="C17:E17"/>
    <mergeCell ref="C18:E18"/>
    <mergeCell ref="L4:L5"/>
    <mergeCell ref="C12:E12"/>
    <mergeCell ref="C15:E15"/>
    <mergeCell ref="C16:E16"/>
    <mergeCell ref="C13:E13"/>
    <mergeCell ref="C14:E14"/>
    <mergeCell ref="C4:E5"/>
    <mergeCell ref="G4:K4"/>
    <mergeCell ref="F4:F5"/>
    <mergeCell ref="C10:E10"/>
    <mergeCell ref="C11:E11"/>
    <mergeCell ref="A1:E1"/>
    <mergeCell ref="A2:E2"/>
    <mergeCell ref="A4:B5"/>
  </mergeCells>
  <phoneticPr fontId="3" type="noConversion"/>
  <conditionalFormatting sqref="G7:M19">
    <cfRule type="expression" dxfId="512" priority="1" stopIfTrue="1">
      <formula>OR(RIGHT($A7,3)="특별시",RIGHT($A7,3)="광역시",RIGHT($A7,1)="도")</formula>
    </cfRule>
    <cfRule type="expression" dxfId="511" priority="2" stopIfTrue="1">
      <formula>OR(RIGHT($A7,1)="시",RIGHT($A7,1)="군")</formula>
    </cfRule>
  </conditionalFormatting>
  <pageMargins left="0.7" right="0.7" top="0.75" bottom="0.75" header="0.3" footer="0.3"/>
  <pageSetup paperSize="9" scale="8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5"/>
  <dimension ref="A2:CG11"/>
  <sheetViews>
    <sheetView view="pageBreakPreview" zoomScale="85" zoomScaleNormal="80" zoomScaleSheetLayoutView="85" workbookViewId="0">
      <selection activeCell="E22" sqref="E22"/>
    </sheetView>
  </sheetViews>
  <sheetFormatPr defaultColWidth="3.88671875" defaultRowHeight="12"/>
  <cols>
    <col min="1" max="1" width="15.44140625" style="3" customWidth="1"/>
    <col min="2" max="2" width="13.33203125" style="3" bestFit="1" customWidth="1"/>
    <col min="3" max="5" width="11.77734375" style="3" customWidth="1"/>
    <col min="6" max="9" width="15" style="3" customWidth="1"/>
    <col min="10" max="10" width="3.88671875" style="8" customWidth="1"/>
    <col min="11" max="11" width="44" style="8" customWidth="1"/>
    <col min="12" max="85" width="3.88671875" style="8" customWidth="1"/>
    <col min="86" max="16384" width="3.88671875" style="3"/>
  </cols>
  <sheetData>
    <row r="2" spans="1:85" s="922" customFormat="1" ht="27.75" customHeight="1">
      <c r="A2" s="1688" t="s">
        <v>8992</v>
      </c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0"/>
      <c r="Q2" s="921"/>
      <c r="R2" s="921"/>
      <c r="S2" s="921"/>
      <c r="T2" s="920"/>
      <c r="U2" s="920"/>
    </row>
    <row r="3" spans="1:85" s="922" customFormat="1" ht="27.75" customHeight="1">
      <c r="A3" s="1696" t="s">
        <v>8993</v>
      </c>
      <c r="B3" s="1696"/>
      <c r="C3" s="977"/>
      <c r="D3" s="977"/>
      <c r="E3" s="977"/>
      <c r="F3" s="920"/>
      <c r="G3" s="921"/>
      <c r="H3" s="921"/>
      <c r="I3" s="921"/>
      <c r="J3" s="921"/>
      <c r="K3" s="921"/>
      <c r="L3" s="921"/>
      <c r="M3" s="921"/>
      <c r="N3" s="921"/>
      <c r="O3" s="921"/>
      <c r="P3" s="920"/>
      <c r="Q3" s="921"/>
      <c r="R3" s="921"/>
      <c r="S3" s="921"/>
      <c r="T3" s="920"/>
      <c r="U3" s="920"/>
    </row>
    <row r="4" spans="1:85" s="925" customFormat="1" ht="27.75" customHeight="1">
      <c r="A4" s="1613" t="s">
        <v>8994</v>
      </c>
      <c r="B4" s="1613"/>
      <c r="C4" s="1613"/>
      <c r="D4" s="1613"/>
      <c r="E4" s="1613"/>
      <c r="F4" s="923"/>
      <c r="G4" s="924"/>
      <c r="H4" s="924"/>
      <c r="I4" s="924"/>
      <c r="J4" s="924"/>
      <c r="K4" s="924"/>
      <c r="L4" s="924"/>
      <c r="M4" s="924"/>
      <c r="N4" s="924"/>
      <c r="O4" s="924"/>
      <c r="P4" s="923"/>
      <c r="Q4" s="924"/>
      <c r="R4" s="924"/>
      <c r="S4" s="924"/>
      <c r="T4" s="923"/>
      <c r="U4" s="923"/>
    </row>
    <row r="5" spans="1:85" ht="12.75" thickBot="1"/>
    <row r="6" spans="1:85" s="4" customFormat="1" ht="27" customHeight="1">
      <c r="A6" s="1694" t="s">
        <v>1476</v>
      </c>
      <c r="B6" s="1691" t="s" ph="1">
        <v>8995</v>
      </c>
      <c r="C6" s="1692" ph="1"/>
      <c r="D6" s="1692" ph="1"/>
      <c r="E6" s="1693" ph="1"/>
      <c r="F6" s="1686" t="s">
        <v>1420</v>
      </c>
      <c r="G6" s="1686" t="s">
        <v>8792</v>
      </c>
      <c r="H6" s="1686" t="s">
        <v>1473</v>
      </c>
      <c r="I6" s="1586" t="s">
        <v>1491</v>
      </c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</row>
    <row r="7" spans="1:85" s="4" customFormat="1" ht="27" customHeight="1">
      <c r="A7" s="1695"/>
      <c r="B7" s="1689" t="s">
        <v>1490</v>
      </c>
      <c r="C7" s="1687" t="s">
        <v>1492</v>
      </c>
      <c r="D7" s="1687" t="s">
        <v>1493</v>
      </c>
      <c r="E7" s="1687"/>
      <c r="F7" s="1687"/>
      <c r="G7" s="1687"/>
      <c r="H7" s="1687"/>
      <c r="I7" s="1587"/>
      <c r="J7" s="8"/>
      <c r="K7" s="1049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</row>
    <row r="8" spans="1:85" s="4" customFormat="1" ht="27" customHeight="1">
      <c r="A8" s="1695"/>
      <c r="B8" s="1690"/>
      <c r="C8" s="1687"/>
      <c r="D8" s="1179" t="s">
        <v>1418</v>
      </c>
      <c r="E8" s="1179" t="s">
        <v>1419</v>
      </c>
      <c r="F8" s="1687"/>
      <c r="G8" s="1687"/>
      <c r="H8" s="1687"/>
      <c r="I8" s="1587"/>
      <c r="J8" s="8"/>
      <c r="K8" s="1050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</row>
    <row r="9" spans="1:85" s="4" customFormat="1" ht="27" customHeight="1">
      <c r="A9" s="62" t="s">
        <v>9120</v>
      </c>
      <c r="B9" s="1009">
        <v>4225</v>
      </c>
      <c r="C9" s="65">
        <v>100</v>
      </c>
      <c r="D9" s="626">
        <v>3975</v>
      </c>
      <c r="E9" s="626">
        <v>150</v>
      </c>
      <c r="F9" s="65">
        <v>80</v>
      </c>
      <c r="G9" s="65">
        <v>20</v>
      </c>
      <c r="H9" s="626"/>
      <c r="I9" s="627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</row>
    <row r="10" spans="1:85" s="4" customFormat="1" ht="27" customHeight="1">
      <c r="A10" s="62"/>
      <c r="B10" s="1009">
        <f>SUM(C10,D10,E10)</f>
        <v>0</v>
      </c>
      <c r="C10" s="65"/>
      <c r="D10" s="626"/>
      <c r="E10" s="626"/>
      <c r="F10" s="65"/>
      <c r="G10" s="65"/>
      <c r="H10" s="626"/>
      <c r="I10" s="627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</row>
    <row r="11" spans="1:85" s="4" customFormat="1" ht="27" customHeight="1" thickBot="1">
      <c r="A11" s="1201"/>
      <c r="B11" s="1202">
        <f t="shared" ref="B11" si="0">SUM(C11,D11,E11)</f>
        <v>0</v>
      </c>
      <c r="C11" s="1203"/>
      <c r="D11" s="637"/>
      <c r="E11" s="637"/>
      <c r="F11" s="1203"/>
      <c r="G11" s="1203"/>
      <c r="H11" s="637"/>
      <c r="I11" s="1204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</row>
  </sheetData>
  <mergeCells count="12">
    <mergeCell ref="I6:I8"/>
    <mergeCell ref="F6:F8"/>
    <mergeCell ref="G6:G8"/>
    <mergeCell ref="H6:H8"/>
    <mergeCell ref="A2:E2"/>
    <mergeCell ref="A4:E4"/>
    <mergeCell ref="B7:B8"/>
    <mergeCell ref="B6:E6"/>
    <mergeCell ref="A6:A8"/>
    <mergeCell ref="C7:C8"/>
    <mergeCell ref="A3:B3"/>
    <mergeCell ref="D7:E7"/>
  </mergeCells>
  <phoneticPr fontId="3" type="noConversion"/>
  <conditionalFormatting sqref="A9:I11">
    <cfRule type="expression" dxfId="510" priority="9" stopIfTrue="1">
      <formula>OR($A9="시부",$A9="군부",$A9="제주시",$A9="서귀포시")</formula>
    </cfRule>
    <cfRule type="expression" dxfId="509" priority="10" stopIfTrue="1">
      <formula>OR(RIGHT($A9,3)="특별시",RIGHT($A9,3)="광역시",RIGHT($A9,1)="도",$A9="전국")</formula>
    </cfRule>
  </conditionalFormatting>
  <pageMargins left="0.75" right="0.75" top="1" bottom="1" header="0.5" footer="0.5"/>
  <pageSetup paperSize="9" scale="88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2:X11"/>
  <sheetViews>
    <sheetView view="pageBreakPreview" zoomScaleNormal="85" zoomScaleSheetLayoutView="100" workbookViewId="0">
      <selection activeCell="K23" sqref="K23"/>
    </sheetView>
  </sheetViews>
  <sheetFormatPr defaultColWidth="9.6640625" defaultRowHeight="12"/>
  <cols>
    <col min="1" max="1" width="9.6640625" style="931"/>
    <col min="2" max="2" width="11.21875" style="931" bestFit="1" customWidth="1"/>
    <col min="3" max="11" width="9.6640625" style="931"/>
    <col min="12" max="12" width="11.21875" style="931" bestFit="1" customWidth="1"/>
    <col min="13" max="17" width="9.6640625" style="931"/>
    <col min="18" max="18" width="10.88671875" style="931" customWidth="1"/>
    <col min="19" max="19" width="9.6640625" style="931"/>
    <col min="20" max="20" width="15.33203125" style="931" customWidth="1"/>
    <col min="21" max="16384" width="9.6640625" style="931"/>
  </cols>
  <sheetData>
    <row r="2" spans="1:24" s="922" customFormat="1" ht="27.75" customHeight="1">
      <c r="A2" s="1688"/>
      <c r="B2" s="1688"/>
      <c r="C2" s="1688"/>
      <c r="D2" s="1688"/>
      <c r="E2" s="1688"/>
      <c r="F2" s="920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0"/>
      <c r="T2" s="921"/>
      <c r="U2" s="921"/>
      <c r="V2" s="921"/>
      <c r="W2" s="920"/>
      <c r="X2" s="920"/>
    </row>
    <row r="3" spans="1:24" s="925" customFormat="1" ht="27.75" customHeight="1">
      <c r="A3" s="1597" t="s">
        <v>8958</v>
      </c>
      <c r="B3" s="1597"/>
      <c r="C3" s="1597"/>
      <c r="D3" s="1597"/>
      <c r="E3" s="1597"/>
      <c r="F3" s="923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3"/>
      <c r="T3" s="924"/>
      <c r="U3" s="924"/>
      <c r="V3" s="924"/>
      <c r="W3" s="923"/>
      <c r="X3" s="923"/>
    </row>
    <row r="4" spans="1:24" ht="12.75" thickBot="1"/>
    <row r="5" spans="1:24" ht="27" customHeight="1">
      <c r="A5" s="1721" t="s">
        <v>7604</v>
      </c>
      <c r="B5" s="1703" t="s">
        <v>8957</v>
      </c>
      <c r="C5" s="1705" t="s">
        <v>7605</v>
      </c>
      <c r="D5" s="1706"/>
      <c r="E5" s="1706"/>
      <c r="F5" s="1706"/>
      <c r="G5" s="1706"/>
      <c r="H5" s="1706"/>
      <c r="I5" s="1706"/>
      <c r="J5" s="1655" t="s">
        <v>8947</v>
      </c>
      <c r="K5" s="1703" t="s">
        <v>8946</v>
      </c>
      <c r="L5" s="1716" t="s">
        <v>9430</v>
      </c>
      <c r="M5" s="1705" t="s">
        <v>7606</v>
      </c>
      <c r="N5" s="1706"/>
      <c r="O5" s="1712"/>
      <c r="P5" s="1705" t="s">
        <v>7607</v>
      </c>
      <c r="Q5" s="1706"/>
      <c r="R5" s="1706"/>
      <c r="S5" s="1706"/>
      <c r="T5" s="1707"/>
    </row>
    <row r="6" spans="1:24" ht="27" customHeight="1">
      <c r="A6" s="1682"/>
      <c r="B6" s="1677"/>
      <c r="C6" s="1677" t="s">
        <v>8996</v>
      </c>
      <c r="D6" s="1677"/>
      <c r="E6" s="1677"/>
      <c r="F6" s="1677"/>
      <c r="G6" s="1677" t="s">
        <v>7608</v>
      </c>
      <c r="H6" s="1677" t="s">
        <v>7609</v>
      </c>
      <c r="I6" s="1719" t="s">
        <v>7610</v>
      </c>
      <c r="J6" s="1701"/>
      <c r="K6" s="1677"/>
      <c r="L6" s="1717"/>
      <c r="M6" s="1677" t="s">
        <v>7611</v>
      </c>
      <c r="N6" s="1711" t="s">
        <v>7612</v>
      </c>
      <c r="O6" s="1713" t="s">
        <v>8948</v>
      </c>
      <c r="P6" s="1704" t="s">
        <v>7613</v>
      </c>
      <c r="Q6" s="1677" t="s">
        <v>7614</v>
      </c>
      <c r="R6" s="1700" t="s">
        <v>8885</v>
      </c>
      <c r="S6" s="1708" t="s">
        <v>449</v>
      </c>
      <c r="T6" s="1697" t="s">
        <v>8884</v>
      </c>
    </row>
    <row r="7" spans="1:24" ht="27" customHeight="1">
      <c r="A7" s="1682"/>
      <c r="B7" s="1677"/>
      <c r="C7" s="1677" t="s">
        <v>7615</v>
      </c>
      <c r="D7" s="1677" t="s">
        <v>7616</v>
      </c>
      <c r="E7" s="1677" t="s">
        <v>7617</v>
      </c>
      <c r="F7" s="1677"/>
      <c r="G7" s="1677"/>
      <c r="H7" s="1677"/>
      <c r="I7" s="1719"/>
      <c r="J7" s="1701"/>
      <c r="K7" s="1677"/>
      <c r="L7" s="1717"/>
      <c r="M7" s="1677"/>
      <c r="N7" s="1677"/>
      <c r="O7" s="1714"/>
      <c r="P7" s="1701"/>
      <c r="Q7" s="1677"/>
      <c r="R7" s="1701"/>
      <c r="S7" s="1709"/>
      <c r="T7" s="1698"/>
    </row>
    <row r="8" spans="1:24" ht="27" customHeight="1">
      <c r="A8" s="1722"/>
      <c r="B8" s="1704"/>
      <c r="C8" s="1704"/>
      <c r="D8" s="1704"/>
      <c r="E8" s="1180" t="s">
        <v>7618</v>
      </c>
      <c r="F8" s="1180" t="s">
        <v>7619</v>
      </c>
      <c r="G8" s="1704"/>
      <c r="H8" s="1704"/>
      <c r="I8" s="1720"/>
      <c r="J8" s="1701"/>
      <c r="K8" s="1704"/>
      <c r="L8" s="1718"/>
      <c r="M8" s="1704"/>
      <c r="N8" s="1704"/>
      <c r="O8" s="1715"/>
      <c r="P8" s="1701"/>
      <c r="Q8" s="1704"/>
      <c r="R8" s="1702"/>
      <c r="S8" s="1710"/>
      <c r="T8" s="1699"/>
    </row>
    <row r="9" spans="1:24" ht="27.75" customHeight="1">
      <c r="A9" s="793" t="s">
        <v>9429</v>
      </c>
      <c r="B9" s="930">
        <v>1498894</v>
      </c>
      <c r="C9" s="1582">
        <f>SUM(D9,E9,F9)</f>
        <v>85310</v>
      </c>
      <c r="D9" s="626">
        <v>5100</v>
      </c>
      <c r="E9" s="626">
        <v>64180</v>
      </c>
      <c r="F9" s="626">
        <v>16030</v>
      </c>
      <c r="G9" s="626">
        <v>975</v>
      </c>
      <c r="H9" s="626">
        <v>1547</v>
      </c>
      <c r="I9" s="626">
        <v>25</v>
      </c>
      <c r="J9" s="632">
        <v>77000</v>
      </c>
      <c r="K9" s="1583">
        <f t="shared" ref="K9" si="0">IF(ISERROR(C9/J9*100),0,C9/J9*100)</f>
        <v>110.79220779220779</v>
      </c>
      <c r="L9" s="1585">
        <f>IF(ISERROR(C9/B9*100),0,(C9/B9*100))</f>
        <v>5.6915298880374463</v>
      </c>
      <c r="M9" s="626">
        <v>704</v>
      </c>
      <c r="N9" s="626">
        <v>60</v>
      </c>
      <c r="O9" s="1158">
        <f>(N9*1000000)/M9</f>
        <v>85227.272727272721</v>
      </c>
      <c r="P9" s="1030">
        <f>SUM(Q9:T9)</f>
        <v>704</v>
      </c>
      <c r="Q9" s="626">
        <v>704</v>
      </c>
      <c r="R9" s="1584"/>
      <c r="S9" s="1349"/>
      <c r="T9" s="627"/>
    </row>
    <row r="10" spans="1:24" ht="27.75" customHeight="1">
      <c r="A10" s="915"/>
      <c r="B10" s="930"/>
      <c r="C10" s="1011">
        <f t="shared" ref="C10:C11" si="1">SUM(D10,E10,F10)</f>
        <v>0</v>
      </c>
      <c r="D10" s="636"/>
      <c r="E10" s="636"/>
      <c r="F10" s="636"/>
      <c r="G10" s="636"/>
      <c r="H10" s="636"/>
      <c r="I10" s="636"/>
      <c r="J10" s="930"/>
      <c r="K10" s="1010">
        <f t="shared" ref="K10:K11" si="2">IF(ISERROR(C10/J10*100),0,C10/J10*100)</f>
        <v>0</v>
      </c>
      <c r="L10" s="1157">
        <f t="shared" ref="L10:L11" si="3">IF(ISERROR(C10/B10),0,(C10/B10))</f>
        <v>0</v>
      </c>
      <c r="M10" s="636"/>
      <c r="N10" s="636"/>
      <c r="O10" s="1158">
        <f t="shared" ref="O10:O11" si="4">IF(ISERROR((N10*1000000)/M10), 0, (N10*1000000))</f>
        <v>0</v>
      </c>
      <c r="P10" s="987">
        <f t="shared" ref="P10:P11" si="5">SUM(Q10:T10)</f>
        <v>0</v>
      </c>
      <c r="Q10" s="636"/>
      <c r="R10" s="1140"/>
      <c r="S10" s="1022"/>
      <c r="T10" s="635"/>
    </row>
    <row r="11" spans="1:24" ht="27.75" customHeight="1" thickBot="1">
      <c r="A11" s="1199"/>
      <c r="B11" s="1200"/>
      <c r="C11" s="1205">
        <f t="shared" si="1"/>
        <v>0</v>
      </c>
      <c r="D11" s="1166"/>
      <c r="E11" s="1166"/>
      <c r="F11" s="1166"/>
      <c r="G11" s="1166"/>
      <c r="H11" s="1166"/>
      <c r="I11" s="1166"/>
      <c r="J11" s="1200"/>
      <c r="K11" s="1206">
        <f t="shared" si="2"/>
        <v>0</v>
      </c>
      <c r="L11" s="1207">
        <f t="shared" si="3"/>
        <v>0</v>
      </c>
      <c r="M11" s="1166"/>
      <c r="N11" s="1166"/>
      <c r="O11" s="1208">
        <f t="shared" si="4"/>
        <v>0</v>
      </c>
      <c r="P11" s="1165">
        <f t="shared" si="5"/>
        <v>0</v>
      </c>
      <c r="Q11" s="1166"/>
      <c r="R11" s="1209"/>
      <c r="S11" s="1210"/>
      <c r="T11" s="1211"/>
    </row>
  </sheetData>
  <mergeCells count="25">
    <mergeCell ref="A2:E2"/>
    <mergeCell ref="A3:E3"/>
    <mergeCell ref="C6:F6"/>
    <mergeCell ref="G6:G8"/>
    <mergeCell ref="H6:H8"/>
    <mergeCell ref="B5:B8"/>
    <mergeCell ref="C5:I5"/>
    <mergeCell ref="D7:D8"/>
    <mergeCell ref="I6:I8"/>
    <mergeCell ref="A5:A8"/>
    <mergeCell ref="C7:C8"/>
    <mergeCell ref="E7:F7"/>
    <mergeCell ref="T6:T8"/>
    <mergeCell ref="R6:R8"/>
    <mergeCell ref="K5:K8"/>
    <mergeCell ref="J5:J8"/>
    <mergeCell ref="P6:P8"/>
    <mergeCell ref="P5:T5"/>
    <mergeCell ref="S6:S8"/>
    <mergeCell ref="Q6:Q8"/>
    <mergeCell ref="N6:N8"/>
    <mergeCell ref="M6:M8"/>
    <mergeCell ref="M5:O5"/>
    <mergeCell ref="O6:O8"/>
    <mergeCell ref="L5:L8"/>
  </mergeCells>
  <phoneticPr fontId="3" type="noConversion"/>
  <conditionalFormatting sqref="A9:T11">
    <cfRule type="expression" dxfId="508" priority="11" stopIfTrue="1">
      <formula>OR($A9="시부",$A9="군부",$A9="제주시",$A9="서귀포시")</formula>
    </cfRule>
    <cfRule type="expression" dxfId="507" priority="12" stopIfTrue="1">
      <formula>OR(RIGHT($A9,3)="특별시",RIGHT($A9,3)="광역시",RIGHT($A9,1)="도",$A9="전국")</formula>
    </cfRule>
  </conditionalFormatting>
  <conditionalFormatting sqref="C9:T9">
    <cfRule type="expression" dxfId="506" priority="1" stopIfTrue="1">
      <formula>OR($A9="시부",$A9="군부",$A9="제주시",$A9="서귀포시")</formula>
    </cfRule>
    <cfRule type="expression" dxfId="505" priority="2" stopIfTrue="1">
      <formula>OR(RIGHT($A9,3)="특별시",RIGHT($A9,3)="광역시",RIGHT($A9,1)="도",$A9="전국")</formula>
    </cfRule>
  </conditionalFormatting>
  <pageMargins left="0.74803149606299213" right="0.74803149606299213" top="0.98425196850393704" bottom="0.98425196850393704" header="0.51181102362204722" footer="0.51181102362204722"/>
  <pageSetup paperSize="9" scale="55" orientation="landscape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2:AC36"/>
  <sheetViews>
    <sheetView view="pageBreakPreview" zoomScale="85" zoomScaleNormal="70" zoomScaleSheetLayoutView="85" workbookViewId="0">
      <selection activeCell="D32" sqref="D32"/>
    </sheetView>
  </sheetViews>
  <sheetFormatPr defaultColWidth="3.88671875" defaultRowHeight="12"/>
  <cols>
    <col min="1" max="1" width="12.21875" style="39" bestFit="1" customWidth="1"/>
    <col min="2" max="2" width="13.33203125" style="37" customWidth="1"/>
    <col min="3" max="3" width="7.6640625" style="37" customWidth="1"/>
    <col min="4" max="4" width="8.33203125" style="37" customWidth="1"/>
    <col min="5" max="5" width="10.6640625" style="37" bestFit="1" customWidth="1"/>
    <col min="6" max="7" width="8.33203125" style="37" customWidth="1"/>
    <col min="8" max="11" width="9.5546875" style="37" customWidth="1"/>
    <col min="12" max="17" width="7.44140625" style="37" customWidth="1"/>
    <col min="18" max="24" width="8.109375" style="37" customWidth="1"/>
    <col min="25" max="28" width="8.44140625" style="37" customWidth="1"/>
    <col min="29" max="16384" width="3.88671875" style="37"/>
  </cols>
  <sheetData>
    <row r="2" spans="1:29" s="922" customFormat="1" ht="27.75" customHeight="1">
      <c r="A2" s="1688"/>
      <c r="B2" s="1688"/>
      <c r="C2" s="1688"/>
      <c r="D2" s="1688"/>
      <c r="E2" s="1688"/>
      <c r="F2" s="1688"/>
      <c r="G2" s="920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  <c r="U2" s="921"/>
      <c r="V2" s="921"/>
      <c r="W2" s="921"/>
      <c r="X2" s="920"/>
      <c r="Y2" s="921"/>
      <c r="Z2" s="921"/>
      <c r="AA2" s="921"/>
      <c r="AB2" s="920"/>
      <c r="AC2" s="920"/>
    </row>
    <row r="3" spans="1:29" s="925" customFormat="1" ht="27.75" customHeight="1">
      <c r="A3" s="1597" t="s">
        <v>9184</v>
      </c>
      <c r="B3" s="1597"/>
      <c r="C3" s="1597"/>
      <c r="D3" s="1597"/>
      <c r="E3" s="1597"/>
      <c r="F3" s="1597"/>
      <c r="G3" s="923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  <c r="T3" s="924"/>
      <c r="U3" s="924"/>
      <c r="V3" s="924"/>
      <c r="W3" s="924"/>
      <c r="X3" s="923"/>
      <c r="Y3" s="924"/>
      <c r="Z3" s="924"/>
      <c r="AA3" s="924"/>
      <c r="AB3" s="923"/>
      <c r="AC3" s="923"/>
    </row>
    <row r="4" spans="1:29" ht="12.75" thickBot="1"/>
    <row r="5" spans="1:29" s="1039" customFormat="1" ht="27" customHeight="1">
      <c r="A5" s="1739" t="s">
        <v>8695</v>
      </c>
      <c r="B5" s="1723" t="s">
        <v>8696</v>
      </c>
      <c r="C5" s="1723" t="s">
        <v>8697</v>
      </c>
      <c r="D5" s="1723" t="s">
        <v>8760</v>
      </c>
      <c r="E5" s="1724" t="s">
        <v>8698</v>
      </c>
      <c r="F5" s="1729"/>
      <c r="G5" s="1725"/>
      <c r="H5" s="1724" t="s">
        <v>8699</v>
      </c>
      <c r="I5" s="1729"/>
      <c r="J5" s="1729"/>
      <c r="K5" s="1725"/>
      <c r="L5" s="1723" t="s">
        <v>8762</v>
      </c>
      <c r="M5" s="1723" t="s">
        <v>8763</v>
      </c>
      <c r="N5" s="1724" t="s">
        <v>8796</v>
      </c>
      <c r="O5" s="1725"/>
      <c r="P5" s="1724" t="s">
        <v>8700</v>
      </c>
      <c r="Q5" s="1725"/>
      <c r="R5" s="1724" t="s">
        <v>8701</v>
      </c>
      <c r="S5" s="1729"/>
      <c r="T5" s="1729"/>
      <c r="U5" s="1729"/>
      <c r="V5" s="1729"/>
      <c r="W5" s="1729"/>
      <c r="X5" s="1725"/>
      <c r="Y5" s="1737" t="s">
        <v>8793</v>
      </c>
      <c r="Z5" s="1737"/>
      <c r="AA5" s="1737"/>
      <c r="AB5" s="1738"/>
    </row>
    <row r="6" spans="1:29" s="1039" customFormat="1" ht="27" customHeight="1">
      <c r="A6" s="1740"/>
      <c r="B6" s="1709"/>
      <c r="C6" s="1709"/>
      <c r="D6" s="1709"/>
      <c r="E6" s="1730" t="s">
        <v>8949</v>
      </c>
      <c r="F6" s="1685" t="s">
        <v>8702</v>
      </c>
      <c r="G6" s="1732" t="s">
        <v>8761</v>
      </c>
      <c r="H6" s="1734" t="s">
        <v>8703</v>
      </c>
      <c r="I6" s="1735"/>
      <c r="J6" s="1735"/>
      <c r="K6" s="1736"/>
      <c r="L6" s="1709"/>
      <c r="M6" s="1709"/>
      <c r="N6" s="1685" t="s">
        <v>8704</v>
      </c>
      <c r="O6" s="1685" t="s">
        <v>8705</v>
      </c>
      <c r="P6" s="1685" t="s">
        <v>8704</v>
      </c>
      <c r="Q6" s="1685" t="s">
        <v>8705</v>
      </c>
      <c r="R6" s="1685" t="s">
        <v>8706</v>
      </c>
      <c r="S6" s="1685" t="s">
        <v>8707</v>
      </c>
      <c r="T6" s="1685" t="s">
        <v>8708</v>
      </c>
      <c r="U6" s="1685" t="s">
        <v>8709</v>
      </c>
      <c r="V6" s="1685" t="s">
        <v>8710</v>
      </c>
      <c r="W6" s="1685" t="s">
        <v>8711</v>
      </c>
      <c r="X6" s="1685" t="s">
        <v>8712</v>
      </c>
      <c r="Y6" s="1708" t="s">
        <v>8713</v>
      </c>
      <c r="Z6" s="1708" t="s">
        <v>8714</v>
      </c>
      <c r="AA6" s="1708" t="s">
        <v>8715</v>
      </c>
      <c r="AB6" s="1727" t="s">
        <v>8764</v>
      </c>
    </row>
    <row r="7" spans="1:29" s="1039" customFormat="1" ht="33" customHeight="1" thickBot="1">
      <c r="A7" s="1740"/>
      <c r="B7" s="1709"/>
      <c r="C7" s="1709"/>
      <c r="D7" s="1709"/>
      <c r="E7" s="1731"/>
      <c r="F7" s="1708"/>
      <c r="G7" s="1733"/>
      <c r="H7" s="1181" t="s">
        <v>8716</v>
      </c>
      <c r="I7" s="1181" t="s">
        <v>8717</v>
      </c>
      <c r="J7" s="1181" t="s">
        <v>8794</v>
      </c>
      <c r="K7" s="1181" t="s">
        <v>8718</v>
      </c>
      <c r="L7" s="1710"/>
      <c r="M7" s="1710"/>
      <c r="N7" s="1685"/>
      <c r="O7" s="1685"/>
      <c r="P7" s="1685"/>
      <c r="Q7" s="1685"/>
      <c r="R7" s="1726"/>
      <c r="S7" s="1726"/>
      <c r="T7" s="1726"/>
      <c r="U7" s="1726"/>
      <c r="V7" s="1726"/>
      <c r="W7" s="1726"/>
      <c r="X7" s="1726"/>
      <c r="Y7" s="1710"/>
      <c r="Z7" s="1710"/>
      <c r="AA7" s="1710"/>
      <c r="AB7" s="1728"/>
    </row>
    <row r="8" spans="1:29" s="1267" customFormat="1" ht="33">
      <c r="A8" s="1742" t="s">
        <v>9052</v>
      </c>
      <c r="B8" s="1268" t="s">
        <v>9053</v>
      </c>
      <c r="C8" s="1269" t="s">
        <v>9054</v>
      </c>
      <c r="D8" s="1270">
        <v>2006.01</v>
      </c>
      <c r="E8" s="1271" t="s">
        <v>9055</v>
      </c>
      <c r="F8" s="1272">
        <v>0</v>
      </c>
      <c r="G8" s="1305">
        <v>0</v>
      </c>
      <c r="H8" s="1272">
        <v>4</v>
      </c>
      <c r="I8" s="1272" t="s">
        <v>9056</v>
      </c>
      <c r="J8" s="1271" t="s">
        <v>9042</v>
      </c>
      <c r="K8" s="1275">
        <v>600</v>
      </c>
      <c r="L8" s="1264" t="s">
        <v>9043</v>
      </c>
      <c r="M8" s="1264" t="s">
        <v>9043</v>
      </c>
      <c r="N8" s="1264" t="s">
        <v>1991</v>
      </c>
      <c r="O8" s="1264" t="s">
        <v>1991</v>
      </c>
      <c r="P8" s="1264" t="s">
        <v>1991</v>
      </c>
      <c r="Q8" s="1264" t="s">
        <v>1991</v>
      </c>
      <c r="R8" s="1265">
        <f>SUM(S8:X8)</f>
        <v>14717</v>
      </c>
      <c r="S8" s="1264">
        <v>14717</v>
      </c>
      <c r="T8" s="1264" t="s">
        <v>1991</v>
      </c>
      <c r="U8" s="1264" t="s">
        <v>1991</v>
      </c>
      <c r="V8" s="1264" t="s">
        <v>1991</v>
      </c>
      <c r="W8" s="1264" t="s">
        <v>1991</v>
      </c>
      <c r="X8" s="1264">
        <v>0</v>
      </c>
      <c r="Y8" s="1264"/>
      <c r="Z8" s="1264"/>
      <c r="AA8" s="1264"/>
      <c r="AB8" s="1266"/>
    </row>
    <row r="9" spans="1:29" s="994" customFormat="1" ht="33">
      <c r="A9" s="1743"/>
      <c r="B9" s="1268" t="s">
        <v>9057</v>
      </c>
      <c r="C9" s="1269" t="s">
        <v>9044</v>
      </c>
      <c r="D9" s="1270">
        <v>2009.05</v>
      </c>
      <c r="E9" s="1271" t="s">
        <v>9055</v>
      </c>
      <c r="F9" s="1272">
        <v>0</v>
      </c>
      <c r="G9" s="1272">
        <v>0</v>
      </c>
      <c r="H9" s="1272">
        <v>6</v>
      </c>
      <c r="I9" s="1272" t="s">
        <v>9058</v>
      </c>
      <c r="J9" s="1271" t="s">
        <v>9045</v>
      </c>
      <c r="K9" s="1273">
        <v>1200</v>
      </c>
      <c r="L9" s="1271" t="s">
        <v>9043</v>
      </c>
      <c r="M9" s="1271" t="s">
        <v>9046</v>
      </c>
      <c r="N9" s="1271" t="s">
        <v>1991</v>
      </c>
      <c r="O9" s="1271" t="s">
        <v>1991</v>
      </c>
      <c r="P9" s="1271" t="s">
        <v>1991</v>
      </c>
      <c r="Q9" s="1271" t="s">
        <v>1991</v>
      </c>
      <c r="R9" s="1045">
        <f>SUM(S9:X9)</f>
        <v>21000</v>
      </c>
      <c r="S9" s="1271">
        <v>13890</v>
      </c>
      <c r="T9" s="1271">
        <v>2844</v>
      </c>
      <c r="U9" s="1271" t="s">
        <v>1991</v>
      </c>
      <c r="V9" s="1271" t="s">
        <v>1991</v>
      </c>
      <c r="W9" s="1271">
        <v>4266</v>
      </c>
      <c r="X9" s="1271">
        <v>0</v>
      </c>
      <c r="Y9" s="1271" t="s">
        <v>1991</v>
      </c>
      <c r="Z9" s="1271" t="s">
        <v>1991</v>
      </c>
      <c r="AA9" s="1271" t="s">
        <v>1991</v>
      </c>
      <c r="AB9" s="1274" t="s">
        <v>1991</v>
      </c>
    </row>
    <row r="10" spans="1:29" s="994" customFormat="1" ht="33">
      <c r="A10" s="1743"/>
      <c r="B10" s="1268" t="s">
        <v>9059</v>
      </c>
      <c r="C10" s="1269" t="s">
        <v>9047</v>
      </c>
      <c r="D10" s="1270">
        <v>2011.12</v>
      </c>
      <c r="E10" s="1271" t="s">
        <v>9043</v>
      </c>
      <c r="F10" s="1272">
        <v>0</v>
      </c>
      <c r="G10" s="1272">
        <v>0</v>
      </c>
      <c r="H10" s="1272">
        <v>4</v>
      </c>
      <c r="I10" s="1272" t="s">
        <v>9060</v>
      </c>
      <c r="J10" s="1271" t="s">
        <v>9048</v>
      </c>
      <c r="K10" s="1275">
        <v>860</v>
      </c>
      <c r="L10" s="1271" t="s">
        <v>9043</v>
      </c>
      <c r="M10" s="1271" t="s">
        <v>9046</v>
      </c>
      <c r="N10" s="1271" t="s">
        <v>1991</v>
      </c>
      <c r="O10" s="1271" t="s">
        <v>1991</v>
      </c>
      <c r="P10" s="1271" t="s">
        <v>1991</v>
      </c>
      <c r="Q10" s="1271" t="s">
        <v>1991</v>
      </c>
      <c r="R10" s="1045">
        <f>SUM(S10:X10)</f>
        <v>16927</v>
      </c>
      <c r="S10" s="1271">
        <v>10156</v>
      </c>
      <c r="T10" s="1271">
        <v>5820</v>
      </c>
      <c r="U10" s="1271" t="s">
        <v>1991</v>
      </c>
      <c r="V10" s="1271" t="s">
        <v>1991</v>
      </c>
      <c r="W10" s="1271">
        <v>951</v>
      </c>
      <c r="X10" s="1271">
        <v>0</v>
      </c>
      <c r="Y10" s="1271" t="s">
        <v>1991</v>
      </c>
      <c r="Z10" s="1271" t="s">
        <v>1991</v>
      </c>
      <c r="AA10" s="1271" t="s">
        <v>1991</v>
      </c>
      <c r="AB10" s="1274" t="s">
        <v>1991</v>
      </c>
    </row>
    <row r="11" spans="1:29" s="994" customFormat="1" ht="33">
      <c r="A11" s="1743"/>
      <c r="B11" s="1276" t="s">
        <v>9061</v>
      </c>
      <c r="C11" s="1277" t="s">
        <v>9062</v>
      </c>
      <c r="D11" s="1270" t="s">
        <v>9063</v>
      </c>
      <c r="E11" s="1278" t="s">
        <v>9064</v>
      </c>
      <c r="F11" s="1272">
        <v>2.86E-2</v>
      </c>
      <c r="G11" s="1279">
        <v>86000</v>
      </c>
      <c r="H11" s="1280">
        <v>4</v>
      </c>
      <c r="I11" s="1272" t="s">
        <v>9065</v>
      </c>
      <c r="J11" s="1278" t="s">
        <v>9066</v>
      </c>
      <c r="K11" s="1275">
        <v>600</v>
      </c>
      <c r="L11" s="1271" t="s">
        <v>9043</v>
      </c>
      <c r="M11" s="1271" t="s">
        <v>9064</v>
      </c>
      <c r="N11" s="1271" t="s">
        <v>1991</v>
      </c>
      <c r="O11" s="1271" t="s">
        <v>1991</v>
      </c>
      <c r="P11" s="1271" t="s">
        <v>1991</v>
      </c>
      <c r="Q11" s="1271" t="s">
        <v>1991</v>
      </c>
      <c r="R11" s="1745">
        <f>SUM(S11:X11)</f>
        <v>21127</v>
      </c>
      <c r="S11" s="1741">
        <v>14073</v>
      </c>
      <c r="T11" s="1741">
        <v>2021</v>
      </c>
      <c r="U11" s="1741">
        <f>-V11</f>
        <v>0</v>
      </c>
      <c r="V11" s="1741">
        <v>0</v>
      </c>
      <c r="W11" s="1741">
        <v>5033</v>
      </c>
      <c r="X11" s="1271">
        <v>0</v>
      </c>
      <c r="Y11" s="1281" t="s">
        <v>9067</v>
      </c>
      <c r="Z11" s="1278" t="s">
        <v>9067</v>
      </c>
      <c r="AA11" s="1278" t="s">
        <v>9067</v>
      </c>
      <c r="AB11" s="1282" t="s">
        <v>9067</v>
      </c>
    </row>
    <row r="12" spans="1:29" s="994" customFormat="1" ht="33">
      <c r="A12" s="1743"/>
      <c r="B12" s="1276" t="s">
        <v>9068</v>
      </c>
      <c r="C12" s="1277" t="s">
        <v>9069</v>
      </c>
      <c r="D12" s="1270" t="s">
        <v>9070</v>
      </c>
      <c r="E12" s="1278" t="s">
        <v>9071</v>
      </c>
      <c r="F12" s="1272">
        <v>0</v>
      </c>
      <c r="G12" s="1272">
        <v>0</v>
      </c>
      <c r="H12" s="1280">
        <v>2</v>
      </c>
      <c r="I12" s="1272" t="s">
        <v>9072</v>
      </c>
      <c r="J12" s="1278" t="s">
        <v>9073</v>
      </c>
      <c r="K12" s="1275">
        <v>180</v>
      </c>
      <c r="L12" s="1271" t="s">
        <v>9043</v>
      </c>
      <c r="M12" s="1271" t="s">
        <v>9064</v>
      </c>
      <c r="N12" s="1271" t="s">
        <v>1991</v>
      </c>
      <c r="O12" s="1271" t="s">
        <v>1991</v>
      </c>
      <c r="P12" s="1271" t="s">
        <v>1991</v>
      </c>
      <c r="Q12" s="1271" t="s">
        <v>1991</v>
      </c>
      <c r="R12" s="1745"/>
      <c r="S12" s="1741"/>
      <c r="T12" s="1741"/>
      <c r="U12" s="1741"/>
      <c r="V12" s="1741"/>
      <c r="W12" s="1741"/>
      <c r="X12" s="1271">
        <v>0</v>
      </c>
      <c r="Y12" s="1281" t="s">
        <v>9067</v>
      </c>
      <c r="Z12" s="1278" t="s">
        <v>9067</v>
      </c>
      <c r="AA12" s="1278" t="s">
        <v>9067</v>
      </c>
      <c r="AB12" s="1282" t="s">
        <v>9067</v>
      </c>
    </row>
    <row r="13" spans="1:29" s="994" customFormat="1" ht="33">
      <c r="A13" s="1743"/>
      <c r="B13" s="1268" t="s">
        <v>9074</v>
      </c>
      <c r="C13" s="1269" t="s">
        <v>9075</v>
      </c>
      <c r="D13" s="1270" t="s">
        <v>9076</v>
      </c>
      <c r="E13" s="1271" t="s">
        <v>9071</v>
      </c>
      <c r="F13" s="1272">
        <v>0</v>
      </c>
      <c r="G13" s="1272">
        <v>0</v>
      </c>
      <c r="H13" s="1272">
        <v>4</v>
      </c>
      <c r="I13" s="1272" t="s">
        <v>9077</v>
      </c>
      <c r="J13" s="1271" t="s">
        <v>9078</v>
      </c>
      <c r="K13" s="1275">
        <v>78</v>
      </c>
      <c r="L13" s="1271" t="s">
        <v>9043</v>
      </c>
      <c r="M13" s="1271" t="s">
        <v>9043</v>
      </c>
      <c r="N13" s="1271" t="s">
        <v>1991</v>
      </c>
      <c r="O13" s="1271" t="s">
        <v>1991</v>
      </c>
      <c r="P13" s="1271" t="s">
        <v>1991</v>
      </c>
      <c r="Q13" s="1271" t="s">
        <v>1991</v>
      </c>
      <c r="R13" s="1045">
        <f>SUM(S13:X13)</f>
        <v>869</v>
      </c>
      <c r="S13" s="1271">
        <v>626</v>
      </c>
      <c r="T13" s="1271">
        <v>90</v>
      </c>
      <c r="U13" s="1271" t="s">
        <v>1991</v>
      </c>
      <c r="V13" s="1271" t="s">
        <v>1991</v>
      </c>
      <c r="W13" s="1271">
        <v>153</v>
      </c>
      <c r="X13" s="1271">
        <v>0</v>
      </c>
      <c r="Y13" s="1271" t="s">
        <v>1991</v>
      </c>
      <c r="Z13" s="1271" t="s">
        <v>1991</v>
      </c>
      <c r="AA13" s="1271" t="s">
        <v>1991</v>
      </c>
      <c r="AB13" s="1274" t="s">
        <v>1991</v>
      </c>
    </row>
    <row r="14" spans="1:29" s="994" customFormat="1" ht="33">
      <c r="A14" s="1743"/>
      <c r="B14" s="1276" t="s">
        <v>9079</v>
      </c>
      <c r="C14" s="1277" t="s">
        <v>9080</v>
      </c>
      <c r="D14" s="1270" t="s">
        <v>9081</v>
      </c>
      <c r="E14" s="1278" t="s">
        <v>9071</v>
      </c>
      <c r="F14" s="1272">
        <v>0</v>
      </c>
      <c r="G14" s="1272">
        <v>0</v>
      </c>
      <c r="H14" s="1280">
        <v>3</v>
      </c>
      <c r="I14" s="1272" t="s">
        <v>9082</v>
      </c>
      <c r="J14" s="1278" t="s">
        <v>9083</v>
      </c>
      <c r="K14" s="1275">
        <v>180</v>
      </c>
      <c r="L14" s="1271" t="s">
        <v>9043</v>
      </c>
      <c r="M14" s="1271" t="s">
        <v>9071</v>
      </c>
      <c r="N14" s="1271" t="s">
        <v>1991</v>
      </c>
      <c r="O14" s="1271" t="s">
        <v>1991</v>
      </c>
      <c r="P14" s="1271" t="s">
        <v>1991</v>
      </c>
      <c r="Q14" s="1271" t="s">
        <v>1991</v>
      </c>
      <c r="R14" s="1045">
        <f t="shared" ref="R14:R23" si="0">SUM(S14:X14)</f>
        <v>766</v>
      </c>
      <c r="S14" s="1271" t="s">
        <v>1991</v>
      </c>
      <c r="T14" s="1271" t="s">
        <v>1991</v>
      </c>
      <c r="U14" s="1271" t="s">
        <v>1991</v>
      </c>
      <c r="V14" s="1271" t="s">
        <v>1991</v>
      </c>
      <c r="W14" s="1283">
        <v>766</v>
      </c>
      <c r="X14" s="1271">
        <v>0</v>
      </c>
      <c r="Y14" s="1281" t="s">
        <v>9067</v>
      </c>
      <c r="Z14" s="1278" t="s">
        <v>9067</v>
      </c>
      <c r="AA14" s="1278" t="s">
        <v>9067</v>
      </c>
      <c r="AB14" s="1282" t="s">
        <v>9067</v>
      </c>
    </row>
    <row r="15" spans="1:29" s="994" customFormat="1" ht="33">
      <c r="A15" s="1743"/>
      <c r="B15" s="1276" t="s">
        <v>9084</v>
      </c>
      <c r="C15" s="1277" t="s">
        <v>9085</v>
      </c>
      <c r="D15" s="1270" t="s">
        <v>9070</v>
      </c>
      <c r="E15" s="1278" t="s">
        <v>9071</v>
      </c>
      <c r="F15" s="1272">
        <v>0</v>
      </c>
      <c r="G15" s="1272">
        <v>0</v>
      </c>
      <c r="H15" s="1280">
        <v>2</v>
      </c>
      <c r="I15" s="1272" t="s">
        <v>9086</v>
      </c>
      <c r="J15" s="1278" t="s">
        <v>9087</v>
      </c>
      <c r="K15" s="1275">
        <v>9.6</v>
      </c>
      <c r="L15" s="1271" t="s">
        <v>9043</v>
      </c>
      <c r="M15" s="1271" t="s">
        <v>9071</v>
      </c>
      <c r="N15" s="1271" t="s">
        <v>1991</v>
      </c>
      <c r="O15" s="1271" t="s">
        <v>1991</v>
      </c>
      <c r="P15" s="1271" t="s">
        <v>1991</v>
      </c>
      <c r="Q15" s="1271" t="s">
        <v>1991</v>
      </c>
      <c r="R15" s="1045">
        <f t="shared" si="0"/>
        <v>157</v>
      </c>
      <c r="S15" s="1271" t="s">
        <v>1991</v>
      </c>
      <c r="T15" s="1271" t="s">
        <v>1991</v>
      </c>
      <c r="U15" s="1271" t="s">
        <v>1991</v>
      </c>
      <c r="V15" s="1271" t="s">
        <v>1991</v>
      </c>
      <c r="W15" s="1283">
        <v>157</v>
      </c>
      <c r="X15" s="1271">
        <v>0</v>
      </c>
      <c r="Y15" s="1281" t="s">
        <v>9067</v>
      </c>
      <c r="Z15" s="1278" t="s">
        <v>9067</v>
      </c>
      <c r="AA15" s="1278" t="s">
        <v>9067</v>
      </c>
      <c r="AB15" s="1282" t="s">
        <v>9067</v>
      </c>
    </row>
    <row r="16" spans="1:29" s="994" customFormat="1" ht="49.5">
      <c r="A16" s="1743"/>
      <c r="B16" s="1284" t="s">
        <v>9088</v>
      </c>
      <c r="C16" s="1285" t="s">
        <v>9089</v>
      </c>
      <c r="D16" s="1286" t="s">
        <v>9090</v>
      </c>
      <c r="E16" s="1287" t="s">
        <v>9055</v>
      </c>
      <c r="F16" s="1261">
        <v>0</v>
      </c>
      <c r="G16" s="1261">
        <v>0</v>
      </c>
      <c r="H16" s="1261">
        <v>3</v>
      </c>
      <c r="I16" s="1261" t="s">
        <v>9091</v>
      </c>
      <c r="J16" s="1288" t="s">
        <v>9092</v>
      </c>
      <c r="K16" s="1289">
        <v>53.4</v>
      </c>
      <c r="L16" s="629" t="s">
        <v>9055</v>
      </c>
      <c r="M16" s="629" t="s">
        <v>9055</v>
      </c>
      <c r="N16" s="1271" t="s">
        <v>1991</v>
      </c>
      <c r="O16" s="1271" t="s">
        <v>1991</v>
      </c>
      <c r="P16" s="1271" t="s">
        <v>1991</v>
      </c>
      <c r="Q16" s="1271" t="s">
        <v>1991</v>
      </c>
      <c r="R16" s="1045">
        <f t="shared" si="0"/>
        <v>654</v>
      </c>
      <c r="S16" s="1271">
        <v>327</v>
      </c>
      <c r="T16" s="1271">
        <v>98</v>
      </c>
      <c r="U16" s="1271" t="s">
        <v>1991</v>
      </c>
      <c r="V16" s="1271" t="s">
        <v>1991</v>
      </c>
      <c r="W16" s="1260">
        <v>229</v>
      </c>
      <c r="X16" s="1290"/>
      <c r="Y16" s="1281" t="s">
        <v>9067</v>
      </c>
      <c r="Z16" s="1278" t="s">
        <v>9067</v>
      </c>
      <c r="AA16" s="1278" t="s">
        <v>9067</v>
      </c>
      <c r="AB16" s="1282" t="s">
        <v>9067</v>
      </c>
    </row>
    <row r="17" spans="1:28" s="994" customFormat="1" ht="49.5">
      <c r="A17" s="1743"/>
      <c r="B17" s="1284" t="s">
        <v>9093</v>
      </c>
      <c r="C17" s="1291" t="s">
        <v>9094</v>
      </c>
      <c r="D17" s="1292">
        <v>2013.12</v>
      </c>
      <c r="E17" s="1293" t="s">
        <v>9095</v>
      </c>
      <c r="F17" s="448">
        <v>1.5E-3</v>
      </c>
      <c r="G17" s="1294">
        <v>5060</v>
      </c>
      <c r="H17" s="448">
        <v>3</v>
      </c>
      <c r="I17" s="448" t="s">
        <v>9096</v>
      </c>
      <c r="J17" s="1295" t="s">
        <v>9097</v>
      </c>
      <c r="K17" s="1296">
        <v>360</v>
      </c>
      <c r="L17" s="626" t="s">
        <v>9043</v>
      </c>
      <c r="M17" s="626" t="s">
        <v>9043</v>
      </c>
      <c r="N17" s="1271" t="s">
        <v>1991</v>
      </c>
      <c r="O17" s="1271" t="s">
        <v>1991</v>
      </c>
      <c r="P17" s="1271" t="s">
        <v>1991</v>
      </c>
      <c r="Q17" s="1271" t="s">
        <v>1991</v>
      </c>
      <c r="R17" s="1045">
        <f t="shared" si="0"/>
        <v>3986</v>
      </c>
      <c r="S17" s="1271" t="s">
        <v>1991</v>
      </c>
      <c r="T17" s="1271" t="s">
        <v>1991</v>
      </c>
      <c r="U17" s="1271" t="s">
        <v>1991</v>
      </c>
      <c r="V17" s="1271" t="s">
        <v>1991</v>
      </c>
      <c r="W17" s="632" t="s">
        <v>9098</v>
      </c>
      <c r="X17" s="783">
        <v>3986</v>
      </c>
      <c r="Y17" s="1281" t="s">
        <v>9067</v>
      </c>
      <c r="Z17" s="1278" t="s">
        <v>9067</v>
      </c>
      <c r="AA17" s="1278" t="s">
        <v>9067</v>
      </c>
      <c r="AB17" s="1282" t="s">
        <v>9067</v>
      </c>
    </row>
    <row r="18" spans="1:28" s="994" customFormat="1" ht="49.5">
      <c r="A18" s="1743"/>
      <c r="B18" s="1284" t="s">
        <v>9099</v>
      </c>
      <c r="C18" s="1291" t="s">
        <v>9100</v>
      </c>
      <c r="D18" s="1292">
        <v>2013.12</v>
      </c>
      <c r="E18" s="1293" t="s">
        <v>9055</v>
      </c>
      <c r="F18" s="448">
        <v>0</v>
      </c>
      <c r="G18" s="448">
        <v>0</v>
      </c>
      <c r="H18" s="448">
        <v>2</v>
      </c>
      <c r="I18" s="448" t="s">
        <v>9101</v>
      </c>
      <c r="J18" s="1295" t="s">
        <v>9102</v>
      </c>
      <c r="K18" s="1296">
        <v>52</v>
      </c>
      <c r="L18" s="626" t="s">
        <v>9055</v>
      </c>
      <c r="M18" s="626" t="s">
        <v>9055</v>
      </c>
      <c r="N18" s="1271" t="s">
        <v>1991</v>
      </c>
      <c r="O18" s="1271" t="s">
        <v>1991</v>
      </c>
      <c r="P18" s="1271" t="s">
        <v>1991</v>
      </c>
      <c r="Q18" s="1271" t="s">
        <v>1991</v>
      </c>
      <c r="R18" s="1045">
        <f t="shared" si="0"/>
        <v>1815</v>
      </c>
      <c r="S18" s="1271" t="s">
        <v>1991</v>
      </c>
      <c r="T18" s="1271" t="s">
        <v>1991</v>
      </c>
      <c r="U18" s="1271" t="s">
        <v>1991</v>
      </c>
      <c r="V18" s="1271" t="s">
        <v>1991</v>
      </c>
      <c r="W18" s="632" t="s">
        <v>9098</v>
      </c>
      <c r="X18" s="783">
        <v>1815</v>
      </c>
      <c r="Y18" s="1281" t="s">
        <v>9067</v>
      </c>
      <c r="Z18" s="1278" t="s">
        <v>9067</v>
      </c>
      <c r="AA18" s="1278" t="s">
        <v>9067</v>
      </c>
      <c r="AB18" s="1282" t="s">
        <v>9067</v>
      </c>
    </row>
    <row r="19" spans="1:28" s="994" customFormat="1" ht="49.5">
      <c r="A19" s="1743"/>
      <c r="B19" s="1284" t="s">
        <v>9103</v>
      </c>
      <c r="C19" s="1291" t="s">
        <v>9104</v>
      </c>
      <c r="D19" s="1292" t="s">
        <v>9105</v>
      </c>
      <c r="E19" s="1293" t="s">
        <v>9055</v>
      </c>
      <c r="F19" s="448">
        <v>0</v>
      </c>
      <c r="G19" s="448">
        <v>0</v>
      </c>
      <c r="H19" s="448">
        <v>1</v>
      </c>
      <c r="I19" s="448" t="s">
        <v>9106</v>
      </c>
      <c r="J19" s="1295" t="s">
        <v>9107</v>
      </c>
      <c r="K19" s="1296">
        <v>20</v>
      </c>
      <c r="L19" s="626" t="s">
        <v>9055</v>
      </c>
      <c r="M19" s="626" t="s">
        <v>9055</v>
      </c>
      <c r="N19" s="1271" t="s">
        <v>1991</v>
      </c>
      <c r="O19" s="1271" t="s">
        <v>1991</v>
      </c>
      <c r="P19" s="1271" t="s">
        <v>1991</v>
      </c>
      <c r="Q19" s="1271" t="s">
        <v>1991</v>
      </c>
      <c r="R19" s="1045">
        <f t="shared" si="0"/>
        <v>55</v>
      </c>
      <c r="S19" s="1271"/>
      <c r="T19" s="1271">
        <v>55</v>
      </c>
      <c r="U19" s="1271"/>
      <c r="V19" s="1271"/>
      <c r="W19" s="632"/>
      <c r="X19" s="783"/>
      <c r="Y19" s="1281" t="s">
        <v>9067</v>
      </c>
      <c r="Z19" s="1278" t="s">
        <v>9067</v>
      </c>
      <c r="AA19" s="1278" t="s">
        <v>9067</v>
      </c>
      <c r="AB19" s="1282" t="s">
        <v>9067</v>
      </c>
    </row>
    <row r="20" spans="1:28" s="994" customFormat="1" ht="49.5">
      <c r="A20" s="1743"/>
      <c r="B20" s="1284" t="s">
        <v>9108</v>
      </c>
      <c r="C20" s="1291" t="s">
        <v>9109</v>
      </c>
      <c r="D20" s="1292" t="s">
        <v>9105</v>
      </c>
      <c r="E20" s="1293" t="s">
        <v>9055</v>
      </c>
      <c r="F20" s="448">
        <v>0</v>
      </c>
      <c r="G20" s="448">
        <v>0</v>
      </c>
      <c r="H20" s="448">
        <v>3</v>
      </c>
      <c r="I20" s="448" t="s">
        <v>9110</v>
      </c>
      <c r="J20" s="1295" t="s">
        <v>9111</v>
      </c>
      <c r="K20" s="1296">
        <v>35</v>
      </c>
      <c r="L20" s="626" t="s">
        <v>9055</v>
      </c>
      <c r="M20" s="626" t="s">
        <v>9055</v>
      </c>
      <c r="N20" s="1271" t="s">
        <v>1991</v>
      </c>
      <c r="O20" s="1271" t="s">
        <v>1991</v>
      </c>
      <c r="P20" s="1271" t="s">
        <v>1991</v>
      </c>
      <c r="Q20" s="1271" t="s">
        <v>1991</v>
      </c>
      <c r="R20" s="1045">
        <f t="shared" si="0"/>
        <v>417</v>
      </c>
      <c r="S20" s="1271"/>
      <c r="T20" s="1271">
        <v>253</v>
      </c>
      <c r="U20" s="1271"/>
      <c r="V20" s="1271"/>
      <c r="W20" s="632">
        <v>164</v>
      </c>
      <c r="X20" s="783"/>
      <c r="Y20" s="1281" t="s">
        <v>9067</v>
      </c>
      <c r="Z20" s="1278" t="s">
        <v>9067</v>
      </c>
      <c r="AA20" s="1278" t="s">
        <v>9067</v>
      </c>
      <c r="AB20" s="1282" t="s">
        <v>9067</v>
      </c>
    </row>
    <row r="21" spans="1:28" s="994" customFormat="1" ht="49.5">
      <c r="A21" s="1743"/>
      <c r="B21" s="1284" t="s">
        <v>9112</v>
      </c>
      <c r="C21" s="1277" t="s">
        <v>9113</v>
      </c>
      <c r="D21" s="1270" t="s">
        <v>9105</v>
      </c>
      <c r="E21" s="1293" t="s">
        <v>9055</v>
      </c>
      <c r="F21" s="1272">
        <v>0</v>
      </c>
      <c r="G21" s="1272">
        <v>0</v>
      </c>
      <c r="H21" s="1280">
        <v>3</v>
      </c>
      <c r="I21" s="1272" t="s">
        <v>9110</v>
      </c>
      <c r="J21" s="1278" t="s">
        <v>9114</v>
      </c>
      <c r="K21" s="1275">
        <v>30</v>
      </c>
      <c r="L21" s="1271" t="s">
        <v>9055</v>
      </c>
      <c r="M21" s="1271" t="s">
        <v>9055</v>
      </c>
      <c r="N21" s="1271" t="s">
        <v>1991</v>
      </c>
      <c r="O21" s="1271" t="s">
        <v>1991</v>
      </c>
      <c r="P21" s="1271" t="s">
        <v>1991</v>
      </c>
      <c r="Q21" s="1271" t="s">
        <v>1991</v>
      </c>
      <c r="R21" s="1045">
        <f t="shared" si="0"/>
        <v>292</v>
      </c>
      <c r="S21" s="1271"/>
      <c r="T21" s="1271">
        <v>292</v>
      </c>
      <c r="U21" s="1271"/>
      <c r="V21" s="1271"/>
      <c r="W21" s="1283"/>
      <c r="X21" s="1271"/>
      <c r="Y21" s="1281" t="s">
        <v>9067</v>
      </c>
      <c r="Z21" s="1278" t="s">
        <v>9067</v>
      </c>
      <c r="AA21" s="1278" t="s">
        <v>9067</v>
      </c>
      <c r="AB21" s="1282" t="s">
        <v>9067</v>
      </c>
    </row>
    <row r="22" spans="1:28" s="1267" customFormat="1" ht="49.5">
      <c r="A22" s="1743"/>
      <c r="B22" s="1268" t="s">
        <v>9115</v>
      </c>
      <c r="C22" s="1269" t="s">
        <v>9116</v>
      </c>
      <c r="D22" s="1270">
        <v>1998</v>
      </c>
      <c r="E22" s="1271" t="s">
        <v>9046</v>
      </c>
      <c r="F22" s="1272">
        <v>4.1000000000000003E-3</v>
      </c>
      <c r="G22" s="1279">
        <v>8200</v>
      </c>
      <c r="H22" s="1272">
        <v>4</v>
      </c>
      <c r="I22" s="1272" t="s">
        <v>9117</v>
      </c>
      <c r="J22" s="1271" t="s">
        <v>9049</v>
      </c>
      <c r="K22" s="1275">
        <v>175</v>
      </c>
      <c r="L22" s="1271" t="s">
        <v>9043</v>
      </c>
      <c r="M22" s="1271" t="s">
        <v>9046</v>
      </c>
      <c r="N22" s="1271" t="s">
        <v>1991</v>
      </c>
      <c r="O22" s="1271" t="s">
        <v>1991</v>
      </c>
      <c r="P22" s="1271" t="s">
        <v>1991</v>
      </c>
      <c r="Q22" s="1271" t="s">
        <v>1991</v>
      </c>
      <c r="R22" s="1045">
        <f t="shared" si="0"/>
        <v>0</v>
      </c>
      <c r="S22" s="1271" t="s">
        <v>1991</v>
      </c>
      <c r="T22" s="1271" t="s">
        <v>1991</v>
      </c>
      <c r="U22" s="1271" t="s">
        <v>1991</v>
      </c>
      <c r="V22" s="1271" t="s">
        <v>1991</v>
      </c>
      <c r="W22" s="1271" t="s">
        <v>1991</v>
      </c>
      <c r="X22" s="1271">
        <v>0</v>
      </c>
      <c r="Y22" s="1271" t="s">
        <v>1991</v>
      </c>
      <c r="Z22" s="1271" t="s">
        <v>1991</v>
      </c>
      <c r="AA22" s="1271" t="s">
        <v>1991</v>
      </c>
      <c r="AB22" s="1274" t="s">
        <v>1991</v>
      </c>
    </row>
    <row r="23" spans="1:28" s="1267" customFormat="1" ht="50.25" thickBot="1">
      <c r="A23" s="1744"/>
      <c r="B23" s="1297" t="s">
        <v>9050</v>
      </c>
      <c r="C23" s="1298" t="s">
        <v>9118</v>
      </c>
      <c r="D23" s="1299">
        <v>1997</v>
      </c>
      <c r="E23" s="1300" t="s">
        <v>9055</v>
      </c>
      <c r="F23" s="1301">
        <v>0</v>
      </c>
      <c r="G23" s="1301">
        <v>0</v>
      </c>
      <c r="H23" s="1301">
        <v>2</v>
      </c>
      <c r="I23" s="1301" t="s">
        <v>9119</v>
      </c>
      <c r="J23" s="1300" t="s">
        <v>9051</v>
      </c>
      <c r="K23" s="1302">
        <v>22.8</v>
      </c>
      <c r="L23" s="1300" t="s">
        <v>9043</v>
      </c>
      <c r="M23" s="1300" t="s">
        <v>9095</v>
      </c>
      <c r="N23" s="1300" t="s">
        <v>1991</v>
      </c>
      <c r="O23" s="1300" t="s">
        <v>1991</v>
      </c>
      <c r="P23" s="1300" t="s">
        <v>1991</v>
      </c>
      <c r="Q23" s="1300" t="s">
        <v>1991</v>
      </c>
      <c r="R23" s="1303">
        <f t="shared" si="0"/>
        <v>0</v>
      </c>
      <c r="S23" s="1300" t="s">
        <v>1991</v>
      </c>
      <c r="T23" s="1300" t="s">
        <v>1991</v>
      </c>
      <c r="U23" s="1300" t="s">
        <v>1991</v>
      </c>
      <c r="V23" s="1300" t="s">
        <v>1991</v>
      </c>
      <c r="W23" s="1300" t="s">
        <v>1991</v>
      </c>
      <c r="X23" s="1300">
        <v>0</v>
      </c>
      <c r="Y23" s="1300" t="s">
        <v>1991</v>
      </c>
      <c r="Z23" s="1300" t="s">
        <v>1991</v>
      </c>
      <c r="AA23" s="1300" t="s">
        <v>1991</v>
      </c>
      <c r="AB23" s="1304" t="s">
        <v>1991</v>
      </c>
    </row>
    <row r="36" spans="6:6">
      <c r="F36" s="994" t="s">
        <v>7645</v>
      </c>
    </row>
  </sheetData>
  <mergeCells count="40">
    <mergeCell ref="V11:V12"/>
    <mergeCell ref="W11:W12"/>
    <mergeCell ref="A8:A23"/>
    <mergeCell ref="R11:R12"/>
    <mergeCell ref="S11:S12"/>
    <mergeCell ref="T11:T12"/>
    <mergeCell ref="U11:U12"/>
    <mergeCell ref="A2:F2"/>
    <mergeCell ref="A3:F3"/>
    <mergeCell ref="A5:A7"/>
    <mergeCell ref="B5:B7"/>
    <mergeCell ref="C5:C7"/>
    <mergeCell ref="AB6:AB7"/>
    <mergeCell ref="H5:K5"/>
    <mergeCell ref="D5:D7"/>
    <mergeCell ref="E5:G5"/>
    <mergeCell ref="E6:E7"/>
    <mergeCell ref="F6:F7"/>
    <mergeCell ref="G6:G7"/>
    <mergeCell ref="H6:K6"/>
    <mergeCell ref="Q6:Q7"/>
    <mergeCell ref="Y5:AB5"/>
    <mergeCell ref="R5:X5"/>
    <mergeCell ref="R6:R7"/>
    <mergeCell ref="X6:X7"/>
    <mergeCell ref="W6:W7"/>
    <mergeCell ref="V6:V7"/>
    <mergeCell ref="U6:U7"/>
    <mergeCell ref="T6:T7"/>
    <mergeCell ref="S6:S7"/>
    <mergeCell ref="AA6:AA7"/>
    <mergeCell ref="Z6:Z7"/>
    <mergeCell ref="Y6:Y7"/>
    <mergeCell ref="L5:L7"/>
    <mergeCell ref="M5:M7"/>
    <mergeCell ref="N5:O5"/>
    <mergeCell ref="P5:Q5"/>
    <mergeCell ref="N6:N7"/>
    <mergeCell ref="O6:O7"/>
    <mergeCell ref="P6:P7"/>
  </mergeCells>
  <phoneticPr fontId="3" type="noConversion"/>
  <conditionalFormatting sqref="A8:X23">
    <cfRule type="expression" dxfId="504" priority="35" stopIfTrue="1">
      <formula>OR($A8="시부",$A8="군부")</formula>
    </cfRule>
    <cfRule type="expression" dxfId="503" priority="36" stopIfTrue="1">
      <formula>OR(RIGHT($A8,3)="특별시",RIGHT($A8,3)="광역시",RIGHT($A8,1)="도",$A8="전국")</formula>
    </cfRule>
  </conditionalFormatting>
  <conditionalFormatting sqref="A8:X8 B9:X23">
    <cfRule type="expression" dxfId="502" priority="29" stopIfTrue="1">
      <formula>OR($A8="시부",$A8="군부")</formula>
    </cfRule>
    <cfRule type="expression" dxfId="501" priority="30" stopIfTrue="1">
      <formula>OR(RIGHT($A8,3)="특별시",RIGHT($A8,3)="광역시",RIGHT($A8,1)="도",$A8="전국")</formula>
    </cfRule>
  </conditionalFormatting>
  <conditionalFormatting sqref="B8:X8">
    <cfRule type="expression" dxfId="500" priority="27" stopIfTrue="1">
      <formula>OR($A8="시부",$A8="군부")</formula>
    </cfRule>
    <cfRule type="expression" dxfId="499" priority="28" stopIfTrue="1">
      <formula>OR(RIGHT($A8,3)="특별시",RIGHT($A8,3)="광역시",RIGHT($A8,1)="도",$A8="전국")</formula>
    </cfRule>
  </conditionalFormatting>
  <conditionalFormatting sqref="B8:X8">
    <cfRule type="expression" dxfId="498" priority="25" stopIfTrue="1">
      <formula>OR($A8="시부",$A8="군부")</formula>
    </cfRule>
    <cfRule type="expression" dxfId="497" priority="26" stopIfTrue="1">
      <formula>OR(RIGHT($A8,3)="특별시",RIGHT($A8,3)="광역시",RIGHT($A8,1)="도",$A8="전국")</formula>
    </cfRule>
  </conditionalFormatting>
  <conditionalFormatting sqref="B8">
    <cfRule type="expression" dxfId="496" priority="23" stopIfTrue="1">
      <formula>OR($A8="시부",$A8="군부")</formula>
    </cfRule>
    <cfRule type="expression" dxfId="495" priority="24" stopIfTrue="1">
      <formula>OR(RIGHT($A8,3)="특별시",RIGHT($A8,3)="광역시",RIGHT($A8,1)="도",$A8="전국")</formula>
    </cfRule>
  </conditionalFormatting>
  <conditionalFormatting sqref="S17:V20">
    <cfRule type="expression" dxfId="494" priority="21" stopIfTrue="1">
      <formula>OR($A17="시부",$A17="군부")</formula>
    </cfRule>
    <cfRule type="expression" dxfId="493" priority="22" stopIfTrue="1">
      <formula>OR(RIGHT($A17,3)="특별시",RIGHT($A17,3)="광역시",RIGHT($A17,1)="도",$A17="전국")</formula>
    </cfRule>
  </conditionalFormatting>
  <conditionalFormatting sqref="N17:N21">
    <cfRule type="expression" dxfId="492" priority="19" stopIfTrue="1">
      <formula>OR($A17="시부",$A17="군부")</formula>
    </cfRule>
    <cfRule type="expression" dxfId="491" priority="20" stopIfTrue="1">
      <formula>OR(RIGHT($A17,3)="특별시",RIGHT($A17,3)="광역시",RIGHT($A17,1)="도",$A17="전국")</formula>
    </cfRule>
  </conditionalFormatting>
  <conditionalFormatting sqref="O17:O21">
    <cfRule type="expression" dxfId="490" priority="17" stopIfTrue="1">
      <formula>OR($A17="시부",$A17="군부")</formula>
    </cfRule>
    <cfRule type="expression" dxfId="489" priority="18" stopIfTrue="1">
      <formula>OR(RIGHT($A17,3)="특별시",RIGHT($A17,3)="광역시",RIGHT($A17,1)="도",$A17="전국")</formula>
    </cfRule>
  </conditionalFormatting>
  <conditionalFormatting sqref="P17:P21">
    <cfRule type="expression" dxfId="488" priority="15" stopIfTrue="1">
      <formula>OR($A17="시부",$A17="군부")</formula>
    </cfRule>
    <cfRule type="expression" dxfId="487" priority="16" stopIfTrue="1">
      <formula>OR(RIGHT($A17,3)="특별시",RIGHT($A17,3)="광역시",RIGHT($A17,1)="도",$A17="전국")</formula>
    </cfRule>
  </conditionalFormatting>
  <conditionalFormatting sqref="Q17:Q21">
    <cfRule type="expression" dxfId="486" priority="13" stopIfTrue="1">
      <formula>OR($A17="시부",$A17="군부")</formula>
    </cfRule>
    <cfRule type="expression" dxfId="485" priority="14" stopIfTrue="1">
      <formula>OR(RIGHT($A17,3)="특별시",RIGHT($A17,3)="광역시",RIGHT($A17,1)="도",$A17="전국")</formula>
    </cfRule>
  </conditionalFormatting>
  <conditionalFormatting sqref="S18:V20">
    <cfRule type="expression" dxfId="484" priority="11" stopIfTrue="1">
      <formula>OR($A18="시부",$A18="군부")</formula>
    </cfRule>
    <cfRule type="expression" dxfId="483" priority="12" stopIfTrue="1">
      <formula>OR(RIGHT($A18,3)="특별시",RIGHT($A18,3)="광역시",RIGHT($A18,1)="도",$A18="전국")</formula>
    </cfRule>
  </conditionalFormatting>
  <conditionalFormatting sqref="N18:N20">
    <cfRule type="expression" dxfId="482" priority="9" stopIfTrue="1">
      <formula>OR($A18="시부",$A18="군부")</formula>
    </cfRule>
    <cfRule type="expression" dxfId="481" priority="10" stopIfTrue="1">
      <formula>OR(RIGHT($A18,3)="특별시",RIGHT($A18,3)="광역시",RIGHT($A18,1)="도",$A18="전국")</formula>
    </cfRule>
  </conditionalFormatting>
  <conditionalFormatting sqref="O18:O21">
    <cfRule type="expression" dxfId="480" priority="7" stopIfTrue="1">
      <formula>OR($A18="시부",$A18="군부")</formula>
    </cfRule>
    <cfRule type="expression" dxfId="479" priority="8" stopIfTrue="1">
      <formula>OR(RIGHT($A18,3)="특별시",RIGHT($A18,3)="광역시",RIGHT($A18,1)="도",$A18="전국")</formula>
    </cfRule>
  </conditionalFormatting>
  <conditionalFormatting sqref="P18:P21">
    <cfRule type="expression" dxfId="478" priority="5" stopIfTrue="1">
      <formula>OR($A18="시부",$A18="군부")</formula>
    </cfRule>
    <cfRule type="expression" dxfId="477" priority="6" stopIfTrue="1">
      <formula>OR(RIGHT($A18,3)="특별시",RIGHT($A18,3)="광역시",RIGHT($A18,1)="도",$A18="전국")</formula>
    </cfRule>
  </conditionalFormatting>
  <conditionalFormatting sqref="Q18:Q21">
    <cfRule type="expression" dxfId="476" priority="3" stopIfTrue="1">
      <formula>OR($A18="시부",$A18="군부")</formula>
    </cfRule>
    <cfRule type="expression" dxfId="475" priority="4" stopIfTrue="1">
      <formula>OR(RIGHT($A18,3)="특별시",RIGHT($A18,3)="광역시",RIGHT($A18,1)="도",$A18="전국")</formula>
    </cfRule>
  </conditionalFormatting>
  <conditionalFormatting sqref="B17:B21">
    <cfRule type="expression" dxfId="474" priority="1" stopIfTrue="1">
      <formula>OR($A17="시부",$A17="군부")</formula>
    </cfRule>
    <cfRule type="expression" dxfId="473" priority="2" stopIfTrue="1">
      <formula>OR(RIGHT($A17,3)="특별시",RIGHT($A17,3)="광역시",RIGHT($A17,1)="도",$A17="전국")</formula>
    </cfRule>
  </conditionalFormatting>
  <dataValidations count="1">
    <dataValidation type="list" allowBlank="1" showInputMessage="1" showErrorMessage="1" sqref="L16:M20">
      <formula1>"유,무"</formula1>
    </dataValidation>
  </dataValidations>
  <pageMargins left="0.59055118110236227" right="0.43307086614173229" top="0.98425196850393704" bottom="0.98425196850393704" header="0.51181102362204722" footer="0.51181102362204722"/>
  <pageSetup paperSize="9" scale="48"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44</vt:i4>
      </vt:variant>
      <vt:variant>
        <vt:lpstr>이름이 지정된 범위</vt:lpstr>
      </vt:variant>
      <vt:variant>
        <vt:i4>56</vt:i4>
      </vt:variant>
    </vt:vector>
  </HeadingPairs>
  <TitlesOfParts>
    <vt:vector size="100" baseType="lpstr">
      <vt:lpstr>1.하수도보급률</vt:lpstr>
      <vt:lpstr>2.하수 및 분뇨 발생량</vt:lpstr>
      <vt:lpstr>3_1시설현황</vt:lpstr>
      <vt:lpstr>3_1_1하수처리시설별 시설현황</vt:lpstr>
      <vt:lpstr>3_2관종별 현황</vt:lpstr>
      <vt:lpstr>3_3관경별 현황</vt:lpstr>
      <vt:lpstr>4_1하수관로개보수(지역별)</vt:lpstr>
      <vt:lpstr>4_2하수관거준설(지역별)</vt:lpstr>
      <vt:lpstr>5.유수지및배수펌프장</vt:lpstr>
      <vt:lpstr>6.중계펌프장</vt:lpstr>
      <vt:lpstr>7.공공하수처리시설</vt:lpstr>
      <vt:lpstr>하수처리장</vt:lpstr>
      <vt:lpstr>하수</vt:lpstr>
      <vt:lpstr>하수처리장참고</vt:lpstr>
      <vt:lpstr>8.분뇨처리시설</vt:lpstr>
      <vt:lpstr>9_1오수처리시설</vt:lpstr>
      <vt:lpstr>9_2정화조</vt:lpstr>
      <vt:lpstr>9_3개인하수도 관리지역 지정공고 현황 및 청소실적</vt:lpstr>
      <vt:lpstr>10_1하수도재정</vt:lpstr>
      <vt:lpstr>10_2하수도요금</vt:lpstr>
      <vt:lpstr>업종별하수도요금</vt:lpstr>
      <vt:lpstr>10_3업종별하수도사용료</vt:lpstr>
      <vt:lpstr>10_4하수도원인자부담금</vt:lpstr>
      <vt:lpstr>하수처리수 재이용_삭제전</vt:lpstr>
      <vt:lpstr>11_1공공하수처리수 재이용</vt:lpstr>
      <vt:lpstr>하수처리장슬러지발생처리_삭제전</vt:lpstr>
      <vt:lpstr>11_2 중수도시설현황</vt:lpstr>
      <vt:lpstr>11_3 빗물이용시설현황</vt:lpstr>
      <vt:lpstr>11_4 하ㆍ폐수처리수 재이용시설 설계시공업 등록현황</vt:lpstr>
      <vt:lpstr>11_5 하ㆍ폐수처리수 재이용사업 인가현황</vt:lpstr>
      <vt:lpstr>12_1찌꺼기(슬러지)처리시설 현황</vt:lpstr>
      <vt:lpstr>12_2하수찌꺼기(슬러지)처리 현황</vt:lpstr>
      <vt:lpstr>12_3분뇨찌꺼기(슬러지)</vt:lpstr>
      <vt:lpstr>13_1공공기관현황(하수분야)</vt:lpstr>
      <vt:lpstr>13_1공공기관현황(분뇨분야)</vt:lpstr>
      <vt:lpstr>13_2하수처리시설인력</vt:lpstr>
      <vt:lpstr>13_3분뇨수집운반업</vt:lpstr>
      <vt:lpstr>13_4개인하수처리관련업</vt:lpstr>
      <vt:lpstr>14_1하수처리시설유입수및방류수</vt:lpstr>
      <vt:lpstr>14_2분뇨처리시설유입수및방류수</vt:lpstr>
      <vt:lpstr>15_1민원</vt:lpstr>
      <vt:lpstr>민원_삭제전</vt:lpstr>
      <vt:lpstr>15_2주민친화시설</vt:lpstr>
      <vt:lpstr>주민친화시설_삭제전</vt:lpstr>
      <vt:lpstr>'1.하수도보급률'!Print_Area</vt:lpstr>
      <vt:lpstr>'10_1하수도재정'!Print_Area</vt:lpstr>
      <vt:lpstr>'10_2하수도요금'!Print_Area</vt:lpstr>
      <vt:lpstr>'10_4하수도원인자부담금'!Print_Area</vt:lpstr>
      <vt:lpstr>'11_1공공하수처리수 재이용'!Print_Area</vt:lpstr>
      <vt:lpstr>'11_2 중수도시설현황'!Print_Area</vt:lpstr>
      <vt:lpstr>'11_3 빗물이용시설현황'!Print_Area</vt:lpstr>
      <vt:lpstr>'11_4 하ㆍ폐수처리수 재이용시설 설계시공업 등록현황'!Print_Area</vt:lpstr>
      <vt:lpstr>'11_5 하ㆍ폐수처리수 재이용사업 인가현황'!Print_Area</vt:lpstr>
      <vt:lpstr>'12_1찌꺼기(슬러지)처리시설 현황'!Print_Area</vt:lpstr>
      <vt:lpstr>'12_2하수찌꺼기(슬러지)처리 현황'!Print_Area</vt:lpstr>
      <vt:lpstr>'12_3분뇨찌꺼기(슬러지)'!Print_Area</vt:lpstr>
      <vt:lpstr>'13_1공공기관현황(분뇨분야)'!Print_Area</vt:lpstr>
      <vt:lpstr>'13_1공공기관현황(하수분야)'!Print_Area</vt:lpstr>
      <vt:lpstr>'13_2하수처리시설인력'!Print_Area</vt:lpstr>
      <vt:lpstr>'13_3분뇨수집운반업'!Print_Area</vt:lpstr>
      <vt:lpstr>'13_4개인하수처리관련업'!Print_Area</vt:lpstr>
      <vt:lpstr>'14_1하수처리시설유입수및방류수'!Print_Area</vt:lpstr>
      <vt:lpstr>'14_2분뇨처리시설유입수및방류수'!Print_Area</vt:lpstr>
      <vt:lpstr>'15_1민원'!Print_Area</vt:lpstr>
      <vt:lpstr>'15_2주민친화시설'!Print_Area</vt:lpstr>
      <vt:lpstr>'2.하수 및 분뇨 발생량'!Print_Area</vt:lpstr>
      <vt:lpstr>'4_1하수관로개보수(지역별)'!Print_Area</vt:lpstr>
      <vt:lpstr>'4_2하수관거준설(지역별)'!Print_Area</vt:lpstr>
      <vt:lpstr>'5.유수지및배수펌프장'!Print_Area</vt:lpstr>
      <vt:lpstr>'6.중계펌프장'!Print_Area</vt:lpstr>
      <vt:lpstr>'7.공공하수처리시설'!Print_Area</vt:lpstr>
      <vt:lpstr>'8.분뇨처리시설'!Print_Area</vt:lpstr>
      <vt:lpstr>'9_1오수처리시설'!Print_Area</vt:lpstr>
      <vt:lpstr>민원_삭제전!Print_Area</vt:lpstr>
      <vt:lpstr>주민친화시설_삭제전!Print_Area</vt:lpstr>
      <vt:lpstr>하수!Print_Area</vt:lpstr>
      <vt:lpstr>'하수처리수 재이용_삭제전'!Print_Area</vt:lpstr>
      <vt:lpstr>하수처리장!Print_Area</vt:lpstr>
      <vt:lpstr>하수처리장슬러지발생처리_삭제전!Print_Area</vt:lpstr>
      <vt:lpstr>'1.하수도보급률'!Print_Titles</vt:lpstr>
      <vt:lpstr>'10_1하수도재정'!Print_Titles</vt:lpstr>
      <vt:lpstr>'10_4하수도원인자부담금'!Print_Titles</vt:lpstr>
      <vt:lpstr>'11_2 중수도시설현황'!Print_Titles</vt:lpstr>
      <vt:lpstr>'11_3 빗물이용시설현황'!Print_Titles</vt:lpstr>
      <vt:lpstr>'12_3분뇨찌꺼기(슬러지)'!Print_Titles</vt:lpstr>
      <vt:lpstr>'13_2하수처리시설인력'!Print_Titles</vt:lpstr>
      <vt:lpstr>'13_4개인하수처리관련업'!Print_Titles</vt:lpstr>
      <vt:lpstr>'15_1민원'!Print_Titles</vt:lpstr>
      <vt:lpstr>'15_2주민친화시설'!Print_Titles</vt:lpstr>
      <vt:lpstr>'2.하수 및 분뇨 발생량'!Print_Titles</vt:lpstr>
      <vt:lpstr>'3_1_1하수처리시설별 시설현황'!Print_Titles</vt:lpstr>
      <vt:lpstr>'3_1시설현황'!Print_Titles</vt:lpstr>
      <vt:lpstr>'4_2하수관거준설(지역별)'!Print_Titles</vt:lpstr>
      <vt:lpstr>'5.유수지및배수펌프장'!Print_Titles</vt:lpstr>
      <vt:lpstr>'6.중계펌프장'!Print_Titles</vt:lpstr>
      <vt:lpstr>'9_1오수처리시설'!Print_Titles</vt:lpstr>
      <vt:lpstr>민원_삭제전!Print_Titles</vt:lpstr>
      <vt:lpstr>주민친화시설_삭제전!Print_Titles</vt:lpstr>
      <vt:lpstr>'하수처리수 재이용_삭제전'!Print_Titles</vt:lpstr>
      <vt:lpstr>하수처리장참고!Print_Titles</vt:lpstr>
    </vt:vector>
  </TitlesOfParts>
  <Company>대우정보시스템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이원선</dc:creator>
  <cp:lastModifiedBy>김해시</cp:lastModifiedBy>
  <cp:lastPrinted>2016-08-07T00:50:13Z</cp:lastPrinted>
  <dcterms:created xsi:type="dcterms:W3CDTF">2005-04-03T04:16:49Z</dcterms:created>
  <dcterms:modified xsi:type="dcterms:W3CDTF">2016-10-19T00:56:32Z</dcterms:modified>
</cp:coreProperties>
</file>